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worksheets/sheet10.xml" ContentType="application/vnd.openxmlformats-officedocument.spreadsheetml.worksheet+xml"/>
  <Override PartName="/xl/chartsheets/sheet5.xml" ContentType="application/vnd.openxmlformats-officedocument.spreadsheetml.chartsheet+xml"/>
  <Override PartName="/xl/chartsheets/sheet6.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workbookProtection workbookPassword="CC31" lockStructure="1"/>
  <bookViews>
    <workbookView xWindow="-15" yWindow="-15" windowWidth="19215" windowHeight="7530" firstSheet="4" activeTab="4"/>
  </bookViews>
  <sheets>
    <sheet name="PMSPLINE" sheetId="8" state="hidden" r:id="rId1"/>
    <sheet name="PMSplint" sheetId="7" state="hidden" r:id="rId2"/>
    <sheet name="RnSPLINE" sheetId="10" state="hidden" r:id="rId3"/>
    <sheet name="RnSplint" sheetId="11" state="hidden" r:id="rId4"/>
    <sheet name="TITLE" sheetId="15" r:id="rId5"/>
    <sheet name="Weather" sheetId="1" r:id="rId6"/>
    <sheet name="Crop" sheetId="9" r:id="rId7"/>
    <sheet name="CropRef" sheetId="23" r:id="rId8"/>
    <sheet name="YTD" sheetId="29" r:id="rId9"/>
    <sheet name="KcPlot" sheetId="22" r:id="rId10"/>
    <sheet name="ETcPlot" sheetId="21" r:id="rId11"/>
    <sheet name="CETcPlot" sheetId="24" r:id="rId12"/>
    <sheet name="DBRPlot" sheetId="16" state="hidden" r:id="rId13"/>
    <sheet name="MakeSchedule" sheetId="25" r:id="rId14"/>
    <sheet name="YT1" sheetId="39" r:id="rId15"/>
    <sheet name="YT2" sheetId="41" r:id="rId16"/>
    <sheet name="Schedule" sheetId="30" r:id="rId17"/>
    <sheet name="notes" sheetId="28" state="hidden" r:id="rId18"/>
    <sheet name="CropRefOrig" sheetId="31" r:id="rId19"/>
    <sheet name="System" sheetId="37" r:id="rId20"/>
    <sheet name="AppRate" sheetId="38" r:id="rId21"/>
  </sheets>
  <calcPr calcId="145621"/>
</workbook>
</file>

<file path=xl/calcChain.xml><?xml version="1.0" encoding="utf-8"?>
<calcChain xmlns="http://schemas.openxmlformats.org/spreadsheetml/2006/main">
  <c r="F15" i="30" l="1"/>
  <c r="AB371" i="25" a="1"/>
  <c r="AB371" i="25"/>
  <c r="AC371" i="25" a="1"/>
  <c r="AC371" i="25"/>
  <c r="AD371" i="25" a="1"/>
  <c r="AD371" i="25"/>
  <c r="AB372" i="25" a="1"/>
  <c r="AB372" i="25"/>
  <c r="AC372" i="25" a="1"/>
  <c r="AC372" i="25"/>
  <c r="AD372" i="25" a="1"/>
  <c r="AD372" i="25"/>
  <c r="AB373" i="25" a="1"/>
  <c r="AB373" i="25"/>
  <c r="AC373" i="25" a="1"/>
  <c r="AC373" i="25"/>
  <c r="AD373" i="25" a="1"/>
  <c r="AD373" i="25"/>
  <c r="AB374" i="25" a="1"/>
  <c r="AB374" i="25"/>
  <c r="AC374" i="25" a="1"/>
  <c r="AC374" i="25"/>
  <c r="AD374" i="25" a="1"/>
  <c r="AD374" i="25"/>
  <c r="AB375" i="25" a="1"/>
  <c r="AB375" i="25"/>
  <c r="AC375" i="25" a="1"/>
  <c r="AC375" i="25"/>
  <c r="AD375" i="25" a="1"/>
  <c r="AD375" i="25"/>
  <c r="AB376" i="25" a="1"/>
  <c r="AB376" i="25"/>
  <c r="AC376" i="25" a="1"/>
  <c r="AC376" i="25"/>
  <c r="AD376" i="25" a="1"/>
  <c r="AD376" i="25"/>
  <c r="AB377" i="25" a="1"/>
  <c r="AB377" i="25"/>
  <c r="AC377" i="25" a="1"/>
  <c r="AC377" i="25"/>
  <c r="AD377" i="25" a="1"/>
  <c r="AD377" i="25"/>
  <c r="AB378" i="25" a="1"/>
  <c r="AB378" i="25"/>
  <c r="AC378" i="25" a="1"/>
  <c r="AC378" i="25"/>
  <c r="AD378" i="25" a="1"/>
  <c r="AD378" i="25"/>
  <c r="AB379" i="25" a="1"/>
  <c r="AB379" i="25"/>
  <c r="AC379" i="25" a="1"/>
  <c r="AC379" i="25"/>
  <c r="AD379" i="25" a="1"/>
  <c r="AD379" i="25"/>
  <c r="AB380" i="25" a="1"/>
  <c r="AB380" i="25"/>
  <c r="AC380" i="25" a="1"/>
  <c r="AC380" i="25"/>
  <c r="AD380" i="25" a="1"/>
  <c r="AD380" i="25"/>
  <c r="AB301" i="25" a="1"/>
  <c r="AB301" i="25"/>
  <c r="AC301" i="25" a="1"/>
  <c r="AC301" i="25"/>
  <c r="AD301" i="25" a="1"/>
  <c r="AD301" i="25"/>
  <c r="AB302" i="25" a="1"/>
  <c r="AB302" i="25"/>
  <c r="AC302" i="25" a="1"/>
  <c r="AC302" i="25"/>
  <c r="AD302" i="25" a="1"/>
  <c r="AD302" i="25"/>
  <c r="AB303" i="25" a="1"/>
  <c r="AB303" i="25"/>
  <c r="AC303" i="25" a="1"/>
  <c r="AC303" i="25"/>
  <c r="AD303" i="25" a="1"/>
  <c r="AD303" i="25"/>
  <c r="AB304" i="25" a="1"/>
  <c r="AB304" i="25"/>
  <c r="AC304" i="25" a="1"/>
  <c r="AC304" i="25"/>
  <c r="AD304" i="25" a="1"/>
  <c r="AD304" i="25"/>
  <c r="AB305" i="25" a="1"/>
  <c r="AB305" i="25"/>
  <c r="AC305" i="25" a="1"/>
  <c r="AC305" i="25"/>
  <c r="AD305" i="25" a="1"/>
  <c r="AD305" i="25"/>
  <c r="AB306" i="25" a="1"/>
  <c r="AB306" i="25"/>
  <c r="AC306" i="25" a="1"/>
  <c r="AC306" i="25"/>
  <c r="AD306" i="25" a="1"/>
  <c r="AD306" i="25"/>
  <c r="AB307" i="25" a="1"/>
  <c r="AB307" i="25"/>
  <c r="AC307" i="25" a="1"/>
  <c r="AC307" i="25"/>
  <c r="AD307" i="25" a="1"/>
  <c r="AD307" i="25"/>
  <c r="AB308" i="25" a="1"/>
  <c r="AB308" i="25"/>
  <c r="AC308" i="25" a="1"/>
  <c r="AC308" i="25"/>
  <c r="AD308" i="25" a="1"/>
  <c r="AD308" i="25"/>
  <c r="AB309" i="25" a="1"/>
  <c r="AB309" i="25"/>
  <c r="AC309" i="25" a="1"/>
  <c r="AC309" i="25"/>
  <c r="AD309" i="25" a="1"/>
  <c r="AD309" i="25"/>
  <c r="AB310" i="25" a="1"/>
  <c r="AB310" i="25"/>
  <c r="AC310" i="25" a="1"/>
  <c r="AC310" i="25"/>
  <c r="AD310" i="25" a="1"/>
  <c r="AD310" i="25"/>
  <c r="AB311" i="25" a="1"/>
  <c r="AB311" i="25"/>
  <c r="AC311" i="25" a="1"/>
  <c r="AC311" i="25"/>
  <c r="AD311" i="25" a="1"/>
  <c r="AD311" i="25"/>
  <c r="AB312" i="25" a="1"/>
  <c r="AB312" i="25"/>
  <c r="AC312" i="25" a="1"/>
  <c r="AC312" i="25"/>
  <c r="AD312" i="25" a="1"/>
  <c r="AD312" i="25"/>
  <c r="AB313" i="25" a="1"/>
  <c r="AB313" i="25"/>
  <c r="AC313" i="25" a="1"/>
  <c r="AC313" i="25"/>
  <c r="AD313" i="25" a="1"/>
  <c r="AD313" i="25"/>
  <c r="AB314" i="25" a="1"/>
  <c r="AB314" i="25"/>
  <c r="AC314" i="25" a="1"/>
  <c r="AC314" i="25"/>
  <c r="AD314" i="25" a="1"/>
  <c r="AD314" i="25"/>
  <c r="AB315" i="25" a="1"/>
  <c r="AB315" i="25"/>
  <c r="AC315" i="25" a="1"/>
  <c r="AC315" i="25"/>
  <c r="AD315" i="25" a="1"/>
  <c r="AD315" i="25"/>
  <c r="AB316" i="25" a="1"/>
  <c r="AB316" i="25"/>
  <c r="AC316" i="25" a="1"/>
  <c r="AC316" i="25"/>
  <c r="AD316" i="25" a="1"/>
  <c r="AD316" i="25"/>
  <c r="AB317" i="25" a="1"/>
  <c r="AB317" i="25"/>
  <c r="AC317" i="25" a="1"/>
  <c r="AC317" i="25"/>
  <c r="AD317" i="25" a="1"/>
  <c r="AD317" i="25"/>
  <c r="AB318" i="25" a="1"/>
  <c r="AB318" i="25"/>
  <c r="AC318" i="25" a="1"/>
  <c r="AC318" i="25"/>
  <c r="AD318" i="25" a="1"/>
  <c r="AD318" i="25"/>
  <c r="AB319" i="25" a="1"/>
  <c r="AB319" i="25"/>
  <c r="AC319" i="25" a="1"/>
  <c r="AC319" i="25"/>
  <c r="AD319" i="25" a="1"/>
  <c r="AD319" i="25"/>
  <c r="AB320" i="25" a="1"/>
  <c r="AB320" i="25"/>
  <c r="AC320" i="25" a="1"/>
  <c r="AC320" i="25"/>
  <c r="AD320" i="25" a="1"/>
  <c r="AD320" i="25"/>
  <c r="AB321" i="25" a="1"/>
  <c r="AB321" i="25"/>
  <c r="AC321" i="25" a="1"/>
  <c r="AC321" i="25"/>
  <c r="AD321" i="25" a="1"/>
  <c r="AD321" i="25"/>
  <c r="AB322" i="25" a="1"/>
  <c r="AB322" i="25"/>
  <c r="AC322" i="25" a="1"/>
  <c r="AC322" i="25"/>
  <c r="AD322" i="25" a="1"/>
  <c r="AD322" i="25"/>
  <c r="AB323" i="25" a="1"/>
  <c r="AB323" i="25"/>
  <c r="AC323" i="25" a="1"/>
  <c r="AC323" i="25"/>
  <c r="AD323" i="25" a="1"/>
  <c r="AD323" i="25"/>
  <c r="AB324" i="25" a="1"/>
  <c r="AB324" i="25"/>
  <c r="AC324" i="25" a="1"/>
  <c r="AC324" i="25"/>
  <c r="AD324" i="25" a="1"/>
  <c r="AD324" i="25"/>
  <c r="AB325" i="25" a="1"/>
  <c r="AB325" i="25"/>
  <c r="AC325" i="25" a="1"/>
  <c r="AC325" i="25"/>
  <c r="AD325" i="25" a="1"/>
  <c r="AD325" i="25"/>
  <c r="AB326" i="25" a="1"/>
  <c r="AB326" i="25"/>
  <c r="AC326" i="25" a="1"/>
  <c r="AC326" i="25"/>
  <c r="AD326" i="25" a="1"/>
  <c r="AD326" i="25"/>
  <c r="AB327" i="25" a="1"/>
  <c r="AB327" i="25"/>
  <c r="AC327" i="25" a="1"/>
  <c r="AC327" i="25"/>
  <c r="AD327" i="25" a="1"/>
  <c r="AD327" i="25"/>
  <c r="AB328" i="25" a="1"/>
  <c r="AB328" i="25"/>
  <c r="AC328" i="25" a="1"/>
  <c r="AC328" i="25"/>
  <c r="AD328" i="25" a="1"/>
  <c r="AD328" i="25"/>
  <c r="AB329" i="25" a="1"/>
  <c r="AB329" i="25"/>
  <c r="AC329" i="25" a="1"/>
  <c r="AC329" i="25"/>
  <c r="AD329" i="25" a="1"/>
  <c r="AD329" i="25"/>
  <c r="AB330" i="25" a="1"/>
  <c r="AB330" i="25"/>
  <c r="AC330" i="25" a="1"/>
  <c r="AC330" i="25"/>
  <c r="AD330" i="25" a="1"/>
  <c r="AD330" i="25"/>
  <c r="AB331" i="25" a="1"/>
  <c r="AB331" i="25"/>
  <c r="AC331" i="25" a="1"/>
  <c r="AC331" i="25"/>
  <c r="AD331" i="25" a="1"/>
  <c r="AD331" i="25"/>
  <c r="AB332" i="25" a="1"/>
  <c r="AB332" i="25"/>
  <c r="AC332" i="25" a="1"/>
  <c r="AC332" i="25"/>
  <c r="AD332" i="25" a="1"/>
  <c r="AD332" i="25"/>
  <c r="AB333" i="25" a="1"/>
  <c r="AB333" i="25"/>
  <c r="AC333" i="25" a="1"/>
  <c r="AC333" i="25"/>
  <c r="AD333" i="25" a="1"/>
  <c r="AD333" i="25"/>
  <c r="AB334" i="25" a="1"/>
  <c r="AB334" i="25"/>
  <c r="AC334" i="25" a="1"/>
  <c r="AC334" i="25"/>
  <c r="AD334" i="25" a="1"/>
  <c r="AD334" i="25"/>
  <c r="AB335" i="25" a="1"/>
  <c r="AB335" i="25"/>
  <c r="AC335" i="25" a="1"/>
  <c r="AC335" i="25"/>
  <c r="AD335" i="25" a="1"/>
  <c r="AD335" i="25"/>
  <c r="AB336" i="25" a="1"/>
  <c r="AB336" i="25"/>
  <c r="AC336" i="25" a="1"/>
  <c r="AC336" i="25"/>
  <c r="AD336" i="25" a="1"/>
  <c r="AD336" i="25"/>
  <c r="AB337" i="25" a="1"/>
  <c r="AB337" i="25"/>
  <c r="AC337" i="25" a="1"/>
  <c r="AC337" i="25"/>
  <c r="AD337" i="25" a="1"/>
  <c r="AD337" i="25"/>
  <c r="AB338" i="25" a="1"/>
  <c r="AB338" i="25"/>
  <c r="AC338" i="25" a="1"/>
  <c r="AC338" i="25"/>
  <c r="AD338" i="25" a="1"/>
  <c r="AD338" i="25"/>
  <c r="AB339" i="25" a="1"/>
  <c r="AB339" i="25"/>
  <c r="AC339" i="25" a="1"/>
  <c r="AC339" i="25"/>
  <c r="AD339" i="25" a="1"/>
  <c r="AD339" i="25"/>
  <c r="AB340" i="25" a="1"/>
  <c r="AB340" i="25"/>
  <c r="AC340" i="25" a="1"/>
  <c r="AC340" i="25"/>
  <c r="AD340" i="25" a="1"/>
  <c r="AD340" i="25"/>
  <c r="AB341" i="25" a="1"/>
  <c r="AB341" i="25"/>
  <c r="AC341" i="25" a="1"/>
  <c r="AC341" i="25"/>
  <c r="AD341" i="25" a="1"/>
  <c r="AD341" i="25"/>
  <c r="AB342" i="25" a="1"/>
  <c r="AB342" i="25"/>
  <c r="AC342" i="25" a="1"/>
  <c r="AC342" i="25"/>
  <c r="AD342" i="25" a="1"/>
  <c r="AD342" i="25"/>
  <c r="AB343" i="25" a="1"/>
  <c r="AB343" i="25"/>
  <c r="AC343" i="25" a="1"/>
  <c r="AC343" i="25"/>
  <c r="AD343" i="25" a="1"/>
  <c r="AD343" i="25"/>
  <c r="AB344" i="25" a="1"/>
  <c r="AB344" i="25"/>
  <c r="AC344" i="25" a="1"/>
  <c r="AC344" i="25"/>
  <c r="AD344" i="25" a="1"/>
  <c r="AD344" i="25"/>
  <c r="AB345" i="25" a="1"/>
  <c r="AB345" i="25"/>
  <c r="AC345" i="25" a="1"/>
  <c r="AC345" i="25"/>
  <c r="AD345" i="25" a="1"/>
  <c r="AD345" i="25"/>
  <c r="AB346" i="25" a="1"/>
  <c r="AB346" i="25"/>
  <c r="AC346" i="25" a="1"/>
  <c r="AC346" i="25"/>
  <c r="AD346" i="25" a="1"/>
  <c r="AD346" i="25"/>
  <c r="AB347" i="25" a="1"/>
  <c r="AB347" i="25"/>
  <c r="AC347" i="25" a="1"/>
  <c r="AC347" i="25"/>
  <c r="AD347" i="25" a="1"/>
  <c r="AD347" i="25"/>
  <c r="AB348" i="25" a="1"/>
  <c r="AB348" i="25"/>
  <c r="AC348" i="25" a="1"/>
  <c r="AC348" i="25"/>
  <c r="AD348" i="25" a="1"/>
  <c r="AD348" i="25"/>
  <c r="AB349" i="25" a="1"/>
  <c r="AB349" i="25"/>
  <c r="AC349" i="25" a="1"/>
  <c r="AC349" i="25"/>
  <c r="AD349" i="25" a="1"/>
  <c r="AD349" i="25"/>
  <c r="AB350" i="25" a="1"/>
  <c r="AB350" i="25"/>
  <c r="AC350" i="25" a="1"/>
  <c r="AC350" i="25"/>
  <c r="AD350" i="25" a="1"/>
  <c r="AD350" i="25"/>
  <c r="AB351" i="25" a="1"/>
  <c r="AB351" i="25"/>
  <c r="AC351" i="25" a="1"/>
  <c r="AC351" i="25"/>
  <c r="AD351" i="25" a="1"/>
  <c r="AD351" i="25"/>
  <c r="AB352" i="25" a="1"/>
  <c r="AB352" i="25"/>
  <c r="AC352" i="25" a="1"/>
  <c r="AC352" i="25"/>
  <c r="AD352" i="25" a="1"/>
  <c r="AD352" i="25"/>
  <c r="AB353" i="25" a="1"/>
  <c r="AB353" i="25"/>
  <c r="AC353" i="25" a="1"/>
  <c r="AC353" i="25"/>
  <c r="AD353" i="25" a="1"/>
  <c r="AD353" i="25"/>
  <c r="AB354" i="25" a="1"/>
  <c r="AB354" i="25"/>
  <c r="AC354" i="25" a="1"/>
  <c r="AC354" i="25"/>
  <c r="AD354" i="25" a="1"/>
  <c r="AD354" i="25"/>
  <c r="AB355" i="25" a="1"/>
  <c r="AB355" i="25"/>
  <c r="AC355" i="25" a="1"/>
  <c r="AC355" i="25"/>
  <c r="AD355" i="25" a="1"/>
  <c r="AD355" i="25"/>
  <c r="AB356" i="25" a="1"/>
  <c r="AB356" i="25"/>
  <c r="AC356" i="25" a="1"/>
  <c r="AC356" i="25"/>
  <c r="AD356" i="25" a="1"/>
  <c r="AD356" i="25"/>
  <c r="AB357" i="25" a="1"/>
  <c r="AB357" i="25"/>
  <c r="AC357" i="25" a="1"/>
  <c r="AC357" i="25"/>
  <c r="AD357" i="25" a="1"/>
  <c r="AD357" i="25"/>
  <c r="AB358" i="25" a="1"/>
  <c r="AB358" i="25"/>
  <c r="AC358" i="25" a="1"/>
  <c r="AC358" i="25"/>
  <c r="AD358" i="25" a="1"/>
  <c r="AD358" i="25"/>
  <c r="AB359" i="25" a="1"/>
  <c r="AB359" i="25"/>
  <c r="AC359" i="25" a="1"/>
  <c r="AC359" i="25"/>
  <c r="AD359" i="25" a="1"/>
  <c r="AD359" i="25"/>
  <c r="AB360" i="25" a="1"/>
  <c r="AB360" i="25"/>
  <c r="AC360" i="25" a="1"/>
  <c r="AC360" i="25"/>
  <c r="AD360" i="25" a="1"/>
  <c r="AD360" i="25"/>
  <c r="AB361" i="25" a="1"/>
  <c r="AB361" i="25"/>
  <c r="AC361" i="25" a="1"/>
  <c r="AC361" i="25"/>
  <c r="AD361" i="25" a="1"/>
  <c r="AD361" i="25"/>
  <c r="AB362" i="25" a="1"/>
  <c r="AB362" i="25"/>
  <c r="AC362" i="25" a="1"/>
  <c r="AC362" i="25"/>
  <c r="AD362" i="25" a="1"/>
  <c r="AD362" i="25"/>
  <c r="AB363" i="25" a="1"/>
  <c r="AB363" i="25"/>
  <c r="AC363" i="25" a="1"/>
  <c r="AC363" i="25"/>
  <c r="AD363" i="25" a="1"/>
  <c r="AD363" i="25"/>
  <c r="AB364" i="25" a="1"/>
  <c r="AB364" i="25"/>
  <c r="AC364" i="25" a="1"/>
  <c r="AC364" i="25"/>
  <c r="AD364" i="25" a="1"/>
  <c r="AD364" i="25"/>
  <c r="AB365" i="25" a="1"/>
  <c r="AB365" i="25"/>
  <c r="AC365" i="25" a="1"/>
  <c r="AC365" i="25"/>
  <c r="AD365" i="25" a="1"/>
  <c r="AD365" i="25"/>
  <c r="AB366" i="25" a="1"/>
  <c r="AB366" i="25"/>
  <c r="AC366" i="25" a="1"/>
  <c r="AC366" i="25"/>
  <c r="AD366" i="25" a="1"/>
  <c r="AD366" i="25"/>
  <c r="AB367" i="25" a="1"/>
  <c r="AB367" i="25"/>
  <c r="AC367" i="25" a="1"/>
  <c r="AC367" i="25"/>
  <c r="AD367" i="25" a="1"/>
  <c r="AD367" i="25"/>
  <c r="AB368" i="25" a="1"/>
  <c r="AB368" i="25"/>
  <c r="AC368" i="25" a="1"/>
  <c r="AC368" i="25"/>
  <c r="AD368" i="25" a="1"/>
  <c r="AD368" i="25"/>
  <c r="AB369" i="25" a="1"/>
  <c r="AB369" i="25"/>
  <c r="AC369" i="25" a="1"/>
  <c r="AC369" i="25"/>
  <c r="AD369" i="25" a="1"/>
  <c r="AD369" i="25"/>
  <c r="AB370" i="25" a="1"/>
  <c r="AB370" i="25"/>
  <c r="AC370" i="25" a="1"/>
  <c r="AC370" i="25"/>
  <c r="AD370" i="25" a="1"/>
  <c r="AD370" i="25"/>
  <c r="AD21" i="25" a="1"/>
  <c r="AD21" i="25"/>
  <c r="AC21" i="25" a="1"/>
  <c r="AC21" i="25"/>
  <c r="AD20" i="25" a="1"/>
  <c r="AD20" i="25"/>
  <c r="AC20" i="25" a="1"/>
  <c r="AC20" i="25"/>
  <c r="AD19" i="25" a="1"/>
  <c r="AD19" i="25"/>
  <c r="AC19" i="25" a="1"/>
  <c r="AC19" i="25"/>
  <c r="AD18" i="25" a="1"/>
  <c r="AD18" i="25"/>
  <c r="AC18" i="25" a="1"/>
  <c r="AC18" i="25"/>
  <c r="AD17" i="25" a="1"/>
  <c r="AD17" i="25"/>
  <c r="AC17" i="25" a="1"/>
  <c r="AC17" i="25"/>
  <c r="AD16" i="25" a="1"/>
  <c r="AD16" i="25"/>
  <c r="AC16" i="25" a="1"/>
  <c r="AC16" i="25"/>
  <c r="AC23" i="25" a="1"/>
  <c r="AC23" i="25"/>
  <c r="AD23" i="25" a="1"/>
  <c r="AD23" i="25"/>
  <c r="AC24" i="25" a="1"/>
  <c r="AC24" i="25"/>
  <c r="AD24" i="25" a="1"/>
  <c r="AD24" i="25"/>
  <c r="AC25" i="25" a="1"/>
  <c r="AC25" i="25"/>
  <c r="AD25" i="25" a="1"/>
  <c r="AD25" i="25"/>
  <c r="AC26" i="25" a="1"/>
  <c r="AC26" i="25"/>
  <c r="AD26" i="25" a="1"/>
  <c r="AD26" i="25"/>
  <c r="AC27" i="25" a="1"/>
  <c r="AC27" i="25"/>
  <c r="AD27" i="25" a="1"/>
  <c r="AD27" i="25"/>
  <c r="AC28" i="25" a="1"/>
  <c r="AC28" i="25"/>
  <c r="AD28" i="25" a="1"/>
  <c r="AD28" i="25"/>
  <c r="AC29" i="25" a="1"/>
  <c r="AC29" i="25"/>
  <c r="AD29" i="25" a="1"/>
  <c r="AD29" i="25"/>
  <c r="AC30" i="25" a="1"/>
  <c r="AC30" i="25"/>
  <c r="AD30" i="25" a="1"/>
  <c r="AD30" i="25"/>
  <c r="AC31" i="25" a="1"/>
  <c r="AC31" i="25"/>
  <c r="AD31" i="25" a="1"/>
  <c r="AD31" i="25"/>
  <c r="AC32" i="25" a="1"/>
  <c r="AC32" i="25"/>
  <c r="AD32" i="25" a="1"/>
  <c r="AD32" i="25"/>
  <c r="AC33" i="25" a="1"/>
  <c r="AC33" i="25"/>
  <c r="AD33" i="25" a="1"/>
  <c r="AD33" i="25"/>
  <c r="AC34" i="25" a="1"/>
  <c r="AC34" i="25"/>
  <c r="AD34" i="25" a="1"/>
  <c r="AD34" i="25"/>
  <c r="AC35" i="25" a="1"/>
  <c r="AC35" i="25"/>
  <c r="AD35" i="25" a="1"/>
  <c r="AD35" i="25"/>
  <c r="AC36" i="25" a="1"/>
  <c r="AC36" i="25"/>
  <c r="AD36" i="25" a="1"/>
  <c r="AD36" i="25"/>
  <c r="AC37" i="25" a="1"/>
  <c r="AC37" i="25"/>
  <c r="AD37" i="25" a="1"/>
  <c r="AD37" i="25"/>
  <c r="AC38" i="25" a="1"/>
  <c r="AC38" i="25"/>
  <c r="AD38" i="25" a="1"/>
  <c r="AD38" i="25"/>
  <c r="AC39" i="25" a="1"/>
  <c r="AC39" i="25"/>
  <c r="AD39" i="25" a="1"/>
  <c r="AD39" i="25"/>
  <c r="AC40" i="25" a="1"/>
  <c r="AC40" i="25"/>
  <c r="AD40" i="25" a="1"/>
  <c r="AD40" i="25"/>
  <c r="AC41" i="25" a="1"/>
  <c r="AC41" i="25"/>
  <c r="AD41" i="25" a="1"/>
  <c r="AD41" i="25"/>
  <c r="AC42" i="25" a="1"/>
  <c r="AC42" i="25"/>
  <c r="AD42" i="25" a="1"/>
  <c r="AD42" i="25"/>
  <c r="AC43" i="25" a="1"/>
  <c r="AC43" i="25"/>
  <c r="AD43" i="25" a="1"/>
  <c r="AD43" i="25"/>
  <c r="AC44" i="25" a="1"/>
  <c r="AC44" i="25"/>
  <c r="AD44" i="25" a="1"/>
  <c r="AD44" i="25"/>
  <c r="AC45" i="25" a="1"/>
  <c r="AC45" i="25"/>
  <c r="AD45" i="25" a="1"/>
  <c r="AD45" i="25"/>
  <c r="AC46" i="25" a="1"/>
  <c r="AC46" i="25"/>
  <c r="AD46" i="25" a="1"/>
  <c r="AD46" i="25"/>
  <c r="AC47" i="25" a="1"/>
  <c r="AC47" i="25"/>
  <c r="AD47" i="25" a="1"/>
  <c r="AD47" i="25"/>
  <c r="AC48" i="25" a="1"/>
  <c r="AC48" i="25"/>
  <c r="AD48" i="25" a="1"/>
  <c r="AD48" i="25"/>
  <c r="AC49" i="25" a="1"/>
  <c r="AC49" i="25"/>
  <c r="AD49" i="25" a="1"/>
  <c r="AD49" i="25"/>
  <c r="AC50" i="25" a="1"/>
  <c r="AC50" i="25"/>
  <c r="AD50" i="25" a="1"/>
  <c r="AD50" i="25"/>
  <c r="AC51" i="25" a="1"/>
  <c r="AC51" i="25"/>
  <c r="AD51" i="25" a="1"/>
  <c r="AD51" i="25"/>
  <c r="AC52" i="25" a="1"/>
  <c r="AC52" i="25"/>
  <c r="AD52" i="25" a="1"/>
  <c r="AD52" i="25"/>
  <c r="AC53" i="25" a="1"/>
  <c r="AC53" i="25"/>
  <c r="AD53" i="25" a="1"/>
  <c r="AD53" i="25"/>
  <c r="AC54" i="25" a="1"/>
  <c r="AC54" i="25"/>
  <c r="AD54" i="25" a="1"/>
  <c r="AD54" i="25"/>
  <c r="AC55" i="25" a="1"/>
  <c r="AC55" i="25"/>
  <c r="AD55" i="25" a="1"/>
  <c r="AD55" i="25"/>
  <c r="AC56" i="25" a="1"/>
  <c r="AC56" i="25"/>
  <c r="AD56" i="25" a="1"/>
  <c r="AD56" i="25"/>
  <c r="AC57" i="25" a="1"/>
  <c r="AC57" i="25"/>
  <c r="AD57" i="25" a="1"/>
  <c r="AD57" i="25"/>
  <c r="AC58" i="25" a="1"/>
  <c r="AC58" i="25"/>
  <c r="AD58" i="25" a="1"/>
  <c r="AD58" i="25"/>
  <c r="AC59" i="25" a="1"/>
  <c r="AC59" i="25"/>
  <c r="AD59" i="25" a="1"/>
  <c r="AD59" i="25"/>
  <c r="AC60" i="25" a="1"/>
  <c r="AC60" i="25"/>
  <c r="AD60" i="25" a="1"/>
  <c r="AD60" i="25"/>
  <c r="AC61" i="25" a="1"/>
  <c r="AC61" i="25"/>
  <c r="AD61" i="25" a="1"/>
  <c r="AD61" i="25"/>
  <c r="AC62" i="25" a="1"/>
  <c r="AC62" i="25"/>
  <c r="AD62" i="25" a="1"/>
  <c r="AD62" i="25"/>
  <c r="AC63" i="25" a="1"/>
  <c r="AC63" i="25"/>
  <c r="AD63" i="25" a="1"/>
  <c r="AD63" i="25"/>
  <c r="AC64" i="25" a="1"/>
  <c r="AC64" i="25"/>
  <c r="AD64" i="25" a="1"/>
  <c r="AD64" i="25"/>
  <c r="AC65" i="25" a="1"/>
  <c r="AC65" i="25"/>
  <c r="AD65" i="25" a="1"/>
  <c r="AD65" i="25"/>
  <c r="AC66" i="25" a="1"/>
  <c r="AC66" i="25"/>
  <c r="AD66" i="25" a="1"/>
  <c r="AD66" i="25"/>
  <c r="AC67" i="25" a="1"/>
  <c r="AC67" i="25"/>
  <c r="AD67" i="25" a="1"/>
  <c r="AD67" i="25"/>
  <c r="AC68" i="25" a="1"/>
  <c r="AC68" i="25"/>
  <c r="AD68" i="25" a="1"/>
  <c r="AD68" i="25"/>
  <c r="AC69" i="25" a="1"/>
  <c r="AC69" i="25"/>
  <c r="AD69" i="25" a="1"/>
  <c r="AD69" i="25"/>
  <c r="AC70" i="25" a="1"/>
  <c r="AC70" i="25"/>
  <c r="AD70" i="25" a="1"/>
  <c r="AD70" i="25"/>
  <c r="AC71" i="25" a="1"/>
  <c r="AC71" i="25"/>
  <c r="AD71" i="25" a="1"/>
  <c r="AD71" i="25"/>
  <c r="AC72" i="25" a="1"/>
  <c r="AC72" i="25"/>
  <c r="AD72" i="25" a="1"/>
  <c r="AD72" i="25"/>
  <c r="AC73" i="25" a="1"/>
  <c r="AC73" i="25"/>
  <c r="AD73" i="25" a="1"/>
  <c r="AD73" i="25"/>
  <c r="AC74" i="25" a="1"/>
  <c r="AC74" i="25"/>
  <c r="AD74" i="25" a="1"/>
  <c r="AD74" i="25"/>
  <c r="AC75" i="25" a="1"/>
  <c r="AC75" i="25"/>
  <c r="AD75" i="25" a="1"/>
  <c r="AD75" i="25"/>
  <c r="AC76" i="25" a="1"/>
  <c r="AC76" i="25"/>
  <c r="AD76" i="25" a="1"/>
  <c r="AD76" i="25"/>
  <c r="AC77" i="25" a="1"/>
  <c r="AC77" i="25"/>
  <c r="AD77" i="25" a="1"/>
  <c r="AD77" i="25"/>
  <c r="AC78" i="25" a="1"/>
  <c r="AC78" i="25"/>
  <c r="AD78" i="25" a="1"/>
  <c r="AD78" i="25"/>
  <c r="AC79" i="25" a="1"/>
  <c r="AC79" i="25"/>
  <c r="AD79" i="25" a="1"/>
  <c r="AD79" i="25"/>
  <c r="AC80" i="25" a="1"/>
  <c r="AC80" i="25"/>
  <c r="AD80" i="25" a="1"/>
  <c r="AD80" i="25"/>
  <c r="AC81" i="25" a="1"/>
  <c r="AC81" i="25"/>
  <c r="AD81" i="25" a="1"/>
  <c r="AD81" i="25"/>
  <c r="AC82" i="25" a="1"/>
  <c r="AC82" i="25"/>
  <c r="AD82" i="25" a="1"/>
  <c r="AD82" i="25"/>
  <c r="AC83" i="25" a="1"/>
  <c r="AC83" i="25"/>
  <c r="AD83" i="25" a="1"/>
  <c r="AD83" i="25"/>
  <c r="AC84" i="25" a="1"/>
  <c r="AC84" i="25"/>
  <c r="AD84" i="25" a="1"/>
  <c r="AD84" i="25"/>
  <c r="AC85" i="25" a="1"/>
  <c r="AC85" i="25"/>
  <c r="AD85" i="25" a="1"/>
  <c r="AD85" i="25"/>
  <c r="AC86" i="25" a="1"/>
  <c r="AC86" i="25"/>
  <c r="AD86" i="25" a="1"/>
  <c r="AD86" i="25"/>
  <c r="AC87" i="25" a="1"/>
  <c r="AC87" i="25"/>
  <c r="AD87" i="25" a="1"/>
  <c r="AD87" i="25"/>
  <c r="AC88" i="25" a="1"/>
  <c r="AC88" i="25"/>
  <c r="AD88" i="25" a="1"/>
  <c r="AD88" i="25"/>
  <c r="AC89" i="25" a="1"/>
  <c r="AC89" i="25"/>
  <c r="AD89" i="25" a="1"/>
  <c r="AD89" i="25"/>
  <c r="AC90" i="25" a="1"/>
  <c r="AC90" i="25"/>
  <c r="AD90" i="25" a="1"/>
  <c r="AD90" i="25"/>
  <c r="AC91" i="25" a="1"/>
  <c r="AC91" i="25"/>
  <c r="AD91" i="25" a="1"/>
  <c r="AD91" i="25"/>
  <c r="AC92" i="25" a="1"/>
  <c r="AC92" i="25"/>
  <c r="AD92" i="25" a="1"/>
  <c r="AD92" i="25"/>
  <c r="AC93" i="25" a="1"/>
  <c r="AC93" i="25"/>
  <c r="AD93" i="25" a="1"/>
  <c r="AD93" i="25"/>
  <c r="AC94" i="25" a="1"/>
  <c r="AC94" i="25"/>
  <c r="AD94" i="25" a="1"/>
  <c r="AD94" i="25"/>
  <c r="AC95" i="25" a="1"/>
  <c r="AC95" i="25"/>
  <c r="AD95" i="25" a="1"/>
  <c r="AD95" i="25"/>
  <c r="AC96" i="25" a="1"/>
  <c r="AC96" i="25"/>
  <c r="AD96" i="25" a="1"/>
  <c r="AD96" i="25"/>
  <c r="AC97" i="25" a="1"/>
  <c r="AC97" i="25"/>
  <c r="AD97" i="25" a="1"/>
  <c r="AD97" i="25"/>
  <c r="AC98" i="25" a="1"/>
  <c r="AC98" i="25"/>
  <c r="AD98" i="25" a="1"/>
  <c r="AD98" i="25"/>
  <c r="AC99" i="25" a="1"/>
  <c r="AC99" i="25"/>
  <c r="AD99" i="25" a="1"/>
  <c r="AD99" i="25"/>
  <c r="AC100" i="25" a="1"/>
  <c r="AC100" i="25"/>
  <c r="AD100" i="25" a="1"/>
  <c r="AD100" i="25"/>
  <c r="AC101" i="25" a="1"/>
  <c r="AC101" i="25"/>
  <c r="AD101" i="25" a="1"/>
  <c r="AD101" i="25"/>
  <c r="AC102" i="25" a="1"/>
  <c r="AC102" i="25"/>
  <c r="AD102" i="25" a="1"/>
  <c r="AD102" i="25"/>
  <c r="AC103" i="25" a="1"/>
  <c r="AC103" i="25"/>
  <c r="AD103" i="25" a="1"/>
  <c r="AD103" i="25"/>
  <c r="AC104" i="25" a="1"/>
  <c r="AC104" i="25"/>
  <c r="AD104" i="25" a="1"/>
  <c r="AD104" i="25"/>
  <c r="AC105" i="25" a="1"/>
  <c r="AC105" i="25"/>
  <c r="AD105" i="25" a="1"/>
  <c r="AD105" i="25"/>
  <c r="AC106" i="25" a="1"/>
  <c r="AC106" i="25"/>
  <c r="AD106" i="25" a="1"/>
  <c r="AD106" i="25"/>
  <c r="AC107" i="25" a="1"/>
  <c r="AC107" i="25"/>
  <c r="AD107" i="25" a="1"/>
  <c r="AD107" i="25"/>
  <c r="AC108" i="25" a="1"/>
  <c r="AC108" i="25"/>
  <c r="AD108" i="25" a="1"/>
  <c r="AD108" i="25"/>
  <c r="AC109" i="25" a="1"/>
  <c r="AC109" i="25"/>
  <c r="AD109" i="25" a="1"/>
  <c r="AD109" i="25"/>
  <c r="AC110" i="25" a="1"/>
  <c r="AC110" i="25"/>
  <c r="AD110" i="25" a="1"/>
  <c r="AD110" i="25"/>
  <c r="AC111" i="25" a="1"/>
  <c r="AC111" i="25"/>
  <c r="AD111" i="25" a="1"/>
  <c r="AD111" i="25"/>
  <c r="AC112" i="25" a="1"/>
  <c r="AC112" i="25"/>
  <c r="AD112" i="25" a="1"/>
  <c r="AD112" i="25"/>
  <c r="AC113" i="25" a="1"/>
  <c r="AC113" i="25"/>
  <c r="AD113" i="25" a="1"/>
  <c r="AD113" i="25"/>
  <c r="AC114" i="25" a="1"/>
  <c r="AC114" i="25"/>
  <c r="AD114" i="25" a="1"/>
  <c r="AD114" i="25"/>
  <c r="AC115" i="25" a="1"/>
  <c r="AC115" i="25"/>
  <c r="AD115" i="25" a="1"/>
  <c r="AD115" i="25"/>
  <c r="AC116" i="25" a="1"/>
  <c r="AC116" i="25"/>
  <c r="AD116" i="25" a="1"/>
  <c r="AD116" i="25"/>
  <c r="AC117" i="25" a="1"/>
  <c r="AC117" i="25"/>
  <c r="AD117" i="25" a="1"/>
  <c r="AD117" i="25"/>
  <c r="AC118" i="25" a="1"/>
  <c r="AC118" i="25"/>
  <c r="AD118" i="25" a="1"/>
  <c r="AD118" i="25"/>
  <c r="AC119" i="25" a="1"/>
  <c r="AC119" i="25"/>
  <c r="AD119" i="25" a="1"/>
  <c r="AD119" i="25"/>
  <c r="AC120" i="25" a="1"/>
  <c r="AC120" i="25"/>
  <c r="AD120" i="25" a="1"/>
  <c r="AD120" i="25"/>
  <c r="AC121" i="25" a="1"/>
  <c r="AC121" i="25"/>
  <c r="AD121" i="25" a="1"/>
  <c r="AD121" i="25"/>
  <c r="AC122" i="25" a="1"/>
  <c r="AC122" i="25"/>
  <c r="AD122" i="25" a="1"/>
  <c r="AD122" i="25"/>
  <c r="AC123" i="25" a="1"/>
  <c r="AC123" i="25"/>
  <c r="AD123" i="25" a="1"/>
  <c r="AD123" i="25"/>
  <c r="AC124" i="25" a="1"/>
  <c r="AC124" i="25"/>
  <c r="AD124" i="25" a="1"/>
  <c r="AD124" i="25"/>
  <c r="AC125" i="25" a="1"/>
  <c r="AC125" i="25"/>
  <c r="AD125" i="25" a="1"/>
  <c r="AD125" i="25"/>
  <c r="AC126" i="25" a="1"/>
  <c r="AC126" i="25"/>
  <c r="AD126" i="25" a="1"/>
  <c r="AD126" i="25"/>
  <c r="AC127" i="25" a="1"/>
  <c r="AC127" i="25"/>
  <c r="AD127" i="25" a="1"/>
  <c r="AD127" i="25"/>
  <c r="AC128" i="25" a="1"/>
  <c r="AC128" i="25"/>
  <c r="AD128" i="25" a="1"/>
  <c r="AD128" i="25"/>
  <c r="AC129" i="25" a="1"/>
  <c r="AC129" i="25"/>
  <c r="AD129" i="25" a="1"/>
  <c r="AD129" i="25"/>
  <c r="AC130" i="25" a="1"/>
  <c r="AC130" i="25"/>
  <c r="AD130" i="25" a="1"/>
  <c r="AD130" i="25"/>
  <c r="AC131" i="25" a="1"/>
  <c r="AC131" i="25"/>
  <c r="AD131" i="25" a="1"/>
  <c r="AD131" i="25"/>
  <c r="AC132" i="25" a="1"/>
  <c r="AC132" i="25"/>
  <c r="AD132" i="25" a="1"/>
  <c r="AD132" i="25"/>
  <c r="AC133" i="25" a="1"/>
  <c r="AC133" i="25"/>
  <c r="AD133" i="25" a="1"/>
  <c r="AD133" i="25"/>
  <c r="AC134" i="25" a="1"/>
  <c r="AC134" i="25"/>
  <c r="AD134" i="25" a="1"/>
  <c r="AD134" i="25"/>
  <c r="AC135" i="25" a="1"/>
  <c r="AC135" i="25"/>
  <c r="AD135" i="25" a="1"/>
  <c r="AD135" i="25"/>
  <c r="AC136" i="25" a="1"/>
  <c r="AC136" i="25"/>
  <c r="AD136" i="25" a="1"/>
  <c r="AD136" i="25"/>
  <c r="AC137" i="25" a="1"/>
  <c r="AC137" i="25"/>
  <c r="AD137" i="25" a="1"/>
  <c r="AD137" i="25"/>
  <c r="AC138" i="25" a="1"/>
  <c r="AC138" i="25"/>
  <c r="AD138" i="25" a="1"/>
  <c r="AD138" i="25"/>
  <c r="AC139" i="25" a="1"/>
  <c r="AC139" i="25"/>
  <c r="AD139" i="25" a="1"/>
  <c r="AD139" i="25"/>
  <c r="AC140" i="25" a="1"/>
  <c r="AC140" i="25"/>
  <c r="AD140" i="25" a="1"/>
  <c r="AD140" i="25"/>
  <c r="AC141" i="25" a="1"/>
  <c r="AC141" i="25"/>
  <c r="AD141" i="25" a="1"/>
  <c r="AD141" i="25"/>
  <c r="AC142" i="25" a="1"/>
  <c r="AC142" i="25"/>
  <c r="AD142" i="25" a="1"/>
  <c r="AD142" i="25"/>
  <c r="AC143" i="25" a="1"/>
  <c r="AC143" i="25"/>
  <c r="AD143" i="25" a="1"/>
  <c r="AD143" i="25"/>
  <c r="AC144" i="25" a="1"/>
  <c r="AC144" i="25"/>
  <c r="AD144" i="25" a="1"/>
  <c r="AD144" i="25"/>
  <c r="AC145" i="25" a="1"/>
  <c r="AC145" i="25"/>
  <c r="AD145" i="25" a="1"/>
  <c r="AD145" i="25"/>
  <c r="AC146" i="25" a="1"/>
  <c r="AC146" i="25"/>
  <c r="AD146" i="25" a="1"/>
  <c r="AD146" i="25"/>
  <c r="AC147" i="25" a="1"/>
  <c r="AC147" i="25"/>
  <c r="AD147" i="25" a="1"/>
  <c r="AD147" i="25"/>
  <c r="AC148" i="25" a="1"/>
  <c r="AC148" i="25"/>
  <c r="AD148" i="25" a="1"/>
  <c r="AD148" i="25"/>
  <c r="AC149" i="25" a="1"/>
  <c r="AC149" i="25"/>
  <c r="AD149" i="25" a="1"/>
  <c r="AD149" i="25"/>
  <c r="AC150" i="25" a="1"/>
  <c r="AC150" i="25"/>
  <c r="AD150" i="25" a="1"/>
  <c r="AD150" i="25"/>
  <c r="AC151" i="25" a="1"/>
  <c r="AC151" i="25"/>
  <c r="AD151" i="25" a="1"/>
  <c r="AD151" i="25"/>
  <c r="AC152" i="25" a="1"/>
  <c r="AC152" i="25"/>
  <c r="AD152" i="25" a="1"/>
  <c r="AD152" i="25"/>
  <c r="AC153" i="25" a="1"/>
  <c r="AC153" i="25"/>
  <c r="AD153" i="25" a="1"/>
  <c r="AD153" i="25"/>
  <c r="AC154" i="25" a="1"/>
  <c r="AC154" i="25"/>
  <c r="AD154" i="25" a="1"/>
  <c r="AD154" i="25"/>
  <c r="AC155" i="25" a="1"/>
  <c r="AC155" i="25"/>
  <c r="AD155" i="25" a="1"/>
  <c r="AD155" i="25"/>
  <c r="AC156" i="25" a="1"/>
  <c r="AC156" i="25"/>
  <c r="AD156" i="25" a="1"/>
  <c r="AD156" i="25"/>
  <c r="AC157" i="25" a="1"/>
  <c r="AC157" i="25"/>
  <c r="AD157" i="25" a="1"/>
  <c r="AD157" i="25"/>
  <c r="AC158" i="25" a="1"/>
  <c r="AC158" i="25"/>
  <c r="AD158" i="25" a="1"/>
  <c r="AD158" i="25"/>
  <c r="AC159" i="25" a="1"/>
  <c r="AC159" i="25"/>
  <c r="AD159" i="25" a="1"/>
  <c r="AD159" i="25"/>
  <c r="AC160" i="25" a="1"/>
  <c r="AC160" i="25"/>
  <c r="AD160" i="25" a="1"/>
  <c r="AD160" i="25"/>
  <c r="AC161" i="25" a="1"/>
  <c r="AC161" i="25"/>
  <c r="AD161" i="25" a="1"/>
  <c r="AD161" i="25"/>
  <c r="AC162" i="25" a="1"/>
  <c r="AC162" i="25"/>
  <c r="AD162" i="25" a="1"/>
  <c r="AD162" i="25"/>
  <c r="AC163" i="25" a="1"/>
  <c r="AC163" i="25"/>
  <c r="AD163" i="25" a="1"/>
  <c r="AD163" i="25"/>
  <c r="AC164" i="25" a="1"/>
  <c r="AC164" i="25"/>
  <c r="AD164" i="25" a="1"/>
  <c r="AD164" i="25"/>
  <c r="AC165" i="25" a="1"/>
  <c r="AC165" i="25"/>
  <c r="AD165" i="25" a="1"/>
  <c r="AD165" i="25"/>
  <c r="AC166" i="25" a="1"/>
  <c r="AC166" i="25"/>
  <c r="AD166" i="25" a="1"/>
  <c r="AD166" i="25"/>
  <c r="AC167" i="25" a="1"/>
  <c r="AC167" i="25"/>
  <c r="AD167" i="25" a="1"/>
  <c r="AD167" i="25"/>
  <c r="AC168" i="25" a="1"/>
  <c r="AC168" i="25"/>
  <c r="AD168" i="25" a="1"/>
  <c r="AD168" i="25"/>
  <c r="AC169" i="25" a="1"/>
  <c r="AC169" i="25"/>
  <c r="AD169" i="25" a="1"/>
  <c r="AD169" i="25"/>
  <c r="AC170" i="25" a="1"/>
  <c r="AC170" i="25"/>
  <c r="AD170" i="25" a="1"/>
  <c r="AD170" i="25"/>
  <c r="AC171" i="25" a="1"/>
  <c r="AC171" i="25"/>
  <c r="AD171" i="25" a="1"/>
  <c r="AD171" i="25"/>
  <c r="AC172" i="25" a="1"/>
  <c r="AC172" i="25"/>
  <c r="AD172" i="25" a="1"/>
  <c r="AD172" i="25"/>
  <c r="AC173" i="25" a="1"/>
  <c r="AC173" i="25"/>
  <c r="AD173" i="25" a="1"/>
  <c r="AD173" i="25"/>
  <c r="AC174" i="25" a="1"/>
  <c r="AC174" i="25"/>
  <c r="AD174" i="25" a="1"/>
  <c r="AD174" i="25"/>
  <c r="AC175" i="25" a="1"/>
  <c r="AC175" i="25"/>
  <c r="AD175" i="25" a="1"/>
  <c r="AD175" i="25"/>
  <c r="AC176" i="25" a="1"/>
  <c r="AC176" i="25"/>
  <c r="AD176" i="25" a="1"/>
  <c r="AD176" i="25"/>
  <c r="AC177" i="25" a="1"/>
  <c r="AC177" i="25"/>
  <c r="AD177" i="25" a="1"/>
  <c r="AD177" i="25"/>
  <c r="AC178" i="25" a="1"/>
  <c r="AC178" i="25"/>
  <c r="AD178" i="25" a="1"/>
  <c r="AD178" i="25"/>
  <c r="AC179" i="25" a="1"/>
  <c r="AC179" i="25"/>
  <c r="AD179" i="25" a="1"/>
  <c r="AD179" i="25"/>
  <c r="AC180" i="25" a="1"/>
  <c r="AC180" i="25"/>
  <c r="AD180" i="25" a="1"/>
  <c r="AD180" i="25"/>
  <c r="AC181" i="25" a="1"/>
  <c r="AC181" i="25"/>
  <c r="AD181" i="25" a="1"/>
  <c r="AD181" i="25"/>
  <c r="AC182" i="25" a="1"/>
  <c r="AC182" i="25"/>
  <c r="AD182" i="25" a="1"/>
  <c r="AD182" i="25"/>
  <c r="AC183" i="25" a="1"/>
  <c r="AC183" i="25"/>
  <c r="AD183" i="25" a="1"/>
  <c r="AD183" i="25"/>
  <c r="AC184" i="25" a="1"/>
  <c r="AC184" i="25"/>
  <c r="AD184" i="25" a="1"/>
  <c r="AD184" i="25"/>
  <c r="AC185" i="25" a="1"/>
  <c r="AC185" i="25"/>
  <c r="AD185" i="25" a="1"/>
  <c r="AD185" i="25"/>
  <c r="AC186" i="25" a="1"/>
  <c r="AC186" i="25"/>
  <c r="AD186" i="25" a="1"/>
  <c r="AD186" i="25"/>
  <c r="AC187" i="25" a="1"/>
  <c r="AC187" i="25"/>
  <c r="AD187" i="25" a="1"/>
  <c r="AD187" i="25"/>
  <c r="AC188" i="25" a="1"/>
  <c r="AC188" i="25"/>
  <c r="AD188" i="25" a="1"/>
  <c r="AD188" i="25"/>
  <c r="AC189" i="25" a="1"/>
  <c r="AC189" i="25"/>
  <c r="AD189" i="25" a="1"/>
  <c r="AD189" i="25"/>
  <c r="AC190" i="25" a="1"/>
  <c r="AC190" i="25"/>
  <c r="AD190" i="25" a="1"/>
  <c r="AD190" i="25"/>
  <c r="AC191" i="25" a="1"/>
  <c r="AC191" i="25"/>
  <c r="AD191" i="25" a="1"/>
  <c r="AD191" i="25"/>
  <c r="AC192" i="25" a="1"/>
  <c r="AC192" i="25"/>
  <c r="AD192" i="25" a="1"/>
  <c r="AD192" i="25"/>
  <c r="AC193" i="25" a="1"/>
  <c r="AC193" i="25"/>
  <c r="AD193" i="25" a="1"/>
  <c r="AD193" i="25"/>
  <c r="AC194" i="25" a="1"/>
  <c r="AC194" i="25"/>
  <c r="AD194" i="25" a="1"/>
  <c r="AD194" i="25"/>
  <c r="AC195" i="25" a="1"/>
  <c r="AC195" i="25"/>
  <c r="AD195" i="25" a="1"/>
  <c r="AD195" i="25"/>
  <c r="AC196" i="25" a="1"/>
  <c r="AC196" i="25"/>
  <c r="AD196" i="25" a="1"/>
  <c r="AD196" i="25"/>
  <c r="AC197" i="25" a="1"/>
  <c r="AC197" i="25"/>
  <c r="AD197" i="25" a="1"/>
  <c r="AD197" i="25"/>
  <c r="AC198" i="25" a="1"/>
  <c r="AC198" i="25"/>
  <c r="AD198" i="25" a="1"/>
  <c r="AD198" i="25"/>
  <c r="AC199" i="25" a="1"/>
  <c r="AC199" i="25"/>
  <c r="AD199" i="25" a="1"/>
  <c r="AD199" i="25"/>
  <c r="AC200" i="25" a="1"/>
  <c r="AC200" i="25"/>
  <c r="AD200" i="25" a="1"/>
  <c r="AD200" i="25"/>
  <c r="AC201" i="25" a="1"/>
  <c r="AC201" i="25"/>
  <c r="AD201" i="25" a="1"/>
  <c r="AD201" i="25"/>
  <c r="AC202" i="25" a="1"/>
  <c r="AC202" i="25"/>
  <c r="AD202" i="25" a="1"/>
  <c r="AD202" i="25"/>
  <c r="AC203" i="25" a="1"/>
  <c r="AC203" i="25"/>
  <c r="AD203" i="25" a="1"/>
  <c r="AD203" i="25"/>
  <c r="AC204" i="25" a="1"/>
  <c r="AC204" i="25"/>
  <c r="AD204" i="25" a="1"/>
  <c r="AD204" i="25"/>
  <c r="AC205" i="25" a="1"/>
  <c r="AC205" i="25"/>
  <c r="AD205" i="25" a="1"/>
  <c r="AD205" i="25"/>
  <c r="AC206" i="25" a="1"/>
  <c r="AC206" i="25"/>
  <c r="AD206" i="25" a="1"/>
  <c r="AD206" i="25"/>
  <c r="AC207" i="25" a="1"/>
  <c r="AC207" i="25"/>
  <c r="AD207" i="25" a="1"/>
  <c r="AD207" i="25"/>
  <c r="AC208" i="25" a="1"/>
  <c r="AC208" i="25"/>
  <c r="AD208" i="25" a="1"/>
  <c r="AD208" i="25"/>
  <c r="AC209" i="25" a="1"/>
  <c r="AC209" i="25"/>
  <c r="AD209" i="25" a="1"/>
  <c r="AD209" i="25"/>
  <c r="AC210" i="25" a="1"/>
  <c r="AC210" i="25"/>
  <c r="AD210" i="25" a="1"/>
  <c r="AD210" i="25"/>
  <c r="AC211" i="25" a="1"/>
  <c r="AC211" i="25"/>
  <c r="AD211" i="25" a="1"/>
  <c r="AD211" i="25"/>
  <c r="AC212" i="25" a="1"/>
  <c r="AC212" i="25"/>
  <c r="AD212" i="25" a="1"/>
  <c r="AD212" i="25"/>
  <c r="AC213" i="25" a="1"/>
  <c r="AC213" i="25"/>
  <c r="AD213" i="25" a="1"/>
  <c r="AD213" i="25"/>
  <c r="AC214" i="25" a="1"/>
  <c r="AC214" i="25"/>
  <c r="AD214" i="25" a="1"/>
  <c r="AD214" i="25"/>
  <c r="AC215" i="25" a="1"/>
  <c r="AC215" i="25"/>
  <c r="AD215" i="25" a="1"/>
  <c r="AD215" i="25"/>
  <c r="AC216" i="25" a="1"/>
  <c r="AC216" i="25"/>
  <c r="AD216" i="25" a="1"/>
  <c r="AD216" i="25"/>
  <c r="AC217" i="25" a="1"/>
  <c r="AC217" i="25"/>
  <c r="AD217" i="25" a="1"/>
  <c r="AD217" i="25"/>
  <c r="AC218" i="25" a="1"/>
  <c r="AC218" i="25"/>
  <c r="AD218" i="25" a="1"/>
  <c r="AD218" i="25"/>
  <c r="AC219" i="25" a="1"/>
  <c r="AC219" i="25"/>
  <c r="AD219" i="25" a="1"/>
  <c r="AD219" i="25"/>
  <c r="AC220" i="25" a="1"/>
  <c r="AC220" i="25"/>
  <c r="AD220" i="25" a="1"/>
  <c r="AD220" i="25"/>
  <c r="AC221" i="25" a="1"/>
  <c r="AC221" i="25"/>
  <c r="AD221" i="25" a="1"/>
  <c r="AD221" i="25"/>
  <c r="AC222" i="25" a="1"/>
  <c r="AC222" i="25"/>
  <c r="AD222" i="25" a="1"/>
  <c r="AD222" i="25"/>
  <c r="AC223" i="25" a="1"/>
  <c r="AC223" i="25"/>
  <c r="AD223" i="25" a="1"/>
  <c r="AD223" i="25"/>
  <c r="AC224" i="25" a="1"/>
  <c r="AC224" i="25"/>
  <c r="AD224" i="25" a="1"/>
  <c r="AD224" i="25"/>
  <c r="AC225" i="25" a="1"/>
  <c r="AC225" i="25"/>
  <c r="AD225" i="25" a="1"/>
  <c r="AD225" i="25"/>
  <c r="AC226" i="25" a="1"/>
  <c r="AC226" i="25"/>
  <c r="AD226" i="25" a="1"/>
  <c r="AD226" i="25"/>
  <c r="AC227" i="25" a="1"/>
  <c r="AC227" i="25"/>
  <c r="AD227" i="25" a="1"/>
  <c r="AD227" i="25"/>
  <c r="AC228" i="25" a="1"/>
  <c r="AC228" i="25"/>
  <c r="AD228" i="25" a="1"/>
  <c r="AD228" i="25"/>
  <c r="AC229" i="25" a="1"/>
  <c r="AC229" i="25"/>
  <c r="AD229" i="25" a="1"/>
  <c r="AD229" i="25"/>
  <c r="AC230" i="25" a="1"/>
  <c r="AC230" i="25"/>
  <c r="AD230" i="25" a="1"/>
  <c r="AD230" i="25"/>
  <c r="AC231" i="25" a="1"/>
  <c r="AC231" i="25"/>
  <c r="AD231" i="25" a="1"/>
  <c r="AD231" i="25"/>
  <c r="AC232" i="25" a="1"/>
  <c r="AC232" i="25"/>
  <c r="AD232" i="25" a="1"/>
  <c r="AD232" i="25"/>
  <c r="AC233" i="25" a="1"/>
  <c r="AC233" i="25"/>
  <c r="AD233" i="25" a="1"/>
  <c r="AD233" i="25"/>
  <c r="AC234" i="25" a="1"/>
  <c r="AC234" i="25"/>
  <c r="AD234" i="25" a="1"/>
  <c r="AD234" i="25"/>
  <c r="AC235" i="25" a="1"/>
  <c r="AC235" i="25"/>
  <c r="AD235" i="25" a="1"/>
  <c r="AD235" i="25"/>
  <c r="AC236" i="25" a="1"/>
  <c r="AC236" i="25"/>
  <c r="AD236" i="25" a="1"/>
  <c r="AD236" i="25"/>
  <c r="AC237" i="25" a="1"/>
  <c r="AC237" i="25"/>
  <c r="AD237" i="25" a="1"/>
  <c r="AD237" i="25"/>
  <c r="AC238" i="25" a="1"/>
  <c r="AC238" i="25"/>
  <c r="AD238" i="25" a="1"/>
  <c r="AD238" i="25"/>
  <c r="AC239" i="25" a="1"/>
  <c r="AC239" i="25"/>
  <c r="AD239" i="25" a="1"/>
  <c r="AD239" i="25"/>
  <c r="AC240" i="25" a="1"/>
  <c r="AC240" i="25"/>
  <c r="AD240" i="25" a="1"/>
  <c r="AD240" i="25"/>
  <c r="AC241" i="25" a="1"/>
  <c r="AC241" i="25"/>
  <c r="AD241" i="25" a="1"/>
  <c r="AD241" i="25"/>
  <c r="AC242" i="25" a="1"/>
  <c r="AC242" i="25"/>
  <c r="AD242" i="25" a="1"/>
  <c r="AD242" i="25"/>
  <c r="AC243" i="25" a="1"/>
  <c r="AC243" i="25"/>
  <c r="AD243" i="25" a="1"/>
  <c r="AD243" i="25"/>
  <c r="AC244" i="25" a="1"/>
  <c r="AC244" i="25"/>
  <c r="AD244" i="25" a="1"/>
  <c r="AD244" i="25"/>
  <c r="AC245" i="25" a="1"/>
  <c r="AC245" i="25"/>
  <c r="AD245" i="25" a="1"/>
  <c r="AD245" i="25"/>
  <c r="AC246" i="25" a="1"/>
  <c r="AC246" i="25"/>
  <c r="AD246" i="25" a="1"/>
  <c r="AD246" i="25"/>
  <c r="AC247" i="25" a="1"/>
  <c r="AC247" i="25"/>
  <c r="AD247" i="25" a="1"/>
  <c r="AD247" i="25"/>
  <c r="AC248" i="25" a="1"/>
  <c r="AC248" i="25"/>
  <c r="AD248" i="25" a="1"/>
  <c r="AD248" i="25"/>
  <c r="AC249" i="25" a="1"/>
  <c r="AC249" i="25"/>
  <c r="AD249" i="25" a="1"/>
  <c r="AD249" i="25"/>
  <c r="AC250" i="25" a="1"/>
  <c r="AC250" i="25"/>
  <c r="AD250" i="25" a="1"/>
  <c r="AD250" i="25"/>
  <c r="AC251" i="25" a="1"/>
  <c r="AC251" i="25"/>
  <c r="AD251" i="25" a="1"/>
  <c r="AD251" i="25"/>
  <c r="AC252" i="25" a="1"/>
  <c r="AC252" i="25"/>
  <c r="AD252" i="25" a="1"/>
  <c r="AD252" i="25"/>
  <c r="AC253" i="25" a="1"/>
  <c r="AC253" i="25"/>
  <c r="AD253" i="25" a="1"/>
  <c r="AD253" i="25"/>
  <c r="AC254" i="25" a="1"/>
  <c r="AC254" i="25"/>
  <c r="AD254" i="25" a="1"/>
  <c r="AD254" i="25"/>
  <c r="AC255" i="25" a="1"/>
  <c r="AC255" i="25"/>
  <c r="AD255" i="25" a="1"/>
  <c r="AD255" i="25"/>
  <c r="AC256" i="25" a="1"/>
  <c r="AC256" i="25"/>
  <c r="AD256" i="25" a="1"/>
  <c r="AD256" i="25"/>
  <c r="AC257" i="25" a="1"/>
  <c r="AC257" i="25"/>
  <c r="AD257" i="25" a="1"/>
  <c r="AD257" i="25"/>
  <c r="AC258" i="25" a="1"/>
  <c r="AC258" i="25"/>
  <c r="AD258" i="25" a="1"/>
  <c r="AD258" i="25"/>
  <c r="AC259" i="25" a="1"/>
  <c r="AC259" i="25"/>
  <c r="AD259" i="25" a="1"/>
  <c r="AD259" i="25"/>
  <c r="AC260" i="25" a="1"/>
  <c r="AC260" i="25"/>
  <c r="AD260" i="25" a="1"/>
  <c r="AD260" i="25"/>
  <c r="AC261" i="25" a="1"/>
  <c r="AC261" i="25"/>
  <c r="AD261" i="25" a="1"/>
  <c r="AD261" i="25"/>
  <c r="AC262" i="25" a="1"/>
  <c r="AC262" i="25"/>
  <c r="AD262" i="25" a="1"/>
  <c r="AD262" i="25"/>
  <c r="AC263" i="25" a="1"/>
  <c r="AC263" i="25"/>
  <c r="AD263" i="25" a="1"/>
  <c r="AD263" i="25"/>
  <c r="AC264" i="25" a="1"/>
  <c r="AC264" i="25"/>
  <c r="AD264" i="25" a="1"/>
  <c r="AD264" i="25"/>
  <c r="AC265" i="25" a="1"/>
  <c r="AC265" i="25"/>
  <c r="AD265" i="25" a="1"/>
  <c r="AD265" i="25"/>
  <c r="AC266" i="25" a="1"/>
  <c r="AC266" i="25"/>
  <c r="AD266" i="25" a="1"/>
  <c r="AD266" i="25"/>
  <c r="AC267" i="25" a="1"/>
  <c r="AC267" i="25"/>
  <c r="AD267" i="25" a="1"/>
  <c r="AD267" i="25"/>
  <c r="AC268" i="25" a="1"/>
  <c r="AC268" i="25"/>
  <c r="AD268" i="25" a="1"/>
  <c r="AD268" i="25"/>
  <c r="AC269" i="25" a="1"/>
  <c r="AC269" i="25"/>
  <c r="AD269" i="25" a="1"/>
  <c r="AD269" i="25"/>
  <c r="AC270" i="25" a="1"/>
  <c r="AC270" i="25"/>
  <c r="AD270" i="25" a="1"/>
  <c r="AD270" i="25"/>
  <c r="AC271" i="25" a="1"/>
  <c r="AC271" i="25"/>
  <c r="AD271" i="25" a="1"/>
  <c r="AD271" i="25"/>
  <c r="AC272" i="25" a="1"/>
  <c r="AC272" i="25"/>
  <c r="AD272" i="25" a="1"/>
  <c r="AD272" i="25"/>
  <c r="AC273" i="25" a="1"/>
  <c r="AC273" i="25"/>
  <c r="AD273" i="25" a="1"/>
  <c r="AD273" i="25"/>
  <c r="AC274" i="25" a="1"/>
  <c r="AC274" i="25"/>
  <c r="AD274" i="25" a="1"/>
  <c r="AD274" i="25"/>
  <c r="AC275" i="25" a="1"/>
  <c r="AC275" i="25"/>
  <c r="AD275" i="25" a="1"/>
  <c r="AD275" i="25"/>
  <c r="AC276" i="25" a="1"/>
  <c r="AC276" i="25"/>
  <c r="AD276" i="25" a="1"/>
  <c r="AD276" i="25"/>
  <c r="AC277" i="25" a="1"/>
  <c r="AC277" i="25"/>
  <c r="AD277" i="25" a="1"/>
  <c r="AD277" i="25"/>
  <c r="AC278" i="25" a="1"/>
  <c r="AC278" i="25"/>
  <c r="AD278" i="25" a="1"/>
  <c r="AD278" i="25"/>
  <c r="AC279" i="25" a="1"/>
  <c r="AC279" i="25"/>
  <c r="AD279" i="25" a="1"/>
  <c r="AD279" i="25"/>
  <c r="AC280" i="25" a="1"/>
  <c r="AC280" i="25"/>
  <c r="AD280" i="25" a="1"/>
  <c r="AD280" i="25"/>
  <c r="AC281" i="25" a="1"/>
  <c r="AC281" i="25"/>
  <c r="AD281" i="25" a="1"/>
  <c r="AD281" i="25"/>
  <c r="AC282" i="25" a="1"/>
  <c r="AC282" i="25"/>
  <c r="AD282" i="25" a="1"/>
  <c r="AD282" i="25"/>
  <c r="AC283" i="25" a="1"/>
  <c r="AC283" i="25"/>
  <c r="AD283" i="25" a="1"/>
  <c r="AD283" i="25"/>
  <c r="AC284" i="25" a="1"/>
  <c r="AC284" i="25"/>
  <c r="AD284" i="25" a="1"/>
  <c r="AD284" i="25"/>
  <c r="AC285" i="25" a="1"/>
  <c r="AC285" i="25"/>
  <c r="AD285" i="25" a="1"/>
  <c r="AD285" i="25"/>
  <c r="AC286" i="25" a="1"/>
  <c r="AC286" i="25"/>
  <c r="AD286" i="25" a="1"/>
  <c r="AD286" i="25"/>
  <c r="AC287" i="25" a="1"/>
  <c r="AC287" i="25"/>
  <c r="AD287" i="25" a="1"/>
  <c r="AD287" i="25"/>
  <c r="AC288" i="25" a="1"/>
  <c r="AC288" i="25"/>
  <c r="AD288" i="25" a="1"/>
  <c r="AD288" i="25"/>
  <c r="AC289" i="25" a="1"/>
  <c r="AC289" i="25"/>
  <c r="AD289" i="25" a="1"/>
  <c r="AD289" i="25"/>
  <c r="AC290" i="25" a="1"/>
  <c r="AC290" i="25"/>
  <c r="AD290" i="25" a="1"/>
  <c r="AD290" i="25"/>
  <c r="AC291" i="25" a="1"/>
  <c r="AC291" i="25"/>
  <c r="AD291" i="25" a="1"/>
  <c r="AD291" i="25"/>
  <c r="AC292" i="25" a="1"/>
  <c r="AC292" i="25"/>
  <c r="AD292" i="25" a="1"/>
  <c r="AD292" i="25"/>
  <c r="AC293" i="25" a="1"/>
  <c r="AC293" i="25"/>
  <c r="AD293" i="25" a="1"/>
  <c r="AD293" i="25"/>
  <c r="AC294" i="25" a="1"/>
  <c r="AC294" i="25"/>
  <c r="AD294" i="25" a="1"/>
  <c r="AD294" i="25"/>
  <c r="AC295" i="25" a="1"/>
  <c r="AC295" i="25"/>
  <c r="AD295" i="25" a="1"/>
  <c r="AD295" i="25"/>
  <c r="AC296" i="25" a="1"/>
  <c r="AC296" i="25"/>
  <c r="AD296" i="25" a="1"/>
  <c r="AD296" i="25"/>
  <c r="AC297" i="25" a="1"/>
  <c r="AC297" i="25"/>
  <c r="AD297" i="25" a="1"/>
  <c r="AD297" i="25"/>
  <c r="AC298" i="25" a="1"/>
  <c r="AC298" i="25"/>
  <c r="AD298" i="25" a="1"/>
  <c r="AD298" i="25"/>
  <c r="AC299" i="25" a="1"/>
  <c r="AC299" i="25"/>
  <c r="AD299" i="25" a="1"/>
  <c r="AD299" i="25"/>
  <c r="AC300" i="25" a="1"/>
  <c r="AC300" i="25"/>
  <c r="AD300" i="25" a="1"/>
  <c r="AD300" i="25"/>
  <c r="F22" i="29"/>
  <c r="G81" i="9"/>
  <c r="J81" i="9"/>
  <c r="G82" i="9"/>
  <c r="J82" i="9"/>
  <c r="G83" i="9"/>
  <c r="J83" i="9"/>
  <c r="G84" i="9"/>
  <c r="J84" i="9"/>
  <c r="G85" i="9"/>
  <c r="J85" i="9"/>
  <c r="G86" i="9"/>
  <c r="J86" i="9"/>
  <c r="G87" i="9"/>
  <c r="J87" i="9"/>
  <c r="G88" i="9"/>
  <c r="J88" i="9"/>
  <c r="G89" i="9"/>
  <c r="J89" i="9"/>
  <c r="G90" i="9"/>
  <c r="J90" i="9"/>
  <c r="G91" i="9"/>
  <c r="J91" i="9"/>
  <c r="G92" i="9"/>
  <c r="J92" i="9"/>
  <c r="G93" i="9"/>
  <c r="J93" i="9"/>
  <c r="G94" i="9"/>
  <c r="J94" i="9"/>
  <c r="G95" i="9"/>
  <c r="J95" i="9"/>
  <c r="G96" i="9"/>
  <c r="J96" i="9"/>
  <c r="G97" i="9"/>
  <c r="J97" i="9"/>
  <c r="G98" i="9"/>
  <c r="J98" i="9"/>
  <c r="G99" i="9"/>
  <c r="J99" i="9"/>
  <c r="G100" i="9"/>
  <c r="J100" i="9"/>
  <c r="G101" i="9"/>
  <c r="J101" i="9"/>
  <c r="G102" i="9"/>
  <c r="J102" i="9"/>
  <c r="G103" i="9"/>
  <c r="J103" i="9"/>
  <c r="G104" i="9"/>
  <c r="J104" i="9"/>
  <c r="G105" i="9"/>
  <c r="J105" i="9"/>
  <c r="G106" i="9"/>
  <c r="J106" i="9"/>
  <c r="G107" i="9"/>
  <c r="J107" i="9"/>
  <c r="G108" i="9"/>
  <c r="J108" i="9"/>
  <c r="G109" i="9"/>
  <c r="J109" i="9"/>
  <c r="G110" i="9"/>
  <c r="J110" i="9"/>
  <c r="G111" i="9"/>
  <c r="J111" i="9"/>
  <c r="G112" i="9"/>
  <c r="J112" i="9"/>
  <c r="G113" i="9"/>
  <c r="J113" i="9"/>
  <c r="G114" i="9"/>
  <c r="J114" i="9"/>
  <c r="G115" i="9"/>
  <c r="J115" i="9"/>
  <c r="G116" i="9"/>
  <c r="J116" i="9"/>
  <c r="G117" i="9"/>
  <c r="J117" i="9"/>
  <c r="G118" i="9"/>
  <c r="J118" i="9"/>
  <c r="G119" i="9"/>
  <c r="J119" i="9"/>
  <c r="G120" i="9"/>
  <c r="J120" i="9"/>
  <c r="G121" i="9"/>
  <c r="J121" i="9"/>
  <c r="G122" i="9"/>
  <c r="J122" i="9"/>
  <c r="G123" i="9"/>
  <c r="J123" i="9"/>
  <c r="G124" i="9"/>
  <c r="J124" i="9"/>
  <c r="G125" i="9"/>
  <c r="J125" i="9"/>
  <c r="G126" i="9"/>
  <c r="J126" i="9"/>
  <c r="G127" i="9"/>
  <c r="J127" i="9"/>
  <c r="G128" i="9"/>
  <c r="J128" i="9"/>
  <c r="G129" i="9"/>
  <c r="J129" i="9"/>
  <c r="G130" i="9"/>
  <c r="J130" i="9"/>
  <c r="G131" i="9"/>
  <c r="J131" i="9"/>
  <c r="G132" i="9"/>
  <c r="J132" i="9"/>
  <c r="G133" i="9"/>
  <c r="J133" i="9"/>
  <c r="G134" i="9"/>
  <c r="J134" i="9"/>
  <c r="G135" i="9"/>
  <c r="J135" i="9"/>
  <c r="G136" i="9"/>
  <c r="J136" i="9"/>
  <c r="G137" i="9"/>
  <c r="J137" i="9"/>
  <c r="G138" i="9"/>
  <c r="J138" i="9"/>
  <c r="G139" i="9"/>
  <c r="J139" i="9"/>
  <c r="G140" i="9"/>
  <c r="J140" i="9"/>
  <c r="G141" i="9"/>
  <c r="J141" i="9"/>
  <c r="G142" i="9"/>
  <c r="J142" i="9"/>
  <c r="G143" i="9"/>
  <c r="J143" i="9"/>
  <c r="G144" i="9"/>
  <c r="J144" i="9"/>
  <c r="G145" i="9"/>
  <c r="J145" i="9"/>
  <c r="G146" i="9"/>
  <c r="J146" i="9"/>
  <c r="G147" i="9"/>
  <c r="J147" i="9"/>
  <c r="G148" i="9"/>
  <c r="J148" i="9"/>
  <c r="G149" i="9"/>
  <c r="J149" i="9"/>
  <c r="G150" i="9"/>
  <c r="J150" i="9"/>
  <c r="G151" i="9"/>
  <c r="J151" i="9"/>
  <c r="G152" i="9"/>
  <c r="J152" i="9"/>
  <c r="G153" i="9"/>
  <c r="J153" i="9"/>
  <c r="G154" i="9"/>
  <c r="J154" i="9"/>
  <c r="G155" i="9"/>
  <c r="J155" i="9"/>
  <c r="G156" i="9"/>
  <c r="J156" i="9"/>
  <c r="G157" i="9"/>
  <c r="J157" i="9"/>
  <c r="G158" i="9"/>
  <c r="J158" i="9"/>
  <c r="G159" i="9"/>
  <c r="J159" i="9"/>
  <c r="G160" i="9"/>
  <c r="J160" i="9"/>
  <c r="G161" i="9"/>
  <c r="J161" i="9"/>
  <c r="G162" i="9"/>
  <c r="J162" i="9"/>
  <c r="G163" i="9"/>
  <c r="J163" i="9"/>
  <c r="G164" i="9"/>
  <c r="J164" i="9"/>
  <c r="G165" i="9"/>
  <c r="J165" i="9"/>
  <c r="G166" i="9"/>
  <c r="J166" i="9"/>
  <c r="G167" i="9"/>
  <c r="J167" i="9"/>
  <c r="G168" i="9"/>
  <c r="J168" i="9"/>
  <c r="G169" i="9"/>
  <c r="J169" i="9"/>
  <c r="G170" i="9"/>
  <c r="J170" i="9"/>
  <c r="G171" i="9"/>
  <c r="J171" i="9"/>
  <c r="G172" i="9"/>
  <c r="J172" i="9"/>
  <c r="G173" i="9"/>
  <c r="J173" i="9"/>
  <c r="G174" i="9"/>
  <c r="J174" i="9"/>
  <c r="G175" i="9"/>
  <c r="J175" i="9"/>
  <c r="G176" i="9"/>
  <c r="J176" i="9"/>
  <c r="G177" i="9"/>
  <c r="J177" i="9"/>
  <c r="G178" i="9"/>
  <c r="J178" i="9"/>
  <c r="G179" i="9"/>
  <c r="J179" i="9"/>
  <c r="G180" i="9"/>
  <c r="J180" i="9"/>
  <c r="G181" i="9"/>
  <c r="J181" i="9"/>
  <c r="G182" i="9"/>
  <c r="J182" i="9"/>
  <c r="G183" i="9"/>
  <c r="J183" i="9"/>
  <c r="G184" i="9"/>
  <c r="J184" i="9"/>
  <c r="G185" i="9"/>
  <c r="J185" i="9"/>
  <c r="G186" i="9"/>
  <c r="J186" i="9"/>
  <c r="G187" i="9"/>
  <c r="J187" i="9"/>
  <c r="G188" i="9"/>
  <c r="J188" i="9"/>
  <c r="G189" i="9"/>
  <c r="J189" i="9"/>
  <c r="G190" i="9"/>
  <c r="J190" i="9"/>
  <c r="G191" i="9"/>
  <c r="J191" i="9"/>
  <c r="G192" i="9"/>
  <c r="J192" i="9"/>
  <c r="G193" i="9"/>
  <c r="J193" i="9"/>
  <c r="G194" i="9"/>
  <c r="J194" i="9"/>
  <c r="G195" i="9"/>
  <c r="J195" i="9"/>
  <c r="G196" i="9"/>
  <c r="J196" i="9"/>
  <c r="G197" i="9"/>
  <c r="J197" i="9"/>
  <c r="G198" i="9"/>
  <c r="J198" i="9"/>
  <c r="G199" i="9"/>
  <c r="J199" i="9"/>
  <c r="G200" i="9"/>
  <c r="J200" i="9"/>
  <c r="G201" i="9"/>
  <c r="J201" i="9"/>
  <c r="G202" i="9"/>
  <c r="J202" i="9"/>
  <c r="G203" i="9"/>
  <c r="J203" i="9"/>
  <c r="G204" i="9"/>
  <c r="J204" i="9"/>
  <c r="G205" i="9"/>
  <c r="J205" i="9"/>
  <c r="G206" i="9"/>
  <c r="J206" i="9"/>
  <c r="G207" i="9"/>
  <c r="J207" i="9"/>
  <c r="G208" i="9"/>
  <c r="J208" i="9"/>
  <c r="G209" i="9"/>
  <c r="J209" i="9"/>
  <c r="G210" i="9"/>
  <c r="J210" i="9"/>
  <c r="G211" i="9"/>
  <c r="J211" i="9"/>
  <c r="G212" i="9"/>
  <c r="J212" i="9"/>
  <c r="G213" i="9"/>
  <c r="J213" i="9"/>
  <c r="G214" i="9"/>
  <c r="J214" i="9"/>
  <c r="G215" i="9"/>
  <c r="J215" i="9"/>
  <c r="G216" i="9"/>
  <c r="J216" i="9"/>
  <c r="G217" i="9"/>
  <c r="J217" i="9"/>
  <c r="G218" i="9"/>
  <c r="J218" i="9"/>
  <c r="G219" i="9"/>
  <c r="J219" i="9"/>
  <c r="G220" i="9"/>
  <c r="J220" i="9"/>
  <c r="G221" i="9"/>
  <c r="J221" i="9"/>
  <c r="G222" i="9"/>
  <c r="J222" i="9"/>
  <c r="G223" i="9"/>
  <c r="J223" i="9"/>
  <c r="G224" i="9"/>
  <c r="J224" i="9"/>
  <c r="G225" i="9"/>
  <c r="J225" i="9"/>
  <c r="G226" i="9"/>
  <c r="J226" i="9"/>
  <c r="G227" i="9"/>
  <c r="J227" i="9"/>
  <c r="G228" i="9"/>
  <c r="J228" i="9"/>
  <c r="G229" i="9"/>
  <c r="J229" i="9"/>
  <c r="G230" i="9"/>
  <c r="J230" i="9"/>
  <c r="G231" i="9"/>
  <c r="J231" i="9"/>
  <c r="G232" i="9"/>
  <c r="J232" i="9"/>
  <c r="G233" i="9"/>
  <c r="J233" i="9"/>
  <c r="G234" i="9"/>
  <c r="J234" i="9"/>
  <c r="G235" i="9"/>
  <c r="J235" i="9"/>
  <c r="G236" i="9"/>
  <c r="J236" i="9"/>
  <c r="G237" i="9"/>
  <c r="J237" i="9"/>
  <c r="G238" i="9"/>
  <c r="J238" i="9"/>
  <c r="G239" i="9"/>
  <c r="J239" i="9"/>
  <c r="G240" i="9"/>
  <c r="J240" i="9"/>
  <c r="G241" i="9"/>
  <c r="J241" i="9"/>
  <c r="G242" i="9"/>
  <c r="J242" i="9"/>
  <c r="G243" i="9"/>
  <c r="J243" i="9"/>
  <c r="G244" i="9"/>
  <c r="J244" i="9"/>
  <c r="G245" i="9"/>
  <c r="J245" i="9"/>
  <c r="G246" i="9"/>
  <c r="J246" i="9"/>
  <c r="G247" i="9"/>
  <c r="J247" i="9"/>
  <c r="G248" i="9"/>
  <c r="J248" i="9"/>
  <c r="G249" i="9"/>
  <c r="J249" i="9"/>
  <c r="G250" i="9"/>
  <c r="J250" i="9"/>
  <c r="G251" i="9"/>
  <c r="J251" i="9"/>
  <c r="G252" i="9"/>
  <c r="J252" i="9"/>
  <c r="G253" i="9"/>
  <c r="J253" i="9"/>
  <c r="G254" i="9"/>
  <c r="J254" i="9"/>
  <c r="G255" i="9"/>
  <c r="J255" i="9"/>
  <c r="G256" i="9"/>
  <c r="J256" i="9"/>
  <c r="G257" i="9"/>
  <c r="J257" i="9"/>
  <c r="G258" i="9"/>
  <c r="J258" i="9"/>
  <c r="G259" i="9"/>
  <c r="J259" i="9"/>
  <c r="G260" i="9"/>
  <c r="J260" i="9"/>
  <c r="G261" i="9"/>
  <c r="J261" i="9"/>
  <c r="G262" i="9"/>
  <c r="J262" i="9"/>
  <c r="G263" i="9"/>
  <c r="J263" i="9"/>
  <c r="G264" i="9"/>
  <c r="J264" i="9"/>
  <c r="G265" i="9"/>
  <c r="J265" i="9"/>
  <c r="G266" i="9"/>
  <c r="J266" i="9"/>
  <c r="G267" i="9"/>
  <c r="J267" i="9"/>
  <c r="G268" i="9"/>
  <c r="J268" i="9"/>
  <c r="G269" i="9"/>
  <c r="J269" i="9"/>
  <c r="G270" i="9"/>
  <c r="J270" i="9"/>
  <c r="G271" i="9"/>
  <c r="J271" i="9"/>
  <c r="G272" i="9"/>
  <c r="J272" i="9"/>
  <c r="G273" i="9"/>
  <c r="J273" i="9"/>
  <c r="G274" i="9"/>
  <c r="J274" i="9"/>
  <c r="G275" i="9"/>
  <c r="J275" i="9"/>
  <c r="G276" i="9"/>
  <c r="J276" i="9"/>
  <c r="G277" i="9"/>
  <c r="J277" i="9"/>
  <c r="G278" i="9"/>
  <c r="J278" i="9"/>
  <c r="G279" i="9"/>
  <c r="J279" i="9"/>
  <c r="G280" i="9"/>
  <c r="J280" i="9"/>
  <c r="G281" i="9"/>
  <c r="J281" i="9"/>
  <c r="G282" i="9"/>
  <c r="J282" i="9"/>
  <c r="G283" i="9"/>
  <c r="J283" i="9"/>
  <c r="G284" i="9"/>
  <c r="J284" i="9"/>
  <c r="G285" i="9"/>
  <c r="J285" i="9"/>
  <c r="G286" i="9"/>
  <c r="J286" i="9"/>
  <c r="G287" i="9"/>
  <c r="J287" i="9"/>
  <c r="G288" i="9"/>
  <c r="J288" i="9"/>
  <c r="G289" i="9"/>
  <c r="J289" i="9"/>
  <c r="G290" i="9"/>
  <c r="J290" i="9"/>
  <c r="G291" i="9"/>
  <c r="J291" i="9"/>
  <c r="G292" i="9"/>
  <c r="J292" i="9"/>
  <c r="G293" i="9"/>
  <c r="J293" i="9"/>
  <c r="G294" i="9"/>
  <c r="J294" i="9"/>
  <c r="G295" i="9"/>
  <c r="J295" i="9"/>
  <c r="G296" i="9"/>
  <c r="J296" i="9"/>
  <c r="G297" i="9"/>
  <c r="J297" i="9"/>
  <c r="G298" i="9"/>
  <c r="J298" i="9"/>
  <c r="G299" i="9"/>
  <c r="J299" i="9"/>
  <c r="G300" i="9"/>
  <c r="J300" i="9"/>
  <c r="G301" i="9"/>
  <c r="J301" i="9"/>
  <c r="G302" i="9"/>
  <c r="J302" i="9"/>
  <c r="G303" i="9"/>
  <c r="J303" i="9"/>
  <c r="G304" i="9"/>
  <c r="J304" i="9"/>
  <c r="G305" i="9"/>
  <c r="J305" i="9"/>
  <c r="G306" i="9"/>
  <c r="J306" i="9"/>
  <c r="G307" i="9"/>
  <c r="J307" i="9"/>
  <c r="G308" i="9"/>
  <c r="J308" i="9"/>
  <c r="G309" i="9"/>
  <c r="J309" i="9"/>
  <c r="G310" i="9"/>
  <c r="J310" i="9"/>
  <c r="G311" i="9"/>
  <c r="J311" i="9"/>
  <c r="G312" i="9"/>
  <c r="J312" i="9"/>
  <c r="G313" i="9"/>
  <c r="J313" i="9"/>
  <c r="G314" i="9"/>
  <c r="J314" i="9"/>
  <c r="G315" i="9"/>
  <c r="J315" i="9"/>
  <c r="G316" i="9"/>
  <c r="J316" i="9"/>
  <c r="G317" i="9"/>
  <c r="J317" i="9"/>
  <c r="G318" i="9"/>
  <c r="J318" i="9"/>
  <c r="G319" i="9"/>
  <c r="J319" i="9"/>
  <c r="G320" i="9"/>
  <c r="J320" i="9"/>
  <c r="G321" i="9"/>
  <c r="J321" i="9"/>
  <c r="G322" i="9"/>
  <c r="J322" i="9"/>
  <c r="G323" i="9"/>
  <c r="J323" i="9"/>
  <c r="G324" i="9"/>
  <c r="J324" i="9"/>
  <c r="G325" i="9"/>
  <c r="J325" i="9"/>
  <c r="G326" i="9"/>
  <c r="J326" i="9"/>
  <c r="G327" i="9"/>
  <c r="J327" i="9"/>
  <c r="G328" i="9"/>
  <c r="J328" i="9"/>
  <c r="G329" i="9"/>
  <c r="J329" i="9"/>
  <c r="G330" i="9"/>
  <c r="J330" i="9"/>
  <c r="G331" i="9"/>
  <c r="J331" i="9"/>
  <c r="G332" i="9"/>
  <c r="J332" i="9"/>
  <c r="G333" i="9"/>
  <c r="J333" i="9"/>
  <c r="G334" i="9"/>
  <c r="J334" i="9"/>
  <c r="G335" i="9"/>
  <c r="J335" i="9"/>
  <c r="G336" i="9"/>
  <c r="J336" i="9"/>
  <c r="G337" i="9"/>
  <c r="J337" i="9"/>
  <c r="G338" i="9"/>
  <c r="J338" i="9"/>
  <c r="G339" i="9"/>
  <c r="J339" i="9"/>
  <c r="G340" i="9"/>
  <c r="J340" i="9"/>
  <c r="G341" i="9"/>
  <c r="J341" i="9"/>
  <c r="G342" i="9"/>
  <c r="J342" i="9"/>
  <c r="G343" i="9"/>
  <c r="J343" i="9"/>
  <c r="G344" i="9"/>
  <c r="J344" i="9"/>
  <c r="G345" i="9"/>
  <c r="J345" i="9"/>
  <c r="G346" i="9"/>
  <c r="J346" i="9"/>
  <c r="G347" i="9"/>
  <c r="J347" i="9"/>
  <c r="G348" i="9"/>
  <c r="J348" i="9"/>
  <c r="G349" i="9"/>
  <c r="J349" i="9"/>
  <c r="G350" i="9"/>
  <c r="J350" i="9"/>
  <c r="G351" i="9"/>
  <c r="J351" i="9"/>
  <c r="G352" i="9"/>
  <c r="J352" i="9"/>
  <c r="G353" i="9"/>
  <c r="J353" i="9"/>
  <c r="G354" i="9"/>
  <c r="J354" i="9"/>
  <c r="G355" i="9"/>
  <c r="J355" i="9"/>
  <c r="G356" i="9"/>
  <c r="J356" i="9"/>
  <c r="G357" i="9"/>
  <c r="J357" i="9"/>
  <c r="G358" i="9"/>
  <c r="J358" i="9"/>
  <c r="G359" i="9"/>
  <c r="J359" i="9"/>
  <c r="G360" i="9"/>
  <c r="J360" i="9"/>
  <c r="G361" i="9"/>
  <c r="J361" i="9"/>
  <c r="G362" i="9"/>
  <c r="J362" i="9"/>
  <c r="G363" i="9"/>
  <c r="J363" i="9"/>
  <c r="G364" i="9"/>
  <c r="J364" i="9"/>
  <c r="G365" i="9"/>
  <c r="J365" i="9"/>
  <c r="G366" i="9"/>
  <c r="J366" i="9"/>
  <c r="G367" i="9"/>
  <c r="J367" i="9"/>
  <c r="G368" i="9"/>
  <c r="J368" i="9"/>
  <c r="G369" i="9"/>
  <c r="J369" i="9"/>
  <c r="G370" i="9"/>
  <c r="J370" i="9"/>
  <c r="G371" i="9"/>
  <c r="J371" i="9"/>
  <c r="G372" i="9"/>
  <c r="J372" i="9"/>
  <c r="G373" i="9"/>
  <c r="J373" i="9"/>
  <c r="G374" i="9"/>
  <c r="J374" i="9"/>
  <c r="G375" i="9"/>
  <c r="J375" i="9"/>
  <c r="G376" i="9"/>
  <c r="J376" i="9"/>
  <c r="G377" i="9"/>
  <c r="J377" i="9"/>
  <c r="G378" i="9"/>
  <c r="J378" i="9"/>
  <c r="G379" i="9"/>
  <c r="J379" i="9"/>
  <c r="G380" i="9"/>
  <c r="J380" i="9"/>
  <c r="G381" i="9"/>
  <c r="J381" i="9"/>
  <c r="G382" i="9"/>
  <c r="J382" i="9"/>
  <c r="G383" i="9"/>
  <c r="J383" i="9"/>
  <c r="G384" i="9"/>
  <c r="J384" i="9"/>
  <c r="G385" i="9"/>
  <c r="J385" i="9"/>
  <c r="G386" i="9"/>
  <c r="J386" i="9"/>
  <c r="G387" i="9"/>
  <c r="J387" i="9"/>
  <c r="G388" i="9"/>
  <c r="J388" i="9"/>
  <c r="G389" i="9"/>
  <c r="J389" i="9"/>
  <c r="G390" i="9"/>
  <c r="J390" i="9"/>
  <c r="G391" i="9"/>
  <c r="J391" i="9"/>
  <c r="G392" i="9"/>
  <c r="J392" i="9"/>
  <c r="G393" i="9"/>
  <c r="J393" i="9"/>
  <c r="G394" i="9"/>
  <c r="J394" i="9"/>
  <c r="G395" i="9"/>
  <c r="J395" i="9"/>
  <c r="G396" i="9"/>
  <c r="J396" i="9"/>
  <c r="G397" i="9"/>
  <c r="J397" i="9"/>
  <c r="G398" i="9"/>
  <c r="J398" i="9"/>
  <c r="G399" i="9"/>
  <c r="J399" i="9"/>
  <c r="G400" i="9"/>
  <c r="J400" i="9"/>
  <c r="G401" i="9"/>
  <c r="J401" i="9"/>
  <c r="G402" i="9"/>
  <c r="J402" i="9"/>
  <c r="G403" i="9"/>
  <c r="J403" i="9"/>
  <c r="G404" i="9"/>
  <c r="J404" i="9"/>
  <c r="G405" i="9"/>
  <c r="J405" i="9"/>
  <c r="G406" i="9"/>
  <c r="J406" i="9"/>
  <c r="G407" i="9"/>
  <c r="J407" i="9"/>
  <c r="G408" i="9"/>
  <c r="J408" i="9"/>
  <c r="G409" i="9"/>
  <c r="J409" i="9"/>
  <c r="G410" i="9"/>
  <c r="J410" i="9"/>
  <c r="G411" i="9"/>
  <c r="J411" i="9"/>
  <c r="G412" i="9"/>
  <c r="J412" i="9"/>
  <c r="G413" i="9"/>
  <c r="J413" i="9"/>
  <c r="G414" i="9"/>
  <c r="J414" i="9"/>
  <c r="G415" i="9"/>
  <c r="J415" i="9"/>
  <c r="G416" i="9"/>
  <c r="J416" i="9"/>
  <c r="G417" i="9"/>
  <c r="J417" i="9"/>
  <c r="G418" i="9"/>
  <c r="J418" i="9"/>
  <c r="G419" i="9"/>
  <c r="J419" i="9"/>
  <c r="G420" i="9"/>
  <c r="J420" i="9"/>
  <c r="G421" i="9"/>
  <c r="J421" i="9"/>
  <c r="G422" i="9"/>
  <c r="J422" i="9"/>
  <c r="G423" i="9"/>
  <c r="J423" i="9"/>
  <c r="G424" i="9"/>
  <c r="J424" i="9"/>
  <c r="G425" i="9"/>
  <c r="J425" i="9"/>
  <c r="G426" i="9"/>
  <c r="J426" i="9"/>
  <c r="G427" i="9"/>
  <c r="J427" i="9"/>
  <c r="G428" i="9"/>
  <c r="J428" i="9"/>
  <c r="G429" i="9"/>
  <c r="J429" i="9"/>
  <c r="G430" i="9"/>
  <c r="J430" i="9"/>
  <c r="G431" i="9"/>
  <c r="J431" i="9"/>
  <c r="G432" i="9"/>
  <c r="J432" i="9"/>
  <c r="G433" i="9"/>
  <c r="J433" i="9"/>
  <c r="G434" i="9"/>
  <c r="J434" i="9"/>
  <c r="G435" i="9"/>
  <c r="J435" i="9"/>
  <c r="G436" i="9"/>
  <c r="J436" i="9"/>
  <c r="G437" i="9"/>
  <c r="J437" i="9"/>
  <c r="G438" i="9"/>
  <c r="J438" i="9"/>
  <c r="G439" i="9"/>
  <c r="J439" i="9"/>
  <c r="G440" i="9"/>
  <c r="J440" i="9"/>
  <c r="G441" i="9"/>
  <c r="J441" i="9"/>
  <c r="G442" i="9"/>
  <c r="J442" i="9"/>
  <c r="G443" i="9"/>
  <c r="J443" i="9"/>
  <c r="G444" i="9"/>
  <c r="J444" i="9"/>
  <c r="G445" i="9"/>
  <c r="J445" i="9"/>
  <c r="G446" i="9"/>
  <c r="J446" i="9"/>
  <c r="G447" i="9"/>
  <c r="J447" i="9"/>
  <c r="G448" i="9"/>
  <c r="J448" i="9"/>
  <c r="G449" i="9"/>
  <c r="J449" i="9"/>
  <c r="G450" i="9"/>
  <c r="J450" i="9"/>
  <c r="G451" i="9"/>
  <c r="J451" i="9"/>
  <c r="G452" i="9"/>
  <c r="J452" i="9"/>
  <c r="G453" i="9"/>
  <c r="J453" i="9"/>
  <c r="G454" i="9"/>
  <c r="J454" i="9"/>
  <c r="G455" i="9"/>
  <c r="J455" i="9"/>
  <c r="G456" i="9"/>
  <c r="J456" i="9"/>
  <c r="G457" i="9"/>
  <c r="J457" i="9"/>
  <c r="G458" i="9"/>
  <c r="J458" i="9"/>
  <c r="G459" i="9"/>
  <c r="J459" i="9"/>
  <c r="G460" i="9"/>
  <c r="J460" i="9"/>
  <c r="G461" i="9"/>
  <c r="J461" i="9"/>
  <c r="G462" i="9"/>
  <c r="J462" i="9"/>
  <c r="G463" i="9"/>
  <c r="J463" i="9"/>
  <c r="G464" i="9"/>
  <c r="J464" i="9"/>
  <c r="G465" i="9"/>
  <c r="J465" i="9"/>
  <c r="G466" i="9"/>
  <c r="J466" i="9"/>
  <c r="G467" i="9"/>
  <c r="J467" i="9"/>
  <c r="G468" i="9"/>
  <c r="J468" i="9"/>
  <c r="G469" i="9"/>
  <c r="J469" i="9"/>
  <c r="G470" i="9"/>
  <c r="J470" i="9"/>
  <c r="G471" i="9"/>
  <c r="J471" i="9"/>
  <c r="G472" i="9"/>
  <c r="J472" i="9"/>
  <c r="G473" i="9"/>
  <c r="J473" i="9"/>
  <c r="G474" i="9"/>
  <c r="J474" i="9"/>
  <c r="G475" i="9"/>
  <c r="J475" i="9"/>
  <c r="G476" i="9"/>
  <c r="J476" i="9"/>
  <c r="G477" i="9"/>
  <c r="J477" i="9"/>
  <c r="G478" i="9"/>
  <c r="J478" i="9"/>
  <c r="G479" i="9"/>
  <c r="J479" i="9"/>
  <c r="G480" i="9"/>
  <c r="J480" i="9"/>
  <c r="G481" i="9"/>
  <c r="J481" i="9"/>
  <c r="G482" i="9"/>
  <c r="J482" i="9"/>
  <c r="G483" i="9"/>
  <c r="J483" i="9"/>
  <c r="G484" i="9"/>
  <c r="J484" i="9"/>
  <c r="G485" i="9"/>
  <c r="J485" i="9"/>
  <c r="G486" i="9"/>
  <c r="J486" i="9"/>
  <c r="G487" i="9"/>
  <c r="J487" i="9"/>
  <c r="G488" i="9"/>
  <c r="J488" i="9"/>
  <c r="G489" i="9"/>
  <c r="J489" i="9"/>
  <c r="G490" i="9"/>
  <c r="J490" i="9"/>
  <c r="G491" i="9"/>
  <c r="J491" i="9"/>
  <c r="G492" i="9"/>
  <c r="J492" i="9"/>
  <c r="G493" i="9"/>
  <c r="J493" i="9"/>
  <c r="G494" i="9"/>
  <c r="J494" i="9"/>
  <c r="G495" i="9"/>
  <c r="J495" i="9"/>
  <c r="G496" i="9"/>
  <c r="J496" i="9"/>
  <c r="G497" i="9"/>
  <c r="J497" i="9"/>
  <c r="G498" i="9"/>
  <c r="J498" i="9"/>
  <c r="G499" i="9"/>
  <c r="J499" i="9"/>
  <c r="G500" i="9"/>
  <c r="J500" i="9"/>
  <c r="G501" i="9"/>
  <c r="J501" i="9"/>
  <c r="G502" i="9"/>
  <c r="J502" i="9"/>
  <c r="G503" i="9"/>
  <c r="J503" i="9"/>
  <c r="G504" i="9"/>
  <c r="J504" i="9"/>
  <c r="G505" i="9"/>
  <c r="J505" i="9"/>
  <c r="G506" i="9"/>
  <c r="J506" i="9"/>
  <c r="G507" i="9"/>
  <c r="J507" i="9"/>
  <c r="G508" i="9"/>
  <c r="J508" i="9"/>
  <c r="G509" i="9"/>
  <c r="J509" i="9"/>
  <c r="G510" i="9"/>
  <c r="J510" i="9"/>
  <c r="G511" i="9"/>
  <c r="J511" i="9"/>
  <c r="G512" i="9"/>
  <c r="J512" i="9"/>
  <c r="G513" i="9"/>
  <c r="J513" i="9"/>
  <c r="G514" i="9"/>
  <c r="J514" i="9"/>
  <c r="G515" i="9"/>
  <c r="J515" i="9"/>
  <c r="G516" i="9"/>
  <c r="J516" i="9"/>
  <c r="G517" i="9"/>
  <c r="J517" i="9"/>
  <c r="G518" i="9"/>
  <c r="J518" i="9"/>
  <c r="G519" i="9"/>
  <c r="J519" i="9"/>
  <c r="G520" i="9"/>
  <c r="J520" i="9"/>
  <c r="G521" i="9"/>
  <c r="J521" i="9"/>
  <c r="G522" i="9"/>
  <c r="J522" i="9"/>
  <c r="G523" i="9"/>
  <c r="J523" i="9"/>
  <c r="G524" i="9"/>
  <c r="J524" i="9"/>
  <c r="G525" i="9"/>
  <c r="J525" i="9"/>
  <c r="G526" i="9"/>
  <c r="J526" i="9"/>
  <c r="G527" i="9"/>
  <c r="J527" i="9"/>
  <c r="G528" i="9"/>
  <c r="J528" i="9"/>
  <c r="G529" i="9"/>
  <c r="J529" i="9"/>
  <c r="G530" i="9"/>
  <c r="J530" i="9"/>
  <c r="G531" i="9"/>
  <c r="J531" i="9"/>
  <c r="G532" i="9"/>
  <c r="J532" i="9"/>
  <c r="G533" i="9"/>
  <c r="J533" i="9"/>
  <c r="G534" i="9"/>
  <c r="J534" i="9"/>
  <c r="G535" i="9"/>
  <c r="J535" i="9"/>
  <c r="G536" i="9"/>
  <c r="J536" i="9"/>
  <c r="G537" i="9"/>
  <c r="J537" i="9"/>
  <c r="G538" i="9"/>
  <c r="J538" i="9"/>
  <c r="G539" i="9"/>
  <c r="J539" i="9"/>
  <c r="G540" i="9"/>
  <c r="J540" i="9"/>
  <c r="G541" i="9"/>
  <c r="J541" i="9"/>
  <c r="G542" i="9"/>
  <c r="J542" i="9"/>
  <c r="G543" i="9"/>
  <c r="J543" i="9"/>
  <c r="G544" i="9"/>
  <c r="J544" i="9"/>
  <c r="G545" i="9"/>
  <c r="J545" i="9"/>
  <c r="G546" i="9"/>
  <c r="J546" i="9"/>
  <c r="G547" i="9"/>
  <c r="J547" i="9"/>
  <c r="G548" i="9"/>
  <c r="J548" i="9"/>
  <c r="G549" i="9"/>
  <c r="J549" i="9"/>
  <c r="G550" i="9"/>
  <c r="J550" i="9"/>
  <c r="G551" i="9"/>
  <c r="J551" i="9"/>
  <c r="G552" i="9"/>
  <c r="J552" i="9"/>
  <c r="G553" i="9"/>
  <c r="J553" i="9"/>
  <c r="G554" i="9"/>
  <c r="J554" i="9"/>
  <c r="G555" i="9"/>
  <c r="J555" i="9"/>
  <c r="G556" i="9"/>
  <c r="J556" i="9"/>
  <c r="G557" i="9"/>
  <c r="J557" i="9"/>
  <c r="G558" i="9"/>
  <c r="J558" i="9"/>
  <c r="G559" i="9"/>
  <c r="J559" i="9"/>
  <c r="G560" i="9"/>
  <c r="J560" i="9"/>
  <c r="G561" i="9"/>
  <c r="J561" i="9"/>
  <c r="G562" i="9"/>
  <c r="J562" i="9"/>
  <c r="G563" i="9"/>
  <c r="J563" i="9"/>
  <c r="G564" i="9"/>
  <c r="J564" i="9"/>
  <c r="G565" i="9"/>
  <c r="J565" i="9"/>
  <c r="G566" i="9"/>
  <c r="J566" i="9"/>
  <c r="G567" i="9"/>
  <c r="J567" i="9"/>
  <c r="G568" i="9"/>
  <c r="J568" i="9"/>
  <c r="G569" i="9"/>
  <c r="J569" i="9"/>
  <c r="G570" i="9"/>
  <c r="J570" i="9"/>
  <c r="G571" i="9"/>
  <c r="J571" i="9"/>
  <c r="G572" i="9"/>
  <c r="J572" i="9"/>
  <c r="G573" i="9"/>
  <c r="J573" i="9"/>
  <c r="G574" i="9"/>
  <c r="J574" i="9"/>
  <c r="G575" i="9"/>
  <c r="J575" i="9"/>
  <c r="G576" i="9"/>
  <c r="J576" i="9"/>
  <c r="G577" i="9"/>
  <c r="J577" i="9"/>
  <c r="G578" i="9"/>
  <c r="J578" i="9"/>
  <c r="G579" i="9"/>
  <c r="J579" i="9"/>
  <c r="G580" i="9"/>
  <c r="J580" i="9"/>
  <c r="G581" i="9"/>
  <c r="J581" i="9"/>
  <c r="G582" i="9"/>
  <c r="J582" i="9"/>
  <c r="G583" i="9"/>
  <c r="J583" i="9"/>
  <c r="G584" i="9"/>
  <c r="J584" i="9"/>
  <c r="G585" i="9"/>
  <c r="J585" i="9"/>
  <c r="G586" i="9"/>
  <c r="J586" i="9"/>
  <c r="G587" i="9"/>
  <c r="J587" i="9"/>
  <c r="G588" i="9"/>
  <c r="J588" i="9"/>
  <c r="G589" i="9"/>
  <c r="J589" i="9"/>
  <c r="G590" i="9"/>
  <c r="J590" i="9"/>
  <c r="G591" i="9"/>
  <c r="J591" i="9"/>
  <c r="G592" i="9"/>
  <c r="J592" i="9"/>
  <c r="G593" i="9"/>
  <c r="J593" i="9"/>
  <c r="G594" i="9"/>
  <c r="J594" i="9"/>
  <c r="G595" i="9"/>
  <c r="J595" i="9"/>
  <c r="G596" i="9"/>
  <c r="J596" i="9"/>
  <c r="G597" i="9"/>
  <c r="J597" i="9"/>
  <c r="G598" i="9"/>
  <c r="J598" i="9"/>
  <c r="G599" i="9"/>
  <c r="J599" i="9"/>
  <c r="G600" i="9"/>
  <c r="J600" i="9"/>
  <c r="G601" i="9"/>
  <c r="J601" i="9"/>
  <c r="G602" i="9"/>
  <c r="J602" i="9"/>
  <c r="G603" i="9"/>
  <c r="J603" i="9"/>
  <c r="G604" i="9"/>
  <c r="J604" i="9"/>
  <c r="G605" i="9"/>
  <c r="J605" i="9"/>
  <c r="G606" i="9"/>
  <c r="J606" i="9"/>
  <c r="G607" i="9"/>
  <c r="J607" i="9"/>
  <c r="G608" i="9"/>
  <c r="J608" i="9"/>
  <c r="G609" i="9"/>
  <c r="J609" i="9"/>
  <c r="G610" i="9"/>
  <c r="J610" i="9"/>
  <c r="G611" i="9"/>
  <c r="J611" i="9"/>
  <c r="G612" i="9"/>
  <c r="J612" i="9"/>
  <c r="G613" i="9"/>
  <c r="J613" i="9"/>
  <c r="G614" i="9"/>
  <c r="J614" i="9"/>
  <c r="G615" i="9"/>
  <c r="J615" i="9"/>
  <c r="G616" i="9"/>
  <c r="J616" i="9"/>
  <c r="G617" i="9"/>
  <c r="J617" i="9"/>
  <c r="G618" i="9"/>
  <c r="J618" i="9"/>
  <c r="G619" i="9"/>
  <c r="J619" i="9"/>
  <c r="G620" i="9"/>
  <c r="J620" i="9"/>
  <c r="G621" i="9"/>
  <c r="J621" i="9"/>
  <c r="G622" i="9"/>
  <c r="J622" i="9"/>
  <c r="G623" i="9"/>
  <c r="J623" i="9"/>
  <c r="G624" i="9"/>
  <c r="J624" i="9"/>
  <c r="G625" i="9"/>
  <c r="J625" i="9"/>
  <c r="G50" i="9"/>
  <c r="J50" i="9"/>
  <c r="G51" i="9"/>
  <c r="J51" i="9"/>
  <c r="G52" i="9"/>
  <c r="J52" i="9"/>
  <c r="G53" i="9"/>
  <c r="J53" i="9"/>
  <c r="G54" i="9"/>
  <c r="J54" i="9"/>
  <c r="G55" i="9"/>
  <c r="J55" i="9"/>
  <c r="G56" i="9"/>
  <c r="J56" i="9"/>
  <c r="G57" i="9"/>
  <c r="J57" i="9"/>
  <c r="G58" i="9"/>
  <c r="J58" i="9"/>
  <c r="G59" i="9"/>
  <c r="J59" i="9"/>
  <c r="G60" i="9"/>
  <c r="J60" i="9"/>
  <c r="G61" i="9"/>
  <c r="J61" i="9"/>
  <c r="G62" i="9"/>
  <c r="J62" i="9"/>
  <c r="G63" i="9"/>
  <c r="J63" i="9"/>
  <c r="G64" i="9"/>
  <c r="J64" i="9"/>
  <c r="G65" i="9"/>
  <c r="J65" i="9"/>
  <c r="G66" i="9"/>
  <c r="J66" i="9"/>
  <c r="G67" i="9"/>
  <c r="J67" i="9"/>
  <c r="G68" i="9"/>
  <c r="J68" i="9"/>
  <c r="G69" i="9"/>
  <c r="J69" i="9"/>
  <c r="G70" i="9"/>
  <c r="J70" i="9"/>
  <c r="G71" i="9"/>
  <c r="J71" i="9"/>
  <c r="G72" i="9"/>
  <c r="J72" i="9"/>
  <c r="G73" i="9"/>
  <c r="J73" i="9"/>
  <c r="G74" i="9"/>
  <c r="J74" i="9"/>
  <c r="G75" i="9"/>
  <c r="J75" i="9"/>
  <c r="G76" i="9"/>
  <c r="J76" i="9"/>
  <c r="G77" i="9"/>
  <c r="J77" i="9"/>
  <c r="G78" i="9"/>
  <c r="J78" i="9"/>
  <c r="G79" i="9"/>
  <c r="J79" i="9"/>
  <c r="G80" i="9"/>
  <c r="J80" i="9"/>
  <c r="J49" i="9"/>
  <c r="G49" i="9"/>
  <c r="F301" i="30"/>
  <c r="F302" i="30"/>
  <c r="F303" i="30"/>
  <c r="F304" i="30"/>
  <c r="F305" i="30"/>
  <c r="F306" i="30"/>
  <c r="F307" i="30"/>
  <c r="F308" i="30"/>
  <c r="F309" i="30"/>
  <c r="F310" i="30"/>
  <c r="F311" i="30"/>
  <c r="F312" i="30"/>
  <c r="F313" i="30"/>
  <c r="F314" i="30"/>
  <c r="F315" i="30"/>
  <c r="F316" i="30"/>
  <c r="F317" i="30"/>
  <c r="F318" i="30"/>
  <c r="F319" i="30"/>
  <c r="F320" i="30"/>
  <c r="F321" i="30"/>
  <c r="F322" i="30"/>
  <c r="F323" i="30"/>
  <c r="F324" i="30"/>
  <c r="F325" i="30"/>
  <c r="F326" i="30"/>
  <c r="F327" i="30"/>
  <c r="F328" i="30"/>
  <c r="F329" i="30"/>
  <c r="F330" i="30"/>
  <c r="F331" i="30"/>
  <c r="F332" i="30"/>
  <c r="F333" i="30"/>
  <c r="F334" i="30"/>
  <c r="F335" i="30"/>
  <c r="F336" i="30"/>
  <c r="F337" i="30"/>
  <c r="F338" i="30"/>
  <c r="F339" i="30"/>
  <c r="F340" i="30"/>
  <c r="F341" i="30"/>
  <c r="F342" i="30"/>
  <c r="F343" i="30"/>
  <c r="F344" i="30"/>
  <c r="F345" i="30"/>
  <c r="F346" i="30"/>
  <c r="F347" i="30"/>
  <c r="F348" i="30"/>
  <c r="F349" i="30"/>
  <c r="F350" i="30"/>
  <c r="F351" i="30"/>
  <c r="F352" i="30"/>
  <c r="F353" i="30"/>
  <c r="F354" i="30"/>
  <c r="F355" i="30"/>
  <c r="F356" i="30"/>
  <c r="F357" i="30"/>
  <c r="F358" i="30"/>
  <c r="F359" i="30"/>
  <c r="F360" i="30"/>
  <c r="F361" i="30"/>
  <c r="F362" i="30"/>
  <c r="F363" i="30"/>
  <c r="F364" i="30"/>
  <c r="F365" i="30"/>
  <c r="F366" i="30"/>
  <c r="F367" i="30"/>
  <c r="F368" i="30"/>
  <c r="F369" i="30"/>
  <c r="F370" i="30"/>
  <c r="F371" i="30"/>
  <c r="F372" i="30"/>
  <c r="F373" i="30"/>
  <c r="F374" i="30"/>
  <c r="F375" i="30"/>
  <c r="F376" i="30"/>
  <c r="F377" i="30"/>
  <c r="F378" i="30"/>
  <c r="F379" i="30"/>
  <c r="F380" i="30"/>
  <c r="I11" i="25"/>
  <c r="I8" i="25"/>
  <c r="G12" i="30"/>
  <c r="AD12" i="29"/>
  <c r="C14" i="29"/>
  <c r="C15" i="29"/>
  <c r="C16" i="29"/>
  <c r="C17" i="29"/>
  <c r="C18" i="29"/>
  <c r="C19" i="29"/>
  <c r="C20" i="29"/>
  <c r="C21" i="29"/>
  <c r="C22" i="29"/>
  <c r="C23" i="29"/>
  <c r="C24" i="29"/>
  <c r="C25" i="29"/>
  <c r="C26" i="29"/>
  <c r="C27" i="29"/>
  <c r="C28" i="29"/>
  <c r="C29" i="29"/>
  <c r="C30" i="29"/>
  <c r="C31" i="29"/>
  <c r="C32" i="29"/>
  <c r="C33" i="29"/>
  <c r="C34" i="29"/>
  <c r="C35" i="29"/>
  <c r="C36" i="29"/>
  <c r="C37" i="29"/>
  <c r="C38" i="29"/>
  <c r="C39" i="29"/>
  <c r="C40" i="29"/>
  <c r="C41" i="29"/>
  <c r="C42" i="29"/>
  <c r="C43" i="29"/>
  <c r="C44" i="29"/>
  <c r="C45" i="29"/>
  <c r="C46" i="29"/>
  <c r="C47" i="29"/>
  <c r="C48" i="29"/>
  <c r="C49" i="29"/>
  <c r="C50" i="29"/>
  <c r="C51" i="29"/>
  <c r="C52" i="29"/>
  <c r="C53" i="29"/>
  <c r="C54" i="29"/>
  <c r="C55" i="29"/>
  <c r="C56" i="29"/>
  <c r="C57" i="29"/>
  <c r="C58" i="29"/>
  <c r="C59" i="29"/>
  <c r="C60" i="29"/>
  <c r="C61" i="29"/>
  <c r="C62" i="29"/>
  <c r="C63" i="29"/>
  <c r="C64" i="29"/>
  <c r="C65" i="29"/>
  <c r="C66" i="29"/>
  <c r="C67" i="29"/>
  <c r="C68" i="29"/>
  <c r="C69" i="29"/>
  <c r="C70" i="29"/>
  <c r="C71" i="29"/>
  <c r="C72" i="29"/>
  <c r="C73" i="29"/>
  <c r="C74" i="29"/>
  <c r="C75" i="29"/>
  <c r="C76" i="29"/>
  <c r="C77" i="29"/>
  <c r="C78" i="29"/>
  <c r="C79" i="29"/>
  <c r="C80" i="29"/>
  <c r="C81" i="29"/>
  <c r="C82" i="29"/>
  <c r="C83" i="29"/>
  <c r="C84" i="29"/>
  <c r="C85" i="29"/>
  <c r="C86" i="29"/>
  <c r="C87" i="29"/>
  <c r="C88" i="29"/>
  <c r="C89" i="29"/>
  <c r="C90" i="29"/>
  <c r="C91" i="29"/>
  <c r="C92" i="29"/>
  <c r="C93" i="29"/>
  <c r="C94" i="29"/>
  <c r="C95" i="29"/>
  <c r="C96" i="29"/>
  <c r="C97" i="29"/>
  <c r="C98" i="29"/>
  <c r="C99" i="29"/>
  <c r="C100" i="29"/>
  <c r="C101" i="29"/>
  <c r="C102" i="29"/>
  <c r="C103" i="29"/>
  <c r="C104" i="29"/>
  <c r="C105" i="29"/>
  <c r="C106" i="29"/>
  <c r="C107" i="29"/>
  <c r="C108" i="29"/>
  <c r="C109" i="29"/>
  <c r="C110" i="29"/>
  <c r="C111" i="29"/>
  <c r="C112" i="29"/>
  <c r="C113" i="29"/>
  <c r="C114" i="29"/>
  <c r="C115" i="29"/>
  <c r="C116" i="29"/>
  <c r="C117" i="29"/>
  <c r="C118" i="29"/>
  <c r="C119" i="29"/>
  <c r="C120" i="29"/>
  <c r="C121" i="29"/>
  <c r="C122" i="29"/>
  <c r="C123" i="29"/>
  <c r="C124" i="29"/>
  <c r="C125" i="29"/>
  <c r="C126" i="29"/>
  <c r="C127" i="29"/>
  <c r="C128" i="29"/>
  <c r="C129" i="29"/>
  <c r="C130" i="29"/>
  <c r="C131" i="29"/>
  <c r="C132" i="29"/>
  <c r="C133" i="29"/>
  <c r="C134" i="29"/>
  <c r="C135" i="29"/>
  <c r="C136" i="29"/>
  <c r="C137" i="29"/>
  <c r="C138" i="29"/>
  <c r="C139" i="29"/>
  <c r="C140" i="29"/>
  <c r="C141" i="29"/>
  <c r="C142" i="29"/>
  <c r="C143" i="29"/>
  <c r="C144" i="29"/>
  <c r="C145" i="29"/>
  <c r="C146" i="29"/>
  <c r="C147" i="29"/>
  <c r="C148" i="29"/>
  <c r="C149" i="29"/>
  <c r="C150" i="29"/>
  <c r="C151" i="29"/>
  <c r="C152" i="29"/>
  <c r="C153" i="29"/>
  <c r="C154" i="29"/>
  <c r="C155" i="29"/>
  <c r="C156" i="29"/>
  <c r="C157" i="29"/>
  <c r="C158" i="29"/>
  <c r="C159" i="29"/>
  <c r="C160" i="29"/>
  <c r="C161" i="29"/>
  <c r="C162" i="29"/>
  <c r="C163" i="29"/>
  <c r="C164" i="29"/>
  <c r="C165" i="29"/>
  <c r="C166" i="29"/>
  <c r="C167" i="29"/>
  <c r="C168" i="29"/>
  <c r="C169" i="29"/>
  <c r="C170" i="29"/>
  <c r="C171" i="29"/>
  <c r="C172" i="29"/>
  <c r="C173" i="29"/>
  <c r="C174" i="29"/>
  <c r="C175" i="29"/>
  <c r="C176" i="29"/>
  <c r="C177" i="29"/>
  <c r="C178" i="29"/>
  <c r="C179" i="29"/>
  <c r="C180" i="29"/>
  <c r="C181" i="29"/>
  <c r="C182" i="29"/>
  <c r="C183" i="29"/>
  <c r="C184" i="29"/>
  <c r="C185" i="29"/>
  <c r="C186" i="29"/>
  <c r="C187" i="29"/>
  <c r="C188" i="29"/>
  <c r="C189" i="29"/>
  <c r="C190" i="29"/>
  <c r="C191" i="29"/>
  <c r="C192" i="29"/>
  <c r="C193" i="29"/>
  <c r="C194" i="29"/>
  <c r="C195" i="29"/>
  <c r="C196" i="29"/>
  <c r="C197" i="29"/>
  <c r="C198" i="29"/>
  <c r="C199" i="29"/>
  <c r="C200" i="29"/>
  <c r="C201" i="29"/>
  <c r="C202" i="29"/>
  <c r="C203" i="29"/>
  <c r="C204" i="29"/>
  <c r="C205" i="29"/>
  <c r="C206" i="29"/>
  <c r="C207" i="29"/>
  <c r="C208" i="29"/>
  <c r="C209" i="29"/>
  <c r="C210" i="29"/>
  <c r="C211" i="29"/>
  <c r="C212" i="29"/>
  <c r="C213" i="29"/>
  <c r="C214" i="29"/>
  <c r="C215" i="29"/>
  <c r="C216" i="29"/>
  <c r="C217" i="29"/>
  <c r="C218" i="29"/>
  <c r="C219" i="29"/>
  <c r="C220" i="29"/>
  <c r="C221" i="29"/>
  <c r="C222" i="29"/>
  <c r="C223" i="29"/>
  <c r="C224" i="29"/>
  <c r="C225" i="29"/>
  <c r="C226" i="29"/>
  <c r="C227" i="29"/>
  <c r="C228" i="29"/>
  <c r="C229" i="29"/>
  <c r="C230" i="29"/>
  <c r="C231" i="29"/>
  <c r="C232" i="29"/>
  <c r="C233" i="29"/>
  <c r="C234" i="29"/>
  <c r="C235" i="29"/>
  <c r="C236" i="29"/>
  <c r="C237" i="29"/>
  <c r="C238" i="29"/>
  <c r="C239" i="29"/>
  <c r="C240" i="29"/>
  <c r="C241" i="29"/>
  <c r="C242" i="29"/>
  <c r="C243" i="29"/>
  <c r="C244" i="29"/>
  <c r="C245" i="29"/>
  <c r="C246" i="29"/>
  <c r="C247" i="29"/>
  <c r="C248" i="29"/>
  <c r="C249" i="29"/>
  <c r="C250" i="29"/>
  <c r="C251" i="29"/>
  <c r="C252" i="29"/>
  <c r="C253" i="29"/>
  <c r="C254" i="29"/>
  <c r="C255" i="29"/>
  <c r="C256" i="29"/>
  <c r="C257" i="29"/>
  <c r="C258" i="29"/>
  <c r="C259" i="29"/>
  <c r="C260" i="29"/>
  <c r="C261" i="29"/>
  <c r="C262" i="29"/>
  <c r="C263" i="29"/>
  <c r="C264" i="29"/>
  <c r="C265" i="29"/>
  <c r="C266" i="29"/>
  <c r="C267" i="29"/>
  <c r="C268" i="29"/>
  <c r="C269" i="29"/>
  <c r="C270" i="29"/>
  <c r="C271" i="29"/>
  <c r="C272" i="29"/>
  <c r="C273" i="29"/>
  <c r="C274" i="29"/>
  <c r="C275" i="29"/>
  <c r="C276" i="29"/>
  <c r="C277" i="29"/>
  <c r="C278" i="29"/>
  <c r="C279" i="29"/>
  <c r="C280" i="29"/>
  <c r="C281" i="29"/>
  <c r="C282" i="29"/>
  <c r="C283" i="29"/>
  <c r="C284" i="29"/>
  <c r="C285" i="29"/>
  <c r="C286" i="29"/>
  <c r="C287" i="29"/>
  <c r="C288" i="29"/>
  <c r="C289" i="29"/>
  <c r="C290" i="29"/>
  <c r="C291" i="29"/>
  <c r="C292" i="29"/>
  <c r="C293" i="29"/>
  <c r="C294" i="29"/>
  <c r="C295" i="29"/>
  <c r="C296" i="29"/>
  <c r="C297" i="29"/>
  <c r="C298" i="29"/>
  <c r="C299" i="29"/>
  <c r="C300" i="29"/>
  <c r="C301" i="29"/>
  <c r="C302" i="29"/>
  <c r="C303" i="29"/>
  <c r="C304" i="29"/>
  <c r="C305" i="29"/>
  <c r="C306" i="29"/>
  <c r="C307" i="29"/>
  <c r="C308" i="29"/>
  <c r="C309" i="29"/>
  <c r="C310" i="29"/>
  <c r="C311" i="29"/>
  <c r="C312" i="29"/>
  <c r="C313" i="29"/>
  <c r="C314" i="29"/>
  <c r="C315" i="29"/>
  <c r="C316" i="29"/>
  <c r="C317" i="29"/>
  <c r="C318" i="29"/>
  <c r="C319" i="29"/>
  <c r="C320" i="29"/>
  <c r="C321" i="29"/>
  <c r="C322" i="29"/>
  <c r="C323" i="29"/>
  <c r="C324" i="29"/>
  <c r="C325" i="29"/>
  <c r="C326" i="29"/>
  <c r="C327" i="29"/>
  <c r="C328" i="29"/>
  <c r="C329" i="29"/>
  <c r="C330" i="29"/>
  <c r="C331" i="29"/>
  <c r="C332" i="29"/>
  <c r="C333" i="29"/>
  <c r="C334" i="29"/>
  <c r="C335" i="29"/>
  <c r="C336" i="29"/>
  <c r="C337" i="29"/>
  <c r="C338" i="29"/>
  <c r="C339" i="29"/>
  <c r="C340" i="29"/>
  <c r="C341" i="29"/>
  <c r="C342" i="29"/>
  <c r="C343" i="29"/>
  <c r="C344" i="29"/>
  <c r="C345" i="29"/>
  <c r="C346" i="29"/>
  <c r="C347" i="29"/>
  <c r="C348" i="29"/>
  <c r="C349" i="29"/>
  <c r="C350" i="29"/>
  <c r="C351" i="29"/>
  <c r="C352" i="29"/>
  <c r="C353" i="29"/>
  <c r="C354" i="29"/>
  <c r="C355" i="29"/>
  <c r="C356" i="29"/>
  <c r="C357" i="29"/>
  <c r="C358" i="29"/>
  <c r="C359" i="29"/>
  <c r="C360" i="29"/>
  <c r="C361" i="29"/>
  <c r="C362" i="29"/>
  <c r="C363" i="29"/>
  <c r="C364" i="29"/>
  <c r="C365" i="29"/>
  <c r="C366" i="29"/>
  <c r="C367" i="29"/>
  <c r="C368" i="29"/>
  <c r="C369" i="29"/>
  <c r="C370" i="29"/>
  <c r="C371" i="29"/>
  <c r="C372" i="29"/>
  <c r="C373" i="29"/>
  <c r="C374" i="29"/>
  <c r="C375" i="29"/>
  <c r="C376" i="29"/>
  <c r="C377" i="29"/>
  <c r="C378" i="29"/>
  <c r="C379" i="29"/>
  <c r="C380" i="29"/>
  <c r="C381" i="29"/>
  <c r="C382" i="29"/>
  <c r="C383" i="29"/>
  <c r="C384" i="29"/>
  <c r="C385" i="29"/>
  <c r="C386" i="29"/>
  <c r="C387" i="29"/>
  <c r="C388" i="29"/>
  <c r="C389" i="29"/>
  <c r="C390" i="29"/>
  <c r="C391" i="29"/>
  <c r="C392" i="29"/>
  <c r="C393" i="29"/>
  <c r="C394" i="29"/>
  <c r="C395" i="29"/>
  <c r="C396" i="29"/>
  <c r="C397" i="29"/>
  <c r="C398" i="29"/>
  <c r="C399" i="29"/>
  <c r="C400" i="29"/>
  <c r="C401" i="29"/>
  <c r="C402" i="29"/>
  <c r="C403" i="29"/>
  <c r="C404" i="29"/>
  <c r="C405" i="29"/>
  <c r="C406" i="29"/>
  <c r="C407" i="29"/>
  <c r="C408" i="29"/>
  <c r="C409" i="29"/>
  <c r="C410" i="29"/>
  <c r="C411" i="29"/>
  <c r="C412" i="29"/>
  <c r="C413" i="29"/>
  <c r="C414" i="29"/>
  <c r="C415" i="29"/>
  <c r="C416" i="29"/>
  <c r="C417" i="29"/>
  <c r="C418" i="29"/>
  <c r="C419" i="29"/>
  <c r="C420" i="29"/>
  <c r="C421" i="29"/>
  <c r="C422" i="29"/>
  <c r="C423" i="29"/>
  <c r="C424" i="29"/>
  <c r="C425" i="29"/>
  <c r="C426" i="29"/>
  <c r="C427" i="29"/>
  <c r="C428" i="29"/>
  <c r="C429" i="29"/>
  <c r="C430" i="29"/>
  <c r="C431" i="29"/>
  <c r="C432" i="29"/>
  <c r="C433" i="29"/>
  <c r="C434" i="29"/>
  <c r="C435" i="29"/>
  <c r="C436" i="29"/>
  <c r="C437" i="29"/>
  <c r="C438" i="29"/>
  <c r="C439" i="29"/>
  <c r="C440" i="29"/>
  <c r="C441" i="29"/>
  <c r="C442" i="29"/>
  <c r="C443" i="29"/>
  <c r="C444" i="29"/>
  <c r="C445" i="29"/>
  <c r="C446" i="29"/>
  <c r="C447" i="29"/>
  <c r="C448" i="29"/>
  <c r="C449" i="29"/>
  <c r="C450" i="29"/>
  <c r="C451" i="29"/>
  <c r="C452" i="29"/>
  <c r="C453" i="29"/>
  <c r="C454" i="29"/>
  <c r="C455" i="29"/>
  <c r="C456" i="29"/>
  <c r="C457" i="29"/>
  <c r="C458" i="29"/>
  <c r="C459" i="29"/>
  <c r="C460" i="29"/>
  <c r="C461" i="29"/>
  <c r="C462" i="29"/>
  <c r="C463" i="29"/>
  <c r="C464" i="29"/>
  <c r="C465" i="29"/>
  <c r="C466" i="29"/>
  <c r="C467" i="29"/>
  <c r="C468" i="29"/>
  <c r="C469" i="29"/>
  <c r="C470" i="29"/>
  <c r="C471" i="29"/>
  <c r="C472" i="29"/>
  <c r="C473" i="29"/>
  <c r="C474" i="29"/>
  <c r="C475" i="29"/>
  <c r="C476" i="29"/>
  <c r="C477" i="29"/>
  <c r="C478" i="29"/>
  <c r="C479" i="29"/>
  <c r="C480" i="29"/>
  <c r="C481" i="29"/>
  <c r="C482" i="29"/>
  <c r="C483" i="29"/>
  <c r="C484" i="29"/>
  <c r="C485" i="29"/>
  <c r="C486" i="29"/>
  <c r="C487" i="29"/>
  <c r="C488" i="29"/>
  <c r="C489" i="29"/>
  <c r="C490" i="29"/>
  <c r="C491" i="29"/>
  <c r="C492" i="29"/>
  <c r="C493" i="29"/>
  <c r="C494" i="29"/>
  <c r="C495" i="29"/>
  <c r="C496" i="29"/>
  <c r="C497" i="29"/>
  <c r="C498" i="29"/>
  <c r="C499" i="29"/>
  <c r="C500" i="29"/>
  <c r="C501" i="29"/>
  <c r="C502" i="29"/>
  <c r="C503" i="29"/>
  <c r="C504" i="29"/>
  <c r="C505" i="29"/>
  <c r="C506" i="29"/>
  <c r="C507" i="29"/>
  <c r="C508" i="29"/>
  <c r="C509" i="29"/>
  <c r="C510" i="29"/>
  <c r="C511" i="29"/>
  <c r="C512" i="29"/>
  <c r="C513" i="29"/>
  <c r="C514" i="29"/>
  <c r="C515" i="29"/>
  <c r="C516" i="29"/>
  <c r="C517" i="29"/>
  <c r="C518" i="29"/>
  <c r="C519" i="29"/>
  <c r="C520" i="29"/>
  <c r="C521" i="29"/>
  <c r="C522" i="29"/>
  <c r="C523" i="29"/>
  <c r="C524" i="29"/>
  <c r="C525" i="29"/>
  <c r="C526" i="29"/>
  <c r="C527" i="29"/>
  <c r="C528" i="29"/>
  <c r="C529" i="29"/>
  <c r="C530" i="29"/>
  <c r="C531" i="29"/>
  <c r="C532" i="29"/>
  <c r="C533" i="29"/>
  <c r="C534" i="29"/>
  <c r="C535" i="29"/>
  <c r="C536" i="29"/>
  <c r="C537" i="29"/>
  <c r="C538" i="29"/>
  <c r="C539" i="29"/>
  <c r="C540" i="29"/>
  <c r="C541" i="29"/>
  <c r="C542" i="29"/>
  <c r="C543" i="29"/>
  <c r="C544" i="29"/>
  <c r="C545" i="29"/>
  <c r="C546" i="29"/>
  <c r="C547" i="29"/>
  <c r="C548" i="29"/>
  <c r="C549" i="29"/>
  <c r="C550" i="29"/>
  <c r="C551" i="29"/>
  <c r="C552" i="29"/>
  <c r="C553" i="29"/>
  <c r="C554" i="29"/>
  <c r="C555" i="29"/>
  <c r="C556" i="29"/>
  <c r="C557" i="29"/>
  <c r="C558" i="29"/>
  <c r="C559" i="29"/>
  <c r="C560" i="29"/>
  <c r="C561" i="29"/>
  <c r="C562" i="29"/>
  <c r="C563" i="29"/>
  <c r="C564" i="29"/>
  <c r="C565" i="29"/>
  <c r="C566" i="29"/>
  <c r="C567" i="29"/>
  <c r="C568" i="29"/>
  <c r="C569" i="29"/>
  <c r="C570" i="29"/>
  <c r="C571" i="29"/>
  <c r="C572" i="29"/>
  <c r="C573" i="29"/>
  <c r="C574" i="29"/>
  <c r="C575" i="29"/>
  <c r="C576" i="29"/>
  <c r="C577" i="29"/>
  <c r="C578" i="29"/>
  <c r="C579" i="29"/>
  <c r="C580" i="29"/>
  <c r="C581" i="29"/>
  <c r="C582" i="29"/>
  <c r="C583" i="29"/>
  <c r="C584" i="29"/>
  <c r="C585" i="29"/>
  <c r="C586" i="29"/>
  <c r="C587" i="29"/>
  <c r="C588" i="29"/>
  <c r="C589" i="29"/>
  <c r="C13" i="29"/>
  <c r="H14" i="25"/>
  <c r="L17" i="25"/>
  <c r="L18" i="25"/>
  <c r="L19" i="25"/>
  <c r="L20" i="25"/>
  <c r="L21" i="25"/>
  <c r="L22" i="25"/>
  <c r="L23" i="25"/>
  <c r="L24" i="25"/>
  <c r="L25" i="25"/>
  <c r="L26" i="25"/>
  <c r="L27" i="25"/>
  <c r="L28" i="25"/>
  <c r="L29" i="25"/>
  <c r="L30" i="25"/>
  <c r="L31" i="25"/>
  <c r="L32" i="25"/>
  <c r="L33" i="25"/>
  <c r="L34" i="25"/>
  <c r="L35" i="25"/>
  <c r="L36" i="25"/>
  <c r="L37" i="25"/>
  <c r="L38" i="25"/>
  <c r="L39" i="25"/>
  <c r="L40" i="25"/>
  <c r="L41" i="25"/>
  <c r="L42" i="25"/>
  <c r="L43" i="25"/>
  <c r="L44" i="25"/>
  <c r="L45" i="25"/>
  <c r="L46" i="25"/>
  <c r="L47" i="25"/>
  <c r="L48" i="25"/>
  <c r="L49" i="25"/>
  <c r="L50" i="25"/>
  <c r="L51" i="25"/>
  <c r="L52" i="25"/>
  <c r="L53" i="25"/>
  <c r="L54" i="25"/>
  <c r="L55" i="25"/>
  <c r="L56" i="25"/>
  <c r="L57" i="25"/>
  <c r="L58" i="25"/>
  <c r="L59" i="25"/>
  <c r="L60" i="25"/>
  <c r="L61" i="25"/>
  <c r="L62" i="25"/>
  <c r="L63" i="25"/>
  <c r="L64" i="25"/>
  <c r="L65" i="25"/>
  <c r="L66" i="25"/>
  <c r="L67" i="25"/>
  <c r="L68" i="25"/>
  <c r="L69" i="25"/>
  <c r="L70" i="25"/>
  <c r="L71" i="25"/>
  <c r="L72" i="25"/>
  <c r="L73" i="25"/>
  <c r="L74" i="25"/>
  <c r="L75" i="25"/>
  <c r="L76" i="25"/>
  <c r="L77" i="25"/>
  <c r="L78" i="25"/>
  <c r="L79" i="25"/>
  <c r="L80" i="25"/>
  <c r="L81" i="25"/>
  <c r="L82" i="25"/>
  <c r="L83" i="25"/>
  <c r="L84" i="25"/>
  <c r="L85" i="25"/>
  <c r="L86" i="25"/>
  <c r="L87" i="25"/>
  <c r="L88" i="25"/>
  <c r="L89" i="25"/>
  <c r="L90" i="25"/>
  <c r="L91" i="25"/>
  <c r="L92" i="25"/>
  <c r="L93" i="25"/>
  <c r="L94" i="25"/>
  <c r="L95" i="25"/>
  <c r="L96" i="25"/>
  <c r="L97" i="25"/>
  <c r="L98" i="25"/>
  <c r="L99" i="25"/>
  <c r="L100" i="25"/>
  <c r="L101" i="25"/>
  <c r="L102" i="25"/>
  <c r="L103" i="25"/>
  <c r="L104" i="25"/>
  <c r="L105" i="25"/>
  <c r="L106" i="25"/>
  <c r="L107" i="25"/>
  <c r="L108" i="25"/>
  <c r="L109" i="25"/>
  <c r="L110" i="25"/>
  <c r="L111" i="25"/>
  <c r="L112" i="25"/>
  <c r="L113" i="25"/>
  <c r="L114" i="25"/>
  <c r="L115" i="25"/>
  <c r="L116" i="25"/>
  <c r="L117" i="25"/>
  <c r="L118" i="25"/>
  <c r="L119" i="25"/>
  <c r="L120" i="25"/>
  <c r="L121" i="25"/>
  <c r="L122" i="25"/>
  <c r="L123" i="25"/>
  <c r="L124" i="25"/>
  <c r="L125" i="25"/>
  <c r="L126" i="25"/>
  <c r="L127" i="25"/>
  <c r="L128" i="25"/>
  <c r="L129" i="25"/>
  <c r="L130" i="25"/>
  <c r="L131" i="25"/>
  <c r="L132" i="25"/>
  <c r="L133" i="25"/>
  <c r="L134" i="25"/>
  <c r="L135" i="25"/>
  <c r="L136" i="25"/>
  <c r="L138" i="25"/>
  <c r="L139" i="25"/>
  <c r="L140" i="25"/>
  <c r="L141" i="25"/>
  <c r="L142" i="25"/>
  <c r="L143" i="25"/>
  <c r="L144" i="25"/>
  <c r="L145" i="25"/>
  <c r="L146" i="25"/>
  <c r="L147" i="25"/>
  <c r="L148" i="25"/>
  <c r="L149" i="25"/>
  <c r="L150" i="25"/>
  <c r="L151" i="25"/>
  <c r="L152" i="25"/>
  <c r="L153" i="25"/>
  <c r="L154" i="25"/>
  <c r="L155" i="25"/>
  <c r="L156" i="25"/>
  <c r="L158" i="25"/>
  <c r="L159" i="25"/>
  <c r="L160" i="25"/>
  <c r="L161" i="25"/>
  <c r="L162" i="25"/>
  <c r="L163" i="25"/>
  <c r="L164" i="25"/>
  <c r="L165" i="25"/>
  <c r="L166" i="25"/>
  <c r="L167" i="25"/>
  <c r="L168" i="25"/>
  <c r="L169" i="25"/>
  <c r="L170" i="25"/>
  <c r="L171" i="25"/>
  <c r="L172" i="25"/>
  <c r="L173" i="25"/>
  <c r="L175" i="25"/>
  <c r="L176" i="25"/>
  <c r="L177" i="25"/>
  <c r="L178" i="25"/>
  <c r="L179" i="25"/>
  <c r="L180" i="25"/>
  <c r="L181" i="25"/>
  <c r="L182" i="25"/>
  <c r="L183" i="25"/>
  <c r="L184" i="25"/>
  <c r="L185" i="25"/>
  <c r="L186" i="25"/>
  <c r="L188" i="25"/>
  <c r="L189" i="25"/>
  <c r="L191" i="25"/>
  <c r="L192" i="25"/>
  <c r="L193" i="25"/>
  <c r="L194" i="25"/>
  <c r="L195" i="25"/>
  <c r="L196" i="25"/>
  <c r="L197" i="25"/>
  <c r="L198" i="25"/>
  <c r="L199" i="25"/>
  <c r="L200" i="25"/>
  <c r="L201" i="25"/>
  <c r="L202" i="25"/>
  <c r="L203" i="25"/>
  <c r="L205" i="25"/>
  <c r="L206" i="25"/>
  <c r="L207" i="25"/>
  <c r="L208" i="25"/>
  <c r="L209" i="25"/>
  <c r="L211" i="25"/>
  <c r="L212" i="25"/>
  <c r="L213" i="25"/>
  <c r="L214" i="25"/>
  <c r="L215" i="25"/>
  <c r="L216" i="25"/>
  <c r="L217" i="25"/>
  <c r="L218" i="25"/>
  <c r="L219" i="25"/>
  <c r="L221" i="25"/>
  <c r="L222" i="25"/>
  <c r="L223" i="25"/>
  <c r="L224" i="25"/>
  <c r="L225" i="25"/>
  <c r="L226" i="25"/>
  <c r="L227" i="25"/>
  <c r="L228" i="25"/>
  <c r="L229" i="25"/>
  <c r="L230" i="25"/>
  <c r="L231" i="25"/>
  <c r="L232" i="25"/>
  <c r="L233" i="25"/>
  <c r="L235" i="25"/>
  <c r="L236" i="25"/>
  <c r="L237" i="25"/>
  <c r="L238" i="25"/>
  <c r="L239" i="25"/>
  <c r="L240" i="25"/>
  <c r="L241" i="25"/>
  <c r="L242" i="25"/>
  <c r="L243" i="25"/>
  <c r="L244" i="25"/>
  <c r="L245" i="25"/>
  <c r="L246" i="25"/>
  <c r="L247" i="25"/>
  <c r="L249" i="25"/>
  <c r="L250" i="25"/>
  <c r="L251" i="25"/>
  <c r="L252" i="25"/>
  <c r="L253" i="25"/>
  <c r="L254" i="25"/>
  <c r="L255" i="25"/>
  <c r="L256" i="25"/>
  <c r="L257" i="25"/>
  <c r="L258" i="25"/>
  <c r="L259" i="25"/>
  <c r="L260" i="25"/>
  <c r="L261" i="25"/>
  <c r="L262" i="25"/>
  <c r="L263" i="25"/>
  <c r="L264" i="25"/>
  <c r="L266" i="25"/>
  <c r="L267" i="25"/>
  <c r="L268" i="25"/>
  <c r="L269" i="25"/>
  <c r="L270" i="25"/>
  <c r="L271" i="25"/>
  <c r="L272" i="25"/>
  <c r="L273" i="25"/>
  <c r="L274" i="25"/>
  <c r="L275" i="25"/>
  <c r="L276" i="25"/>
  <c r="L277" i="25"/>
  <c r="L278" i="25"/>
  <c r="L279" i="25"/>
  <c r="L280" i="25"/>
  <c r="L281" i="25"/>
  <c r="L282" i="25"/>
  <c r="L283" i="25"/>
  <c r="L284" i="25"/>
  <c r="L285" i="25"/>
  <c r="L286" i="25"/>
  <c r="L287" i="25"/>
  <c r="L288" i="25"/>
  <c r="L289" i="25"/>
  <c r="L290" i="25"/>
  <c r="L291" i="25"/>
  <c r="L292" i="25"/>
  <c r="L293" i="25"/>
  <c r="L294" i="25"/>
  <c r="L295" i="25"/>
  <c r="L296" i="25"/>
  <c r="L297" i="25"/>
  <c r="L298" i="25"/>
  <c r="L299" i="25"/>
  <c r="L300" i="25"/>
  <c r="L301" i="25"/>
  <c r="L302" i="25"/>
  <c r="L303" i="25"/>
  <c r="L304" i="25"/>
  <c r="L305" i="25"/>
  <c r="L306" i="25"/>
  <c r="L307" i="25"/>
  <c r="L308" i="25"/>
  <c r="L309" i="25"/>
  <c r="L310" i="25"/>
  <c r="L311" i="25"/>
  <c r="L312" i="25"/>
  <c r="L313" i="25"/>
  <c r="L314" i="25"/>
  <c r="L315" i="25"/>
  <c r="L316" i="25"/>
  <c r="L317" i="25"/>
  <c r="L318" i="25"/>
  <c r="L319" i="25"/>
  <c r="L320" i="25"/>
  <c r="L321" i="25"/>
  <c r="L322" i="25"/>
  <c r="L323" i="25"/>
  <c r="L324" i="25"/>
  <c r="L325" i="25"/>
  <c r="L326" i="25"/>
  <c r="L327" i="25"/>
  <c r="L328" i="25"/>
  <c r="L329" i="25"/>
  <c r="L330" i="25"/>
  <c r="L331" i="25"/>
  <c r="L332" i="25"/>
  <c r="L333" i="25"/>
  <c r="L334" i="25"/>
  <c r="L335" i="25"/>
  <c r="L336" i="25"/>
  <c r="L337" i="25"/>
  <c r="L338" i="25"/>
  <c r="L339" i="25"/>
  <c r="L340" i="25"/>
  <c r="L341" i="25"/>
  <c r="L342" i="25"/>
  <c r="L343" i="25"/>
  <c r="L344" i="25"/>
  <c r="L345" i="25"/>
  <c r="L346" i="25"/>
  <c r="L347" i="25"/>
  <c r="L348" i="25"/>
  <c r="L349" i="25"/>
  <c r="L350" i="25"/>
  <c r="L351" i="25"/>
  <c r="L352" i="25"/>
  <c r="L353" i="25"/>
  <c r="L354" i="25"/>
  <c r="L355" i="25"/>
  <c r="L356" i="25"/>
  <c r="L357" i="25"/>
  <c r="L358" i="25"/>
  <c r="L359" i="25"/>
  <c r="L360" i="25"/>
  <c r="L361" i="25"/>
  <c r="L362" i="25"/>
  <c r="L363" i="25"/>
  <c r="L364" i="25"/>
  <c r="L365" i="25"/>
  <c r="L366" i="25"/>
  <c r="L367" i="25"/>
  <c r="L368" i="25"/>
  <c r="L369" i="25"/>
  <c r="L370" i="25"/>
  <c r="L371" i="25"/>
  <c r="L372" i="25"/>
  <c r="L373" i="25"/>
  <c r="L374" i="25"/>
  <c r="L375" i="25"/>
  <c r="L376" i="25"/>
  <c r="L377" i="25"/>
  <c r="L378" i="25"/>
  <c r="L379" i="25"/>
  <c r="L380" i="25"/>
  <c r="L381" i="25"/>
  <c r="L382" i="25"/>
  <c r="L383" i="25"/>
  <c r="L384" i="25"/>
  <c r="L385" i="25"/>
  <c r="L386" i="25"/>
  <c r="L387" i="25"/>
  <c r="L388" i="25"/>
  <c r="L389" i="25"/>
  <c r="L390" i="25"/>
  <c r="L391" i="25"/>
  <c r="L392" i="25"/>
  <c r="L393" i="25"/>
  <c r="L394" i="25"/>
  <c r="L395" i="25"/>
  <c r="L396" i="25"/>
  <c r="L397" i="25"/>
  <c r="L398" i="25"/>
  <c r="L399" i="25"/>
  <c r="L400" i="25"/>
  <c r="L401" i="25"/>
  <c r="L402" i="25"/>
  <c r="L403" i="25"/>
  <c r="L404" i="25"/>
  <c r="L405" i="25"/>
  <c r="L406" i="25"/>
  <c r="L407" i="25"/>
  <c r="L408" i="25"/>
  <c r="L409" i="25"/>
  <c r="L410" i="25"/>
  <c r="L411" i="25"/>
  <c r="L412" i="25"/>
  <c r="L413" i="25"/>
  <c r="L414" i="25"/>
  <c r="L415" i="25"/>
  <c r="L416" i="25"/>
  <c r="L417" i="25"/>
  <c r="L418" i="25"/>
  <c r="L419" i="25"/>
  <c r="L420" i="25"/>
  <c r="L421" i="25"/>
  <c r="L422" i="25"/>
  <c r="L423" i="25"/>
  <c r="L424" i="25"/>
  <c r="L425" i="25"/>
  <c r="L426" i="25"/>
  <c r="L427" i="25"/>
  <c r="L428" i="25"/>
  <c r="L429" i="25"/>
  <c r="L430" i="25"/>
  <c r="L431" i="25"/>
  <c r="L432" i="25"/>
  <c r="L433" i="25"/>
  <c r="L434" i="25"/>
  <c r="L435" i="25"/>
  <c r="L436" i="25"/>
  <c r="L437" i="25"/>
  <c r="L438" i="25"/>
  <c r="L439" i="25"/>
  <c r="L440" i="25"/>
  <c r="L441" i="25"/>
  <c r="L442" i="25"/>
  <c r="L443" i="25"/>
  <c r="L444" i="25"/>
  <c r="L445" i="25"/>
  <c r="L446" i="25"/>
  <c r="L447" i="25"/>
  <c r="L448" i="25"/>
  <c r="L449" i="25"/>
  <c r="L450" i="25"/>
  <c r="L451" i="25"/>
  <c r="L452" i="25"/>
  <c r="L453" i="25"/>
  <c r="L454" i="25"/>
  <c r="L455" i="25"/>
  <c r="L456" i="25"/>
  <c r="L457" i="25"/>
  <c r="L458" i="25"/>
  <c r="L459" i="25"/>
  <c r="L460" i="25"/>
  <c r="L461" i="25"/>
  <c r="L462" i="25"/>
  <c r="L463" i="25"/>
  <c r="L464" i="25"/>
  <c r="L465" i="25"/>
  <c r="L466" i="25"/>
  <c r="L467" i="25"/>
  <c r="L468" i="25"/>
  <c r="L469" i="25"/>
  <c r="L470" i="25"/>
  <c r="L471" i="25"/>
  <c r="L472" i="25"/>
  <c r="L473" i="25"/>
  <c r="L474" i="25"/>
  <c r="L475" i="25"/>
  <c r="L476" i="25"/>
  <c r="L477" i="25"/>
  <c r="L478" i="25"/>
  <c r="L479" i="25"/>
  <c r="L480" i="25"/>
  <c r="L481" i="25"/>
  <c r="L482" i="25"/>
  <c r="L483" i="25"/>
  <c r="L484" i="25"/>
  <c r="L485" i="25"/>
  <c r="L486" i="25"/>
  <c r="L487" i="25"/>
  <c r="L488" i="25"/>
  <c r="L489" i="25"/>
  <c r="L490" i="25"/>
  <c r="L491" i="25"/>
  <c r="L492" i="25"/>
  <c r="L493" i="25"/>
  <c r="L494" i="25"/>
  <c r="L495" i="25"/>
  <c r="L496" i="25"/>
  <c r="L497" i="25"/>
  <c r="L498" i="25"/>
  <c r="L499" i="25"/>
  <c r="L500" i="25"/>
  <c r="L501" i="25"/>
  <c r="L502" i="25"/>
  <c r="L503" i="25"/>
  <c r="L504" i="25"/>
  <c r="L505" i="25"/>
  <c r="L506" i="25"/>
  <c r="L507" i="25"/>
  <c r="L508" i="25"/>
  <c r="L509" i="25"/>
  <c r="L510" i="25"/>
  <c r="L511" i="25"/>
  <c r="L512" i="25"/>
  <c r="L513" i="25"/>
  <c r="L514" i="25"/>
  <c r="L515" i="25"/>
  <c r="L516" i="25"/>
  <c r="L517" i="25"/>
  <c r="L518" i="25"/>
  <c r="L519" i="25"/>
  <c r="L520" i="25"/>
  <c r="L521" i="25"/>
  <c r="L522" i="25"/>
  <c r="L523" i="25"/>
  <c r="L524" i="25"/>
  <c r="L525" i="25"/>
  <c r="L526" i="25"/>
  <c r="L527" i="25"/>
  <c r="L528" i="25"/>
  <c r="L529" i="25"/>
  <c r="L530" i="25"/>
  <c r="L531" i="25"/>
  <c r="L532" i="25"/>
  <c r="L533" i="25"/>
  <c r="L534" i="25"/>
  <c r="L535" i="25"/>
  <c r="L536" i="25"/>
  <c r="L537" i="25"/>
  <c r="L538" i="25"/>
  <c r="L539" i="25"/>
  <c r="L540" i="25"/>
  <c r="L541" i="25"/>
  <c r="L542" i="25"/>
  <c r="L543" i="25"/>
  <c r="L544" i="25"/>
  <c r="L545" i="25"/>
  <c r="L546" i="25"/>
  <c r="L547" i="25"/>
  <c r="L548" i="25"/>
  <c r="L549" i="25"/>
  <c r="L550" i="25"/>
  <c r="L551" i="25"/>
  <c r="L552" i="25"/>
  <c r="L553" i="25"/>
  <c r="L554" i="25"/>
  <c r="L555" i="25"/>
  <c r="L556" i="25"/>
  <c r="L557" i="25"/>
  <c r="L558" i="25"/>
  <c r="L559" i="25"/>
  <c r="L560" i="25"/>
  <c r="L561" i="25"/>
  <c r="L562" i="25"/>
  <c r="L563" i="25"/>
  <c r="L564" i="25"/>
  <c r="L565" i="25"/>
  <c r="L566" i="25"/>
  <c r="L567" i="25"/>
  <c r="L568" i="25"/>
  <c r="L569" i="25"/>
  <c r="L570" i="25"/>
  <c r="L571" i="25"/>
  <c r="L572" i="25"/>
  <c r="L573" i="25"/>
  <c r="L574" i="25"/>
  <c r="L575" i="25"/>
  <c r="L576" i="25"/>
  <c r="L577" i="25"/>
  <c r="L578" i="25"/>
  <c r="L579" i="25"/>
  <c r="L580" i="25"/>
  <c r="L581" i="25"/>
  <c r="L582" i="25"/>
  <c r="L583" i="25"/>
  <c r="L584" i="25"/>
  <c r="L585" i="25"/>
  <c r="L586" i="25"/>
  <c r="L587" i="25"/>
  <c r="L588" i="25"/>
  <c r="L589" i="25"/>
  <c r="L590" i="25"/>
  <c r="L591" i="25"/>
  <c r="L592" i="25"/>
  <c r="L16" i="25"/>
  <c r="N16" i="25"/>
  <c r="M16" i="25"/>
  <c r="M577" i="25"/>
  <c r="N577" i="25"/>
  <c r="O577" i="25"/>
  <c r="N561" i="25"/>
  <c r="O561" i="25"/>
  <c r="M561" i="25"/>
  <c r="M592" i="25"/>
  <c r="N592" i="25"/>
  <c r="O592" i="25"/>
  <c r="M584" i="25"/>
  <c r="N584" i="25"/>
  <c r="O584" i="25"/>
  <c r="N572" i="25"/>
  <c r="O572" i="25"/>
  <c r="M572" i="25"/>
  <c r="M564" i="25"/>
  <c r="N564" i="25"/>
  <c r="O564" i="25"/>
  <c r="M552" i="25"/>
  <c r="N552" i="25"/>
  <c r="O552" i="25"/>
  <c r="M544" i="25"/>
  <c r="N544" i="25"/>
  <c r="O544" i="25"/>
  <c r="M532" i="25"/>
  <c r="N532" i="25"/>
  <c r="O532" i="25"/>
  <c r="N524" i="25"/>
  <c r="O524" i="25"/>
  <c r="M524" i="25"/>
  <c r="M512" i="25"/>
  <c r="N512" i="25"/>
  <c r="O512" i="25"/>
  <c r="M500" i="25"/>
  <c r="N500" i="25"/>
  <c r="O500" i="25"/>
  <c r="M492" i="25"/>
  <c r="N492" i="25"/>
  <c r="O492" i="25"/>
  <c r="M472" i="25"/>
  <c r="N472" i="25"/>
  <c r="O472" i="25"/>
  <c r="M587" i="25"/>
  <c r="N587" i="25"/>
  <c r="O587" i="25"/>
  <c r="M579" i="25"/>
  <c r="N579" i="25"/>
  <c r="O579" i="25"/>
  <c r="M575" i="25"/>
  <c r="N575" i="25"/>
  <c r="O575" i="25"/>
  <c r="N567" i="25"/>
  <c r="O567" i="25"/>
  <c r="M567" i="25"/>
  <c r="N563" i="25"/>
  <c r="O563" i="25"/>
  <c r="M563" i="25"/>
  <c r="N555" i="25"/>
  <c r="O555" i="25"/>
  <c r="M555" i="25"/>
  <c r="N551" i="25"/>
  <c r="O551" i="25"/>
  <c r="M551" i="25"/>
  <c r="M543" i="25"/>
  <c r="N543" i="25"/>
  <c r="O543" i="25"/>
  <c r="N539" i="25"/>
  <c r="O539" i="25"/>
  <c r="M539" i="25"/>
  <c r="N531" i="25"/>
  <c r="O531" i="25"/>
  <c r="M531" i="25"/>
  <c r="N523" i="25"/>
  <c r="O523" i="25"/>
  <c r="M523" i="25"/>
  <c r="N519" i="25"/>
  <c r="O519" i="25"/>
  <c r="M519" i="25"/>
  <c r="M511" i="25"/>
  <c r="N511" i="25"/>
  <c r="O511" i="25"/>
  <c r="N507" i="25"/>
  <c r="O507" i="25"/>
  <c r="M507" i="25"/>
  <c r="M503" i="25"/>
  <c r="N503" i="25"/>
  <c r="O503" i="25"/>
  <c r="M495" i="25"/>
  <c r="N495" i="25"/>
  <c r="O495" i="25"/>
  <c r="N491" i="25"/>
  <c r="O491" i="25"/>
  <c r="M491" i="25"/>
  <c r="M487" i="25"/>
  <c r="N487" i="25"/>
  <c r="O487" i="25"/>
  <c r="N479" i="25"/>
  <c r="O479" i="25"/>
  <c r="M479" i="25"/>
  <c r="N475" i="25"/>
  <c r="O475" i="25"/>
  <c r="M475" i="25"/>
  <c r="M467" i="25"/>
  <c r="N467" i="25"/>
  <c r="O467" i="25"/>
  <c r="N463" i="25"/>
  <c r="O463" i="25"/>
  <c r="M463" i="25"/>
  <c r="N455" i="25"/>
  <c r="O455" i="25"/>
  <c r="M455" i="25"/>
  <c r="M451" i="25"/>
  <c r="N451" i="25"/>
  <c r="O451" i="25"/>
  <c r="N443" i="25"/>
  <c r="O443" i="25"/>
  <c r="M443" i="25"/>
  <c r="M439" i="25"/>
  <c r="N439" i="25"/>
  <c r="O439" i="25"/>
  <c r="M431" i="25"/>
  <c r="N431" i="25"/>
  <c r="O431" i="25"/>
  <c r="N423" i="25"/>
  <c r="O423" i="25"/>
  <c r="M423" i="25"/>
  <c r="N419" i="25"/>
  <c r="O419" i="25"/>
  <c r="M419" i="25"/>
  <c r="N411" i="25"/>
  <c r="O411" i="25"/>
  <c r="M411" i="25"/>
  <c r="M399" i="25"/>
  <c r="N399" i="25"/>
  <c r="O399" i="25"/>
  <c r="M590" i="25"/>
  <c r="N590" i="25"/>
  <c r="O590" i="25"/>
  <c r="N586" i="25"/>
  <c r="O586" i="25"/>
  <c r="M586" i="25"/>
  <c r="N582" i="25"/>
  <c r="O582" i="25"/>
  <c r="M582" i="25"/>
  <c r="N578" i="25"/>
  <c r="O578" i="25"/>
  <c r="M578" i="25"/>
  <c r="N574" i="25"/>
  <c r="O574" i="25"/>
  <c r="M574" i="25"/>
  <c r="N570" i="25"/>
  <c r="O570" i="25"/>
  <c r="M570" i="25"/>
  <c r="N566" i="25"/>
  <c r="O566" i="25"/>
  <c r="M566" i="25"/>
  <c r="M562" i="25"/>
  <c r="N562" i="25"/>
  <c r="O562" i="25"/>
  <c r="N558" i="25"/>
  <c r="O558" i="25"/>
  <c r="M558" i="25"/>
  <c r="M554" i="25"/>
  <c r="N554" i="25"/>
  <c r="O554" i="25"/>
  <c r="N550" i="25"/>
  <c r="O550" i="25"/>
  <c r="M550" i="25"/>
  <c r="M546" i="25"/>
  <c r="N546" i="25"/>
  <c r="O546" i="25"/>
  <c r="N542" i="25"/>
  <c r="O542" i="25"/>
  <c r="M542" i="25"/>
  <c r="N538" i="25"/>
  <c r="O538" i="25"/>
  <c r="M538" i="25"/>
  <c r="N534" i="25"/>
  <c r="O534" i="25"/>
  <c r="M534" i="25"/>
  <c r="M530" i="25"/>
  <c r="N530" i="25"/>
  <c r="O530" i="25"/>
  <c r="M526" i="25"/>
  <c r="N526" i="25"/>
  <c r="O526" i="25"/>
  <c r="M522" i="25"/>
  <c r="N522" i="25"/>
  <c r="O522" i="25"/>
  <c r="M518" i="25"/>
  <c r="N518" i="25"/>
  <c r="O518" i="25"/>
  <c r="M514" i="25"/>
  <c r="N514" i="25"/>
  <c r="O514" i="25"/>
  <c r="N510" i="25"/>
  <c r="O510" i="25"/>
  <c r="M510" i="25"/>
  <c r="N506" i="25"/>
  <c r="O506" i="25"/>
  <c r="M506" i="25"/>
  <c r="N502" i="25"/>
  <c r="O502" i="25"/>
  <c r="M502" i="25"/>
  <c r="N498" i="25"/>
  <c r="O498" i="25"/>
  <c r="M498" i="25"/>
  <c r="N494" i="25"/>
  <c r="O494" i="25"/>
  <c r="M494" i="25"/>
  <c r="M490" i="25"/>
  <c r="N490" i="25"/>
  <c r="O490" i="25"/>
  <c r="M486" i="25"/>
  <c r="N486" i="25"/>
  <c r="O486" i="25"/>
  <c r="M482" i="25"/>
  <c r="N482" i="25"/>
  <c r="O482" i="25"/>
  <c r="M478" i="25"/>
  <c r="N478" i="25"/>
  <c r="O478" i="25"/>
  <c r="M474" i="25"/>
  <c r="N474" i="25"/>
  <c r="O474" i="25"/>
  <c r="M470" i="25"/>
  <c r="N470" i="25"/>
  <c r="O470" i="25"/>
  <c r="N466" i="25"/>
  <c r="O466" i="25"/>
  <c r="M466" i="25"/>
  <c r="M462" i="25"/>
  <c r="N462" i="25"/>
  <c r="O462" i="25"/>
  <c r="N458" i="25"/>
  <c r="O458" i="25"/>
  <c r="M458" i="25"/>
  <c r="M454" i="25"/>
  <c r="N454" i="25"/>
  <c r="O454" i="25"/>
  <c r="M450" i="25"/>
  <c r="N450" i="25"/>
  <c r="O450" i="25"/>
  <c r="M446" i="25"/>
  <c r="N446" i="25"/>
  <c r="O446" i="25"/>
  <c r="M442" i="25"/>
  <c r="N442" i="25"/>
  <c r="O442" i="25"/>
  <c r="N438" i="25"/>
  <c r="O438" i="25"/>
  <c r="M438" i="25"/>
  <c r="M434" i="25"/>
  <c r="N434" i="25"/>
  <c r="O434" i="25"/>
  <c r="M430" i="25"/>
  <c r="N430" i="25"/>
  <c r="O430" i="25"/>
  <c r="M426" i="25"/>
  <c r="N426" i="25"/>
  <c r="O426" i="25"/>
  <c r="M422" i="25"/>
  <c r="N422" i="25"/>
  <c r="O422" i="25"/>
  <c r="M418" i="25"/>
  <c r="N418" i="25"/>
  <c r="O418" i="25"/>
  <c r="M414" i="25"/>
  <c r="N414" i="25"/>
  <c r="O414" i="25"/>
  <c r="N410" i="25"/>
  <c r="O410" i="25"/>
  <c r="M410" i="25"/>
  <c r="M406" i="25"/>
  <c r="N406" i="25"/>
  <c r="O406" i="25"/>
  <c r="N402" i="25"/>
  <c r="O402" i="25"/>
  <c r="M402" i="25"/>
  <c r="N398" i="25"/>
  <c r="O398" i="25"/>
  <c r="M398" i="25"/>
  <c r="M394" i="25"/>
  <c r="N394" i="25"/>
  <c r="O394" i="25"/>
  <c r="M390" i="25"/>
  <c r="N390" i="25"/>
  <c r="O390" i="25"/>
  <c r="M386" i="25"/>
  <c r="N386" i="25"/>
  <c r="O386" i="25"/>
  <c r="M382" i="25"/>
  <c r="N382" i="25"/>
  <c r="O382" i="25"/>
  <c r="M378" i="25"/>
  <c r="N378" i="25"/>
  <c r="O378" i="25"/>
  <c r="M374" i="25"/>
  <c r="N374" i="25"/>
  <c r="O374" i="25"/>
  <c r="M370" i="25"/>
  <c r="N370" i="25"/>
  <c r="O370" i="25"/>
  <c r="N366" i="25"/>
  <c r="O366" i="25"/>
  <c r="M366" i="25"/>
  <c r="M362" i="25"/>
  <c r="N362" i="25"/>
  <c r="O362" i="25"/>
  <c r="N358" i="25"/>
  <c r="O358" i="25"/>
  <c r="M358" i="25"/>
  <c r="M354" i="25"/>
  <c r="N354" i="25"/>
  <c r="O354" i="25"/>
  <c r="N350" i="25"/>
  <c r="O350" i="25"/>
  <c r="M350" i="25"/>
  <c r="M346" i="25"/>
  <c r="N346" i="25"/>
  <c r="O346" i="25"/>
  <c r="N342" i="25"/>
  <c r="O342" i="25"/>
  <c r="M342" i="25"/>
  <c r="N338" i="25"/>
  <c r="O338" i="25"/>
  <c r="M338" i="25"/>
  <c r="N334" i="25"/>
  <c r="O334" i="25"/>
  <c r="M334" i="25"/>
  <c r="N330" i="25"/>
  <c r="O330" i="25"/>
  <c r="M330" i="25"/>
  <c r="N326" i="25"/>
  <c r="O326" i="25"/>
  <c r="M326" i="25"/>
  <c r="N322" i="25"/>
  <c r="O322" i="25"/>
  <c r="M322" i="25"/>
  <c r="M318" i="25"/>
  <c r="N318" i="25"/>
  <c r="O318" i="25"/>
  <c r="N314" i="25"/>
  <c r="O314" i="25"/>
  <c r="M314" i="25"/>
  <c r="M310" i="25"/>
  <c r="N310" i="25"/>
  <c r="O310" i="25"/>
  <c r="N306" i="25"/>
  <c r="O306" i="25"/>
  <c r="M306" i="25"/>
  <c r="M302" i="25"/>
  <c r="N302" i="25"/>
  <c r="O302" i="25"/>
  <c r="N298" i="25"/>
  <c r="O298" i="25"/>
  <c r="M298" i="25"/>
  <c r="M294" i="25"/>
  <c r="N294" i="25"/>
  <c r="O294" i="25"/>
  <c r="N290" i="25"/>
  <c r="O290" i="25"/>
  <c r="M290" i="25"/>
  <c r="N286" i="25"/>
  <c r="O286" i="25"/>
  <c r="M286" i="25"/>
  <c r="N282" i="25"/>
  <c r="O282" i="25"/>
  <c r="M282" i="25"/>
  <c r="M278" i="25"/>
  <c r="N278" i="25"/>
  <c r="O278" i="25"/>
  <c r="N274" i="25"/>
  <c r="O274" i="25"/>
  <c r="M274" i="25"/>
  <c r="M270" i="25"/>
  <c r="N270" i="25"/>
  <c r="O270" i="25"/>
  <c r="N266" i="25"/>
  <c r="O266" i="25"/>
  <c r="M266" i="25"/>
  <c r="M261" i="25"/>
  <c r="N261" i="25"/>
  <c r="O261" i="25"/>
  <c r="M257" i="25"/>
  <c r="N257" i="25"/>
  <c r="O257" i="25"/>
  <c r="M253" i="25"/>
  <c r="N253" i="25"/>
  <c r="O253" i="25"/>
  <c r="N249" i="25"/>
  <c r="O249" i="25"/>
  <c r="M249" i="25"/>
  <c r="M244" i="25"/>
  <c r="N244" i="25"/>
  <c r="O244" i="25"/>
  <c r="M240" i="25"/>
  <c r="N240" i="25"/>
  <c r="O240" i="25"/>
  <c r="N236" i="25"/>
  <c r="O236" i="25"/>
  <c r="M236" i="25"/>
  <c r="M231" i="25"/>
  <c r="N231" i="25"/>
  <c r="O231" i="25"/>
  <c r="M227" i="25"/>
  <c r="N227" i="25"/>
  <c r="O227" i="25"/>
  <c r="M223" i="25"/>
  <c r="N223" i="25"/>
  <c r="O223" i="25"/>
  <c r="N218" i="25"/>
  <c r="O218" i="25"/>
  <c r="M218" i="25"/>
  <c r="N214" i="25"/>
  <c r="O214" i="25"/>
  <c r="M214" i="25"/>
  <c r="M209" i="25"/>
  <c r="N209" i="25"/>
  <c r="O209" i="25"/>
  <c r="M205" i="25"/>
  <c r="N205" i="25"/>
  <c r="O205" i="25"/>
  <c r="M200" i="25"/>
  <c r="N200" i="25"/>
  <c r="O200" i="25"/>
  <c r="M196" i="25"/>
  <c r="N196" i="25"/>
  <c r="O196" i="25"/>
  <c r="M192" i="25"/>
  <c r="N192" i="25"/>
  <c r="O192" i="25"/>
  <c r="N186" i="25"/>
  <c r="O186" i="25"/>
  <c r="M186" i="25"/>
  <c r="M182" i="25"/>
  <c r="N182" i="25"/>
  <c r="O182" i="25"/>
  <c r="M178" i="25"/>
  <c r="N178" i="25"/>
  <c r="O178" i="25"/>
  <c r="N173" i="25"/>
  <c r="O173" i="25"/>
  <c r="M173" i="25"/>
  <c r="M169" i="25"/>
  <c r="N169" i="25"/>
  <c r="O169" i="25"/>
  <c r="N165" i="25"/>
  <c r="O165" i="25"/>
  <c r="M165" i="25"/>
  <c r="N161" i="25"/>
  <c r="O161" i="25"/>
  <c r="M161" i="25"/>
  <c r="M156" i="25"/>
  <c r="N156" i="25"/>
  <c r="O156" i="25"/>
  <c r="N152" i="25"/>
  <c r="O152" i="25"/>
  <c r="M152" i="25"/>
  <c r="M148" i="25"/>
  <c r="N148" i="25"/>
  <c r="O148" i="25"/>
  <c r="N144" i="25"/>
  <c r="O144" i="25"/>
  <c r="M144" i="25"/>
  <c r="N140" i="25"/>
  <c r="O140" i="25"/>
  <c r="M140" i="25"/>
  <c r="M135" i="25"/>
  <c r="N135" i="25"/>
  <c r="O135" i="25"/>
  <c r="M131" i="25"/>
  <c r="N131" i="25"/>
  <c r="O131" i="25"/>
  <c r="N127" i="25"/>
  <c r="O127" i="25"/>
  <c r="M127" i="25"/>
  <c r="M123" i="25"/>
  <c r="N123" i="25"/>
  <c r="O123" i="25"/>
  <c r="N119" i="25"/>
  <c r="O119" i="25"/>
  <c r="M119" i="25"/>
  <c r="M115" i="25"/>
  <c r="N115" i="25"/>
  <c r="O115" i="25"/>
  <c r="N111" i="25"/>
  <c r="O111" i="25"/>
  <c r="M111" i="25"/>
  <c r="M107" i="25"/>
  <c r="N107" i="25"/>
  <c r="O107" i="25"/>
  <c r="M103" i="25"/>
  <c r="N103" i="25"/>
  <c r="O103" i="25"/>
  <c r="M99" i="25"/>
  <c r="N99" i="25"/>
  <c r="O99" i="25"/>
  <c r="N95" i="25"/>
  <c r="O95" i="25"/>
  <c r="M95" i="25"/>
  <c r="M91" i="25"/>
  <c r="N91" i="25"/>
  <c r="O91" i="25"/>
  <c r="N87" i="25"/>
  <c r="O87" i="25"/>
  <c r="M87" i="25"/>
  <c r="M83" i="25"/>
  <c r="N83" i="25"/>
  <c r="O83" i="25"/>
  <c r="N79" i="25"/>
  <c r="O79" i="25"/>
  <c r="M79" i="25"/>
  <c r="M75" i="25"/>
  <c r="N75" i="25"/>
  <c r="O75" i="25"/>
  <c r="N71" i="25"/>
  <c r="O71" i="25"/>
  <c r="M71" i="25"/>
  <c r="M67" i="25"/>
  <c r="N67" i="25"/>
  <c r="O67" i="25"/>
  <c r="M63" i="25"/>
  <c r="N63" i="25"/>
  <c r="O63" i="25"/>
  <c r="M59" i="25"/>
  <c r="N59" i="25"/>
  <c r="O59" i="25"/>
  <c r="N55" i="25"/>
  <c r="O55" i="25"/>
  <c r="M55" i="25"/>
  <c r="M51" i="25"/>
  <c r="N51" i="25"/>
  <c r="O51" i="25"/>
  <c r="M47" i="25"/>
  <c r="N47" i="25"/>
  <c r="O47" i="25"/>
  <c r="N43" i="25"/>
  <c r="O43" i="25"/>
  <c r="M43" i="25"/>
  <c r="N39" i="25"/>
  <c r="O39" i="25"/>
  <c r="M39" i="25"/>
  <c r="N35" i="25"/>
  <c r="O35" i="25"/>
  <c r="M35" i="25"/>
  <c r="N31" i="25"/>
  <c r="O31" i="25"/>
  <c r="M31" i="25"/>
  <c r="N27" i="25"/>
  <c r="O27" i="25"/>
  <c r="M27" i="25"/>
  <c r="N23" i="25"/>
  <c r="O23" i="25"/>
  <c r="M23" i="25"/>
  <c r="M19" i="25"/>
  <c r="N19" i="25"/>
  <c r="O19" i="25"/>
  <c r="M581" i="25"/>
  <c r="N581" i="25"/>
  <c r="O581" i="25"/>
  <c r="M565" i="25"/>
  <c r="N565" i="25"/>
  <c r="O565" i="25"/>
  <c r="N553" i="25"/>
  <c r="O553" i="25"/>
  <c r="M553" i="25"/>
  <c r="M549" i="25"/>
  <c r="N549" i="25"/>
  <c r="O549" i="25"/>
  <c r="M545" i="25"/>
  <c r="N545" i="25"/>
  <c r="O545" i="25"/>
  <c r="M541" i="25"/>
  <c r="N541" i="25"/>
  <c r="O541" i="25"/>
  <c r="M537" i="25"/>
  <c r="N537" i="25"/>
  <c r="O537" i="25"/>
  <c r="M533" i="25"/>
  <c r="N533" i="25"/>
  <c r="O533" i="25"/>
  <c r="N529" i="25"/>
  <c r="O529" i="25"/>
  <c r="M529" i="25"/>
  <c r="M525" i="25"/>
  <c r="N525" i="25"/>
  <c r="O525" i="25"/>
  <c r="N521" i="25"/>
  <c r="O521" i="25"/>
  <c r="M521" i="25"/>
  <c r="M517" i="25"/>
  <c r="N517" i="25"/>
  <c r="O517" i="25"/>
  <c r="M513" i="25"/>
  <c r="N513" i="25"/>
  <c r="O513" i="25"/>
  <c r="M509" i="25"/>
  <c r="N509" i="25"/>
  <c r="O509" i="25"/>
  <c r="M505" i="25"/>
  <c r="N505" i="25"/>
  <c r="O505" i="25"/>
  <c r="M501" i="25"/>
  <c r="N501" i="25"/>
  <c r="O501" i="25"/>
  <c r="M497" i="25"/>
  <c r="N497" i="25"/>
  <c r="O497" i="25"/>
  <c r="M493" i="25"/>
  <c r="N493" i="25"/>
  <c r="O493" i="25"/>
  <c r="M489" i="25"/>
  <c r="N489" i="25"/>
  <c r="O489" i="25"/>
  <c r="M485" i="25"/>
  <c r="N485" i="25"/>
  <c r="O485" i="25"/>
  <c r="N481" i="25"/>
  <c r="O481" i="25"/>
  <c r="M481" i="25"/>
  <c r="M477" i="25"/>
  <c r="N477" i="25"/>
  <c r="O477" i="25"/>
  <c r="M473" i="25"/>
  <c r="N473" i="25"/>
  <c r="O473" i="25"/>
  <c r="N469" i="25"/>
  <c r="O469" i="25"/>
  <c r="M469" i="25"/>
  <c r="M465" i="25"/>
  <c r="N465" i="25"/>
  <c r="O465" i="25"/>
  <c r="M461" i="25"/>
  <c r="N461" i="25"/>
  <c r="O461" i="25"/>
  <c r="M457" i="25"/>
  <c r="N457" i="25"/>
  <c r="O457" i="25"/>
  <c r="M453" i="25"/>
  <c r="N453" i="25"/>
  <c r="O453" i="25"/>
  <c r="M449" i="25"/>
  <c r="N449" i="25"/>
  <c r="O449" i="25"/>
  <c r="M445" i="25"/>
  <c r="N445" i="25"/>
  <c r="O445" i="25"/>
  <c r="M441" i="25"/>
  <c r="N441" i="25"/>
  <c r="O441" i="25"/>
  <c r="M437" i="25"/>
  <c r="N437" i="25"/>
  <c r="O437" i="25"/>
  <c r="M433" i="25"/>
  <c r="N433" i="25"/>
  <c r="O433" i="25"/>
  <c r="M429" i="25"/>
  <c r="N429" i="25"/>
  <c r="O429" i="25"/>
  <c r="N425" i="25"/>
  <c r="O425" i="25"/>
  <c r="M425" i="25"/>
  <c r="M421" i="25"/>
  <c r="N421" i="25"/>
  <c r="O421" i="25"/>
  <c r="M417" i="25"/>
  <c r="N417" i="25"/>
  <c r="O417" i="25"/>
  <c r="M413" i="25"/>
  <c r="N413" i="25"/>
  <c r="O413" i="25"/>
  <c r="N409" i="25"/>
  <c r="O409" i="25"/>
  <c r="M409" i="25"/>
  <c r="N405" i="25"/>
  <c r="O405" i="25"/>
  <c r="M405" i="25"/>
  <c r="M401" i="25"/>
  <c r="N401" i="25"/>
  <c r="O401" i="25"/>
  <c r="M397" i="25"/>
  <c r="N397" i="25"/>
  <c r="O397" i="25"/>
  <c r="M393" i="25"/>
  <c r="N393" i="25"/>
  <c r="O393" i="25"/>
  <c r="M389" i="25"/>
  <c r="N389" i="25"/>
  <c r="O389" i="25"/>
  <c r="N385" i="25"/>
  <c r="O385" i="25"/>
  <c r="M385" i="25"/>
  <c r="M381" i="25"/>
  <c r="N381" i="25"/>
  <c r="O381" i="25"/>
  <c r="M377" i="25"/>
  <c r="N377" i="25"/>
  <c r="O377" i="25"/>
  <c r="M373" i="25"/>
  <c r="N373" i="25"/>
  <c r="O373" i="25"/>
  <c r="M369" i="25"/>
  <c r="N369" i="25"/>
  <c r="O369" i="25"/>
  <c r="M365" i="25"/>
  <c r="N365" i="25"/>
  <c r="O365" i="25"/>
  <c r="M361" i="25"/>
  <c r="N361" i="25"/>
  <c r="O361" i="25"/>
  <c r="M357" i="25"/>
  <c r="N357" i="25"/>
  <c r="O357" i="25"/>
  <c r="N353" i="25"/>
  <c r="O353" i="25"/>
  <c r="M353" i="25"/>
  <c r="M349" i="25"/>
  <c r="N349" i="25"/>
  <c r="O349" i="25"/>
  <c r="M345" i="25"/>
  <c r="N345" i="25"/>
  <c r="O345" i="25"/>
  <c r="M341" i="25"/>
  <c r="N341" i="25"/>
  <c r="O341" i="25"/>
  <c r="M337" i="25"/>
  <c r="N337" i="25"/>
  <c r="O337" i="25"/>
  <c r="M333" i="25"/>
  <c r="N333" i="25"/>
  <c r="O333" i="25"/>
  <c r="M329" i="25"/>
  <c r="N329" i="25"/>
  <c r="O329" i="25"/>
  <c r="M325" i="25"/>
  <c r="N325" i="25"/>
  <c r="O325" i="25"/>
  <c r="M321" i="25"/>
  <c r="N321" i="25"/>
  <c r="O321" i="25"/>
  <c r="N317" i="25"/>
  <c r="O317" i="25"/>
  <c r="M317" i="25"/>
  <c r="M313" i="25"/>
  <c r="N313" i="25"/>
  <c r="O313" i="25"/>
  <c r="M309" i="25"/>
  <c r="N309" i="25"/>
  <c r="O309" i="25"/>
  <c r="M305" i="25"/>
  <c r="N305" i="25"/>
  <c r="O305" i="25"/>
  <c r="N301" i="25"/>
  <c r="O301" i="25"/>
  <c r="M301" i="25"/>
  <c r="M297" i="25"/>
  <c r="N297" i="25"/>
  <c r="O297" i="25"/>
  <c r="M293" i="25"/>
  <c r="N293" i="25"/>
  <c r="O293" i="25"/>
  <c r="M289" i="25"/>
  <c r="N289" i="25"/>
  <c r="O289" i="25"/>
  <c r="M285" i="25"/>
  <c r="N285" i="25"/>
  <c r="O285" i="25"/>
  <c r="M281" i="25"/>
  <c r="N281" i="25"/>
  <c r="O281" i="25"/>
  <c r="M277" i="25"/>
  <c r="N277" i="25"/>
  <c r="O277" i="25"/>
  <c r="M273" i="25"/>
  <c r="N273" i="25"/>
  <c r="O273" i="25"/>
  <c r="N269" i="25"/>
  <c r="O269" i="25"/>
  <c r="M269" i="25"/>
  <c r="M264" i="25"/>
  <c r="N264" i="25"/>
  <c r="O264" i="25"/>
  <c r="M260" i="25"/>
  <c r="N260" i="25"/>
  <c r="O260" i="25"/>
  <c r="M256" i="25"/>
  <c r="N256" i="25"/>
  <c r="O256" i="25"/>
  <c r="M252" i="25"/>
  <c r="N252" i="25"/>
  <c r="O252" i="25"/>
  <c r="M247" i="25"/>
  <c r="N247" i="25"/>
  <c r="O247" i="25"/>
  <c r="M243" i="25"/>
  <c r="N243" i="25"/>
  <c r="O243" i="25"/>
  <c r="M239" i="25"/>
  <c r="N239" i="25"/>
  <c r="O239" i="25"/>
  <c r="M235" i="25"/>
  <c r="N235" i="25"/>
  <c r="O235" i="25"/>
  <c r="M230" i="25"/>
  <c r="N230" i="25"/>
  <c r="O230" i="25"/>
  <c r="N226" i="25"/>
  <c r="O226" i="25"/>
  <c r="M226" i="25"/>
  <c r="M222" i="25"/>
  <c r="N222" i="25"/>
  <c r="O222" i="25"/>
  <c r="M217" i="25"/>
  <c r="N217" i="25"/>
  <c r="O217" i="25"/>
  <c r="M213" i="25"/>
  <c r="N213" i="25"/>
  <c r="O213" i="25"/>
  <c r="M208" i="25"/>
  <c r="N208" i="25"/>
  <c r="O208" i="25"/>
  <c r="N203" i="25"/>
  <c r="O203" i="25"/>
  <c r="M203" i="25"/>
  <c r="M199" i="25"/>
  <c r="N199" i="25"/>
  <c r="O199" i="25"/>
  <c r="M195" i="25"/>
  <c r="N195" i="25"/>
  <c r="O195" i="25"/>
  <c r="M191" i="25"/>
  <c r="N191" i="25"/>
  <c r="O191" i="25"/>
  <c r="N185" i="25"/>
  <c r="O185" i="25"/>
  <c r="M185" i="25"/>
  <c r="N181" i="25"/>
  <c r="O181" i="25"/>
  <c r="M181" i="25"/>
  <c r="M177" i="25"/>
  <c r="N177" i="25"/>
  <c r="O177" i="25"/>
  <c r="N172" i="25"/>
  <c r="O172" i="25"/>
  <c r="M172" i="25"/>
  <c r="M168" i="25"/>
  <c r="N168" i="25"/>
  <c r="O168" i="25"/>
  <c r="M164" i="25"/>
  <c r="N164" i="25"/>
  <c r="O164" i="25"/>
  <c r="N160" i="25"/>
  <c r="O160" i="25"/>
  <c r="M160" i="25"/>
  <c r="M155" i="25"/>
  <c r="N155" i="25"/>
  <c r="O155" i="25"/>
  <c r="N151" i="25"/>
  <c r="O151" i="25"/>
  <c r="M151" i="25"/>
  <c r="N147" i="25"/>
  <c r="O147" i="25"/>
  <c r="M147" i="25"/>
  <c r="N143" i="25"/>
  <c r="O143" i="25"/>
  <c r="M143" i="25"/>
  <c r="M139" i="25"/>
  <c r="N139" i="25"/>
  <c r="O139" i="25"/>
  <c r="N134" i="25"/>
  <c r="O134" i="25"/>
  <c r="M134" i="25"/>
  <c r="N130" i="25"/>
  <c r="O130" i="25"/>
  <c r="M130" i="25"/>
  <c r="N126" i="25"/>
  <c r="O126" i="25"/>
  <c r="M126" i="25"/>
  <c r="N122" i="25"/>
  <c r="O122" i="25"/>
  <c r="M122" i="25"/>
  <c r="N118" i="25"/>
  <c r="O118" i="25"/>
  <c r="M118" i="25"/>
  <c r="M114" i="25"/>
  <c r="N114" i="25"/>
  <c r="O114" i="25"/>
  <c r="N110" i="25"/>
  <c r="O110" i="25"/>
  <c r="M110" i="25"/>
  <c r="N106" i="25"/>
  <c r="O106" i="25"/>
  <c r="M106" i="25"/>
  <c r="N102" i="25"/>
  <c r="O102" i="25"/>
  <c r="M102" i="25"/>
  <c r="N98" i="25"/>
  <c r="O98" i="25"/>
  <c r="M98" i="25"/>
  <c r="N94" i="25"/>
  <c r="O94" i="25"/>
  <c r="M94" i="25"/>
  <c r="N90" i="25"/>
  <c r="O90" i="25"/>
  <c r="M90" i="25"/>
  <c r="N86" i="25"/>
  <c r="O86" i="25"/>
  <c r="M86" i="25"/>
  <c r="N82" i="25"/>
  <c r="O82" i="25"/>
  <c r="M82" i="25"/>
  <c r="N78" i="25"/>
  <c r="O78" i="25"/>
  <c r="M78" i="25"/>
  <c r="M74" i="25"/>
  <c r="N74" i="25"/>
  <c r="O74" i="25"/>
  <c r="N70" i="25"/>
  <c r="O70" i="25"/>
  <c r="M70" i="25"/>
  <c r="N66" i="25"/>
  <c r="O66" i="25"/>
  <c r="M66" i="25"/>
  <c r="N62" i="25"/>
  <c r="O62" i="25"/>
  <c r="M62" i="25"/>
  <c r="N58" i="25"/>
  <c r="O58" i="25"/>
  <c r="M58" i="25"/>
  <c r="N54" i="25"/>
  <c r="O54" i="25"/>
  <c r="M54" i="25"/>
  <c r="N50" i="25"/>
  <c r="O50" i="25"/>
  <c r="M50" i="25"/>
  <c r="N46" i="25"/>
  <c r="O46" i="25"/>
  <c r="M46" i="25"/>
  <c r="N42" i="25"/>
  <c r="O42" i="25"/>
  <c r="M42" i="25"/>
  <c r="M38" i="25"/>
  <c r="N38" i="25"/>
  <c r="O38" i="25"/>
  <c r="M34" i="25"/>
  <c r="N34" i="25"/>
  <c r="O34" i="25"/>
  <c r="M30" i="25"/>
  <c r="N30" i="25"/>
  <c r="O30" i="25"/>
  <c r="N26" i="25"/>
  <c r="O26" i="25"/>
  <c r="M26" i="25"/>
  <c r="M22" i="25"/>
  <c r="N22" i="25"/>
  <c r="O22" i="25"/>
  <c r="N18" i="25"/>
  <c r="O18" i="25"/>
  <c r="M18" i="25"/>
  <c r="M585" i="25"/>
  <c r="N585" i="25"/>
  <c r="O585" i="25"/>
  <c r="M569" i="25"/>
  <c r="N569" i="25"/>
  <c r="O569" i="25"/>
  <c r="M580" i="25"/>
  <c r="N580" i="25"/>
  <c r="O580" i="25"/>
  <c r="M560" i="25"/>
  <c r="N560" i="25"/>
  <c r="O560" i="25"/>
  <c r="N540" i="25"/>
  <c r="O540" i="25"/>
  <c r="M540" i="25"/>
  <c r="M520" i="25"/>
  <c r="N520" i="25"/>
  <c r="O520" i="25"/>
  <c r="M504" i="25"/>
  <c r="N504" i="25"/>
  <c r="O504" i="25"/>
  <c r="M488" i="25"/>
  <c r="N488" i="25"/>
  <c r="O488" i="25"/>
  <c r="M484" i="25"/>
  <c r="N484" i="25"/>
  <c r="O484" i="25"/>
  <c r="M476" i="25"/>
  <c r="N476" i="25"/>
  <c r="O476" i="25"/>
  <c r="M468" i="25"/>
  <c r="N468" i="25"/>
  <c r="O468" i="25"/>
  <c r="M464" i="25"/>
  <c r="N464" i="25"/>
  <c r="O464" i="25"/>
  <c r="M460" i="25"/>
  <c r="N460" i="25"/>
  <c r="O460" i="25"/>
  <c r="N456" i="25"/>
  <c r="O456" i="25"/>
  <c r="M456" i="25"/>
  <c r="N452" i="25"/>
  <c r="O452" i="25"/>
  <c r="M452" i="25"/>
  <c r="M448" i="25"/>
  <c r="N448" i="25"/>
  <c r="O448" i="25"/>
  <c r="N444" i="25"/>
  <c r="O444" i="25"/>
  <c r="M444" i="25"/>
  <c r="M440" i="25"/>
  <c r="N440" i="25"/>
  <c r="O440" i="25"/>
  <c r="M436" i="25"/>
  <c r="N436" i="25"/>
  <c r="O436" i="25"/>
  <c r="M432" i="25"/>
  <c r="N432" i="25"/>
  <c r="O432" i="25"/>
  <c r="M428" i="25"/>
  <c r="N428" i="25"/>
  <c r="O428" i="25"/>
  <c r="M424" i="25"/>
  <c r="N424" i="25"/>
  <c r="O424" i="25"/>
  <c r="M420" i="25"/>
  <c r="N420" i="25"/>
  <c r="O420" i="25"/>
  <c r="M416" i="25"/>
  <c r="N416" i="25"/>
  <c r="O416" i="25"/>
  <c r="N412" i="25"/>
  <c r="O412" i="25"/>
  <c r="M412" i="25"/>
  <c r="M408" i="25"/>
  <c r="N408" i="25"/>
  <c r="O408" i="25"/>
  <c r="M404" i="25"/>
  <c r="N404" i="25"/>
  <c r="O404" i="25"/>
  <c r="N400" i="25"/>
  <c r="O400" i="25"/>
  <c r="M400" i="25"/>
  <c r="M396" i="25"/>
  <c r="N396" i="25"/>
  <c r="O396" i="25"/>
  <c r="M392" i="25"/>
  <c r="N392" i="25"/>
  <c r="O392" i="25"/>
  <c r="M388" i="25"/>
  <c r="N388" i="25"/>
  <c r="O388" i="25"/>
  <c r="M384" i="25"/>
  <c r="N384" i="25"/>
  <c r="O384" i="25"/>
  <c r="M380" i="25"/>
  <c r="N380" i="25"/>
  <c r="O380" i="25"/>
  <c r="M376" i="25"/>
  <c r="N376" i="25"/>
  <c r="O376" i="25"/>
  <c r="N372" i="25"/>
  <c r="O372" i="25"/>
  <c r="M372" i="25"/>
  <c r="M368" i="25"/>
  <c r="N368" i="25"/>
  <c r="O368" i="25"/>
  <c r="M364" i="25"/>
  <c r="N364" i="25"/>
  <c r="O364" i="25"/>
  <c r="M360" i="25"/>
  <c r="N360" i="25"/>
  <c r="O360" i="25"/>
  <c r="M356" i="25"/>
  <c r="N356" i="25"/>
  <c r="O356" i="25"/>
  <c r="M352" i="25"/>
  <c r="N352" i="25"/>
  <c r="O352" i="25"/>
  <c r="M348" i="25"/>
  <c r="N348" i="25"/>
  <c r="O348" i="25"/>
  <c r="M344" i="25"/>
  <c r="N344" i="25"/>
  <c r="O344" i="25"/>
  <c r="N340" i="25"/>
  <c r="O340" i="25"/>
  <c r="M340" i="25"/>
  <c r="M336" i="25"/>
  <c r="N336" i="25"/>
  <c r="O336" i="25"/>
  <c r="M332" i="25"/>
  <c r="N332" i="25"/>
  <c r="O332" i="25"/>
  <c r="N328" i="25"/>
  <c r="O328" i="25"/>
  <c r="M328" i="25"/>
  <c r="M324" i="25"/>
  <c r="N324" i="25"/>
  <c r="O324" i="25"/>
  <c r="M320" i="25"/>
  <c r="N320" i="25"/>
  <c r="O320" i="25"/>
  <c r="M316" i="25"/>
  <c r="N316" i="25"/>
  <c r="O316" i="25"/>
  <c r="M312" i="25"/>
  <c r="N312" i="25"/>
  <c r="O312" i="25"/>
  <c r="M308" i="25"/>
  <c r="N308" i="25"/>
  <c r="O308" i="25"/>
  <c r="M304" i="25"/>
  <c r="N304" i="25"/>
  <c r="O304" i="25"/>
  <c r="M300" i="25"/>
  <c r="N300" i="25"/>
  <c r="O300" i="25"/>
  <c r="M296" i="25"/>
  <c r="N296" i="25"/>
  <c r="O296" i="25"/>
  <c r="M292" i="25"/>
  <c r="N292" i="25"/>
  <c r="O292" i="25"/>
  <c r="N288" i="25"/>
  <c r="O288" i="25"/>
  <c r="M288" i="25"/>
  <c r="M284" i="25"/>
  <c r="N284" i="25"/>
  <c r="O284" i="25"/>
  <c r="M280" i="25"/>
  <c r="N280" i="25"/>
  <c r="O280" i="25"/>
  <c r="M276" i="25"/>
  <c r="N276" i="25"/>
  <c r="O276" i="25"/>
  <c r="M272" i="25"/>
  <c r="N272" i="25"/>
  <c r="O272" i="25"/>
  <c r="M268" i="25"/>
  <c r="N268" i="25"/>
  <c r="O268" i="25"/>
  <c r="M263" i="25"/>
  <c r="N263" i="25"/>
  <c r="O263" i="25"/>
  <c r="N259" i="25"/>
  <c r="O259" i="25"/>
  <c r="M259" i="25"/>
  <c r="M255" i="25"/>
  <c r="N255" i="25"/>
  <c r="O255" i="25"/>
  <c r="M251" i="25"/>
  <c r="N251" i="25"/>
  <c r="O251" i="25"/>
  <c r="N246" i="25"/>
  <c r="O246" i="25"/>
  <c r="M246" i="25"/>
  <c r="M242" i="25"/>
  <c r="N242" i="25"/>
  <c r="O242" i="25"/>
  <c r="N238" i="25"/>
  <c r="O238" i="25"/>
  <c r="M238" i="25"/>
  <c r="M233" i="25"/>
  <c r="N233" i="25"/>
  <c r="O233" i="25"/>
  <c r="N229" i="25"/>
  <c r="O229" i="25"/>
  <c r="M229" i="25"/>
  <c r="M225" i="25"/>
  <c r="N225" i="25"/>
  <c r="O225" i="25"/>
  <c r="M221" i="25"/>
  <c r="N221" i="25"/>
  <c r="O221" i="25"/>
  <c r="N216" i="25"/>
  <c r="O216" i="25"/>
  <c r="M216" i="25"/>
  <c r="M212" i="25"/>
  <c r="N212" i="25"/>
  <c r="O212" i="25"/>
  <c r="M207" i="25"/>
  <c r="N207" i="25"/>
  <c r="O207" i="25"/>
  <c r="N202" i="25"/>
  <c r="O202" i="25"/>
  <c r="M202" i="25"/>
  <c r="M198" i="25"/>
  <c r="N198" i="25"/>
  <c r="O198" i="25"/>
  <c r="N194" i="25"/>
  <c r="O194" i="25"/>
  <c r="M194" i="25"/>
  <c r="N189" i="25"/>
  <c r="O189" i="25"/>
  <c r="M189" i="25"/>
  <c r="N184" i="25"/>
  <c r="O184" i="25"/>
  <c r="M184" i="25"/>
  <c r="M180" i="25"/>
  <c r="N180" i="25"/>
  <c r="O180" i="25"/>
  <c r="N176" i="25"/>
  <c r="O176" i="25"/>
  <c r="M176" i="25"/>
  <c r="M171" i="25"/>
  <c r="N171" i="25"/>
  <c r="O171" i="25"/>
  <c r="N167" i="25"/>
  <c r="O167" i="25"/>
  <c r="M167" i="25"/>
  <c r="M163" i="25"/>
  <c r="N163" i="25"/>
  <c r="O163" i="25"/>
  <c r="N159" i="25"/>
  <c r="O159" i="25"/>
  <c r="M159" i="25"/>
  <c r="N154" i="25"/>
  <c r="O154" i="25"/>
  <c r="M154" i="25"/>
  <c r="N150" i="25"/>
  <c r="O150" i="25"/>
  <c r="M150" i="25"/>
  <c r="M146" i="25"/>
  <c r="N146" i="25"/>
  <c r="O146" i="25"/>
  <c r="N142" i="25"/>
  <c r="O142" i="25"/>
  <c r="M142" i="25"/>
  <c r="N138" i="25"/>
  <c r="O138" i="25"/>
  <c r="M138" i="25"/>
  <c r="M133" i="25"/>
  <c r="N133" i="25"/>
  <c r="O133" i="25"/>
  <c r="N129" i="25"/>
  <c r="O129" i="25"/>
  <c r="M129" i="25"/>
  <c r="N125" i="25"/>
  <c r="O125" i="25"/>
  <c r="M125" i="25"/>
  <c r="N121" i="25"/>
  <c r="O121" i="25"/>
  <c r="M121" i="25"/>
  <c r="N117" i="25"/>
  <c r="O117" i="25"/>
  <c r="M117" i="25"/>
  <c r="N113" i="25"/>
  <c r="O113" i="25"/>
  <c r="M113" i="25"/>
  <c r="N109" i="25"/>
  <c r="O109" i="25"/>
  <c r="M109" i="25"/>
  <c r="N105" i="25"/>
  <c r="O105" i="25"/>
  <c r="M105" i="25"/>
  <c r="M101" i="25"/>
  <c r="N101" i="25"/>
  <c r="O101" i="25"/>
  <c r="N97" i="25"/>
  <c r="O97" i="25"/>
  <c r="M97" i="25"/>
  <c r="N93" i="25"/>
  <c r="O93" i="25"/>
  <c r="M93" i="25"/>
  <c r="N89" i="25"/>
  <c r="O89" i="25"/>
  <c r="M89" i="25"/>
  <c r="N85" i="25"/>
  <c r="O85" i="25"/>
  <c r="M85" i="25"/>
  <c r="N81" i="25"/>
  <c r="O81" i="25"/>
  <c r="M81" i="25"/>
  <c r="N77" i="25"/>
  <c r="O77" i="25"/>
  <c r="M77" i="25"/>
  <c r="N73" i="25"/>
  <c r="O73" i="25"/>
  <c r="M73" i="25"/>
  <c r="N69" i="25"/>
  <c r="O69" i="25"/>
  <c r="M69" i="25"/>
  <c r="N65" i="25"/>
  <c r="O65" i="25"/>
  <c r="M65" i="25"/>
  <c r="M61" i="25"/>
  <c r="N61" i="25"/>
  <c r="O61" i="25"/>
  <c r="N57" i="25"/>
  <c r="O57" i="25"/>
  <c r="M57" i="25"/>
  <c r="M53" i="25"/>
  <c r="N53" i="25"/>
  <c r="O53" i="25"/>
  <c r="N49" i="25"/>
  <c r="O49" i="25"/>
  <c r="M49" i="25"/>
  <c r="N45" i="25"/>
  <c r="O45" i="25"/>
  <c r="M45" i="25"/>
  <c r="M41" i="25"/>
  <c r="N41" i="25"/>
  <c r="O41" i="25"/>
  <c r="N37" i="25"/>
  <c r="O37" i="25"/>
  <c r="M37" i="25"/>
  <c r="M33" i="25"/>
  <c r="N33" i="25"/>
  <c r="O33" i="25"/>
  <c r="N29" i="25"/>
  <c r="O29" i="25"/>
  <c r="M29" i="25"/>
  <c r="M25" i="25"/>
  <c r="N25" i="25"/>
  <c r="O25" i="25"/>
  <c r="M21" i="25"/>
  <c r="N21" i="25"/>
  <c r="O21" i="25"/>
  <c r="M17" i="25"/>
  <c r="N17" i="25"/>
  <c r="O17" i="25"/>
  <c r="M589" i="25"/>
  <c r="N589" i="25"/>
  <c r="O589" i="25"/>
  <c r="M573" i="25"/>
  <c r="N573" i="25"/>
  <c r="O573" i="25"/>
  <c r="M557" i="25"/>
  <c r="N557" i="25"/>
  <c r="O557" i="25"/>
  <c r="M588" i="25"/>
  <c r="N588" i="25"/>
  <c r="O588" i="25"/>
  <c r="M576" i="25"/>
  <c r="N576" i="25"/>
  <c r="O576" i="25"/>
  <c r="M568" i="25"/>
  <c r="N568" i="25"/>
  <c r="O568" i="25"/>
  <c r="M556" i="25"/>
  <c r="N556" i="25"/>
  <c r="O556" i="25"/>
  <c r="M548" i="25"/>
  <c r="N548" i="25"/>
  <c r="O548" i="25"/>
  <c r="M536" i="25"/>
  <c r="N536" i="25"/>
  <c r="O536" i="25"/>
  <c r="M528" i="25"/>
  <c r="N528" i="25"/>
  <c r="O528" i="25"/>
  <c r="M516" i="25"/>
  <c r="N516" i="25"/>
  <c r="O516" i="25"/>
  <c r="N508" i="25"/>
  <c r="O508" i="25"/>
  <c r="M508" i="25"/>
  <c r="M496" i="25"/>
  <c r="N496" i="25"/>
  <c r="O496" i="25"/>
  <c r="M480" i="25"/>
  <c r="N480" i="25"/>
  <c r="O480" i="25"/>
  <c r="N591" i="25"/>
  <c r="O591" i="25"/>
  <c r="M591" i="25"/>
  <c r="N583" i="25"/>
  <c r="O583" i="25"/>
  <c r="M583" i="25"/>
  <c r="N571" i="25"/>
  <c r="O571" i="25"/>
  <c r="M571" i="25"/>
  <c r="M559" i="25"/>
  <c r="N559" i="25"/>
  <c r="O559" i="25"/>
  <c r="N547" i="25"/>
  <c r="O547" i="25"/>
  <c r="M547" i="25"/>
  <c r="M535" i="25"/>
  <c r="N535" i="25"/>
  <c r="O535" i="25"/>
  <c r="N527" i="25"/>
  <c r="O527" i="25"/>
  <c r="M527" i="25"/>
  <c r="N515" i="25"/>
  <c r="O515" i="25"/>
  <c r="M515" i="25"/>
  <c r="N499" i="25"/>
  <c r="O499" i="25"/>
  <c r="M499" i="25"/>
  <c r="N483" i="25"/>
  <c r="O483" i="25"/>
  <c r="M483" i="25"/>
  <c r="M471" i="25"/>
  <c r="N471" i="25"/>
  <c r="O471" i="25"/>
  <c r="M459" i="25"/>
  <c r="N459" i="25"/>
  <c r="O459" i="25"/>
  <c r="M447" i="25"/>
  <c r="N447" i="25"/>
  <c r="O447" i="25"/>
  <c r="N435" i="25"/>
  <c r="O435" i="25"/>
  <c r="M435" i="25"/>
  <c r="N427" i="25"/>
  <c r="O427" i="25"/>
  <c r="M427" i="25"/>
  <c r="M415" i="25"/>
  <c r="N415" i="25"/>
  <c r="O415" i="25"/>
  <c r="M407" i="25"/>
  <c r="N407" i="25"/>
  <c r="O407" i="25"/>
  <c r="N403" i="25"/>
  <c r="O403" i="25"/>
  <c r="M403" i="25"/>
  <c r="N395" i="25"/>
  <c r="O395" i="25"/>
  <c r="M395" i="25"/>
  <c r="M391" i="25"/>
  <c r="N391" i="25"/>
  <c r="O391" i="25"/>
  <c r="N387" i="25"/>
  <c r="O387" i="25"/>
  <c r="M387" i="25"/>
  <c r="N383" i="25"/>
  <c r="O383" i="25"/>
  <c r="M383" i="25"/>
  <c r="N379" i="25"/>
  <c r="O379" i="25"/>
  <c r="M379" i="25"/>
  <c r="M375" i="25"/>
  <c r="N375" i="25"/>
  <c r="O375" i="25"/>
  <c r="N371" i="25"/>
  <c r="O371" i="25"/>
  <c r="M371" i="25"/>
  <c r="M367" i="25"/>
  <c r="N367" i="25"/>
  <c r="O367" i="25"/>
  <c r="N363" i="25"/>
  <c r="O363" i="25"/>
  <c r="M363" i="25"/>
  <c r="M359" i="25"/>
  <c r="N359" i="25"/>
  <c r="O359" i="25"/>
  <c r="N355" i="25"/>
  <c r="O355" i="25"/>
  <c r="M355" i="25"/>
  <c r="N351" i="25"/>
  <c r="O351" i="25"/>
  <c r="M351" i="25"/>
  <c r="N347" i="25"/>
  <c r="O347" i="25"/>
  <c r="M347" i="25"/>
  <c r="M343" i="25"/>
  <c r="N343" i="25"/>
  <c r="O343" i="25"/>
  <c r="N339" i="25"/>
  <c r="O339" i="25"/>
  <c r="M339" i="25"/>
  <c r="M335" i="25"/>
  <c r="N335" i="25"/>
  <c r="O335" i="25"/>
  <c r="M331" i="25"/>
  <c r="N331" i="25"/>
  <c r="O331" i="25"/>
  <c r="N327" i="25"/>
  <c r="O327" i="25"/>
  <c r="M327" i="25"/>
  <c r="N323" i="25"/>
  <c r="O323" i="25"/>
  <c r="M323" i="25"/>
  <c r="N319" i="25"/>
  <c r="O319" i="25"/>
  <c r="M319" i="25"/>
  <c r="M315" i="25"/>
  <c r="N315" i="25"/>
  <c r="O315" i="25"/>
  <c r="N311" i="25"/>
  <c r="O311" i="25"/>
  <c r="M311" i="25"/>
  <c r="M307" i="25"/>
  <c r="N307" i="25"/>
  <c r="O307" i="25"/>
  <c r="N303" i="25"/>
  <c r="O303" i="25"/>
  <c r="M303" i="25"/>
  <c r="N299" i="25"/>
  <c r="O299" i="25"/>
  <c r="M299" i="25"/>
  <c r="N295" i="25"/>
  <c r="O295" i="25"/>
  <c r="M295" i="25"/>
  <c r="M291" i="25"/>
  <c r="N291" i="25"/>
  <c r="O291" i="25"/>
  <c r="N287" i="25"/>
  <c r="O287" i="25"/>
  <c r="M287" i="25"/>
  <c r="M283" i="25"/>
  <c r="N283" i="25"/>
  <c r="O283" i="25"/>
  <c r="N279" i="25"/>
  <c r="O279" i="25"/>
  <c r="M279" i="25"/>
  <c r="M275" i="25"/>
  <c r="N275" i="25"/>
  <c r="O275" i="25"/>
  <c r="N271" i="25"/>
  <c r="O271" i="25"/>
  <c r="M271" i="25"/>
  <c r="N267" i="25"/>
  <c r="O267" i="25"/>
  <c r="M267" i="25"/>
  <c r="N262" i="25"/>
  <c r="O262" i="25"/>
  <c r="M262" i="25"/>
  <c r="M258" i="25"/>
  <c r="N258" i="25"/>
  <c r="O258" i="25"/>
  <c r="N254" i="25"/>
  <c r="O254" i="25"/>
  <c r="M254" i="25"/>
  <c r="M250" i="25"/>
  <c r="N250" i="25"/>
  <c r="O250" i="25"/>
  <c r="M245" i="25"/>
  <c r="N245" i="25"/>
  <c r="O245" i="25"/>
  <c r="M241" i="25"/>
  <c r="N241" i="25"/>
  <c r="O241" i="25"/>
  <c r="M237" i="25"/>
  <c r="N237" i="25"/>
  <c r="O237" i="25"/>
  <c r="M232" i="25"/>
  <c r="N232" i="25"/>
  <c r="O232" i="25"/>
  <c r="M228" i="25"/>
  <c r="N228" i="25"/>
  <c r="O228" i="25"/>
  <c r="M224" i="25"/>
  <c r="N224" i="25"/>
  <c r="O224" i="25"/>
  <c r="M219" i="25"/>
  <c r="N219" i="25"/>
  <c r="O219" i="25"/>
  <c r="M215" i="25"/>
  <c r="N215" i="25"/>
  <c r="O215" i="25"/>
  <c r="M211" i="25"/>
  <c r="N211" i="25"/>
  <c r="O211" i="25"/>
  <c r="M206" i="25"/>
  <c r="N206" i="25"/>
  <c r="O206" i="25"/>
  <c r="M201" i="25"/>
  <c r="N201" i="25"/>
  <c r="O201" i="25"/>
  <c r="N197" i="25"/>
  <c r="O197" i="25"/>
  <c r="M197" i="25"/>
  <c r="M193" i="25"/>
  <c r="N193" i="25"/>
  <c r="O193" i="25"/>
  <c r="M188" i="25"/>
  <c r="N188" i="25"/>
  <c r="O188" i="25"/>
  <c r="M183" i="25"/>
  <c r="N183" i="25"/>
  <c r="O183" i="25"/>
  <c r="N179" i="25"/>
  <c r="O179" i="25"/>
  <c r="M179" i="25"/>
  <c r="M175" i="25"/>
  <c r="N175" i="25"/>
  <c r="O175" i="25"/>
  <c r="M170" i="25"/>
  <c r="N170" i="25"/>
  <c r="O170" i="25"/>
  <c r="N166" i="25"/>
  <c r="O166" i="25"/>
  <c r="M166" i="25"/>
  <c r="M162" i="25"/>
  <c r="N162" i="25"/>
  <c r="O162" i="25"/>
  <c r="N158" i="25"/>
  <c r="O158" i="25"/>
  <c r="M158" i="25"/>
  <c r="M153" i="25"/>
  <c r="N153" i="25"/>
  <c r="O153" i="25"/>
  <c r="N149" i="25"/>
  <c r="O149" i="25"/>
  <c r="M149" i="25"/>
  <c r="N145" i="25"/>
  <c r="O145" i="25"/>
  <c r="M145" i="25"/>
  <c r="N141" i="25"/>
  <c r="O141" i="25"/>
  <c r="M141" i="25"/>
  <c r="M136" i="25"/>
  <c r="N136" i="25"/>
  <c r="O136" i="25"/>
  <c r="N132" i="25"/>
  <c r="O132" i="25"/>
  <c r="M132" i="25"/>
  <c r="M128" i="25"/>
  <c r="N128" i="25"/>
  <c r="O128" i="25"/>
  <c r="N124" i="25"/>
  <c r="O124" i="25"/>
  <c r="M124" i="25"/>
  <c r="M120" i="25"/>
  <c r="N120" i="25"/>
  <c r="O120" i="25"/>
  <c r="M116" i="25"/>
  <c r="N116" i="25"/>
  <c r="O116" i="25"/>
  <c r="M112" i="25"/>
  <c r="N112" i="25"/>
  <c r="O112" i="25"/>
  <c r="N108" i="25"/>
  <c r="O108" i="25"/>
  <c r="M108" i="25"/>
  <c r="M104" i="25"/>
  <c r="N104" i="25"/>
  <c r="O104" i="25"/>
  <c r="N100" i="25"/>
  <c r="O100" i="25"/>
  <c r="M100" i="25"/>
  <c r="M96" i="25"/>
  <c r="N96" i="25"/>
  <c r="O96" i="25"/>
  <c r="N92" i="25"/>
  <c r="O92" i="25"/>
  <c r="M92" i="25"/>
  <c r="M88" i="25"/>
  <c r="N88" i="25"/>
  <c r="O88" i="25"/>
  <c r="N84" i="25"/>
  <c r="O84" i="25"/>
  <c r="M84" i="25"/>
  <c r="M80" i="25"/>
  <c r="N80" i="25"/>
  <c r="O80" i="25"/>
  <c r="M76" i="25"/>
  <c r="N76" i="25"/>
  <c r="O76" i="25"/>
  <c r="M72" i="25"/>
  <c r="N72" i="25"/>
  <c r="O72" i="25"/>
  <c r="N68" i="25"/>
  <c r="O68" i="25"/>
  <c r="M68" i="25"/>
  <c r="M64" i="25"/>
  <c r="N64" i="25"/>
  <c r="O64" i="25"/>
  <c r="N60" i="25"/>
  <c r="O60" i="25"/>
  <c r="M60" i="25"/>
  <c r="M56" i="25"/>
  <c r="N56" i="25"/>
  <c r="O56" i="25"/>
  <c r="N52" i="25"/>
  <c r="O52" i="25"/>
  <c r="M52" i="25"/>
  <c r="M48" i="25"/>
  <c r="N48" i="25"/>
  <c r="O48" i="25"/>
  <c r="N44" i="25"/>
  <c r="O44" i="25"/>
  <c r="M44" i="25"/>
  <c r="N40" i="25"/>
  <c r="O40" i="25"/>
  <c r="M40" i="25"/>
  <c r="N36" i="25"/>
  <c r="O36" i="25"/>
  <c r="M36" i="25"/>
  <c r="M32" i="25"/>
  <c r="N32" i="25"/>
  <c r="O32" i="25"/>
  <c r="N28" i="25"/>
  <c r="O28" i="25"/>
  <c r="M28" i="25"/>
  <c r="N24" i="25"/>
  <c r="O24" i="25"/>
  <c r="M24" i="25"/>
  <c r="N20" i="25"/>
  <c r="O20" i="25"/>
  <c r="M20" i="25"/>
  <c r="Q12" i="38"/>
  <c r="O12" i="38"/>
  <c r="Q8" i="38"/>
  <c r="O8" i="38"/>
  <c r="O5" i="38"/>
  <c r="Q5" i="38"/>
  <c r="E69" i="31"/>
  <c r="E380" i="30"/>
  <c r="H380" i="30"/>
  <c r="G380" i="30"/>
  <c r="D380" i="30"/>
  <c r="C380" i="30"/>
  <c r="B380" i="30"/>
  <c r="E379" i="30"/>
  <c r="H379" i="30"/>
  <c r="G379" i="30"/>
  <c r="D379" i="30"/>
  <c r="C379" i="30"/>
  <c r="B379" i="30"/>
  <c r="E378" i="30"/>
  <c r="H378" i="30"/>
  <c r="G378" i="30"/>
  <c r="D378" i="30"/>
  <c r="C378" i="30"/>
  <c r="B378" i="30"/>
  <c r="E377" i="30"/>
  <c r="H377" i="30"/>
  <c r="G377" i="30"/>
  <c r="D377" i="30"/>
  <c r="C377" i="30"/>
  <c r="B377" i="30"/>
  <c r="E376" i="30"/>
  <c r="H376" i="30"/>
  <c r="G376" i="30"/>
  <c r="D376" i="30"/>
  <c r="C376" i="30"/>
  <c r="B376" i="30"/>
  <c r="E375" i="30"/>
  <c r="H375" i="30"/>
  <c r="G375" i="30"/>
  <c r="D375" i="30"/>
  <c r="C375" i="30"/>
  <c r="B375" i="30"/>
  <c r="E374" i="30"/>
  <c r="H374" i="30"/>
  <c r="G374" i="30"/>
  <c r="D374" i="30"/>
  <c r="C374" i="30"/>
  <c r="B374" i="30"/>
  <c r="E373" i="30"/>
  <c r="H373" i="30"/>
  <c r="G373" i="30"/>
  <c r="D373" i="30"/>
  <c r="C373" i="30"/>
  <c r="B373" i="30"/>
  <c r="E372" i="30"/>
  <c r="H372" i="30"/>
  <c r="G372" i="30"/>
  <c r="D372" i="30"/>
  <c r="C372" i="30"/>
  <c r="B372" i="30"/>
  <c r="E371" i="30"/>
  <c r="H371" i="30"/>
  <c r="G371" i="30"/>
  <c r="D371" i="30"/>
  <c r="C371" i="30"/>
  <c r="B371" i="30"/>
  <c r="E370" i="30"/>
  <c r="H370" i="30"/>
  <c r="G370" i="30"/>
  <c r="D370" i="30"/>
  <c r="C370" i="30"/>
  <c r="B370" i="30"/>
  <c r="E369" i="30"/>
  <c r="H369" i="30"/>
  <c r="G369" i="30"/>
  <c r="D369" i="30"/>
  <c r="C369" i="30"/>
  <c r="B369" i="30"/>
  <c r="E368" i="30"/>
  <c r="H368" i="30"/>
  <c r="G368" i="30"/>
  <c r="D368" i="30"/>
  <c r="C368" i="30"/>
  <c r="B368" i="30"/>
  <c r="E367" i="30"/>
  <c r="H367" i="30"/>
  <c r="G367" i="30"/>
  <c r="D367" i="30"/>
  <c r="C367" i="30"/>
  <c r="B367" i="30"/>
  <c r="E366" i="30"/>
  <c r="H366" i="30"/>
  <c r="G366" i="30"/>
  <c r="D366" i="30"/>
  <c r="C366" i="30"/>
  <c r="B366" i="30"/>
  <c r="E365" i="30"/>
  <c r="H365" i="30"/>
  <c r="G365" i="30"/>
  <c r="D365" i="30"/>
  <c r="C365" i="30"/>
  <c r="B365" i="30"/>
  <c r="E364" i="30"/>
  <c r="H364" i="30"/>
  <c r="G364" i="30"/>
  <c r="D364" i="30"/>
  <c r="C364" i="30"/>
  <c r="B364" i="30"/>
  <c r="E363" i="30"/>
  <c r="H363" i="30"/>
  <c r="G363" i="30"/>
  <c r="D363" i="30"/>
  <c r="C363" i="30"/>
  <c r="B363" i="30"/>
  <c r="E362" i="30"/>
  <c r="H362" i="30"/>
  <c r="G362" i="30"/>
  <c r="D362" i="30"/>
  <c r="C362" i="30"/>
  <c r="B362" i="30"/>
  <c r="E361" i="30"/>
  <c r="H361" i="30"/>
  <c r="G361" i="30"/>
  <c r="D361" i="30"/>
  <c r="C361" i="30"/>
  <c r="B361" i="30"/>
  <c r="E360" i="30"/>
  <c r="H360" i="30"/>
  <c r="G360" i="30"/>
  <c r="D360" i="30"/>
  <c r="C360" i="30"/>
  <c r="B360" i="30"/>
  <c r="E359" i="30"/>
  <c r="H359" i="30"/>
  <c r="G359" i="30"/>
  <c r="D359" i="30"/>
  <c r="C359" i="30"/>
  <c r="B359" i="30"/>
  <c r="E358" i="30"/>
  <c r="H358" i="30"/>
  <c r="G358" i="30"/>
  <c r="D358" i="30"/>
  <c r="C358" i="30"/>
  <c r="B358" i="30"/>
  <c r="E357" i="30"/>
  <c r="H357" i="30"/>
  <c r="G357" i="30"/>
  <c r="D357" i="30"/>
  <c r="C357" i="30"/>
  <c r="B357" i="30"/>
  <c r="E356" i="30"/>
  <c r="H356" i="30"/>
  <c r="G356" i="30"/>
  <c r="D356" i="30"/>
  <c r="C356" i="30"/>
  <c r="B356" i="30"/>
  <c r="E355" i="30"/>
  <c r="H355" i="30"/>
  <c r="G355" i="30"/>
  <c r="D355" i="30"/>
  <c r="C355" i="30"/>
  <c r="B355" i="30"/>
  <c r="E354" i="30"/>
  <c r="H354" i="30"/>
  <c r="G354" i="30"/>
  <c r="D354" i="30"/>
  <c r="C354" i="30"/>
  <c r="B354" i="30"/>
  <c r="E353" i="30"/>
  <c r="H353" i="30"/>
  <c r="G353" i="30"/>
  <c r="D353" i="30"/>
  <c r="C353" i="30"/>
  <c r="B353" i="30"/>
  <c r="E352" i="30"/>
  <c r="H352" i="30"/>
  <c r="G352" i="30"/>
  <c r="D352" i="30"/>
  <c r="C352" i="30"/>
  <c r="B352" i="30"/>
  <c r="E351" i="30"/>
  <c r="H351" i="30"/>
  <c r="G351" i="30"/>
  <c r="D351" i="30"/>
  <c r="C351" i="30"/>
  <c r="B351" i="30"/>
  <c r="E350" i="30"/>
  <c r="H350" i="30"/>
  <c r="G350" i="30"/>
  <c r="D350" i="30"/>
  <c r="C350" i="30"/>
  <c r="B350" i="30"/>
  <c r="E349" i="30"/>
  <c r="H349" i="30"/>
  <c r="G349" i="30"/>
  <c r="D349" i="30"/>
  <c r="C349" i="30"/>
  <c r="B349" i="30"/>
  <c r="E348" i="30"/>
  <c r="H348" i="30"/>
  <c r="G348" i="30"/>
  <c r="D348" i="30"/>
  <c r="C348" i="30"/>
  <c r="B348" i="30"/>
  <c r="E347" i="30"/>
  <c r="H347" i="30"/>
  <c r="G347" i="30"/>
  <c r="D347" i="30"/>
  <c r="C347" i="30"/>
  <c r="B347" i="30"/>
  <c r="E346" i="30"/>
  <c r="H346" i="30"/>
  <c r="G346" i="30"/>
  <c r="D346" i="30"/>
  <c r="C346" i="30"/>
  <c r="B346" i="30"/>
  <c r="E345" i="30"/>
  <c r="H345" i="30"/>
  <c r="G345" i="30"/>
  <c r="D345" i="30"/>
  <c r="C345" i="30"/>
  <c r="B345" i="30"/>
  <c r="E344" i="30"/>
  <c r="H344" i="30"/>
  <c r="G344" i="30"/>
  <c r="D344" i="30"/>
  <c r="C344" i="30"/>
  <c r="B344" i="30"/>
  <c r="E343" i="30"/>
  <c r="H343" i="30"/>
  <c r="G343" i="30"/>
  <c r="D343" i="30"/>
  <c r="C343" i="30"/>
  <c r="B343" i="30"/>
  <c r="E342" i="30"/>
  <c r="H342" i="30"/>
  <c r="G342" i="30"/>
  <c r="D342" i="30"/>
  <c r="C342" i="30"/>
  <c r="B342" i="30"/>
  <c r="E341" i="30"/>
  <c r="H341" i="30"/>
  <c r="G341" i="30"/>
  <c r="D341" i="30"/>
  <c r="C341" i="30"/>
  <c r="B341" i="30"/>
  <c r="E340" i="30"/>
  <c r="H340" i="30"/>
  <c r="G340" i="30"/>
  <c r="D340" i="30"/>
  <c r="C340" i="30"/>
  <c r="B340" i="30"/>
  <c r="E339" i="30"/>
  <c r="H339" i="30"/>
  <c r="G339" i="30"/>
  <c r="D339" i="30"/>
  <c r="C339" i="30"/>
  <c r="B339" i="30"/>
  <c r="E338" i="30"/>
  <c r="H338" i="30"/>
  <c r="G338" i="30"/>
  <c r="D338" i="30"/>
  <c r="C338" i="30"/>
  <c r="B338" i="30"/>
  <c r="E337" i="30"/>
  <c r="H337" i="30"/>
  <c r="G337" i="30"/>
  <c r="D337" i="30"/>
  <c r="C337" i="30"/>
  <c r="B337" i="30"/>
  <c r="E336" i="30"/>
  <c r="H336" i="30"/>
  <c r="G336" i="30"/>
  <c r="D336" i="30"/>
  <c r="C336" i="30"/>
  <c r="B336" i="30"/>
  <c r="E335" i="30"/>
  <c r="H335" i="30"/>
  <c r="G335" i="30"/>
  <c r="D335" i="30"/>
  <c r="C335" i="30"/>
  <c r="B335" i="30"/>
  <c r="E334" i="30"/>
  <c r="H334" i="30"/>
  <c r="G334" i="30"/>
  <c r="D334" i="30"/>
  <c r="C334" i="30"/>
  <c r="B334" i="30"/>
  <c r="E333" i="30"/>
  <c r="H333" i="30"/>
  <c r="G333" i="30"/>
  <c r="D333" i="30"/>
  <c r="C333" i="30"/>
  <c r="B333" i="30"/>
  <c r="E332" i="30"/>
  <c r="H332" i="30"/>
  <c r="G332" i="30"/>
  <c r="D332" i="30"/>
  <c r="C332" i="30"/>
  <c r="B332" i="30"/>
  <c r="E331" i="30"/>
  <c r="H331" i="30"/>
  <c r="G331" i="30"/>
  <c r="D331" i="30"/>
  <c r="C331" i="30"/>
  <c r="B331" i="30"/>
  <c r="E330" i="30"/>
  <c r="H330" i="30"/>
  <c r="G330" i="30"/>
  <c r="D330" i="30"/>
  <c r="C330" i="30"/>
  <c r="B330" i="30"/>
  <c r="E329" i="30"/>
  <c r="H329" i="30"/>
  <c r="G329" i="30"/>
  <c r="D329" i="30"/>
  <c r="C329" i="30"/>
  <c r="B329" i="30"/>
  <c r="E328" i="30"/>
  <c r="H328" i="30"/>
  <c r="G328" i="30"/>
  <c r="D328" i="30"/>
  <c r="C328" i="30"/>
  <c r="B328" i="30"/>
  <c r="E327" i="30"/>
  <c r="H327" i="30"/>
  <c r="G327" i="30"/>
  <c r="D327" i="30"/>
  <c r="C327" i="30"/>
  <c r="B327" i="30"/>
  <c r="E326" i="30"/>
  <c r="H326" i="30"/>
  <c r="G326" i="30"/>
  <c r="D326" i="30"/>
  <c r="C326" i="30"/>
  <c r="B326" i="30"/>
  <c r="E325" i="30"/>
  <c r="H325" i="30"/>
  <c r="G325" i="30"/>
  <c r="D325" i="30"/>
  <c r="C325" i="30"/>
  <c r="B325" i="30"/>
  <c r="E324" i="30"/>
  <c r="H324" i="30"/>
  <c r="G324" i="30"/>
  <c r="D324" i="30"/>
  <c r="C324" i="30"/>
  <c r="B324" i="30"/>
  <c r="E323" i="30"/>
  <c r="H323" i="30"/>
  <c r="G323" i="30"/>
  <c r="D323" i="30"/>
  <c r="C323" i="30"/>
  <c r="B323" i="30"/>
  <c r="E322" i="30"/>
  <c r="H322" i="30"/>
  <c r="G322" i="30"/>
  <c r="D322" i="30"/>
  <c r="C322" i="30"/>
  <c r="B322" i="30"/>
  <c r="E321" i="30"/>
  <c r="H321" i="30"/>
  <c r="G321" i="30"/>
  <c r="D321" i="30"/>
  <c r="C321" i="30"/>
  <c r="B321" i="30"/>
  <c r="E320" i="30"/>
  <c r="H320" i="30"/>
  <c r="G320" i="30"/>
  <c r="D320" i="30"/>
  <c r="C320" i="30"/>
  <c r="B320" i="30"/>
  <c r="E319" i="30"/>
  <c r="H319" i="30"/>
  <c r="G319" i="30"/>
  <c r="D319" i="30"/>
  <c r="C319" i="30"/>
  <c r="B319" i="30"/>
  <c r="E318" i="30"/>
  <c r="H318" i="30"/>
  <c r="G318" i="30"/>
  <c r="D318" i="30"/>
  <c r="C318" i="30"/>
  <c r="B318" i="30"/>
  <c r="E317" i="30"/>
  <c r="H317" i="30"/>
  <c r="G317" i="30"/>
  <c r="D317" i="30"/>
  <c r="C317" i="30"/>
  <c r="B317" i="30"/>
  <c r="E316" i="30"/>
  <c r="H316" i="30"/>
  <c r="G316" i="30"/>
  <c r="D316" i="30"/>
  <c r="C316" i="30"/>
  <c r="B316" i="30"/>
  <c r="E315" i="30"/>
  <c r="H315" i="30"/>
  <c r="G315" i="30"/>
  <c r="D315" i="30"/>
  <c r="C315" i="30"/>
  <c r="B315" i="30"/>
  <c r="E314" i="30"/>
  <c r="H314" i="30"/>
  <c r="G314" i="30"/>
  <c r="D314" i="30"/>
  <c r="C314" i="30"/>
  <c r="B314" i="30"/>
  <c r="E313" i="30"/>
  <c r="H313" i="30"/>
  <c r="G313" i="30"/>
  <c r="D313" i="30"/>
  <c r="C313" i="30"/>
  <c r="B313" i="30"/>
  <c r="E312" i="30"/>
  <c r="H312" i="30"/>
  <c r="G312" i="30"/>
  <c r="D312" i="30"/>
  <c r="C312" i="30"/>
  <c r="B312" i="30"/>
  <c r="E311" i="30"/>
  <c r="H311" i="30"/>
  <c r="G311" i="30"/>
  <c r="D311" i="30"/>
  <c r="C311" i="30"/>
  <c r="B311" i="30"/>
  <c r="E310" i="30"/>
  <c r="H310" i="30"/>
  <c r="G310" i="30"/>
  <c r="D310" i="30"/>
  <c r="C310" i="30"/>
  <c r="B310" i="30"/>
  <c r="E309" i="30"/>
  <c r="H309" i="30"/>
  <c r="G309" i="30"/>
  <c r="D309" i="30"/>
  <c r="C309" i="30"/>
  <c r="B309" i="30"/>
  <c r="E308" i="30"/>
  <c r="H308" i="30"/>
  <c r="G308" i="30"/>
  <c r="D308" i="30"/>
  <c r="C308" i="30"/>
  <c r="B308" i="30"/>
  <c r="E307" i="30"/>
  <c r="H307" i="30"/>
  <c r="G307" i="30"/>
  <c r="D307" i="30"/>
  <c r="C307" i="30"/>
  <c r="B307" i="30"/>
  <c r="E306" i="30"/>
  <c r="H306" i="30"/>
  <c r="G306" i="30"/>
  <c r="D306" i="30"/>
  <c r="C306" i="30"/>
  <c r="B306" i="30"/>
  <c r="E305" i="30"/>
  <c r="H305" i="30"/>
  <c r="G305" i="30"/>
  <c r="D305" i="30"/>
  <c r="C305" i="30"/>
  <c r="B305" i="30"/>
  <c r="E304" i="30"/>
  <c r="H304" i="30"/>
  <c r="G304" i="30"/>
  <c r="D304" i="30"/>
  <c r="C304" i="30"/>
  <c r="B304" i="30"/>
  <c r="E303" i="30"/>
  <c r="H303" i="30"/>
  <c r="G303" i="30"/>
  <c r="D303" i="30"/>
  <c r="C303" i="30"/>
  <c r="B303" i="30"/>
  <c r="E302" i="30"/>
  <c r="H302" i="30"/>
  <c r="G302" i="30"/>
  <c r="D302" i="30"/>
  <c r="C302" i="30"/>
  <c r="B302" i="30"/>
  <c r="E301" i="30"/>
  <c r="H301" i="30"/>
  <c r="G301" i="30"/>
  <c r="D301" i="30"/>
  <c r="C301" i="30"/>
  <c r="B301" i="30"/>
  <c r="J595" i="25"/>
  <c r="E593" i="25"/>
  <c r="X592" i="25"/>
  <c r="Z592" i="25"/>
  <c r="X591" i="25"/>
  <c r="Z591" i="25"/>
  <c r="X590" i="25"/>
  <c r="Z590" i="25"/>
  <c r="X589" i="25"/>
  <c r="Z589" i="25"/>
  <c r="X588" i="25"/>
  <c r="Z588" i="25"/>
  <c r="X587" i="25"/>
  <c r="Z587" i="25"/>
  <c r="X586" i="25"/>
  <c r="Z586" i="25"/>
  <c r="X585" i="25"/>
  <c r="Z585" i="25"/>
  <c r="X584" i="25"/>
  <c r="Z584" i="25"/>
  <c r="X583" i="25"/>
  <c r="Z583" i="25"/>
  <c r="X582" i="25"/>
  <c r="Z582" i="25"/>
  <c r="X581" i="25"/>
  <c r="Z581" i="25"/>
  <c r="X580" i="25"/>
  <c r="Z580" i="25"/>
  <c r="X579" i="25"/>
  <c r="Z579" i="25"/>
  <c r="X578" i="25"/>
  <c r="Z578" i="25"/>
  <c r="X577" i="25"/>
  <c r="Z577" i="25"/>
  <c r="X576" i="25"/>
  <c r="Z576" i="25"/>
  <c r="X575" i="25"/>
  <c r="Z575" i="25"/>
  <c r="X574" i="25"/>
  <c r="Z574" i="25"/>
  <c r="X573" i="25"/>
  <c r="Z573" i="25"/>
  <c r="X572" i="25"/>
  <c r="Z572" i="25"/>
  <c r="X571" i="25"/>
  <c r="Z571" i="25"/>
  <c r="X570" i="25"/>
  <c r="Z570" i="25"/>
  <c r="X569" i="25"/>
  <c r="Z569" i="25"/>
  <c r="X568" i="25"/>
  <c r="Z568" i="25"/>
  <c r="X567" i="25"/>
  <c r="Z567" i="25"/>
  <c r="X566" i="25"/>
  <c r="Z566" i="25"/>
  <c r="X565" i="25"/>
  <c r="Z565" i="25"/>
  <c r="X564" i="25"/>
  <c r="Z564" i="25"/>
  <c r="X563" i="25"/>
  <c r="Z563" i="25"/>
  <c r="X562" i="25"/>
  <c r="Z562" i="25"/>
  <c r="X561" i="25"/>
  <c r="Z561" i="25"/>
  <c r="X560" i="25"/>
  <c r="Z560" i="25"/>
  <c r="X559" i="25"/>
  <c r="Z559" i="25"/>
  <c r="X558" i="25"/>
  <c r="Z558" i="25"/>
  <c r="X557" i="25"/>
  <c r="Z557" i="25"/>
  <c r="X556" i="25"/>
  <c r="Z556" i="25"/>
  <c r="X555" i="25"/>
  <c r="Z555" i="25"/>
  <c r="X554" i="25"/>
  <c r="Z554" i="25"/>
  <c r="X553" i="25"/>
  <c r="Z553" i="25"/>
  <c r="X552" i="25"/>
  <c r="Z552" i="25"/>
  <c r="X551" i="25"/>
  <c r="Z551" i="25"/>
  <c r="X550" i="25"/>
  <c r="Z550" i="25"/>
  <c r="X549" i="25"/>
  <c r="Z549" i="25"/>
  <c r="X548" i="25"/>
  <c r="Z548" i="25"/>
  <c r="X547" i="25"/>
  <c r="Z547" i="25"/>
  <c r="X546" i="25"/>
  <c r="Z546" i="25"/>
  <c r="X545" i="25"/>
  <c r="Z545" i="25"/>
  <c r="X544" i="25"/>
  <c r="Z544" i="25"/>
  <c r="X543" i="25"/>
  <c r="Z543" i="25"/>
  <c r="X542" i="25"/>
  <c r="Z542" i="25"/>
  <c r="X541" i="25"/>
  <c r="Z541" i="25"/>
  <c r="X540" i="25"/>
  <c r="Z540" i="25"/>
  <c r="X539" i="25"/>
  <c r="Z539" i="25"/>
  <c r="X538" i="25"/>
  <c r="Z538" i="25"/>
  <c r="X537" i="25"/>
  <c r="Z537" i="25"/>
  <c r="X536" i="25"/>
  <c r="Z536" i="25"/>
  <c r="X535" i="25"/>
  <c r="Z535" i="25"/>
  <c r="X534" i="25"/>
  <c r="Z534" i="25"/>
  <c r="X533" i="25"/>
  <c r="Z533" i="25"/>
  <c r="X532" i="25"/>
  <c r="Z532" i="25"/>
  <c r="X531" i="25"/>
  <c r="Z531" i="25"/>
  <c r="X530" i="25"/>
  <c r="Z530" i="25"/>
  <c r="X529" i="25"/>
  <c r="Z529" i="25"/>
  <c r="X528" i="25"/>
  <c r="Z528" i="25"/>
  <c r="X527" i="25"/>
  <c r="Z527" i="25"/>
  <c r="X526" i="25"/>
  <c r="Z526" i="25"/>
  <c r="X525" i="25"/>
  <c r="Z525" i="25"/>
  <c r="X524" i="25"/>
  <c r="Z524" i="25"/>
  <c r="X523" i="25"/>
  <c r="Z523" i="25"/>
  <c r="X522" i="25"/>
  <c r="Z522" i="25"/>
  <c r="X521" i="25"/>
  <c r="Z521" i="25"/>
  <c r="X520" i="25"/>
  <c r="Z520" i="25"/>
  <c r="X519" i="25"/>
  <c r="Z519" i="25"/>
  <c r="X518" i="25"/>
  <c r="Z518" i="25"/>
  <c r="X517" i="25"/>
  <c r="Z517" i="25"/>
  <c r="X516" i="25"/>
  <c r="Z516" i="25"/>
  <c r="X515" i="25"/>
  <c r="Z515" i="25"/>
  <c r="X514" i="25"/>
  <c r="Z514" i="25"/>
  <c r="X513" i="25"/>
  <c r="Z513" i="25"/>
  <c r="X512" i="25"/>
  <c r="Z512" i="25"/>
  <c r="X511" i="25"/>
  <c r="Z511" i="25"/>
  <c r="X510" i="25"/>
  <c r="Z510" i="25"/>
  <c r="X509" i="25"/>
  <c r="Z509" i="25"/>
  <c r="X508" i="25"/>
  <c r="Z508" i="25"/>
  <c r="X507" i="25"/>
  <c r="Z507" i="25"/>
  <c r="X506" i="25"/>
  <c r="Z506" i="25"/>
  <c r="X505" i="25"/>
  <c r="Z505" i="25"/>
  <c r="X504" i="25"/>
  <c r="Z504" i="25"/>
  <c r="X503" i="25"/>
  <c r="Z503" i="25"/>
  <c r="X502" i="25"/>
  <c r="Z502" i="25"/>
  <c r="X501" i="25"/>
  <c r="Z501" i="25"/>
  <c r="X500" i="25"/>
  <c r="Z500" i="25"/>
  <c r="X499" i="25"/>
  <c r="Z499" i="25"/>
  <c r="X498" i="25"/>
  <c r="Z498" i="25"/>
  <c r="X497" i="25"/>
  <c r="Z497" i="25"/>
  <c r="X496" i="25"/>
  <c r="Z496" i="25"/>
  <c r="X495" i="25"/>
  <c r="Z495" i="25"/>
  <c r="X494" i="25"/>
  <c r="Z494" i="25"/>
  <c r="X493" i="25"/>
  <c r="Z493" i="25"/>
  <c r="X492" i="25"/>
  <c r="Z492" i="25"/>
  <c r="X491" i="25"/>
  <c r="Z491" i="25"/>
  <c r="X490" i="25"/>
  <c r="Z490" i="25"/>
  <c r="X489" i="25"/>
  <c r="Z489" i="25"/>
  <c r="X488" i="25"/>
  <c r="Z488" i="25"/>
  <c r="X487" i="25"/>
  <c r="Z487" i="25"/>
  <c r="X486" i="25"/>
  <c r="Z486" i="25"/>
  <c r="X485" i="25"/>
  <c r="Z485" i="25"/>
  <c r="X484" i="25"/>
  <c r="Z484" i="25"/>
  <c r="X483" i="25"/>
  <c r="Z483" i="25"/>
  <c r="X482" i="25"/>
  <c r="Z482" i="25"/>
  <c r="X481" i="25"/>
  <c r="Z481" i="25"/>
  <c r="X480" i="25"/>
  <c r="Z480" i="25"/>
  <c r="X479" i="25"/>
  <c r="Z479" i="25"/>
  <c r="X478" i="25"/>
  <c r="Z478" i="25"/>
  <c r="X477" i="25"/>
  <c r="Z477" i="25"/>
  <c r="X476" i="25"/>
  <c r="Z476" i="25"/>
  <c r="X475" i="25"/>
  <c r="Z475" i="25"/>
  <c r="X474" i="25"/>
  <c r="Z474" i="25"/>
  <c r="X473" i="25"/>
  <c r="Z473" i="25"/>
  <c r="X472" i="25"/>
  <c r="Z472" i="25"/>
  <c r="X471" i="25"/>
  <c r="Z471" i="25"/>
  <c r="X470" i="25"/>
  <c r="Z470" i="25"/>
  <c r="X469" i="25"/>
  <c r="Z469" i="25"/>
  <c r="Z468" i="25"/>
  <c r="X468" i="25"/>
  <c r="X467" i="25"/>
  <c r="Z467" i="25"/>
  <c r="X466" i="25"/>
  <c r="Z466" i="25"/>
  <c r="X465" i="25"/>
  <c r="Z465" i="25"/>
  <c r="Z464" i="25"/>
  <c r="X464" i="25"/>
  <c r="X463" i="25"/>
  <c r="Z463" i="25"/>
  <c r="X462" i="25"/>
  <c r="Z462" i="25"/>
  <c r="X461" i="25"/>
  <c r="Z461" i="25"/>
  <c r="Z460" i="25"/>
  <c r="X460" i="25"/>
  <c r="X459" i="25"/>
  <c r="Z459" i="25"/>
  <c r="X458" i="25"/>
  <c r="Z458" i="25"/>
  <c r="X457" i="25"/>
  <c r="Z457" i="25"/>
  <c r="Z456" i="25"/>
  <c r="X456" i="25"/>
  <c r="X455" i="25"/>
  <c r="Z455" i="25"/>
  <c r="X454" i="25"/>
  <c r="Z454" i="25"/>
  <c r="X453" i="25"/>
  <c r="Z453" i="25"/>
  <c r="Z452" i="25"/>
  <c r="X452" i="25"/>
  <c r="X451" i="25"/>
  <c r="Z451" i="25"/>
  <c r="X450" i="25"/>
  <c r="Z450" i="25"/>
  <c r="X449" i="25"/>
  <c r="Z449" i="25"/>
  <c r="Z448" i="25"/>
  <c r="X448" i="25"/>
  <c r="X447" i="25"/>
  <c r="Z447" i="25"/>
  <c r="X446" i="25"/>
  <c r="Z446" i="25"/>
  <c r="X445" i="25"/>
  <c r="Z445" i="25"/>
  <c r="Z444" i="25"/>
  <c r="X444" i="25"/>
  <c r="X443" i="25"/>
  <c r="Z443" i="25"/>
  <c r="X442" i="25"/>
  <c r="Z442" i="25"/>
  <c r="X441" i="25"/>
  <c r="Z441" i="25"/>
  <c r="X440" i="25"/>
  <c r="Z440" i="25"/>
  <c r="X439" i="25"/>
  <c r="Z439" i="25"/>
  <c r="X438" i="25"/>
  <c r="Z438" i="25"/>
  <c r="X437" i="25"/>
  <c r="Z437" i="25"/>
  <c r="X436" i="25"/>
  <c r="Z436" i="25"/>
  <c r="X435" i="25"/>
  <c r="Z435" i="25"/>
  <c r="X434" i="25"/>
  <c r="Z434" i="25"/>
  <c r="X433" i="25"/>
  <c r="Z433" i="25"/>
  <c r="X432" i="25"/>
  <c r="Z432" i="25"/>
  <c r="X431" i="25"/>
  <c r="Z431" i="25"/>
  <c r="X430" i="25"/>
  <c r="Z430" i="25"/>
  <c r="X429" i="25"/>
  <c r="Z429" i="25"/>
  <c r="X428" i="25"/>
  <c r="Z428" i="25"/>
  <c r="X427" i="25"/>
  <c r="Z427" i="25"/>
  <c r="X426" i="25"/>
  <c r="Z426" i="25"/>
  <c r="X425" i="25"/>
  <c r="Z425" i="25"/>
  <c r="X424" i="25"/>
  <c r="Z424" i="25"/>
  <c r="X423" i="25"/>
  <c r="Z423" i="25"/>
  <c r="X422" i="25"/>
  <c r="Z422" i="25"/>
  <c r="X421" i="25"/>
  <c r="Z421" i="25"/>
  <c r="X420" i="25"/>
  <c r="Z420" i="25"/>
  <c r="X419" i="25"/>
  <c r="Z419" i="25"/>
  <c r="X418" i="25"/>
  <c r="Z418" i="25"/>
  <c r="X417" i="25"/>
  <c r="Z417" i="25"/>
  <c r="X416" i="25"/>
  <c r="Z416" i="25"/>
  <c r="X415" i="25"/>
  <c r="Z415" i="25"/>
  <c r="X414" i="25"/>
  <c r="Z414" i="25"/>
  <c r="X413" i="25"/>
  <c r="Z413" i="25"/>
  <c r="X412" i="25"/>
  <c r="Z412" i="25"/>
  <c r="X411" i="25"/>
  <c r="Z411" i="25"/>
  <c r="X410" i="25"/>
  <c r="Z410" i="25"/>
  <c r="X409" i="25"/>
  <c r="Z409" i="25"/>
  <c r="X408" i="25"/>
  <c r="Z408" i="25"/>
  <c r="X407" i="25"/>
  <c r="Z407" i="25"/>
  <c r="X406" i="25"/>
  <c r="Z406" i="25"/>
  <c r="X405" i="25"/>
  <c r="Z405" i="25"/>
  <c r="X404" i="25"/>
  <c r="Z404" i="25"/>
  <c r="X403" i="25"/>
  <c r="Z403" i="25"/>
  <c r="X402" i="25"/>
  <c r="Z402" i="25"/>
  <c r="X401" i="25"/>
  <c r="Z401" i="25"/>
  <c r="X400" i="25"/>
  <c r="Z400" i="25"/>
  <c r="X399" i="25"/>
  <c r="Z399" i="25"/>
  <c r="X398" i="25"/>
  <c r="Z398" i="25"/>
  <c r="X397" i="25"/>
  <c r="Z397" i="25"/>
  <c r="X396" i="25"/>
  <c r="Z396" i="25"/>
  <c r="X395" i="25"/>
  <c r="Z395" i="25"/>
  <c r="X394" i="25"/>
  <c r="Z394" i="25"/>
  <c r="X393" i="25"/>
  <c r="Z393" i="25"/>
  <c r="X392" i="25"/>
  <c r="Z392" i="25"/>
  <c r="X391" i="25"/>
  <c r="Z391" i="25"/>
  <c r="X390" i="25"/>
  <c r="Z390" i="25"/>
  <c r="X389" i="25"/>
  <c r="Z389" i="25"/>
  <c r="X388" i="25"/>
  <c r="Z388" i="25"/>
  <c r="X387" i="25"/>
  <c r="Z387" i="25"/>
  <c r="X386" i="25"/>
  <c r="Z386" i="25"/>
  <c r="X385" i="25"/>
  <c r="Z385" i="25"/>
  <c r="X384" i="25"/>
  <c r="Z384" i="25"/>
  <c r="X383" i="25"/>
  <c r="Z383" i="25"/>
  <c r="X382" i="25"/>
  <c r="Z382" i="25"/>
  <c r="X381" i="25"/>
  <c r="Z381" i="25"/>
  <c r="X380" i="25"/>
  <c r="Z380" i="25"/>
  <c r="X379" i="25"/>
  <c r="Z379" i="25"/>
  <c r="X378" i="25"/>
  <c r="Z378" i="25"/>
  <c r="X377" i="25"/>
  <c r="Z377" i="25"/>
  <c r="X376" i="25"/>
  <c r="Z376" i="25"/>
  <c r="X375" i="25"/>
  <c r="Z375" i="25"/>
  <c r="X374" i="25"/>
  <c r="Z374" i="25"/>
  <c r="X373" i="25"/>
  <c r="Z373" i="25"/>
  <c r="X372" i="25"/>
  <c r="Z372" i="25"/>
  <c r="X371" i="25"/>
  <c r="Z371" i="25"/>
  <c r="X370" i="25"/>
  <c r="Z370" i="25"/>
  <c r="X369" i="25"/>
  <c r="Z369" i="25"/>
  <c r="X368" i="25"/>
  <c r="Z368" i="25"/>
  <c r="X367" i="25"/>
  <c r="Z367" i="25"/>
  <c r="X366" i="25"/>
  <c r="Z366" i="25"/>
  <c r="X365" i="25"/>
  <c r="Z365" i="25"/>
  <c r="X364" i="25"/>
  <c r="Z364" i="25"/>
  <c r="X363" i="25"/>
  <c r="Z363" i="25"/>
  <c r="X362" i="25"/>
  <c r="Z362" i="25"/>
  <c r="X361" i="25"/>
  <c r="Z361" i="25"/>
  <c r="X360" i="25"/>
  <c r="Z360" i="25"/>
  <c r="X359" i="25"/>
  <c r="Z359" i="25"/>
  <c r="X358" i="25"/>
  <c r="Z358" i="25"/>
  <c r="X357" i="25"/>
  <c r="Z357" i="25"/>
  <c r="X356" i="25"/>
  <c r="Z356" i="25"/>
  <c r="X355" i="25"/>
  <c r="Z355" i="25"/>
  <c r="X354" i="25"/>
  <c r="Z354" i="25"/>
  <c r="X353" i="25"/>
  <c r="Z353" i="25"/>
  <c r="X352" i="25"/>
  <c r="Z352" i="25"/>
  <c r="X351" i="25"/>
  <c r="Z351" i="25"/>
  <c r="X350" i="25"/>
  <c r="Z350" i="25"/>
  <c r="X349" i="25"/>
  <c r="Z349" i="25"/>
  <c r="X348" i="25"/>
  <c r="Z348" i="25"/>
  <c r="X347" i="25"/>
  <c r="Z347" i="25"/>
  <c r="X346" i="25"/>
  <c r="Z346" i="25"/>
  <c r="X345" i="25"/>
  <c r="Z345" i="25"/>
  <c r="S345" i="25"/>
  <c r="S346" i="25"/>
  <c r="S347" i="25"/>
  <c r="S348" i="25"/>
  <c r="S349" i="25"/>
  <c r="S350" i="25"/>
  <c r="S351" i="25"/>
  <c r="S352" i="25"/>
  <c r="S353" i="25"/>
  <c r="S354" i="25"/>
  <c r="S355" i="25"/>
  <c r="S356" i="25"/>
  <c r="S357" i="25"/>
  <c r="S358" i="25"/>
  <c r="S359" i="25"/>
  <c r="S360" i="25"/>
  <c r="S361" i="25"/>
  <c r="S362" i="25"/>
  <c r="S363" i="25"/>
  <c r="S364" i="25"/>
  <c r="S365" i="25"/>
  <c r="S366" i="25"/>
  <c r="S367" i="25"/>
  <c r="S368" i="25"/>
  <c r="S369" i="25"/>
  <c r="S370" i="25"/>
  <c r="S371" i="25"/>
  <c r="S372" i="25"/>
  <c r="S373" i="25"/>
  <c r="S374" i="25"/>
  <c r="S375" i="25"/>
  <c r="S376" i="25"/>
  <c r="S377" i="25"/>
  <c r="S378" i="25"/>
  <c r="S379" i="25"/>
  <c r="S380" i="25"/>
  <c r="S381" i="25"/>
  <c r="S382" i="25"/>
  <c r="S383" i="25"/>
  <c r="S384" i="25"/>
  <c r="S385" i="25"/>
  <c r="S386" i="25"/>
  <c r="S387" i="25"/>
  <c r="S388" i="25"/>
  <c r="S389" i="25"/>
  <c r="S390" i="25"/>
  <c r="S391" i="25"/>
  <c r="S392" i="25"/>
  <c r="S393" i="25"/>
  <c r="S394" i="25"/>
  <c r="S395" i="25"/>
  <c r="S396" i="25"/>
  <c r="S397" i="25"/>
  <c r="S398" i="25"/>
  <c r="S399" i="25"/>
  <c r="S400" i="25"/>
  <c r="S401" i="25"/>
  <c r="S402" i="25"/>
  <c r="S403" i="25"/>
  <c r="S404" i="25"/>
  <c r="S405" i="25"/>
  <c r="S406" i="25"/>
  <c r="S407" i="25"/>
  <c r="S408" i="25"/>
  <c r="S409" i="25"/>
  <c r="S410" i="25"/>
  <c r="S411" i="25"/>
  <c r="S412" i="25"/>
  <c r="S413" i="25"/>
  <c r="S414" i="25"/>
  <c r="S415" i="25"/>
  <c r="S416" i="25"/>
  <c r="S417" i="25"/>
  <c r="S418" i="25"/>
  <c r="S419" i="25"/>
  <c r="S420" i="25"/>
  <c r="S421" i="25"/>
  <c r="S422" i="25"/>
  <c r="S423" i="25"/>
  <c r="S424" i="25"/>
  <c r="S425" i="25"/>
  <c r="S426" i="25"/>
  <c r="S427" i="25"/>
  <c r="S428" i="25"/>
  <c r="S429" i="25"/>
  <c r="S430" i="25"/>
  <c r="S431" i="25"/>
  <c r="S432" i="25"/>
  <c r="S433" i="25"/>
  <c r="S434" i="25"/>
  <c r="S435" i="25"/>
  <c r="S436" i="25"/>
  <c r="S437" i="25"/>
  <c r="S438" i="25"/>
  <c r="S439" i="25"/>
  <c r="S440" i="25"/>
  <c r="S441" i="25"/>
  <c r="S442" i="25"/>
  <c r="S443" i="25"/>
  <c r="S444" i="25"/>
  <c r="S445" i="25"/>
  <c r="S446" i="25"/>
  <c r="S447" i="25"/>
  <c r="S448" i="25"/>
  <c r="S449" i="25"/>
  <c r="S450" i="25"/>
  <c r="S451" i="25"/>
  <c r="S452" i="25"/>
  <c r="S453" i="25"/>
  <c r="S454" i="25"/>
  <c r="S455" i="25"/>
  <c r="S456" i="25"/>
  <c r="S457" i="25"/>
  <c r="S458" i="25"/>
  <c r="S459" i="25"/>
  <c r="S460" i="25"/>
  <c r="S461" i="25"/>
  <c r="S462" i="25"/>
  <c r="S463" i="25"/>
  <c r="S464" i="25"/>
  <c r="S465" i="25"/>
  <c r="S466" i="25"/>
  <c r="S467" i="25"/>
  <c r="S468" i="25"/>
  <c r="S469" i="25"/>
  <c r="S470" i="25"/>
  <c r="S471" i="25"/>
  <c r="S472" i="25"/>
  <c r="S473" i="25"/>
  <c r="S474" i="25"/>
  <c r="S475" i="25"/>
  <c r="S476" i="25"/>
  <c r="S477" i="25"/>
  <c r="S478" i="25"/>
  <c r="S479" i="25"/>
  <c r="S480" i="25"/>
  <c r="S481" i="25"/>
  <c r="S482" i="25"/>
  <c r="S483" i="25"/>
  <c r="S484" i="25"/>
  <c r="S485" i="25"/>
  <c r="S486" i="25"/>
  <c r="S487" i="25"/>
  <c r="S488" i="25"/>
  <c r="S489" i="25"/>
  <c r="S490" i="25"/>
  <c r="S491" i="25"/>
  <c r="S492" i="25"/>
  <c r="S493" i="25"/>
  <c r="S494" i="25"/>
  <c r="S495" i="25"/>
  <c r="S496" i="25"/>
  <c r="S497" i="25"/>
  <c r="S498" i="25"/>
  <c r="S499" i="25"/>
  <c r="S500" i="25"/>
  <c r="S501" i="25"/>
  <c r="S502" i="25"/>
  <c r="S503" i="25"/>
  <c r="S504" i="25"/>
  <c r="S505" i="25"/>
  <c r="S506" i="25"/>
  <c r="S507" i="25"/>
  <c r="S508" i="25"/>
  <c r="S509" i="25"/>
  <c r="S510" i="25"/>
  <c r="S511" i="25"/>
  <c r="S512" i="25"/>
  <c r="S513" i="25"/>
  <c r="S514" i="25"/>
  <c r="S515" i="25"/>
  <c r="S516" i="25"/>
  <c r="S517" i="25"/>
  <c r="S518" i="25"/>
  <c r="S519" i="25"/>
  <c r="S520" i="25"/>
  <c r="S521" i="25"/>
  <c r="S522" i="25"/>
  <c r="S523" i="25"/>
  <c r="S524" i="25"/>
  <c r="S525" i="25"/>
  <c r="S526" i="25"/>
  <c r="S527" i="25"/>
  <c r="S528" i="25"/>
  <c r="S529" i="25"/>
  <c r="S530" i="25"/>
  <c r="S531" i="25"/>
  <c r="S532" i="25"/>
  <c r="S533" i="25"/>
  <c r="S534" i="25"/>
  <c r="S535" i="25"/>
  <c r="S536" i="25"/>
  <c r="S537" i="25"/>
  <c r="S538" i="25"/>
  <c r="S539" i="25"/>
  <c r="S540" i="25"/>
  <c r="S541" i="25"/>
  <c r="S542" i="25"/>
  <c r="S543" i="25"/>
  <c r="S544" i="25"/>
  <c r="S545" i="25"/>
  <c r="S546" i="25"/>
  <c r="S547" i="25"/>
  <c r="S548" i="25"/>
  <c r="S549" i="25"/>
  <c r="S550" i="25"/>
  <c r="S551" i="25"/>
  <c r="S552" i="25"/>
  <c r="S553" i="25"/>
  <c r="S554" i="25"/>
  <c r="S555" i="25"/>
  <c r="S556" i="25"/>
  <c r="S557" i="25"/>
  <c r="S558" i="25"/>
  <c r="S559" i="25"/>
  <c r="S560" i="25"/>
  <c r="S561" i="25"/>
  <c r="S562" i="25"/>
  <c r="S563" i="25"/>
  <c r="S564" i="25"/>
  <c r="S565" i="25"/>
  <c r="S566" i="25"/>
  <c r="S567" i="25"/>
  <c r="S568" i="25"/>
  <c r="S569" i="25"/>
  <c r="S570" i="25"/>
  <c r="S571" i="25"/>
  <c r="S572" i="25"/>
  <c r="S573" i="25"/>
  <c r="S574" i="25"/>
  <c r="S575" i="25"/>
  <c r="S576" i="25"/>
  <c r="S577" i="25"/>
  <c r="S578" i="25"/>
  <c r="S579" i="25"/>
  <c r="S580" i="25"/>
  <c r="S581" i="25"/>
  <c r="S582" i="25"/>
  <c r="S583" i="25"/>
  <c r="S584" i="25"/>
  <c r="S585" i="25"/>
  <c r="S586" i="25"/>
  <c r="S587" i="25"/>
  <c r="S588" i="25"/>
  <c r="S589" i="25"/>
  <c r="S590" i="25"/>
  <c r="S591" i="25"/>
  <c r="S592" i="25"/>
  <c r="X344" i="25"/>
  <c r="Z344" i="25"/>
  <c r="X343" i="25"/>
  <c r="Z343" i="25"/>
  <c r="X342" i="25"/>
  <c r="Z342" i="25"/>
  <c r="X341" i="25"/>
  <c r="Z341" i="25"/>
  <c r="X340" i="25"/>
  <c r="Z340" i="25"/>
  <c r="X339" i="25"/>
  <c r="Z339" i="25"/>
  <c r="X338" i="25"/>
  <c r="Z338" i="25"/>
  <c r="X337" i="25"/>
  <c r="Z337" i="25"/>
  <c r="X336" i="25"/>
  <c r="Z336" i="25"/>
  <c r="X335" i="25"/>
  <c r="Z335" i="25"/>
  <c r="X334" i="25"/>
  <c r="Z334" i="25"/>
  <c r="X333" i="25"/>
  <c r="Z333" i="25"/>
  <c r="X332" i="25"/>
  <c r="Z332" i="25"/>
  <c r="X331" i="25"/>
  <c r="Z331" i="25"/>
  <c r="X330" i="25"/>
  <c r="Z330" i="25"/>
  <c r="X329" i="25"/>
  <c r="Z329" i="25"/>
  <c r="X328" i="25"/>
  <c r="Z328" i="25"/>
  <c r="X327" i="25"/>
  <c r="Z327" i="25"/>
  <c r="X326" i="25"/>
  <c r="Z326" i="25"/>
  <c r="X325" i="25"/>
  <c r="Z325" i="25"/>
  <c r="X324" i="25"/>
  <c r="Z324" i="25"/>
  <c r="X323" i="25"/>
  <c r="Z323" i="25"/>
  <c r="X322" i="25"/>
  <c r="Z322" i="25"/>
  <c r="X321" i="25"/>
  <c r="Z321" i="25"/>
  <c r="X320" i="25"/>
  <c r="Z320" i="25"/>
  <c r="X319" i="25"/>
  <c r="Z319" i="25"/>
  <c r="X318" i="25"/>
  <c r="Z318" i="25"/>
  <c r="X317" i="25"/>
  <c r="Z317" i="25"/>
  <c r="X316" i="25"/>
  <c r="Z316" i="25"/>
  <c r="X315" i="25"/>
  <c r="Z315" i="25"/>
  <c r="X314" i="25"/>
  <c r="Z314" i="25"/>
  <c r="X313" i="25"/>
  <c r="Z313" i="25"/>
  <c r="X312" i="25"/>
  <c r="Z312" i="25"/>
  <c r="X311" i="25"/>
  <c r="Z311" i="25"/>
  <c r="Z310" i="25"/>
  <c r="X310" i="25"/>
  <c r="X309" i="25"/>
  <c r="Z309" i="25"/>
  <c r="X308" i="25"/>
  <c r="Z308" i="25"/>
  <c r="X307" i="25"/>
  <c r="Z307" i="25"/>
  <c r="X306" i="25"/>
  <c r="Z306" i="25"/>
  <c r="X305" i="25"/>
  <c r="Z305" i="25"/>
  <c r="X304" i="25"/>
  <c r="Z304" i="25"/>
  <c r="X303" i="25"/>
  <c r="Z303" i="25"/>
  <c r="Z302" i="25"/>
  <c r="X302" i="25"/>
  <c r="X301" i="25"/>
  <c r="Z301" i="25"/>
  <c r="X300" i="25"/>
  <c r="Z300" i="25"/>
  <c r="X299" i="25"/>
  <c r="Z299" i="25"/>
  <c r="X298" i="25"/>
  <c r="Z298" i="25"/>
  <c r="X297" i="25"/>
  <c r="Z297" i="25"/>
  <c r="X296" i="25"/>
  <c r="Z296" i="25"/>
  <c r="X295" i="25"/>
  <c r="Z295" i="25"/>
  <c r="Z294" i="25"/>
  <c r="X294" i="25"/>
  <c r="X293" i="25"/>
  <c r="Z293" i="25"/>
  <c r="X292" i="25"/>
  <c r="Z292" i="25"/>
  <c r="X291" i="25"/>
  <c r="Z291" i="25"/>
  <c r="X290" i="25"/>
  <c r="Z290" i="25"/>
  <c r="X289" i="25"/>
  <c r="Z289" i="25"/>
  <c r="X288" i="25"/>
  <c r="Z288" i="25"/>
  <c r="X287" i="25"/>
  <c r="Z287" i="25"/>
  <c r="X286" i="25"/>
  <c r="X285" i="25"/>
  <c r="Z285" i="25"/>
  <c r="X284" i="25"/>
  <c r="Z284" i="25"/>
  <c r="X283" i="25"/>
  <c r="Z283" i="25"/>
  <c r="X282" i="25"/>
  <c r="Z282" i="25"/>
  <c r="X281" i="25"/>
  <c r="Z281" i="25"/>
  <c r="X280" i="25"/>
  <c r="Z280" i="25"/>
  <c r="X279" i="25"/>
  <c r="Z279" i="25"/>
  <c r="X278" i="25"/>
  <c r="Z278" i="25"/>
  <c r="X277" i="25"/>
  <c r="Z277" i="25"/>
  <c r="X276" i="25"/>
  <c r="Z276" i="25"/>
  <c r="X275" i="25"/>
  <c r="Z275" i="25"/>
  <c r="X274" i="25"/>
  <c r="Z274" i="25"/>
  <c r="X273" i="25"/>
  <c r="Z273" i="25"/>
  <c r="X272" i="25"/>
  <c r="X271" i="25"/>
  <c r="Z271" i="25"/>
  <c r="X270" i="25"/>
  <c r="Z270" i="25"/>
  <c r="X269" i="25"/>
  <c r="Z269" i="25"/>
  <c r="X268" i="25"/>
  <c r="Z268" i="25"/>
  <c r="X267" i="25"/>
  <c r="Z267" i="25"/>
  <c r="X266" i="25"/>
  <c r="Z266" i="25"/>
  <c r="X265" i="25"/>
  <c r="X264" i="25"/>
  <c r="Z264" i="25"/>
  <c r="X263" i="25"/>
  <c r="Z263" i="25"/>
  <c r="X262" i="25"/>
  <c r="X261" i="25"/>
  <c r="Z261" i="25"/>
  <c r="X260" i="25"/>
  <c r="Z260" i="25"/>
  <c r="X259" i="25"/>
  <c r="Z259" i="25"/>
  <c r="X258" i="25"/>
  <c r="Z258" i="25"/>
  <c r="X257" i="25"/>
  <c r="Z257" i="25"/>
  <c r="X256" i="25"/>
  <c r="Z256" i="25"/>
  <c r="X255" i="25"/>
  <c r="Z255" i="25"/>
  <c r="X254" i="25"/>
  <c r="X253" i="25"/>
  <c r="Z253" i="25"/>
  <c r="X252" i="25"/>
  <c r="Z252" i="25"/>
  <c r="X251" i="25"/>
  <c r="Z251" i="25"/>
  <c r="X250" i="25"/>
  <c r="Z250" i="25"/>
  <c r="X249" i="25"/>
  <c r="Z249" i="25"/>
  <c r="X248" i="25"/>
  <c r="X247" i="25"/>
  <c r="X246" i="25"/>
  <c r="Z246" i="25"/>
  <c r="X245" i="25"/>
  <c r="Z245" i="25"/>
  <c r="X244" i="25"/>
  <c r="Z244" i="25"/>
  <c r="X243" i="25"/>
  <c r="Z243" i="25"/>
  <c r="X242" i="25"/>
  <c r="Z242" i="25"/>
  <c r="X241" i="25"/>
  <c r="Z241" i="25"/>
  <c r="X240" i="25"/>
  <c r="X239" i="25"/>
  <c r="Z239" i="25"/>
  <c r="X238" i="25"/>
  <c r="Z238" i="25"/>
  <c r="X237" i="25"/>
  <c r="Z237" i="25"/>
  <c r="X236" i="25"/>
  <c r="Z236" i="25"/>
  <c r="X235" i="25"/>
  <c r="Z235" i="25"/>
  <c r="X234" i="25"/>
  <c r="X233" i="25"/>
  <c r="X232" i="25"/>
  <c r="Z232" i="25"/>
  <c r="X231" i="25"/>
  <c r="Z231" i="25"/>
  <c r="X230" i="25"/>
  <c r="Z230" i="25"/>
  <c r="X229" i="25"/>
  <c r="Z229" i="25"/>
  <c r="X228" i="25"/>
  <c r="Z228" i="25"/>
  <c r="X227" i="25"/>
  <c r="X226" i="25"/>
  <c r="Z226" i="25"/>
  <c r="X225" i="25"/>
  <c r="Z225" i="25"/>
  <c r="X224" i="25"/>
  <c r="Z224" i="25"/>
  <c r="X223" i="25"/>
  <c r="Z223" i="25"/>
  <c r="X222" i="25"/>
  <c r="Z222" i="25"/>
  <c r="X221" i="25"/>
  <c r="Z221" i="25"/>
  <c r="X220" i="25"/>
  <c r="X219" i="25"/>
  <c r="Z219" i="25"/>
  <c r="X218" i="25"/>
  <c r="Z218" i="25"/>
  <c r="X217" i="25"/>
  <c r="Z217" i="25"/>
  <c r="X216" i="25"/>
  <c r="Z216" i="25"/>
  <c r="X215" i="25"/>
  <c r="Z215" i="25"/>
  <c r="X214" i="25"/>
  <c r="Z214" i="25"/>
  <c r="X213" i="25"/>
  <c r="Z213" i="25"/>
  <c r="X212" i="25"/>
  <c r="X211" i="25"/>
  <c r="Z211" i="25"/>
  <c r="X210" i="25"/>
  <c r="X209" i="25"/>
  <c r="Z209" i="25"/>
  <c r="X208" i="25"/>
  <c r="Z208" i="25"/>
  <c r="X207" i="25"/>
  <c r="Z207" i="25"/>
  <c r="X206" i="25"/>
  <c r="Z206" i="25"/>
  <c r="X205" i="25"/>
  <c r="Z205" i="25"/>
  <c r="X204" i="25"/>
  <c r="X203" i="25"/>
  <c r="X202" i="25"/>
  <c r="Z202" i="25"/>
  <c r="X201" i="25"/>
  <c r="X200" i="25"/>
  <c r="Z200" i="25"/>
  <c r="X199" i="25"/>
  <c r="Z199" i="25"/>
  <c r="X198" i="25"/>
  <c r="Z198" i="25"/>
  <c r="X197" i="25"/>
  <c r="Z197" i="25"/>
  <c r="X196" i="25"/>
  <c r="Z196" i="25"/>
  <c r="X195" i="25"/>
  <c r="X194" i="25"/>
  <c r="Z194" i="25"/>
  <c r="X193" i="25"/>
  <c r="Z193" i="25"/>
  <c r="X192" i="25"/>
  <c r="Z192" i="25"/>
  <c r="X191" i="25"/>
  <c r="Z191" i="25"/>
  <c r="X190" i="25"/>
  <c r="X189" i="25"/>
  <c r="Z189" i="25"/>
  <c r="X188" i="25"/>
  <c r="Z188" i="25"/>
  <c r="X187" i="25"/>
  <c r="X186" i="25"/>
  <c r="X185" i="25"/>
  <c r="Z185" i="25"/>
  <c r="X184" i="25"/>
  <c r="Z184" i="25"/>
  <c r="X183" i="25"/>
  <c r="Z183" i="25"/>
  <c r="X182" i="25"/>
  <c r="Z182" i="25"/>
  <c r="X181" i="25"/>
  <c r="Z181" i="25"/>
  <c r="X180" i="25"/>
  <c r="Z180" i="25"/>
  <c r="X179" i="25"/>
  <c r="X178" i="25"/>
  <c r="Z178" i="25"/>
  <c r="X177" i="25"/>
  <c r="Z177" i="25"/>
  <c r="X176" i="25"/>
  <c r="Z176" i="25"/>
  <c r="X175" i="25"/>
  <c r="Z175" i="25"/>
  <c r="X174" i="25"/>
  <c r="X173" i="25"/>
  <c r="Z173" i="25"/>
  <c r="X172" i="25"/>
  <c r="X171" i="25"/>
  <c r="Z171" i="25"/>
  <c r="X170" i="25"/>
  <c r="Z170" i="25"/>
  <c r="X169" i="25"/>
  <c r="Z169" i="25"/>
  <c r="X168" i="25"/>
  <c r="X167" i="25"/>
  <c r="Z167" i="25"/>
  <c r="X166" i="25"/>
  <c r="Z166" i="25"/>
  <c r="X165" i="25"/>
  <c r="Z165" i="25"/>
  <c r="X164" i="25"/>
  <c r="Z164" i="25"/>
  <c r="X163" i="25"/>
  <c r="Z163" i="25"/>
  <c r="X162" i="25"/>
  <c r="X161" i="25"/>
  <c r="Z161" i="25"/>
  <c r="X160" i="25"/>
  <c r="Z160" i="25"/>
  <c r="X159" i="25"/>
  <c r="Z159" i="25"/>
  <c r="X158" i="25"/>
  <c r="X157" i="25"/>
  <c r="X156" i="25"/>
  <c r="Z156" i="25"/>
  <c r="X155" i="25"/>
  <c r="Z155" i="25"/>
  <c r="X154" i="25"/>
  <c r="Z154" i="25"/>
  <c r="X153" i="25"/>
  <c r="Z153" i="25"/>
  <c r="X152" i="25"/>
  <c r="Z152" i="25"/>
  <c r="X151" i="25"/>
  <c r="Z151" i="25"/>
  <c r="X150" i="25"/>
  <c r="Z150" i="25"/>
  <c r="X149" i="25"/>
  <c r="Z149" i="25"/>
  <c r="Z148" i="25"/>
  <c r="X148" i="25"/>
  <c r="X147" i="25"/>
  <c r="Z147" i="25"/>
  <c r="X146" i="25"/>
  <c r="Z146" i="25"/>
  <c r="X145" i="25"/>
  <c r="Z145" i="25"/>
  <c r="X144" i="25"/>
  <c r="X143" i="25"/>
  <c r="Z143" i="25"/>
  <c r="X142" i="25"/>
  <c r="Z142" i="25"/>
  <c r="X141" i="25"/>
  <c r="Z141" i="25"/>
  <c r="X140" i="25"/>
  <c r="Z140" i="25"/>
  <c r="X139" i="25"/>
  <c r="Z139" i="25"/>
  <c r="X138" i="25"/>
  <c r="Z138" i="25"/>
  <c r="X137" i="25"/>
  <c r="X136" i="25"/>
  <c r="Z136" i="25"/>
  <c r="X135" i="25"/>
  <c r="Z135" i="25"/>
  <c r="X134" i="25"/>
  <c r="Z134" i="25"/>
  <c r="X133" i="25"/>
  <c r="Z133" i="25"/>
  <c r="X132" i="25"/>
  <c r="Z132" i="25"/>
  <c r="X131" i="25"/>
  <c r="Z131" i="25"/>
  <c r="X130" i="25"/>
  <c r="Z130" i="25"/>
  <c r="X129" i="25"/>
  <c r="X128" i="25"/>
  <c r="Z128" i="25"/>
  <c r="X127" i="25"/>
  <c r="Z127" i="25"/>
  <c r="X126" i="25"/>
  <c r="Z125" i="25"/>
  <c r="X125" i="25"/>
  <c r="X124" i="25"/>
  <c r="Z124" i="25"/>
  <c r="X123" i="25"/>
  <c r="Z123" i="25"/>
  <c r="X122" i="25"/>
  <c r="Z122" i="25"/>
  <c r="X121" i="25"/>
  <c r="Z121" i="25"/>
  <c r="X120" i="25"/>
  <c r="Z120" i="25"/>
  <c r="X119" i="25"/>
  <c r="Z119" i="25"/>
  <c r="X118" i="25"/>
  <c r="Z118" i="25"/>
  <c r="X117" i="25"/>
  <c r="Z117" i="25"/>
  <c r="X116" i="25"/>
  <c r="Z116" i="25"/>
  <c r="X115" i="25"/>
  <c r="Z115" i="25"/>
  <c r="X114" i="25"/>
  <c r="Z114" i="25"/>
  <c r="X113" i="25"/>
  <c r="Z113" i="25"/>
  <c r="X112" i="25"/>
  <c r="Z112" i="25"/>
  <c r="X111" i="25"/>
  <c r="Z111" i="25"/>
  <c r="X110" i="25"/>
  <c r="Z110" i="25"/>
  <c r="X109" i="25"/>
  <c r="Z109" i="25"/>
  <c r="X108" i="25"/>
  <c r="Z108" i="25"/>
  <c r="Z107" i="25"/>
  <c r="X107" i="25"/>
  <c r="X106" i="25"/>
  <c r="Z106" i="25"/>
  <c r="X105" i="25"/>
  <c r="Z105" i="25"/>
  <c r="X104" i="25"/>
  <c r="Z104" i="25"/>
  <c r="X103" i="25"/>
  <c r="Z103" i="25"/>
  <c r="X102" i="25"/>
  <c r="Z102" i="25"/>
  <c r="X101" i="25"/>
  <c r="Z101" i="25"/>
  <c r="Z100" i="25"/>
  <c r="X100" i="25"/>
  <c r="X99" i="25"/>
  <c r="Z99" i="25"/>
  <c r="X98" i="25"/>
  <c r="Z98" i="25"/>
  <c r="X97" i="25"/>
  <c r="Z97" i="25"/>
  <c r="X96" i="25"/>
  <c r="Z96" i="25"/>
  <c r="X95" i="25"/>
  <c r="Z95" i="25"/>
  <c r="X94" i="25"/>
  <c r="Z94" i="25"/>
  <c r="Z93" i="25"/>
  <c r="X93" i="25"/>
  <c r="X92" i="25"/>
  <c r="Z92" i="25"/>
  <c r="X91" i="25"/>
  <c r="Z91" i="25"/>
  <c r="X90" i="25"/>
  <c r="Z90" i="25"/>
  <c r="X89" i="25"/>
  <c r="Z89" i="25"/>
  <c r="X88" i="25"/>
  <c r="Z88" i="25"/>
  <c r="X87" i="25"/>
  <c r="Z87" i="25"/>
  <c r="X86" i="25"/>
  <c r="Z86" i="25"/>
  <c r="X85" i="25"/>
  <c r="Z85" i="25"/>
  <c r="X84" i="25"/>
  <c r="Z84" i="25"/>
  <c r="X83" i="25"/>
  <c r="Z83" i="25"/>
  <c r="X82" i="25"/>
  <c r="Z82" i="25"/>
  <c r="X81" i="25"/>
  <c r="Z81" i="25"/>
  <c r="X80" i="25"/>
  <c r="Z80" i="25"/>
  <c r="X79" i="25"/>
  <c r="Z79" i="25"/>
  <c r="X78" i="25"/>
  <c r="Z78" i="25"/>
  <c r="X77" i="25"/>
  <c r="Z77" i="25"/>
  <c r="X76" i="25"/>
  <c r="Z76" i="25"/>
  <c r="X75" i="25"/>
  <c r="Z75" i="25"/>
  <c r="X74" i="25"/>
  <c r="Z74" i="25"/>
  <c r="X73" i="25"/>
  <c r="Z73" i="25"/>
  <c r="X72" i="25"/>
  <c r="Z72" i="25"/>
  <c r="X71" i="25"/>
  <c r="Z71" i="25"/>
  <c r="X70" i="25"/>
  <c r="Z70" i="25"/>
  <c r="X69" i="25"/>
  <c r="Z69" i="25"/>
  <c r="X68" i="25"/>
  <c r="Z68" i="25"/>
  <c r="X67" i="25"/>
  <c r="Z67" i="25"/>
  <c r="X66" i="25"/>
  <c r="Z66" i="25"/>
  <c r="X65" i="25"/>
  <c r="Z65" i="25"/>
  <c r="X64" i="25"/>
  <c r="Z64" i="25"/>
  <c r="X63" i="25"/>
  <c r="Z63" i="25"/>
  <c r="X62" i="25"/>
  <c r="Z62" i="25"/>
  <c r="X61" i="25"/>
  <c r="Z61" i="25"/>
  <c r="X60" i="25"/>
  <c r="Z60" i="25"/>
  <c r="X59" i="25"/>
  <c r="Z59" i="25"/>
  <c r="X58" i="25"/>
  <c r="Z58" i="25"/>
  <c r="X57" i="25"/>
  <c r="Z57" i="25"/>
  <c r="X56" i="25"/>
  <c r="Z56" i="25"/>
  <c r="X55" i="25"/>
  <c r="Z55" i="25"/>
  <c r="X54" i="25"/>
  <c r="Z54" i="25"/>
  <c r="X53" i="25"/>
  <c r="Z53" i="25"/>
  <c r="X52" i="25"/>
  <c r="Z52" i="25"/>
  <c r="X51" i="25"/>
  <c r="Z51" i="25"/>
  <c r="X50" i="25"/>
  <c r="Z50" i="25"/>
  <c r="X49" i="25"/>
  <c r="Z49" i="25"/>
  <c r="X48" i="25"/>
  <c r="Z48" i="25"/>
  <c r="X47" i="25"/>
  <c r="Z47" i="25"/>
  <c r="X46" i="25"/>
  <c r="Z46" i="25"/>
  <c r="X45" i="25"/>
  <c r="Z45" i="25"/>
  <c r="X44" i="25"/>
  <c r="Z44" i="25"/>
  <c r="X43" i="25"/>
  <c r="Z43" i="25"/>
  <c r="X42" i="25"/>
  <c r="Z42" i="25"/>
  <c r="X41" i="25"/>
  <c r="Z41" i="25"/>
  <c r="X40" i="25"/>
  <c r="Z40" i="25"/>
  <c r="X39" i="25"/>
  <c r="Z39" i="25"/>
  <c r="X38" i="25"/>
  <c r="Z38" i="25"/>
  <c r="X37" i="25"/>
  <c r="Z37" i="25"/>
  <c r="X36" i="25"/>
  <c r="Z36" i="25"/>
  <c r="X35" i="25"/>
  <c r="Z35" i="25"/>
  <c r="X34" i="25"/>
  <c r="Z34" i="25"/>
  <c r="X33" i="25"/>
  <c r="Z33" i="25"/>
  <c r="X32" i="25"/>
  <c r="Z32" i="25"/>
  <c r="X31" i="25"/>
  <c r="Z31" i="25"/>
  <c r="X30" i="25"/>
  <c r="Z30" i="25"/>
  <c r="X29" i="25"/>
  <c r="Z29" i="25"/>
  <c r="X28" i="25"/>
  <c r="Z28" i="25"/>
  <c r="X27" i="25"/>
  <c r="Z27" i="25"/>
  <c r="X26" i="25"/>
  <c r="Z26" i="25"/>
  <c r="X25" i="25"/>
  <c r="Z25" i="25"/>
  <c r="X24" i="25"/>
  <c r="Z24" i="25"/>
  <c r="X23" i="25"/>
  <c r="Z23" i="25"/>
  <c r="X22" i="25"/>
  <c r="Z22" i="25"/>
  <c r="X21" i="25"/>
  <c r="Z21" i="25"/>
  <c r="X20" i="25"/>
  <c r="Z20" i="25"/>
  <c r="X19" i="25"/>
  <c r="Z19" i="25"/>
  <c r="X18" i="25"/>
  <c r="Z18" i="25"/>
  <c r="X17" i="25"/>
  <c r="Z17" i="25"/>
  <c r="X16" i="25"/>
  <c r="Z16" i="25"/>
  <c r="S16" i="25"/>
  <c r="S17" i="25"/>
  <c r="S18" i="25"/>
  <c r="S19" i="25"/>
  <c r="S20" i="25"/>
  <c r="S21" i="25"/>
  <c r="S22" i="25"/>
  <c r="S23" i="25"/>
  <c r="S24" i="25"/>
  <c r="S25" i="25"/>
  <c r="S26" i="25"/>
  <c r="S27" i="25"/>
  <c r="S28" i="25"/>
  <c r="S29" i="25"/>
  <c r="S30" i="25"/>
  <c r="S31" i="25"/>
  <c r="S32" i="25"/>
  <c r="S33" i="25"/>
  <c r="S34" i="25"/>
  <c r="S35" i="25"/>
  <c r="S36" i="25"/>
  <c r="S37" i="25"/>
  <c r="S38" i="25"/>
  <c r="S39" i="25"/>
  <c r="S40" i="25"/>
  <c r="S41" i="25"/>
  <c r="S42" i="25"/>
  <c r="S43" i="25"/>
  <c r="S44" i="25"/>
  <c r="S45" i="25"/>
  <c r="S46" i="25"/>
  <c r="S47" i="25"/>
  <c r="S48" i="25"/>
  <c r="S49" i="25"/>
  <c r="S50" i="25"/>
  <c r="S51" i="25"/>
  <c r="S52" i="25"/>
  <c r="S53" i="25"/>
  <c r="S54" i="25"/>
  <c r="S55" i="25"/>
  <c r="S56" i="25"/>
  <c r="S57" i="25"/>
  <c r="S58" i="25"/>
  <c r="S59" i="25"/>
  <c r="S60" i="25"/>
  <c r="S61" i="25"/>
  <c r="S62" i="25"/>
  <c r="S63" i="25"/>
  <c r="S64" i="25"/>
  <c r="S65" i="25"/>
  <c r="S66" i="25"/>
  <c r="S67" i="25"/>
  <c r="S68" i="25"/>
  <c r="S69" i="25"/>
  <c r="S70" i="25"/>
  <c r="S71" i="25"/>
  <c r="S72" i="25"/>
  <c r="S73" i="25"/>
  <c r="S74" i="25"/>
  <c r="S75" i="25"/>
  <c r="S76" i="25"/>
  <c r="S77" i="25"/>
  <c r="S78" i="25"/>
  <c r="S79" i="25"/>
  <c r="S80" i="25"/>
  <c r="S81" i="25"/>
  <c r="S82" i="25"/>
  <c r="S83" i="25"/>
  <c r="S84" i="25"/>
  <c r="S85" i="25"/>
  <c r="S86" i="25"/>
  <c r="S87" i="25"/>
  <c r="S88" i="25"/>
  <c r="S89" i="25"/>
  <c r="S90" i="25"/>
  <c r="S91" i="25"/>
  <c r="S92" i="25"/>
  <c r="S93" i="25"/>
  <c r="S94" i="25"/>
  <c r="S95" i="25"/>
  <c r="S96" i="25"/>
  <c r="S97" i="25"/>
  <c r="S98" i="25"/>
  <c r="S99" i="25"/>
  <c r="S100" i="25"/>
  <c r="S101" i="25"/>
  <c r="S102" i="25"/>
  <c r="S103" i="25"/>
  <c r="S104" i="25"/>
  <c r="S105" i="25"/>
  <c r="S106" i="25"/>
  <c r="S107" i="25"/>
  <c r="S108" i="25"/>
  <c r="S109" i="25"/>
  <c r="S110" i="25"/>
  <c r="S111" i="25"/>
  <c r="S112" i="25"/>
  <c r="S113" i="25"/>
  <c r="S114" i="25"/>
  <c r="S115" i="25"/>
  <c r="S116" i="25"/>
  <c r="S117" i="25"/>
  <c r="S118" i="25"/>
  <c r="S119" i="25"/>
  <c r="S120" i="25"/>
  <c r="S121" i="25"/>
  <c r="S122" i="25"/>
  <c r="S123" i="25"/>
  <c r="S124" i="25"/>
  <c r="S125" i="25"/>
  <c r="S126" i="25"/>
  <c r="S127" i="25"/>
  <c r="S128" i="25"/>
  <c r="S129" i="25"/>
  <c r="S130" i="25"/>
  <c r="S131" i="25"/>
  <c r="S132" i="25"/>
  <c r="S133" i="25"/>
  <c r="S134" i="25"/>
  <c r="S135" i="25"/>
  <c r="S136" i="25"/>
  <c r="S137" i="25"/>
  <c r="S138" i="25"/>
  <c r="S139" i="25"/>
  <c r="S140" i="25"/>
  <c r="S141" i="25"/>
  <c r="S142" i="25"/>
  <c r="S143" i="25"/>
  <c r="S144" i="25"/>
  <c r="S145" i="25"/>
  <c r="S146" i="25"/>
  <c r="S147" i="25"/>
  <c r="S148" i="25"/>
  <c r="S149" i="25"/>
  <c r="S150" i="25"/>
  <c r="S151" i="25"/>
  <c r="S152" i="25"/>
  <c r="S153" i="25"/>
  <c r="S154" i="25"/>
  <c r="S155" i="25"/>
  <c r="S156" i="25"/>
  <c r="S157" i="25"/>
  <c r="S158" i="25"/>
  <c r="S159" i="25"/>
  <c r="S160" i="25"/>
  <c r="S161" i="25"/>
  <c r="S162" i="25"/>
  <c r="S163" i="25"/>
  <c r="S164" i="25"/>
  <c r="S165" i="25"/>
  <c r="S166" i="25"/>
  <c r="S167" i="25"/>
  <c r="S168" i="25"/>
  <c r="S169" i="25"/>
  <c r="S170" i="25"/>
  <c r="S171" i="25"/>
  <c r="S172" i="25"/>
  <c r="S173" i="25"/>
  <c r="S174" i="25"/>
  <c r="S175" i="25"/>
  <c r="S176" i="25"/>
  <c r="S177" i="25"/>
  <c r="S178" i="25"/>
  <c r="S179" i="25"/>
  <c r="S180" i="25"/>
  <c r="S181" i="25"/>
  <c r="S182" i="25"/>
  <c r="S183" i="25"/>
  <c r="S184" i="25"/>
  <c r="S185" i="25"/>
  <c r="S186" i="25"/>
  <c r="S187" i="25"/>
  <c r="S188" i="25"/>
  <c r="S189" i="25"/>
  <c r="S190" i="25"/>
  <c r="S191" i="25"/>
  <c r="S192" i="25"/>
  <c r="S193" i="25"/>
  <c r="S194" i="25"/>
  <c r="S195" i="25"/>
  <c r="S196" i="25"/>
  <c r="S197" i="25"/>
  <c r="S198" i="25"/>
  <c r="S199" i="25"/>
  <c r="S200" i="25"/>
  <c r="S201" i="25"/>
  <c r="S202" i="25"/>
  <c r="S203" i="25"/>
  <c r="S204" i="25"/>
  <c r="S205" i="25"/>
  <c r="S206" i="25"/>
  <c r="S207" i="25"/>
  <c r="S208" i="25"/>
  <c r="S209" i="25"/>
  <c r="S210" i="25"/>
  <c r="Q16" i="25"/>
  <c r="Q17" i="25"/>
  <c r="Q18" i="25"/>
  <c r="Q19" i="25"/>
  <c r="Q20" i="25"/>
  <c r="Q21" i="25"/>
  <c r="Q22" i="25"/>
  <c r="Q23" i="25"/>
  <c r="Q24" i="25"/>
  <c r="Q25" i="25"/>
  <c r="Q26" i="25"/>
  <c r="Q27" i="25"/>
  <c r="Q28" i="25"/>
  <c r="Q29" i="25"/>
  <c r="Q30" i="25"/>
  <c r="Q31" i="25"/>
  <c r="Q32" i="25"/>
  <c r="Q33" i="25"/>
  <c r="Q34" i="25"/>
  <c r="Q35" i="25"/>
  <c r="Q36" i="25"/>
  <c r="Q37" i="25"/>
  <c r="Q38" i="25"/>
  <c r="Q39" i="25"/>
  <c r="Q40" i="25"/>
  <c r="Q41" i="25"/>
  <c r="Q42" i="25"/>
  <c r="Q43" i="25"/>
  <c r="Q44" i="25"/>
  <c r="Q45" i="25"/>
  <c r="Q46" i="25"/>
  <c r="Q47" i="25"/>
  <c r="Q48" i="25"/>
  <c r="Q49" i="25"/>
  <c r="Q50" i="25"/>
  <c r="Q51" i="25"/>
  <c r="Q52" i="25"/>
  <c r="Q53" i="25"/>
  <c r="Q54" i="25"/>
  <c r="Q55" i="25"/>
  <c r="Q56" i="25"/>
  <c r="Q57" i="25"/>
  <c r="Q58" i="25"/>
  <c r="Q59" i="25"/>
  <c r="Q60" i="25"/>
  <c r="Q61" i="25"/>
  <c r="Q62" i="25"/>
  <c r="Q63" i="25"/>
  <c r="Q64" i="25"/>
  <c r="Q65" i="25"/>
  <c r="Q66" i="25"/>
  <c r="Q67" i="25"/>
  <c r="Q68" i="25"/>
  <c r="Q69" i="25"/>
  <c r="Q70" i="25"/>
  <c r="Q71" i="25"/>
  <c r="Q72" i="25"/>
  <c r="Q73" i="25"/>
  <c r="Q74" i="25"/>
  <c r="Q75" i="25"/>
  <c r="Q76" i="25"/>
  <c r="Q77" i="25"/>
  <c r="Q78" i="25"/>
  <c r="Q79" i="25"/>
  <c r="Q80" i="25"/>
  <c r="Q81" i="25"/>
  <c r="Q82" i="25"/>
  <c r="Q83" i="25"/>
  <c r="Q84" i="25"/>
  <c r="Q85" i="25"/>
  <c r="Q86" i="25"/>
  <c r="Q87" i="25"/>
  <c r="Q88" i="25"/>
  <c r="Q89" i="25"/>
  <c r="Q90" i="25"/>
  <c r="Q91" i="25"/>
  <c r="Q92" i="25"/>
  <c r="Q93" i="25"/>
  <c r="Q94" i="25"/>
  <c r="Q95" i="25"/>
  <c r="Q96" i="25"/>
  <c r="Q97" i="25"/>
  <c r="Q98" i="25"/>
  <c r="Q99" i="25"/>
  <c r="Q100" i="25"/>
  <c r="Q101" i="25"/>
  <c r="Q102" i="25"/>
  <c r="Q103" i="25"/>
  <c r="Q104" i="25"/>
  <c r="Q105" i="25"/>
  <c r="Q106" i="25"/>
  <c r="Q107" i="25"/>
  <c r="Q108" i="25"/>
  <c r="Q109" i="25"/>
  <c r="Q110" i="25"/>
  <c r="Q111" i="25"/>
  <c r="Q112" i="25"/>
  <c r="Q113" i="25"/>
  <c r="Q114" i="25"/>
  <c r="Q115" i="25"/>
  <c r="Q116" i="25"/>
  <c r="Q117" i="25"/>
  <c r="Q118" i="25"/>
  <c r="Q119" i="25"/>
  <c r="Q120" i="25"/>
  <c r="Q121" i="25"/>
  <c r="Q122" i="25"/>
  <c r="Q123" i="25"/>
  <c r="Q124" i="25"/>
  <c r="Q125" i="25"/>
  <c r="Q126" i="25"/>
  <c r="Q127" i="25"/>
  <c r="Q128" i="25"/>
  <c r="Q129" i="25"/>
  <c r="Q130" i="25"/>
  <c r="Q131" i="25"/>
  <c r="Q132" i="25"/>
  <c r="Q133" i="25"/>
  <c r="Q134" i="25"/>
  <c r="Q135" i="25"/>
  <c r="Q136" i="25"/>
  <c r="Q137" i="25"/>
  <c r="L137" i="25"/>
  <c r="I13" i="25"/>
  <c r="AB589" i="29"/>
  <c r="AB588" i="29"/>
  <c r="AB587" i="29"/>
  <c r="AB586" i="29"/>
  <c r="AB585" i="29"/>
  <c r="AB584" i="29"/>
  <c r="AB583" i="29"/>
  <c r="AB582" i="29"/>
  <c r="AB581" i="29"/>
  <c r="AB580" i="29"/>
  <c r="AB579" i="29"/>
  <c r="AB578" i="29"/>
  <c r="AB577" i="29"/>
  <c r="AB576" i="29"/>
  <c r="AB575" i="29"/>
  <c r="AB574" i="29"/>
  <c r="AB573" i="29"/>
  <c r="AB572" i="29"/>
  <c r="AB571" i="29"/>
  <c r="AB570" i="29"/>
  <c r="AB569" i="29"/>
  <c r="AB568" i="29"/>
  <c r="AB567" i="29"/>
  <c r="AB566" i="29"/>
  <c r="AB565" i="29"/>
  <c r="AB564" i="29"/>
  <c r="AB563" i="29"/>
  <c r="AB562" i="29"/>
  <c r="AB561" i="29"/>
  <c r="AB560" i="29"/>
  <c r="AB559" i="29"/>
  <c r="AB558" i="29"/>
  <c r="AB557" i="29"/>
  <c r="AB556" i="29"/>
  <c r="AB555" i="29"/>
  <c r="AB554" i="29"/>
  <c r="AB553" i="29"/>
  <c r="AB552" i="29"/>
  <c r="AB551" i="29"/>
  <c r="AB550" i="29"/>
  <c r="AB549" i="29"/>
  <c r="AB548" i="29"/>
  <c r="AB547" i="29"/>
  <c r="AB546" i="29"/>
  <c r="AB545" i="29"/>
  <c r="AB544" i="29"/>
  <c r="AB543" i="29"/>
  <c r="AB542" i="29"/>
  <c r="AB541" i="29"/>
  <c r="AB540" i="29"/>
  <c r="AB539" i="29"/>
  <c r="AB538" i="29"/>
  <c r="AB537" i="29"/>
  <c r="AB536" i="29"/>
  <c r="AB535" i="29"/>
  <c r="AB534" i="29"/>
  <c r="AB533" i="29"/>
  <c r="AB532" i="29"/>
  <c r="AB531" i="29"/>
  <c r="AB530" i="29"/>
  <c r="AB529" i="29"/>
  <c r="AB528" i="29"/>
  <c r="AB527" i="29"/>
  <c r="AB526" i="29"/>
  <c r="AB525" i="29"/>
  <c r="AB524" i="29"/>
  <c r="AB523" i="29"/>
  <c r="AB522" i="29"/>
  <c r="AB521" i="29"/>
  <c r="AB520" i="29"/>
  <c r="AB519" i="29"/>
  <c r="AB518" i="29"/>
  <c r="AB517" i="29"/>
  <c r="AB516" i="29"/>
  <c r="AB515" i="29"/>
  <c r="AB514" i="29"/>
  <c r="AB513" i="29"/>
  <c r="AB512" i="29"/>
  <c r="AB511" i="29"/>
  <c r="AB510" i="29"/>
  <c r="AB509" i="29"/>
  <c r="AB508" i="29"/>
  <c r="AB507" i="29"/>
  <c r="AB506" i="29"/>
  <c r="AB505" i="29"/>
  <c r="AB504" i="29"/>
  <c r="AB503" i="29"/>
  <c r="AB502" i="29"/>
  <c r="AB501" i="29"/>
  <c r="AB500" i="29"/>
  <c r="AB499" i="29"/>
  <c r="AB498" i="29"/>
  <c r="AB497" i="29"/>
  <c r="AB496" i="29"/>
  <c r="AB495" i="29"/>
  <c r="AB494" i="29"/>
  <c r="AB493" i="29"/>
  <c r="AB492" i="29"/>
  <c r="AB491" i="29"/>
  <c r="AB490" i="29"/>
  <c r="AB489" i="29"/>
  <c r="AB488" i="29"/>
  <c r="AB487" i="29"/>
  <c r="AB486" i="29"/>
  <c r="AB485" i="29"/>
  <c r="AB484" i="29"/>
  <c r="AB483" i="29"/>
  <c r="AB482" i="29"/>
  <c r="AB481" i="29"/>
  <c r="AB480" i="29"/>
  <c r="AB479" i="29"/>
  <c r="AB478" i="29"/>
  <c r="AB477" i="29"/>
  <c r="AB476" i="29"/>
  <c r="AB475" i="29"/>
  <c r="AB474" i="29"/>
  <c r="AB473" i="29"/>
  <c r="AB472" i="29"/>
  <c r="AB471" i="29"/>
  <c r="AB470" i="29"/>
  <c r="AB469" i="29"/>
  <c r="AB468" i="29"/>
  <c r="AB467" i="29"/>
  <c r="AB466" i="29"/>
  <c r="AB465" i="29"/>
  <c r="AB464" i="29"/>
  <c r="AB463" i="29"/>
  <c r="AB462" i="29"/>
  <c r="AB461" i="29"/>
  <c r="AB460" i="29"/>
  <c r="AB459" i="29"/>
  <c r="AB458" i="29"/>
  <c r="AB457" i="29"/>
  <c r="AB456" i="29"/>
  <c r="AB455" i="29"/>
  <c r="AB454" i="29"/>
  <c r="AB453" i="29"/>
  <c r="AB452" i="29"/>
  <c r="AB451" i="29"/>
  <c r="AB450" i="29"/>
  <c r="AB449" i="29"/>
  <c r="AB448" i="29"/>
  <c r="AB447" i="29"/>
  <c r="AB446" i="29"/>
  <c r="AB445" i="29"/>
  <c r="AB444" i="29"/>
  <c r="AB443" i="29"/>
  <c r="AB442" i="29"/>
  <c r="AB441" i="29"/>
  <c r="AB440" i="29"/>
  <c r="AB439" i="29"/>
  <c r="AB438" i="29"/>
  <c r="AB437" i="29"/>
  <c r="AB436" i="29"/>
  <c r="AB435" i="29"/>
  <c r="AB434" i="29"/>
  <c r="AB433" i="29"/>
  <c r="AB432" i="29"/>
  <c r="AB431" i="29"/>
  <c r="AB430" i="29"/>
  <c r="AB429" i="29"/>
  <c r="AB428" i="29"/>
  <c r="AB427" i="29"/>
  <c r="AB426" i="29"/>
  <c r="AB425" i="29"/>
  <c r="AB424" i="29"/>
  <c r="AB423" i="29"/>
  <c r="AB422" i="29"/>
  <c r="AB421" i="29"/>
  <c r="AB420" i="29"/>
  <c r="AB419" i="29"/>
  <c r="AB418" i="29"/>
  <c r="AB417" i="29"/>
  <c r="AB416" i="29"/>
  <c r="AB415" i="29"/>
  <c r="AB414" i="29"/>
  <c r="AB413" i="29"/>
  <c r="AB412" i="29"/>
  <c r="AB411" i="29"/>
  <c r="AB410" i="29"/>
  <c r="AB409" i="29"/>
  <c r="AB408" i="29"/>
  <c r="AB407" i="29"/>
  <c r="AB406" i="29"/>
  <c r="AB405" i="29"/>
  <c r="AB404" i="29"/>
  <c r="AB403" i="29"/>
  <c r="AB402" i="29"/>
  <c r="AB401" i="29"/>
  <c r="AB400" i="29"/>
  <c r="AB399" i="29"/>
  <c r="AB398" i="29"/>
  <c r="AB397" i="29"/>
  <c r="AB396" i="29"/>
  <c r="AB395" i="29"/>
  <c r="AB394" i="29"/>
  <c r="AB393" i="29"/>
  <c r="AB392" i="29"/>
  <c r="AB391" i="29"/>
  <c r="AB390" i="29"/>
  <c r="AB389" i="29"/>
  <c r="AB388" i="29"/>
  <c r="AB387" i="29"/>
  <c r="AB386" i="29"/>
  <c r="AB385" i="29"/>
  <c r="AB384" i="29"/>
  <c r="AB383" i="29"/>
  <c r="AB382" i="29"/>
  <c r="AB381" i="29"/>
  <c r="AB380" i="29"/>
  <c r="AB379" i="29"/>
  <c r="AB378" i="29"/>
  <c r="AB377" i="29"/>
  <c r="AB376" i="29"/>
  <c r="AB375" i="29"/>
  <c r="AB374" i="29"/>
  <c r="AB373" i="29"/>
  <c r="AB372" i="29"/>
  <c r="AB371" i="29"/>
  <c r="AB370" i="29"/>
  <c r="AB369" i="29"/>
  <c r="AB368" i="29"/>
  <c r="AB367" i="29"/>
  <c r="AB366" i="29"/>
  <c r="AB365" i="29"/>
  <c r="AB364" i="29"/>
  <c r="AB363" i="29"/>
  <c r="AB362" i="29"/>
  <c r="AB361" i="29"/>
  <c r="AB360" i="29"/>
  <c r="AB359" i="29"/>
  <c r="AB358" i="29"/>
  <c r="AB357" i="29"/>
  <c r="AB356" i="29"/>
  <c r="AB355" i="29"/>
  <c r="AB354" i="29"/>
  <c r="AB353" i="29"/>
  <c r="AB352" i="29"/>
  <c r="AB351" i="29"/>
  <c r="AB350" i="29"/>
  <c r="AB349" i="29"/>
  <c r="AB348" i="29"/>
  <c r="AB347" i="29"/>
  <c r="AB346" i="29"/>
  <c r="AB345" i="29"/>
  <c r="AB344" i="29"/>
  <c r="AB343" i="29"/>
  <c r="AB342" i="29"/>
  <c r="AB341" i="29"/>
  <c r="AB340" i="29"/>
  <c r="AB339" i="29"/>
  <c r="AB338" i="29"/>
  <c r="AB337" i="29"/>
  <c r="AB336" i="29"/>
  <c r="AB335" i="29"/>
  <c r="AB334" i="29"/>
  <c r="AB333" i="29"/>
  <c r="AB332" i="29"/>
  <c r="AB331" i="29"/>
  <c r="AB330" i="29"/>
  <c r="AB329" i="29"/>
  <c r="AB328" i="29"/>
  <c r="AB327" i="29"/>
  <c r="AB326" i="29"/>
  <c r="AB325" i="29"/>
  <c r="AB324" i="29"/>
  <c r="AB323" i="29"/>
  <c r="AB322" i="29"/>
  <c r="AB321" i="29"/>
  <c r="AB320" i="29"/>
  <c r="AB319" i="29"/>
  <c r="AB318" i="29"/>
  <c r="AB317" i="29"/>
  <c r="AB316" i="29"/>
  <c r="AB315" i="29"/>
  <c r="AB314" i="29"/>
  <c r="AB313" i="29"/>
  <c r="AB312" i="29"/>
  <c r="AB311" i="29"/>
  <c r="AB310" i="29"/>
  <c r="AB309" i="29"/>
  <c r="AB308" i="29"/>
  <c r="AB307" i="29"/>
  <c r="AB306" i="29"/>
  <c r="AB305" i="29"/>
  <c r="AB304" i="29"/>
  <c r="AB303" i="29"/>
  <c r="AB302" i="29"/>
  <c r="AB301" i="29"/>
  <c r="AB300" i="29"/>
  <c r="AB299" i="29"/>
  <c r="AB298" i="29"/>
  <c r="AB297" i="29"/>
  <c r="AB296" i="29"/>
  <c r="AB295" i="29"/>
  <c r="AB294" i="29"/>
  <c r="AB293" i="29"/>
  <c r="AB292" i="29"/>
  <c r="AB291" i="29"/>
  <c r="AB290" i="29"/>
  <c r="AB289" i="29"/>
  <c r="AB288" i="29"/>
  <c r="AB287" i="29"/>
  <c r="AB286" i="29"/>
  <c r="AB285" i="29"/>
  <c r="AB284" i="29"/>
  <c r="AB283" i="29"/>
  <c r="AB282" i="29"/>
  <c r="AB281" i="29"/>
  <c r="AB280" i="29"/>
  <c r="AB279" i="29"/>
  <c r="AB278" i="29"/>
  <c r="AB277" i="29"/>
  <c r="AB276" i="29"/>
  <c r="AB275" i="29"/>
  <c r="AB274" i="29"/>
  <c r="AB273" i="29"/>
  <c r="AB272" i="29"/>
  <c r="AB271" i="29"/>
  <c r="AB270" i="29"/>
  <c r="AB269" i="29"/>
  <c r="AB268" i="29"/>
  <c r="AB267" i="29"/>
  <c r="AB266" i="29"/>
  <c r="AB265" i="29"/>
  <c r="AB264" i="29"/>
  <c r="AB263" i="29"/>
  <c r="AB262" i="29"/>
  <c r="AB261" i="29"/>
  <c r="AB260" i="29"/>
  <c r="AB259" i="29"/>
  <c r="AB258" i="29"/>
  <c r="AB257" i="29"/>
  <c r="AB256" i="29"/>
  <c r="AB255" i="29"/>
  <c r="AB254" i="29"/>
  <c r="AB253" i="29"/>
  <c r="AB252" i="29"/>
  <c r="AB251" i="29"/>
  <c r="AB250" i="29"/>
  <c r="AB249" i="29"/>
  <c r="AB248" i="29"/>
  <c r="AB247" i="29"/>
  <c r="AB246" i="29"/>
  <c r="AB245" i="29"/>
  <c r="AB244" i="29"/>
  <c r="AB243" i="29"/>
  <c r="AB242" i="29"/>
  <c r="AB241" i="29"/>
  <c r="AB240" i="29"/>
  <c r="AB239" i="29"/>
  <c r="AB238" i="29"/>
  <c r="AB237" i="29"/>
  <c r="AB236" i="29"/>
  <c r="AB235" i="29"/>
  <c r="AB234" i="29"/>
  <c r="AB233" i="29"/>
  <c r="AB232" i="29"/>
  <c r="AB231" i="29"/>
  <c r="AB230" i="29"/>
  <c r="AB229" i="29"/>
  <c r="AB228" i="29"/>
  <c r="AB227" i="29"/>
  <c r="AB226" i="29"/>
  <c r="AB225" i="29"/>
  <c r="AB224" i="29"/>
  <c r="AB223" i="29"/>
  <c r="AB222" i="29"/>
  <c r="AB221" i="29"/>
  <c r="AB220" i="29"/>
  <c r="AB219" i="29"/>
  <c r="AB218" i="29"/>
  <c r="AB217" i="29"/>
  <c r="AB216" i="29"/>
  <c r="AB215" i="29"/>
  <c r="AB214" i="29"/>
  <c r="AB213" i="29"/>
  <c r="AB212" i="29"/>
  <c r="AB211" i="29"/>
  <c r="AB210" i="29"/>
  <c r="AB209" i="29"/>
  <c r="AB208" i="29"/>
  <c r="AB207" i="29"/>
  <c r="AB206" i="29"/>
  <c r="AB205" i="29"/>
  <c r="AB204" i="29"/>
  <c r="AB203" i="29"/>
  <c r="AB202" i="29"/>
  <c r="AB201" i="29"/>
  <c r="AB200" i="29"/>
  <c r="AB199" i="29"/>
  <c r="AB198" i="29"/>
  <c r="AB197" i="29"/>
  <c r="AB196" i="29"/>
  <c r="AB195" i="29"/>
  <c r="AB194" i="29"/>
  <c r="AB193" i="29"/>
  <c r="AB192" i="29"/>
  <c r="AB191" i="29"/>
  <c r="AB190" i="29"/>
  <c r="AB189" i="29"/>
  <c r="AB188" i="29"/>
  <c r="AB187" i="29"/>
  <c r="AB186" i="29"/>
  <c r="AB185" i="29"/>
  <c r="AB184" i="29"/>
  <c r="AB183" i="29"/>
  <c r="AB182" i="29"/>
  <c r="AB181" i="29"/>
  <c r="AB180" i="29"/>
  <c r="AB179" i="29"/>
  <c r="AB178" i="29"/>
  <c r="AB177" i="29"/>
  <c r="AB176" i="29"/>
  <c r="AB175" i="29"/>
  <c r="AB174" i="29"/>
  <c r="AB173" i="29"/>
  <c r="AB172" i="29"/>
  <c r="AB171" i="29"/>
  <c r="AB170" i="29"/>
  <c r="AB169" i="29"/>
  <c r="AB168" i="29"/>
  <c r="AB167" i="29"/>
  <c r="AB166" i="29"/>
  <c r="AB165" i="29"/>
  <c r="AB164" i="29"/>
  <c r="AB163" i="29"/>
  <c r="AB162" i="29"/>
  <c r="AB161" i="29"/>
  <c r="AB160" i="29"/>
  <c r="AB159" i="29"/>
  <c r="AB158" i="29"/>
  <c r="AB157" i="29"/>
  <c r="AB156" i="29"/>
  <c r="AB155" i="29"/>
  <c r="AB154" i="29"/>
  <c r="AB153" i="29"/>
  <c r="AB152" i="29"/>
  <c r="AB151" i="29"/>
  <c r="AB150" i="29"/>
  <c r="AB149" i="29"/>
  <c r="AB148" i="29"/>
  <c r="AB147" i="29"/>
  <c r="AB146" i="29"/>
  <c r="AB145" i="29"/>
  <c r="AB144" i="29"/>
  <c r="AB143" i="29"/>
  <c r="AB142" i="29"/>
  <c r="AB141" i="29"/>
  <c r="AB140" i="29"/>
  <c r="AB139" i="29"/>
  <c r="AB138" i="29"/>
  <c r="AB137" i="29"/>
  <c r="AB136" i="29"/>
  <c r="AB135" i="29"/>
  <c r="AB134" i="29"/>
  <c r="AB133" i="29"/>
  <c r="AB132" i="29"/>
  <c r="AB131" i="29"/>
  <c r="AB130" i="29"/>
  <c r="AB129" i="29"/>
  <c r="AB128" i="29"/>
  <c r="AB127" i="29"/>
  <c r="AB126" i="29"/>
  <c r="AB125" i="29"/>
  <c r="AB124" i="29"/>
  <c r="AB123" i="29"/>
  <c r="AB122" i="29"/>
  <c r="AB121" i="29"/>
  <c r="AB120" i="29"/>
  <c r="AB119" i="29"/>
  <c r="AB118" i="29"/>
  <c r="AB117" i="29"/>
  <c r="AB116" i="29"/>
  <c r="AB115" i="29"/>
  <c r="AB114" i="29"/>
  <c r="AB113" i="29"/>
  <c r="AB112" i="29"/>
  <c r="AB111" i="29"/>
  <c r="AB110" i="29"/>
  <c r="AB109" i="29"/>
  <c r="AB108" i="29"/>
  <c r="AB107" i="29"/>
  <c r="AB106" i="29"/>
  <c r="AB105" i="29"/>
  <c r="AB104" i="29"/>
  <c r="AB103" i="29"/>
  <c r="AB102" i="29"/>
  <c r="AB101" i="29"/>
  <c r="AB100" i="29"/>
  <c r="AB99" i="29"/>
  <c r="AB98" i="29"/>
  <c r="AB97" i="29"/>
  <c r="AB96" i="29"/>
  <c r="AB95" i="29"/>
  <c r="AB94" i="29"/>
  <c r="AB93" i="29"/>
  <c r="AB92" i="29"/>
  <c r="AB91" i="29"/>
  <c r="AB90" i="29"/>
  <c r="AB89" i="29"/>
  <c r="AB88" i="29"/>
  <c r="AB87" i="29"/>
  <c r="AB86" i="29"/>
  <c r="AB85" i="29"/>
  <c r="AB84" i="29"/>
  <c r="AB83" i="29"/>
  <c r="AB82" i="29"/>
  <c r="AB81" i="29"/>
  <c r="AB80" i="29"/>
  <c r="AB79" i="29"/>
  <c r="AB78" i="29"/>
  <c r="AB77" i="29"/>
  <c r="AB76" i="29"/>
  <c r="AB75" i="29"/>
  <c r="AB74" i="29"/>
  <c r="AB73" i="29"/>
  <c r="AB72" i="29"/>
  <c r="AB71" i="29"/>
  <c r="AB70" i="29"/>
  <c r="AB69" i="29"/>
  <c r="AB68" i="29"/>
  <c r="AB67" i="29"/>
  <c r="AB66" i="29"/>
  <c r="AB65" i="29"/>
  <c r="AB64" i="29"/>
  <c r="AB63" i="29"/>
  <c r="AB62" i="29"/>
  <c r="AB61" i="29"/>
  <c r="AB60" i="29"/>
  <c r="AB59" i="29"/>
  <c r="AB58" i="29"/>
  <c r="AB57" i="29"/>
  <c r="AB56" i="29"/>
  <c r="AB55" i="29"/>
  <c r="AB54" i="29"/>
  <c r="AB53" i="29"/>
  <c r="AB52" i="29"/>
  <c r="AB51" i="29"/>
  <c r="AB50" i="29"/>
  <c r="AB49" i="29"/>
  <c r="AB48" i="29"/>
  <c r="AB47" i="29"/>
  <c r="AB46" i="29"/>
  <c r="AB45" i="29"/>
  <c r="AB44" i="29"/>
  <c r="AB43" i="29"/>
  <c r="AB42" i="29"/>
  <c r="AB41" i="29"/>
  <c r="AB40" i="29"/>
  <c r="AB39" i="29"/>
  <c r="AB38" i="29"/>
  <c r="AB37" i="29"/>
  <c r="AB36" i="29"/>
  <c r="AB35" i="29"/>
  <c r="AB34" i="29"/>
  <c r="AB33" i="29"/>
  <c r="AB32" i="29"/>
  <c r="AB31" i="29"/>
  <c r="AB30" i="29"/>
  <c r="AB29" i="29"/>
  <c r="AB28" i="29"/>
  <c r="AB27" i="29"/>
  <c r="AB26" i="29"/>
  <c r="AB25" i="29"/>
  <c r="AB24" i="29"/>
  <c r="AB23" i="29"/>
  <c r="AE22" i="29"/>
  <c r="AB22" i="29"/>
  <c r="AB21" i="29"/>
  <c r="AB20" i="29"/>
  <c r="AB19" i="29"/>
  <c r="AB18" i="29"/>
  <c r="AB17" i="29"/>
  <c r="AB16" i="29"/>
  <c r="AB15" i="29"/>
  <c r="AB14" i="29"/>
  <c r="AB13" i="29"/>
  <c r="E12" i="29"/>
  <c r="K11" i="29"/>
  <c r="AC10" i="29"/>
  <c r="L10" i="29"/>
  <c r="J10" i="29"/>
  <c r="H10" i="29"/>
  <c r="G10" i="29"/>
  <c r="F10" i="29"/>
  <c r="E10" i="29"/>
  <c r="D10" i="29"/>
  <c r="AC9" i="29"/>
  <c r="L9" i="29"/>
  <c r="J9" i="29"/>
  <c r="H9" i="29"/>
  <c r="G9" i="29"/>
  <c r="F9" i="29"/>
  <c r="E9" i="29"/>
  <c r="D9" i="29"/>
  <c r="AC8" i="29"/>
  <c r="J8" i="29"/>
  <c r="L8" i="29"/>
  <c r="H8" i="29"/>
  <c r="G8" i="29"/>
  <c r="H7" i="29"/>
  <c r="AC7" i="29"/>
  <c r="G7" i="29"/>
  <c r="E7" i="29"/>
  <c r="I6" i="29"/>
  <c r="H6" i="29"/>
  <c r="AC6" i="29"/>
  <c r="G6" i="29"/>
  <c r="F6" i="29"/>
  <c r="E6" i="29"/>
  <c r="D6" i="29"/>
  <c r="E69" i="23"/>
  <c r="A1" i="23"/>
  <c r="V127" i="23"/>
  <c r="AJ82" i="9"/>
  <c r="AK82" i="9"/>
  <c r="AI82" i="9"/>
  <c r="AJ81" i="9"/>
  <c r="AK81" i="9"/>
  <c r="AI81" i="9"/>
  <c r="AJ80" i="9"/>
  <c r="AK80" i="9"/>
  <c r="AI80" i="9"/>
  <c r="AJ79" i="9"/>
  <c r="AK79" i="9"/>
  <c r="AI79" i="9"/>
  <c r="AJ78" i="9"/>
  <c r="AK78" i="9"/>
  <c r="AI78" i="9"/>
  <c r="AJ77" i="9"/>
  <c r="AK77" i="9"/>
  <c r="AI77" i="9"/>
  <c r="AJ76" i="9"/>
  <c r="AK76" i="9"/>
  <c r="AI76" i="9"/>
  <c r="AJ75" i="9"/>
  <c r="AK75" i="9"/>
  <c r="AI75" i="9"/>
  <c r="AJ74" i="9"/>
  <c r="AK74" i="9"/>
  <c r="AI74" i="9"/>
  <c r="AJ73" i="9"/>
  <c r="AK73" i="9"/>
  <c r="AI73" i="9"/>
  <c r="AJ72" i="9"/>
  <c r="AK72" i="9"/>
  <c r="AI72" i="9"/>
  <c r="AJ71" i="9"/>
  <c r="AK71" i="9"/>
  <c r="AI71" i="9"/>
  <c r="AJ70" i="9"/>
  <c r="AK70" i="9"/>
  <c r="AI70" i="9"/>
  <c r="AJ69" i="9"/>
  <c r="AK69" i="9"/>
  <c r="AI69" i="9"/>
  <c r="AJ68" i="9"/>
  <c r="AK68" i="9"/>
  <c r="AI68" i="9"/>
  <c r="AJ67" i="9"/>
  <c r="AK67" i="9"/>
  <c r="AI67" i="9"/>
  <c r="AJ66" i="9"/>
  <c r="AK66" i="9"/>
  <c r="AI66" i="9"/>
  <c r="AJ65" i="9"/>
  <c r="AK65" i="9"/>
  <c r="AI65" i="9"/>
  <c r="AJ64" i="9"/>
  <c r="AK64" i="9"/>
  <c r="AI64" i="9"/>
  <c r="AJ63" i="9"/>
  <c r="AK63" i="9"/>
  <c r="AI63" i="9"/>
  <c r="AJ62" i="9"/>
  <c r="AK62" i="9"/>
  <c r="AI62" i="9"/>
  <c r="AJ61" i="9"/>
  <c r="AK61" i="9"/>
  <c r="AI61" i="9"/>
  <c r="AJ60" i="9"/>
  <c r="AK60" i="9"/>
  <c r="AI60" i="9"/>
  <c r="AJ59" i="9"/>
  <c r="AK59" i="9"/>
  <c r="AI59" i="9"/>
  <c r="AJ58" i="9"/>
  <c r="AK58" i="9"/>
  <c r="AI58" i="9"/>
  <c r="AJ57" i="9"/>
  <c r="AK57" i="9"/>
  <c r="AI57" i="9"/>
  <c r="AJ56" i="9"/>
  <c r="AK56" i="9"/>
  <c r="AI56" i="9"/>
  <c r="AJ55" i="9"/>
  <c r="AK55" i="9"/>
  <c r="AI55" i="9"/>
  <c r="AJ54" i="9"/>
  <c r="AK54" i="9"/>
  <c r="AI54" i="9"/>
  <c r="AJ53" i="9"/>
  <c r="AK53" i="9"/>
  <c r="AI53" i="9"/>
  <c r="B46" i="9"/>
  <c r="U10" i="9"/>
  <c r="U9" i="9"/>
  <c r="U7" i="9"/>
  <c r="U6" i="9"/>
  <c r="J5" i="9"/>
  <c r="D4" i="9"/>
  <c r="B48" i="9"/>
  <c r="B49" i="9"/>
  <c r="AG24" i="1"/>
  <c r="AG23" i="1"/>
  <c r="AW22" i="1"/>
  <c r="AO22" i="1"/>
  <c r="AS22" i="1"/>
  <c r="AT22" i="1"/>
  <c r="AL22" i="1"/>
  <c r="AK22" i="1"/>
  <c r="AJ22" i="1"/>
  <c r="AI22" i="1"/>
  <c r="AQ22" i="1"/>
  <c r="AR22" i="1"/>
  <c r="AG22" i="1"/>
  <c r="AB22" i="1"/>
  <c r="AA22" i="1"/>
  <c r="Z22" i="1"/>
  <c r="X22" i="1"/>
  <c r="W22" i="1"/>
  <c r="V22" i="1"/>
  <c r="C22" i="1"/>
  <c r="AW21" i="1"/>
  <c r="AQ21" i="1"/>
  <c r="AR21" i="1"/>
  <c r="AO21" i="1"/>
  <c r="AS21" i="1"/>
  <c r="AT21" i="1"/>
  <c r="AK21" i="1"/>
  <c r="AL21" i="1"/>
  <c r="AJ21" i="1"/>
  <c r="AI21" i="1"/>
  <c r="AG21" i="1"/>
  <c r="AB21" i="1"/>
  <c r="AA21" i="1"/>
  <c r="Z21" i="1"/>
  <c r="X21" i="1"/>
  <c r="W21" i="1"/>
  <c r="V21" i="1"/>
  <c r="C21" i="1"/>
  <c r="AW20" i="1"/>
  <c r="AO20" i="1"/>
  <c r="AP21" i="1"/>
  <c r="AK20" i="1"/>
  <c r="AL20" i="1"/>
  <c r="AJ20" i="1"/>
  <c r="AI20" i="1"/>
  <c r="AQ20" i="1"/>
  <c r="AR20" i="1"/>
  <c r="AG20" i="1"/>
  <c r="AB20" i="1"/>
  <c r="AA20" i="1"/>
  <c r="Z20" i="1"/>
  <c r="X20" i="1"/>
  <c r="W20" i="1"/>
  <c r="V20" i="1"/>
  <c r="C20" i="1"/>
  <c r="AW19" i="1"/>
  <c r="AO19" i="1"/>
  <c r="AP20" i="1"/>
  <c r="AK19" i="1"/>
  <c r="AL19" i="1"/>
  <c r="AJ19" i="1"/>
  <c r="AI19" i="1"/>
  <c r="AQ19" i="1"/>
  <c r="AR19" i="1"/>
  <c r="AG19" i="1"/>
  <c r="AB19" i="1"/>
  <c r="AA19" i="1"/>
  <c r="Z19" i="1"/>
  <c r="X19" i="1"/>
  <c r="W19" i="1"/>
  <c r="V19" i="1"/>
  <c r="C19" i="1"/>
  <c r="AW18" i="1"/>
  <c r="AO18" i="1"/>
  <c r="AP19" i="1"/>
  <c r="AL18" i="1"/>
  <c r="AK18" i="1"/>
  <c r="AJ18" i="1"/>
  <c r="AI18" i="1"/>
  <c r="AQ18" i="1"/>
  <c r="AR18" i="1"/>
  <c r="AG18" i="1"/>
  <c r="AB18" i="1"/>
  <c r="AA18" i="1"/>
  <c r="Z18" i="1"/>
  <c r="X18" i="1"/>
  <c r="W18" i="1"/>
  <c r="V18" i="1"/>
  <c r="C18" i="1"/>
  <c r="AW17" i="1"/>
  <c r="AQ17" i="1"/>
  <c r="AR17" i="1"/>
  <c r="AO17" i="1"/>
  <c r="AS17" i="1"/>
  <c r="AT17" i="1"/>
  <c r="AK17" i="1"/>
  <c r="AL17" i="1"/>
  <c r="AJ17" i="1"/>
  <c r="AI17" i="1"/>
  <c r="AG17" i="1"/>
  <c r="AB17" i="1"/>
  <c r="AA17" i="1"/>
  <c r="Z17" i="1"/>
  <c r="X17" i="1"/>
  <c r="W17" i="1"/>
  <c r="V17" i="1"/>
  <c r="C17" i="1"/>
  <c r="AW16" i="1"/>
  <c r="AO16" i="1"/>
  <c r="AP17" i="1"/>
  <c r="AK16" i="1"/>
  <c r="AL16" i="1"/>
  <c r="AJ16" i="1"/>
  <c r="AI16" i="1"/>
  <c r="AG16" i="1"/>
  <c r="AB16" i="1"/>
  <c r="AA16" i="1"/>
  <c r="Z16" i="1"/>
  <c r="X16" i="1"/>
  <c r="W16" i="1"/>
  <c r="V16" i="1"/>
  <c r="C16" i="1"/>
  <c r="AW15" i="1"/>
  <c r="AO15" i="1"/>
  <c r="AP14" i="1"/>
  <c r="AK15" i="1"/>
  <c r="AL15" i="1"/>
  <c r="AJ15" i="1"/>
  <c r="AI15" i="1"/>
  <c r="AQ15" i="1"/>
  <c r="AR15" i="1"/>
  <c r="AG15" i="1"/>
  <c r="AB15" i="1"/>
  <c r="AA15" i="1"/>
  <c r="Z15" i="1"/>
  <c r="X15" i="1"/>
  <c r="W15" i="1"/>
  <c r="V15" i="1"/>
  <c r="C15" i="1"/>
  <c r="AW14" i="1"/>
  <c r="AO14" i="1"/>
  <c r="AP15" i="1"/>
  <c r="AL14" i="1"/>
  <c r="AK14" i="1"/>
  <c r="AJ14" i="1"/>
  <c r="AI14" i="1"/>
  <c r="AQ14" i="1"/>
  <c r="AR14" i="1"/>
  <c r="AG14" i="1"/>
  <c r="AB14" i="1"/>
  <c r="AA14" i="1"/>
  <c r="Z14" i="1"/>
  <c r="X14" i="1"/>
  <c r="W14" i="1"/>
  <c r="V14" i="1"/>
  <c r="C14" i="1"/>
  <c r="AW13" i="1"/>
  <c r="AQ13" i="1"/>
  <c r="AO13" i="1"/>
  <c r="AS13" i="1"/>
  <c r="AT13" i="1"/>
  <c r="AK13" i="1"/>
  <c r="AL13" i="1"/>
  <c r="AJ13" i="1"/>
  <c r="AI13" i="1"/>
  <c r="AG13" i="1"/>
  <c r="AB13" i="1"/>
  <c r="AA13" i="1"/>
  <c r="Z13" i="1"/>
  <c r="X13" i="1"/>
  <c r="W13" i="1"/>
  <c r="V13" i="1"/>
  <c r="C13" i="1"/>
  <c r="AW12" i="1"/>
  <c r="AO12" i="1"/>
  <c r="AP13" i="1"/>
  <c r="AK12" i="1"/>
  <c r="AL12" i="1"/>
  <c r="AJ12" i="1"/>
  <c r="AI12" i="1"/>
  <c r="AG12" i="1"/>
  <c r="AB12" i="1"/>
  <c r="AA12" i="1"/>
  <c r="Z12" i="1"/>
  <c r="X12" i="1"/>
  <c r="W12" i="1"/>
  <c r="V12" i="1"/>
  <c r="C12" i="1"/>
  <c r="AW11" i="1"/>
  <c r="AP11" i="1"/>
  <c r="AO11" i="1"/>
  <c r="AP22" i="1"/>
  <c r="AK11" i="1"/>
  <c r="AL11" i="1"/>
  <c r="AJ11" i="1"/>
  <c r="AI11" i="1"/>
  <c r="AQ11" i="1"/>
  <c r="AR11" i="1"/>
  <c r="AG11" i="1"/>
  <c r="AB11" i="1"/>
  <c r="AA11" i="1"/>
  <c r="Z11" i="1"/>
  <c r="X11" i="1"/>
  <c r="W11" i="1"/>
  <c r="V11" i="1"/>
  <c r="AU6" i="1"/>
  <c r="AV22" i="1"/>
  <c r="N6" i="1"/>
  <c r="AM5" i="1"/>
  <c r="AE4" i="1"/>
  <c r="AC19" i="1"/>
  <c r="K460" i="11"/>
  <c r="J460" i="11"/>
  <c r="C460" i="11"/>
  <c r="B460" i="11"/>
  <c r="K459" i="11"/>
  <c r="J459" i="11"/>
  <c r="C459" i="11"/>
  <c r="B459" i="11"/>
  <c r="K458" i="11"/>
  <c r="J458" i="11"/>
  <c r="C458" i="11"/>
  <c r="B458" i="11"/>
  <c r="K457" i="11"/>
  <c r="J457" i="11"/>
  <c r="C457" i="11"/>
  <c r="B457" i="11"/>
  <c r="K456" i="11"/>
  <c r="J456" i="11"/>
  <c r="C456" i="11"/>
  <c r="B456" i="11"/>
  <c r="K455" i="11"/>
  <c r="J455" i="11"/>
  <c r="C455" i="11"/>
  <c r="B455" i="11"/>
  <c r="K454" i="11"/>
  <c r="J454" i="11"/>
  <c r="C454" i="11"/>
  <c r="B454" i="11"/>
  <c r="K453" i="11"/>
  <c r="J453" i="11"/>
  <c r="C453" i="11"/>
  <c r="B453" i="11"/>
  <c r="K452" i="11"/>
  <c r="J452" i="11"/>
  <c r="C452" i="11"/>
  <c r="B452" i="11"/>
  <c r="K451" i="11"/>
  <c r="J451" i="11"/>
  <c r="C451" i="11"/>
  <c r="B451" i="11"/>
  <c r="K450" i="11"/>
  <c r="J450" i="11"/>
  <c r="C450" i="11"/>
  <c r="B450" i="11"/>
  <c r="K449" i="11"/>
  <c r="J449" i="11"/>
  <c r="C449" i="11"/>
  <c r="B449" i="11"/>
  <c r="K448" i="11"/>
  <c r="J448" i="11"/>
  <c r="C448" i="11"/>
  <c r="B448" i="11"/>
  <c r="K447" i="11"/>
  <c r="J447" i="11"/>
  <c r="C447" i="11"/>
  <c r="B447" i="11"/>
  <c r="K446" i="11"/>
  <c r="J446" i="11"/>
  <c r="C446" i="11"/>
  <c r="B446" i="11"/>
  <c r="K445" i="11"/>
  <c r="J445" i="11"/>
  <c r="C445" i="11"/>
  <c r="B445" i="11"/>
  <c r="K444" i="11"/>
  <c r="J444" i="11"/>
  <c r="C444" i="11"/>
  <c r="B444" i="11"/>
  <c r="K443" i="11"/>
  <c r="J443" i="11"/>
  <c r="C443" i="11"/>
  <c r="B443" i="11"/>
  <c r="K442" i="11"/>
  <c r="J442" i="11"/>
  <c r="C442" i="11"/>
  <c r="B442" i="11"/>
  <c r="K441" i="11"/>
  <c r="J441" i="11"/>
  <c r="C441" i="11"/>
  <c r="B441" i="11"/>
  <c r="K440" i="11"/>
  <c r="J440" i="11"/>
  <c r="C440" i="11"/>
  <c r="B440" i="11"/>
  <c r="K439" i="11"/>
  <c r="J439" i="11"/>
  <c r="C439" i="11"/>
  <c r="B439" i="11"/>
  <c r="K438" i="11"/>
  <c r="J438" i="11"/>
  <c r="C438" i="11"/>
  <c r="B438" i="11"/>
  <c r="K437" i="11"/>
  <c r="J437" i="11"/>
  <c r="C437" i="11"/>
  <c r="B437" i="11"/>
  <c r="K436" i="11"/>
  <c r="J436" i="11"/>
  <c r="C436" i="11"/>
  <c r="B436" i="11"/>
  <c r="K435" i="11"/>
  <c r="J435" i="11"/>
  <c r="C435" i="11"/>
  <c r="B435" i="11"/>
  <c r="K434" i="11"/>
  <c r="J434" i="11"/>
  <c r="C434" i="11"/>
  <c r="B434" i="11"/>
  <c r="K433" i="11"/>
  <c r="J433" i="11"/>
  <c r="C433" i="11"/>
  <c r="B433" i="11"/>
  <c r="K432" i="11"/>
  <c r="J432" i="11"/>
  <c r="C432" i="11"/>
  <c r="B432" i="11"/>
  <c r="K431" i="11"/>
  <c r="J431" i="11"/>
  <c r="C431" i="11"/>
  <c r="B431" i="11"/>
  <c r="K430" i="11"/>
  <c r="J430" i="11"/>
  <c r="C430" i="11"/>
  <c r="B430" i="11"/>
  <c r="K429" i="11"/>
  <c r="J429" i="11"/>
  <c r="C429" i="11"/>
  <c r="B429" i="11"/>
  <c r="K428" i="11"/>
  <c r="J428" i="11"/>
  <c r="C428" i="11"/>
  <c r="B428" i="11"/>
  <c r="K427" i="11"/>
  <c r="J427" i="11"/>
  <c r="C427" i="11"/>
  <c r="B427" i="11"/>
  <c r="K426" i="11"/>
  <c r="J426" i="11"/>
  <c r="C426" i="11"/>
  <c r="B426" i="11"/>
  <c r="K425" i="11"/>
  <c r="J425" i="11"/>
  <c r="C425" i="11"/>
  <c r="B425" i="11"/>
  <c r="K424" i="11"/>
  <c r="J424" i="11"/>
  <c r="C424" i="11"/>
  <c r="B424" i="11"/>
  <c r="K423" i="11"/>
  <c r="J423" i="11"/>
  <c r="C423" i="11"/>
  <c r="B423" i="11"/>
  <c r="K422" i="11"/>
  <c r="J422" i="11"/>
  <c r="C422" i="11"/>
  <c r="B422" i="11"/>
  <c r="K421" i="11"/>
  <c r="J421" i="11"/>
  <c r="C421" i="11"/>
  <c r="B421" i="11"/>
  <c r="K420" i="11"/>
  <c r="J420" i="11"/>
  <c r="C420" i="11"/>
  <c r="B420" i="11"/>
  <c r="K419" i="11"/>
  <c r="J419" i="11"/>
  <c r="C419" i="11"/>
  <c r="B419" i="11"/>
  <c r="K418" i="11"/>
  <c r="J418" i="11"/>
  <c r="C418" i="11"/>
  <c r="B418" i="11"/>
  <c r="K417" i="11"/>
  <c r="J417" i="11"/>
  <c r="C417" i="11"/>
  <c r="B417" i="11"/>
  <c r="K416" i="11"/>
  <c r="J416" i="11"/>
  <c r="C416" i="11"/>
  <c r="B416" i="11"/>
  <c r="K415" i="11"/>
  <c r="J415" i="11"/>
  <c r="C415" i="11"/>
  <c r="B415" i="11"/>
  <c r="L414" i="11"/>
  <c r="K414" i="11"/>
  <c r="J414" i="11"/>
  <c r="C414" i="11"/>
  <c r="B414" i="11"/>
  <c r="L413" i="11"/>
  <c r="K413" i="11"/>
  <c r="J413" i="11"/>
  <c r="C413" i="11"/>
  <c r="B413" i="11"/>
  <c r="L412" i="11"/>
  <c r="K412" i="11"/>
  <c r="J412" i="11"/>
  <c r="C412" i="11"/>
  <c r="B412" i="11"/>
  <c r="L411" i="11"/>
  <c r="K411" i="11"/>
  <c r="J411" i="11"/>
  <c r="C411" i="11"/>
  <c r="B411" i="11"/>
  <c r="L410" i="11"/>
  <c r="K410" i="11"/>
  <c r="J410" i="11"/>
  <c r="C410" i="11"/>
  <c r="B410" i="11"/>
  <c r="L409" i="11"/>
  <c r="K409" i="11"/>
  <c r="J409" i="11"/>
  <c r="C409" i="11"/>
  <c r="B409" i="11"/>
  <c r="L408" i="11"/>
  <c r="K408" i="11"/>
  <c r="J408" i="11"/>
  <c r="C408" i="11"/>
  <c r="B408" i="11"/>
  <c r="L407" i="11"/>
  <c r="K407" i="11"/>
  <c r="J407" i="11"/>
  <c r="C407" i="11"/>
  <c r="B407" i="11"/>
  <c r="L406" i="11"/>
  <c r="K406" i="11"/>
  <c r="J406" i="11"/>
  <c r="C406" i="11"/>
  <c r="B406" i="11"/>
  <c r="L405" i="11"/>
  <c r="K405" i="11"/>
  <c r="J405" i="11"/>
  <c r="C405" i="11"/>
  <c r="B405" i="11"/>
  <c r="L404" i="11"/>
  <c r="K404" i="11"/>
  <c r="J404" i="11"/>
  <c r="C404" i="11"/>
  <c r="B404" i="11"/>
  <c r="L403" i="11"/>
  <c r="K403" i="11"/>
  <c r="J403" i="11"/>
  <c r="C403" i="11"/>
  <c r="B403" i="11"/>
  <c r="L402" i="11"/>
  <c r="K402" i="11"/>
  <c r="J402" i="11"/>
  <c r="C402" i="11"/>
  <c r="B402" i="11"/>
  <c r="L401" i="11"/>
  <c r="K401" i="11"/>
  <c r="J401" i="11"/>
  <c r="C401" i="11"/>
  <c r="B401" i="11"/>
  <c r="L400" i="11"/>
  <c r="K400" i="11"/>
  <c r="J400" i="11"/>
  <c r="C400" i="11"/>
  <c r="B400" i="11"/>
  <c r="L399" i="11"/>
  <c r="K399" i="11"/>
  <c r="J399" i="11"/>
  <c r="C399" i="11"/>
  <c r="B399" i="11"/>
  <c r="L398" i="11"/>
  <c r="K398" i="11"/>
  <c r="J398" i="11"/>
  <c r="C398" i="11"/>
  <c r="B398" i="11"/>
  <c r="L397" i="11"/>
  <c r="K397" i="11"/>
  <c r="J397" i="11"/>
  <c r="C397" i="11"/>
  <c r="B397" i="11"/>
  <c r="L396" i="11"/>
  <c r="K396" i="11"/>
  <c r="J396" i="11"/>
  <c r="C396" i="11"/>
  <c r="B396" i="11"/>
  <c r="L395" i="11"/>
  <c r="K395" i="11"/>
  <c r="J395" i="11"/>
  <c r="C395" i="11"/>
  <c r="B395" i="11"/>
  <c r="L394" i="11"/>
  <c r="K394" i="11"/>
  <c r="J394" i="11"/>
  <c r="C394" i="11"/>
  <c r="B394" i="11"/>
  <c r="L393" i="11"/>
  <c r="K393" i="11"/>
  <c r="J393" i="11"/>
  <c r="C393" i="11"/>
  <c r="B393" i="11"/>
  <c r="L392" i="11"/>
  <c r="K392" i="11"/>
  <c r="J392" i="11"/>
  <c r="C392" i="11"/>
  <c r="B392" i="11"/>
  <c r="L391" i="11"/>
  <c r="K391" i="11"/>
  <c r="J391" i="11"/>
  <c r="C391" i="11"/>
  <c r="B391" i="11"/>
  <c r="L390" i="11"/>
  <c r="K390" i="11"/>
  <c r="J390" i="11"/>
  <c r="C390" i="11"/>
  <c r="B390" i="11"/>
  <c r="L389" i="11"/>
  <c r="K389" i="11"/>
  <c r="J389" i="11"/>
  <c r="C389" i="11"/>
  <c r="B389" i="11"/>
  <c r="L388" i="11"/>
  <c r="K388" i="11"/>
  <c r="J388" i="11"/>
  <c r="C388" i="11"/>
  <c r="B388" i="11"/>
  <c r="L387" i="11"/>
  <c r="K387" i="11"/>
  <c r="J387" i="11"/>
  <c r="C387" i="11"/>
  <c r="B387" i="11"/>
  <c r="L386" i="11"/>
  <c r="K386" i="11"/>
  <c r="J386" i="11"/>
  <c r="C386" i="11"/>
  <c r="B386" i="11"/>
  <c r="L385" i="11"/>
  <c r="K385" i="11"/>
  <c r="J385" i="11"/>
  <c r="C385" i="11"/>
  <c r="B385" i="11"/>
  <c r="L384" i="11"/>
  <c r="K384" i="11"/>
  <c r="J384" i="11"/>
  <c r="C384" i="11"/>
  <c r="B384" i="11"/>
  <c r="L383" i="11"/>
  <c r="K383" i="11"/>
  <c r="J383" i="11"/>
  <c r="C383" i="11"/>
  <c r="B383" i="11"/>
  <c r="L382" i="11"/>
  <c r="K382" i="11"/>
  <c r="J382" i="11"/>
  <c r="C382" i="11"/>
  <c r="B382" i="11"/>
  <c r="L381" i="11"/>
  <c r="K381" i="11"/>
  <c r="J381" i="11"/>
  <c r="C381" i="11"/>
  <c r="B381" i="11"/>
  <c r="L380" i="11"/>
  <c r="K380" i="11"/>
  <c r="J380" i="11"/>
  <c r="C380" i="11"/>
  <c r="B380" i="11"/>
  <c r="L379" i="11"/>
  <c r="K379" i="11"/>
  <c r="J379" i="11"/>
  <c r="C379" i="11"/>
  <c r="B379" i="11"/>
  <c r="L378" i="11"/>
  <c r="K378" i="11"/>
  <c r="J378" i="11"/>
  <c r="C378" i="11"/>
  <c r="B378" i="11"/>
  <c r="L377" i="11"/>
  <c r="K377" i="11"/>
  <c r="J377" i="11"/>
  <c r="C377" i="11"/>
  <c r="B377" i="11"/>
  <c r="L376" i="11"/>
  <c r="K376" i="11"/>
  <c r="J376" i="11"/>
  <c r="C376" i="11"/>
  <c r="B376" i="11"/>
  <c r="L375" i="11"/>
  <c r="K375" i="11"/>
  <c r="J375" i="11"/>
  <c r="C375" i="11"/>
  <c r="B375" i="11"/>
  <c r="L374" i="11"/>
  <c r="K374" i="11"/>
  <c r="J374" i="11"/>
  <c r="C374" i="11"/>
  <c r="B374" i="11"/>
  <c r="L373" i="11"/>
  <c r="K373" i="11"/>
  <c r="J373" i="11"/>
  <c r="C373" i="11"/>
  <c r="B373" i="11"/>
  <c r="L372" i="11"/>
  <c r="K372" i="11"/>
  <c r="J372" i="11"/>
  <c r="C372" i="11"/>
  <c r="B372" i="11"/>
  <c r="L371" i="11"/>
  <c r="K371" i="11"/>
  <c r="J371" i="11"/>
  <c r="C371" i="11"/>
  <c r="B371" i="11"/>
  <c r="L370" i="11"/>
  <c r="K370" i="11"/>
  <c r="J370" i="11"/>
  <c r="C370" i="11"/>
  <c r="B370" i="11"/>
  <c r="L369" i="11"/>
  <c r="K369" i="11"/>
  <c r="J369" i="11"/>
  <c r="C369" i="11"/>
  <c r="B369" i="11"/>
  <c r="L368" i="11"/>
  <c r="K368" i="11"/>
  <c r="J368" i="11"/>
  <c r="C368" i="11"/>
  <c r="B368" i="11"/>
  <c r="L367" i="11"/>
  <c r="K367" i="11"/>
  <c r="J367" i="11"/>
  <c r="C367" i="11"/>
  <c r="B367" i="11"/>
  <c r="L366" i="11"/>
  <c r="K366" i="11"/>
  <c r="J366" i="11"/>
  <c r="C366" i="11"/>
  <c r="B366" i="11"/>
  <c r="L365" i="11"/>
  <c r="K365" i="11"/>
  <c r="J365" i="11"/>
  <c r="C365" i="11"/>
  <c r="B365" i="11"/>
  <c r="L364" i="11"/>
  <c r="K364" i="11"/>
  <c r="J364" i="11"/>
  <c r="C364" i="11"/>
  <c r="B364" i="11"/>
  <c r="L363" i="11"/>
  <c r="K363" i="11"/>
  <c r="J363" i="11"/>
  <c r="C363" i="11"/>
  <c r="B363" i="11"/>
  <c r="L362" i="11"/>
  <c r="K362" i="11"/>
  <c r="J362" i="11"/>
  <c r="C362" i="11"/>
  <c r="B362" i="11"/>
  <c r="L361" i="11"/>
  <c r="K361" i="11"/>
  <c r="J361" i="11"/>
  <c r="C361" i="11"/>
  <c r="B361" i="11"/>
  <c r="L360" i="11"/>
  <c r="K360" i="11"/>
  <c r="J360" i="11"/>
  <c r="C360" i="11"/>
  <c r="B360" i="11"/>
  <c r="L359" i="11"/>
  <c r="K359" i="11"/>
  <c r="J359" i="11"/>
  <c r="C359" i="11"/>
  <c r="B359" i="11"/>
  <c r="L358" i="11"/>
  <c r="K358" i="11"/>
  <c r="J358" i="11"/>
  <c r="C358" i="11"/>
  <c r="B358" i="11"/>
  <c r="L357" i="11"/>
  <c r="K357" i="11"/>
  <c r="J357" i="11"/>
  <c r="C357" i="11"/>
  <c r="B357" i="11"/>
  <c r="L356" i="11"/>
  <c r="K356" i="11"/>
  <c r="J356" i="11"/>
  <c r="C356" i="11"/>
  <c r="B356" i="11"/>
  <c r="L355" i="11"/>
  <c r="K355" i="11"/>
  <c r="J355" i="11"/>
  <c r="C355" i="11"/>
  <c r="B355" i="11"/>
  <c r="L354" i="11"/>
  <c r="K354" i="11"/>
  <c r="J354" i="11"/>
  <c r="C354" i="11"/>
  <c r="B354" i="11"/>
  <c r="L353" i="11"/>
  <c r="K353" i="11"/>
  <c r="J353" i="11"/>
  <c r="C353" i="11"/>
  <c r="B353" i="11"/>
  <c r="L352" i="11"/>
  <c r="K352" i="11"/>
  <c r="J352" i="11"/>
  <c r="C352" i="11"/>
  <c r="B352" i="11"/>
  <c r="L351" i="11"/>
  <c r="K351" i="11"/>
  <c r="J351" i="11"/>
  <c r="C351" i="11"/>
  <c r="B351" i="11"/>
  <c r="L350" i="11"/>
  <c r="K350" i="11"/>
  <c r="J350" i="11"/>
  <c r="C350" i="11"/>
  <c r="B350" i="11"/>
  <c r="L349" i="11"/>
  <c r="K349" i="11"/>
  <c r="J349" i="11"/>
  <c r="C349" i="11"/>
  <c r="B349" i="11"/>
  <c r="L348" i="11"/>
  <c r="K348" i="11"/>
  <c r="J348" i="11"/>
  <c r="C348" i="11"/>
  <c r="B348" i="11"/>
  <c r="L347" i="11"/>
  <c r="K347" i="11"/>
  <c r="J347" i="11"/>
  <c r="C347" i="11"/>
  <c r="B347" i="11"/>
  <c r="L346" i="11"/>
  <c r="K346" i="11"/>
  <c r="J346" i="11"/>
  <c r="C346" i="11"/>
  <c r="B346" i="11"/>
  <c r="L345" i="11"/>
  <c r="K345" i="11"/>
  <c r="J345" i="11"/>
  <c r="C345" i="11"/>
  <c r="B345" i="11"/>
  <c r="L344" i="11"/>
  <c r="K344" i="11"/>
  <c r="J344" i="11"/>
  <c r="C344" i="11"/>
  <c r="B344" i="11"/>
  <c r="L343" i="11"/>
  <c r="K343" i="11"/>
  <c r="J343" i="11"/>
  <c r="C343" i="11"/>
  <c r="B343" i="11"/>
  <c r="L342" i="11"/>
  <c r="K342" i="11"/>
  <c r="J342" i="11"/>
  <c r="C342" i="11"/>
  <c r="B342" i="11"/>
  <c r="L341" i="11"/>
  <c r="K341" i="11"/>
  <c r="J341" i="11"/>
  <c r="C341" i="11"/>
  <c r="B341" i="11"/>
  <c r="L340" i="11"/>
  <c r="K340" i="11"/>
  <c r="J340" i="11"/>
  <c r="C340" i="11"/>
  <c r="B340" i="11"/>
  <c r="L339" i="11"/>
  <c r="K339" i="11"/>
  <c r="J339" i="11"/>
  <c r="C339" i="11"/>
  <c r="B339" i="11"/>
  <c r="L338" i="11"/>
  <c r="K338" i="11"/>
  <c r="J338" i="11"/>
  <c r="C338" i="11"/>
  <c r="B338" i="11"/>
  <c r="L337" i="11"/>
  <c r="K337" i="11"/>
  <c r="J337" i="11"/>
  <c r="C337" i="11"/>
  <c r="B337" i="11"/>
  <c r="L336" i="11"/>
  <c r="K336" i="11"/>
  <c r="J336" i="11"/>
  <c r="C336" i="11"/>
  <c r="B336" i="11"/>
  <c r="L335" i="11"/>
  <c r="K335" i="11"/>
  <c r="J335" i="11"/>
  <c r="C335" i="11"/>
  <c r="B335" i="11"/>
  <c r="L334" i="11"/>
  <c r="K334" i="11"/>
  <c r="J334" i="11"/>
  <c r="C334" i="11"/>
  <c r="B334" i="11"/>
  <c r="L333" i="11"/>
  <c r="K333" i="11"/>
  <c r="J333" i="11"/>
  <c r="C333" i="11"/>
  <c r="B333" i="11"/>
  <c r="L332" i="11"/>
  <c r="K332" i="11"/>
  <c r="J332" i="11"/>
  <c r="C332" i="11"/>
  <c r="B332" i="11"/>
  <c r="L331" i="11"/>
  <c r="K331" i="11"/>
  <c r="J331" i="11"/>
  <c r="C331" i="11"/>
  <c r="B331" i="11"/>
  <c r="L330" i="11"/>
  <c r="K330" i="11"/>
  <c r="J330" i="11"/>
  <c r="C330" i="11"/>
  <c r="B330" i="11"/>
  <c r="L329" i="11"/>
  <c r="K329" i="11"/>
  <c r="J329" i="11"/>
  <c r="C329" i="11"/>
  <c r="B329" i="11"/>
  <c r="L328" i="11"/>
  <c r="K328" i="11"/>
  <c r="J328" i="11"/>
  <c r="C328" i="11"/>
  <c r="B328" i="11"/>
  <c r="L327" i="11"/>
  <c r="K327" i="11"/>
  <c r="J327" i="11"/>
  <c r="C327" i="11"/>
  <c r="B327" i="11"/>
  <c r="L326" i="11"/>
  <c r="K326" i="11"/>
  <c r="J326" i="11"/>
  <c r="C326" i="11"/>
  <c r="B326" i="11"/>
  <c r="L325" i="11"/>
  <c r="K325" i="11"/>
  <c r="J325" i="11"/>
  <c r="C325" i="11"/>
  <c r="B325" i="11"/>
  <c r="L324" i="11"/>
  <c r="K324" i="11"/>
  <c r="J324" i="11"/>
  <c r="C324" i="11"/>
  <c r="B324" i="11"/>
  <c r="L323" i="11"/>
  <c r="K323" i="11"/>
  <c r="J323" i="11"/>
  <c r="C323" i="11"/>
  <c r="B323" i="11"/>
  <c r="L322" i="11"/>
  <c r="K322" i="11"/>
  <c r="J322" i="11"/>
  <c r="C322" i="11"/>
  <c r="B322" i="11"/>
  <c r="L321" i="11"/>
  <c r="K321" i="11"/>
  <c r="J321" i="11"/>
  <c r="C321" i="11"/>
  <c r="B321" i="11"/>
  <c r="L320" i="11"/>
  <c r="K320" i="11"/>
  <c r="J320" i="11"/>
  <c r="C320" i="11"/>
  <c r="B320" i="11"/>
  <c r="L319" i="11"/>
  <c r="K319" i="11"/>
  <c r="J319" i="11"/>
  <c r="C319" i="11"/>
  <c r="B319" i="11"/>
  <c r="L318" i="11"/>
  <c r="K318" i="11"/>
  <c r="J318" i="11"/>
  <c r="C318" i="11"/>
  <c r="B318" i="11"/>
  <c r="L317" i="11"/>
  <c r="K317" i="11"/>
  <c r="J317" i="11"/>
  <c r="C317" i="11"/>
  <c r="B317" i="11"/>
  <c r="L316" i="11"/>
  <c r="K316" i="11"/>
  <c r="J316" i="11"/>
  <c r="C316" i="11"/>
  <c r="B316" i="11"/>
  <c r="L315" i="11"/>
  <c r="K315" i="11"/>
  <c r="J315" i="11"/>
  <c r="C315" i="11"/>
  <c r="B315" i="11"/>
  <c r="L314" i="11"/>
  <c r="K314" i="11"/>
  <c r="J314" i="11"/>
  <c r="C314" i="11"/>
  <c r="B314" i="11"/>
  <c r="L313" i="11"/>
  <c r="K313" i="11"/>
  <c r="J313" i="11"/>
  <c r="C313" i="11"/>
  <c r="B313" i="11"/>
  <c r="L312" i="11"/>
  <c r="K312" i="11"/>
  <c r="J312" i="11"/>
  <c r="C312" i="11"/>
  <c r="B312" i="11"/>
  <c r="L311" i="11"/>
  <c r="K311" i="11"/>
  <c r="J311" i="11"/>
  <c r="C311" i="11"/>
  <c r="B311" i="11"/>
  <c r="L310" i="11"/>
  <c r="K310" i="11"/>
  <c r="J310" i="11"/>
  <c r="C310" i="11"/>
  <c r="B310" i="11"/>
  <c r="L309" i="11"/>
  <c r="K309" i="11"/>
  <c r="J309" i="11"/>
  <c r="C309" i="11"/>
  <c r="B309" i="11"/>
  <c r="L308" i="11"/>
  <c r="K308" i="11"/>
  <c r="J308" i="11"/>
  <c r="C308" i="11"/>
  <c r="B308" i="11"/>
  <c r="L307" i="11"/>
  <c r="K307" i="11"/>
  <c r="J307" i="11"/>
  <c r="C307" i="11"/>
  <c r="B307" i="11"/>
  <c r="L306" i="11"/>
  <c r="K306" i="11"/>
  <c r="J306" i="11"/>
  <c r="C306" i="11"/>
  <c r="B306" i="11"/>
  <c r="L305" i="11"/>
  <c r="K305" i="11"/>
  <c r="J305" i="11"/>
  <c r="C305" i="11"/>
  <c r="B305" i="11"/>
  <c r="L304" i="11"/>
  <c r="K304" i="11"/>
  <c r="J304" i="11"/>
  <c r="C304" i="11"/>
  <c r="B304" i="11"/>
  <c r="L303" i="11"/>
  <c r="K303" i="11"/>
  <c r="J303" i="11"/>
  <c r="C303" i="11"/>
  <c r="B303" i="11"/>
  <c r="L302" i="11"/>
  <c r="K302" i="11"/>
  <c r="J302" i="11"/>
  <c r="C302" i="11"/>
  <c r="B302" i="11"/>
  <c r="L301" i="11"/>
  <c r="K301" i="11"/>
  <c r="J301" i="11"/>
  <c r="C301" i="11"/>
  <c r="B301" i="11"/>
  <c r="L300" i="11"/>
  <c r="K300" i="11"/>
  <c r="J300" i="11"/>
  <c r="C300" i="11"/>
  <c r="B300" i="11"/>
  <c r="L299" i="11"/>
  <c r="K299" i="11"/>
  <c r="J299" i="11"/>
  <c r="C299" i="11"/>
  <c r="B299" i="11"/>
  <c r="L298" i="11"/>
  <c r="K298" i="11"/>
  <c r="J298" i="11"/>
  <c r="C298" i="11"/>
  <c r="B298" i="11"/>
  <c r="L297" i="11"/>
  <c r="K297" i="11"/>
  <c r="J297" i="11"/>
  <c r="C297" i="11"/>
  <c r="B297" i="11"/>
  <c r="L296" i="11"/>
  <c r="K296" i="11"/>
  <c r="J296" i="11"/>
  <c r="C296" i="11"/>
  <c r="B296" i="11"/>
  <c r="L295" i="11"/>
  <c r="K295" i="11"/>
  <c r="J295" i="11"/>
  <c r="C295" i="11"/>
  <c r="B295" i="11"/>
  <c r="L294" i="11"/>
  <c r="K294" i="11"/>
  <c r="J294" i="11"/>
  <c r="C294" i="11"/>
  <c r="B294" i="11"/>
  <c r="L293" i="11"/>
  <c r="K293" i="11"/>
  <c r="J293" i="11"/>
  <c r="C293" i="11"/>
  <c r="B293" i="11"/>
  <c r="L292" i="11"/>
  <c r="K292" i="11"/>
  <c r="J292" i="11"/>
  <c r="C292" i="11"/>
  <c r="B292" i="11"/>
  <c r="L291" i="11"/>
  <c r="K291" i="11"/>
  <c r="J291" i="11"/>
  <c r="C291" i="11"/>
  <c r="B291" i="11"/>
  <c r="L290" i="11"/>
  <c r="K290" i="11"/>
  <c r="J290" i="11"/>
  <c r="C290" i="11"/>
  <c r="B290" i="11"/>
  <c r="L289" i="11"/>
  <c r="K289" i="11"/>
  <c r="J289" i="11"/>
  <c r="C289" i="11"/>
  <c r="B289" i="11"/>
  <c r="L288" i="11"/>
  <c r="K288" i="11"/>
  <c r="J288" i="11"/>
  <c r="C288" i="11"/>
  <c r="B288" i="11"/>
  <c r="L287" i="11"/>
  <c r="K287" i="11"/>
  <c r="J287" i="11"/>
  <c r="C287" i="11"/>
  <c r="B287" i="11"/>
  <c r="L286" i="11"/>
  <c r="K286" i="11"/>
  <c r="J286" i="11"/>
  <c r="C286" i="11"/>
  <c r="B286" i="11"/>
  <c r="L285" i="11"/>
  <c r="K285" i="11"/>
  <c r="J285" i="11"/>
  <c r="C285" i="11"/>
  <c r="B285" i="11"/>
  <c r="L284" i="11"/>
  <c r="K284" i="11"/>
  <c r="J284" i="11"/>
  <c r="C284" i="11"/>
  <c r="B284" i="11"/>
  <c r="L283" i="11"/>
  <c r="K283" i="11"/>
  <c r="J283" i="11"/>
  <c r="C283" i="11"/>
  <c r="B283" i="11"/>
  <c r="L282" i="11"/>
  <c r="K282" i="11"/>
  <c r="J282" i="11"/>
  <c r="C282" i="11"/>
  <c r="B282" i="11"/>
  <c r="L281" i="11"/>
  <c r="K281" i="11"/>
  <c r="J281" i="11"/>
  <c r="C281" i="11"/>
  <c r="B281" i="11"/>
  <c r="L280" i="11"/>
  <c r="K280" i="11"/>
  <c r="J280" i="11"/>
  <c r="C280" i="11"/>
  <c r="B280" i="11"/>
  <c r="L279" i="11"/>
  <c r="K279" i="11"/>
  <c r="J279" i="11"/>
  <c r="C279" i="11"/>
  <c r="B279" i="11"/>
  <c r="L278" i="11"/>
  <c r="K278" i="11"/>
  <c r="J278" i="11"/>
  <c r="C278" i="11"/>
  <c r="B278" i="11"/>
  <c r="L277" i="11"/>
  <c r="K277" i="11"/>
  <c r="J277" i="11"/>
  <c r="C277" i="11"/>
  <c r="B277" i="11"/>
  <c r="L276" i="11"/>
  <c r="K276" i="11"/>
  <c r="J276" i="11"/>
  <c r="C276" i="11"/>
  <c r="B276" i="11"/>
  <c r="L275" i="11"/>
  <c r="K275" i="11"/>
  <c r="J275" i="11"/>
  <c r="C275" i="11"/>
  <c r="B275" i="11"/>
  <c r="L274" i="11"/>
  <c r="K274" i="11"/>
  <c r="J274" i="11"/>
  <c r="C274" i="11"/>
  <c r="B274" i="11"/>
  <c r="L273" i="11"/>
  <c r="K273" i="11"/>
  <c r="J273" i="11"/>
  <c r="C273" i="11"/>
  <c r="B273" i="11"/>
  <c r="L272" i="11"/>
  <c r="K272" i="11"/>
  <c r="J272" i="11"/>
  <c r="C272" i="11"/>
  <c r="B272" i="11"/>
  <c r="L271" i="11"/>
  <c r="K271" i="11"/>
  <c r="J271" i="11"/>
  <c r="C271" i="11"/>
  <c r="B271" i="11"/>
  <c r="L270" i="11"/>
  <c r="K270" i="11"/>
  <c r="J270" i="11"/>
  <c r="C270" i="11"/>
  <c r="B270" i="11"/>
  <c r="L269" i="11"/>
  <c r="K269" i="11"/>
  <c r="J269" i="11"/>
  <c r="C269" i="11"/>
  <c r="B269" i="11"/>
  <c r="L268" i="11"/>
  <c r="K268" i="11"/>
  <c r="J268" i="11"/>
  <c r="C268" i="11"/>
  <c r="B268" i="11"/>
  <c r="L267" i="11"/>
  <c r="K267" i="11"/>
  <c r="J267" i="11"/>
  <c r="C267" i="11"/>
  <c r="B267" i="11"/>
  <c r="L266" i="11"/>
  <c r="K266" i="11"/>
  <c r="J266" i="11"/>
  <c r="C266" i="11"/>
  <c r="B266" i="11"/>
  <c r="L265" i="11"/>
  <c r="K265" i="11"/>
  <c r="J265" i="11"/>
  <c r="C265" i="11"/>
  <c r="B265" i="11"/>
  <c r="L264" i="11"/>
  <c r="K264" i="11"/>
  <c r="J264" i="11"/>
  <c r="C264" i="11"/>
  <c r="B264" i="11"/>
  <c r="L263" i="11"/>
  <c r="K263" i="11"/>
  <c r="J263" i="11"/>
  <c r="C263" i="11"/>
  <c r="B263" i="11"/>
  <c r="L262" i="11"/>
  <c r="K262" i="11"/>
  <c r="J262" i="11"/>
  <c r="C262" i="11"/>
  <c r="B262" i="11"/>
  <c r="L261" i="11"/>
  <c r="K261" i="11"/>
  <c r="J261" i="11"/>
  <c r="C261" i="11"/>
  <c r="B261" i="11"/>
  <c r="L260" i="11"/>
  <c r="K260" i="11"/>
  <c r="J260" i="11"/>
  <c r="C260" i="11"/>
  <c r="B260" i="11"/>
  <c r="L259" i="11"/>
  <c r="K259" i="11"/>
  <c r="J259" i="11"/>
  <c r="C259" i="11"/>
  <c r="B259" i="11"/>
  <c r="L258" i="11"/>
  <c r="K258" i="11"/>
  <c r="J258" i="11"/>
  <c r="C258" i="11"/>
  <c r="B258" i="11"/>
  <c r="L257" i="11"/>
  <c r="K257" i="11"/>
  <c r="J257" i="11"/>
  <c r="C257" i="11"/>
  <c r="B257" i="11"/>
  <c r="L256" i="11"/>
  <c r="K256" i="11"/>
  <c r="J256" i="11"/>
  <c r="C256" i="11"/>
  <c r="B256" i="11"/>
  <c r="L255" i="11"/>
  <c r="K255" i="11"/>
  <c r="J255" i="11"/>
  <c r="C255" i="11"/>
  <c r="B255" i="11"/>
  <c r="L254" i="11"/>
  <c r="K254" i="11"/>
  <c r="J254" i="11"/>
  <c r="C254" i="11"/>
  <c r="B254" i="11"/>
  <c r="L253" i="11"/>
  <c r="K253" i="11"/>
  <c r="J253" i="11"/>
  <c r="C253" i="11"/>
  <c r="B253" i="11"/>
  <c r="L252" i="11"/>
  <c r="K252" i="11"/>
  <c r="J252" i="11"/>
  <c r="C252" i="11"/>
  <c r="B252" i="11"/>
  <c r="L251" i="11"/>
  <c r="K251" i="11"/>
  <c r="J251" i="11"/>
  <c r="C251" i="11"/>
  <c r="B251" i="11"/>
  <c r="L250" i="11"/>
  <c r="K250" i="11"/>
  <c r="J250" i="11"/>
  <c r="C250" i="11"/>
  <c r="B250" i="11"/>
  <c r="L249" i="11"/>
  <c r="K249" i="11"/>
  <c r="J249" i="11"/>
  <c r="C249" i="11"/>
  <c r="B249" i="11"/>
  <c r="L248" i="11"/>
  <c r="K248" i="11"/>
  <c r="J248" i="11"/>
  <c r="C248" i="11"/>
  <c r="B248" i="11"/>
  <c r="L247" i="11"/>
  <c r="K247" i="11"/>
  <c r="J247" i="11"/>
  <c r="C247" i="11"/>
  <c r="B247" i="11"/>
  <c r="L246" i="11"/>
  <c r="K246" i="11"/>
  <c r="J246" i="11"/>
  <c r="C246" i="11"/>
  <c r="B246" i="11"/>
  <c r="L245" i="11"/>
  <c r="K245" i="11"/>
  <c r="J245" i="11"/>
  <c r="C245" i="11"/>
  <c r="B245" i="11"/>
  <c r="L244" i="11"/>
  <c r="K244" i="11"/>
  <c r="J244" i="11"/>
  <c r="C244" i="11"/>
  <c r="B244" i="11"/>
  <c r="L243" i="11"/>
  <c r="K243" i="11"/>
  <c r="J243" i="11"/>
  <c r="C243" i="11"/>
  <c r="B243" i="11"/>
  <c r="L242" i="11"/>
  <c r="K242" i="11"/>
  <c r="J242" i="11"/>
  <c r="C242" i="11"/>
  <c r="B242" i="11"/>
  <c r="L241" i="11"/>
  <c r="K241" i="11"/>
  <c r="J241" i="11"/>
  <c r="C241" i="11"/>
  <c r="B241" i="11"/>
  <c r="L240" i="11"/>
  <c r="K240" i="11"/>
  <c r="J240" i="11"/>
  <c r="C240" i="11"/>
  <c r="B240" i="11"/>
  <c r="L239" i="11"/>
  <c r="K239" i="11"/>
  <c r="J239" i="11"/>
  <c r="C239" i="11"/>
  <c r="B239" i="11"/>
  <c r="L238" i="11"/>
  <c r="K238" i="11"/>
  <c r="J238" i="11"/>
  <c r="C238" i="11"/>
  <c r="B238" i="11"/>
  <c r="L237" i="11"/>
  <c r="K237" i="11"/>
  <c r="J237" i="11"/>
  <c r="C237" i="11"/>
  <c r="B237" i="11"/>
  <c r="L236" i="11"/>
  <c r="K236" i="11"/>
  <c r="J236" i="11"/>
  <c r="C236" i="11"/>
  <c r="B236" i="11"/>
  <c r="L235" i="11"/>
  <c r="K235" i="11"/>
  <c r="J235" i="11"/>
  <c r="C235" i="11"/>
  <c r="B235" i="11"/>
  <c r="L234" i="11"/>
  <c r="K234" i="11"/>
  <c r="J234" i="11"/>
  <c r="C234" i="11"/>
  <c r="B234" i="11"/>
  <c r="L233" i="11"/>
  <c r="K233" i="11"/>
  <c r="J233" i="11"/>
  <c r="C233" i="11"/>
  <c r="B233" i="11"/>
  <c r="L232" i="11"/>
  <c r="K232" i="11"/>
  <c r="J232" i="11"/>
  <c r="C232" i="11"/>
  <c r="B232" i="11"/>
  <c r="L231" i="11"/>
  <c r="K231" i="11"/>
  <c r="J231" i="11"/>
  <c r="C231" i="11"/>
  <c r="B231" i="11"/>
  <c r="L230" i="11"/>
  <c r="K230" i="11"/>
  <c r="J230" i="11"/>
  <c r="C230" i="11"/>
  <c r="B230" i="11"/>
  <c r="L229" i="11"/>
  <c r="K229" i="11"/>
  <c r="J229" i="11"/>
  <c r="C229" i="11"/>
  <c r="B229" i="11"/>
  <c r="L228" i="11"/>
  <c r="K228" i="11"/>
  <c r="J228" i="11"/>
  <c r="C228" i="11"/>
  <c r="B228" i="11"/>
  <c r="L227" i="11"/>
  <c r="K227" i="11"/>
  <c r="J227" i="11"/>
  <c r="C227" i="11"/>
  <c r="B227" i="11"/>
  <c r="L226" i="11"/>
  <c r="K226" i="11"/>
  <c r="J226" i="11"/>
  <c r="C226" i="11"/>
  <c r="B226" i="11"/>
  <c r="L225" i="11"/>
  <c r="K225" i="11"/>
  <c r="J225" i="11"/>
  <c r="C225" i="11"/>
  <c r="B225" i="11"/>
  <c r="L224" i="11"/>
  <c r="K224" i="11"/>
  <c r="J224" i="11"/>
  <c r="C224" i="11"/>
  <c r="B224" i="11"/>
  <c r="L223" i="11"/>
  <c r="K223" i="11"/>
  <c r="J223" i="11"/>
  <c r="C223" i="11"/>
  <c r="B223" i="11"/>
  <c r="L222" i="11"/>
  <c r="K222" i="11"/>
  <c r="J222" i="11"/>
  <c r="C222" i="11"/>
  <c r="B222" i="11"/>
  <c r="L221" i="11"/>
  <c r="K221" i="11"/>
  <c r="J221" i="11"/>
  <c r="C221" i="11"/>
  <c r="B221" i="11"/>
  <c r="L220" i="11"/>
  <c r="K220" i="11"/>
  <c r="J220" i="11"/>
  <c r="C220" i="11"/>
  <c r="B220" i="11"/>
  <c r="L219" i="11"/>
  <c r="K219" i="11"/>
  <c r="J219" i="11"/>
  <c r="C219" i="11"/>
  <c r="B219" i="11"/>
  <c r="L218" i="11"/>
  <c r="K218" i="11"/>
  <c r="J218" i="11"/>
  <c r="C218" i="11"/>
  <c r="B218" i="11"/>
  <c r="L217" i="11"/>
  <c r="K217" i="11"/>
  <c r="J217" i="11"/>
  <c r="C217" i="11"/>
  <c r="B217" i="11"/>
  <c r="L216" i="11"/>
  <c r="K216" i="11"/>
  <c r="J216" i="11"/>
  <c r="C216" i="11"/>
  <c r="B216" i="11"/>
  <c r="L215" i="11"/>
  <c r="K215" i="11"/>
  <c r="J215" i="11"/>
  <c r="C215" i="11"/>
  <c r="B215" i="11"/>
  <c r="L214" i="11"/>
  <c r="K214" i="11"/>
  <c r="J214" i="11"/>
  <c r="C214" i="11"/>
  <c r="B214" i="11"/>
  <c r="L213" i="11"/>
  <c r="K213" i="11"/>
  <c r="J213" i="11"/>
  <c r="C213" i="11"/>
  <c r="B213" i="11"/>
  <c r="L212" i="11"/>
  <c r="K212" i="11"/>
  <c r="J212" i="11"/>
  <c r="C212" i="11"/>
  <c r="B212" i="11"/>
  <c r="L211" i="11"/>
  <c r="K211" i="11"/>
  <c r="J211" i="11"/>
  <c r="C211" i="11"/>
  <c r="B211" i="11"/>
  <c r="L210" i="11"/>
  <c r="K210" i="11"/>
  <c r="J210" i="11"/>
  <c r="C210" i="11"/>
  <c r="B210" i="11"/>
  <c r="L209" i="11"/>
  <c r="K209" i="11"/>
  <c r="J209" i="11"/>
  <c r="C209" i="11"/>
  <c r="B209" i="11"/>
  <c r="L208" i="11"/>
  <c r="K208" i="11"/>
  <c r="J208" i="11"/>
  <c r="C208" i="11"/>
  <c r="B208" i="11"/>
  <c r="L207" i="11"/>
  <c r="K207" i="11"/>
  <c r="J207" i="11"/>
  <c r="C207" i="11"/>
  <c r="B207" i="11"/>
  <c r="L206" i="11"/>
  <c r="K206" i="11"/>
  <c r="J206" i="11"/>
  <c r="C206" i="11"/>
  <c r="B206" i="11"/>
  <c r="L205" i="11"/>
  <c r="K205" i="11"/>
  <c r="J205" i="11"/>
  <c r="C205" i="11"/>
  <c r="B205" i="11"/>
  <c r="L204" i="11"/>
  <c r="K204" i="11"/>
  <c r="J204" i="11"/>
  <c r="C204" i="11"/>
  <c r="B204" i="11"/>
  <c r="L203" i="11"/>
  <c r="K203" i="11"/>
  <c r="J203" i="11"/>
  <c r="C203" i="11"/>
  <c r="B203" i="11"/>
  <c r="L202" i="11"/>
  <c r="K202" i="11"/>
  <c r="J202" i="11"/>
  <c r="C202" i="11"/>
  <c r="B202" i="11"/>
  <c r="L201" i="11"/>
  <c r="K201" i="11"/>
  <c r="J201" i="11"/>
  <c r="C201" i="11"/>
  <c r="B201" i="11"/>
  <c r="L200" i="11"/>
  <c r="K200" i="11"/>
  <c r="J200" i="11"/>
  <c r="C200" i="11"/>
  <c r="B200" i="11"/>
  <c r="L199" i="11"/>
  <c r="K199" i="11"/>
  <c r="J199" i="11"/>
  <c r="C199" i="11"/>
  <c r="B199" i="11"/>
  <c r="L198" i="11"/>
  <c r="K198" i="11"/>
  <c r="J198" i="11"/>
  <c r="C198" i="11"/>
  <c r="B198" i="11"/>
  <c r="L197" i="11"/>
  <c r="K197" i="11"/>
  <c r="J197" i="11"/>
  <c r="C197" i="11"/>
  <c r="B197" i="11"/>
  <c r="L196" i="11"/>
  <c r="K196" i="11"/>
  <c r="J196" i="11"/>
  <c r="C196" i="11"/>
  <c r="B196" i="11"/>
  <c r="L195" i="11"/>
  <c r="K195" i="11"/>
  <c r="J195" i="11"/>
  <c r="C195" i="11"/>
  <c r="B195" i="11"/>
  <c r="L194" i="11"/>
  <c r="K194" i="11"/>
  <c r="J194" i="11"/>
  <c r="C194" i="11"/>
  <c r="B194" i="11"/>
  <c r="L193" i="11"/>
  <c r="K193" i="11"/>
  <c r="J193" i="11"/>
  <c r="C193" i="11"/>
  <c r="B193" i="11"/>
  <c r="L192" i="11"/>
  <c r="K192" i="11"/>
  <c r="J192" i="11"/>
  <c r="C192" i="11"/>
  <c r="B192" i="11"/>
  <c r="L191" i="11"/>
  <c r="K191" i="11"/>
  <c r="J191" i="11"/>
  <c r="C191" i="11"/>
  <c r="B191" i="11"/>
  <c r="L190" i="11"/>
  <c r="K190" i="11"/>
  <c r="J190" i="11"/>
  <c r="C190" i="11"/>
  <c r="B190" i="11"/>
  <c r="L189" i="11"/>
  <c r="K189" i="11"/>
  <c r="J189" i="11"/>
  <c r="C189" i="11"/>
  <c r="B189" i="11"/>
  <c r="L188" i="11"/>
  <c r="K188" i="11"/>
  <c r="J188" i="11"/>
  <c r="C188" i="11"/>
  <c r="B188" i="11"/>
  <c r="L187" i="11"/>
  <c r="K187" i="11"/>
  <c r="J187" i="11"/>
  <c r="C187" i="11"/>
  <c r="B187" i="11"/>
  <c r="L186" i="11"/>
  <c r="K186" i="11"/>
  <c r="J186" i="11"/>
  <c r="C186" i="11"/>
  <c r="B186" i="11"/>
  <c r="L185" i="11"/>
  <c r="K185" i="11"/>
  <c r="J185" i="11"/>
  <c r="C185" i="11"/>
  <c r="B185" i="11"/>
  <c r="L184" i="11"/>
  <c r="K184" i="11"/>
  <c r="J184" i="11"/>
  <c r="C184" i="11"/>
  <c r="B184" i="11"/>
  <c r="L183" i="11"/>
  <c r="K183" i="11"/>
  <c r="J183" i="11"/>
  <c r="C183" i="11"/>
  <c r="B183" i="11"/>
  <c r="L182" i="11"/>
  <c r="K182" i="11"/>
  <c r="J182" i="11"/>
  <c r="C182" i="11"/>
  <c r="B182" i="11"/>
  <c r="L181" i="11"/>
  <c r="K181" i="11"/>
  <c r="J181" i="11"/>
  <c r="C181" i="11"/>
  <c r="B181" i="11"/>
  <c r="L180" i="11"/>
  <c r="K180" i="11"/>
  <c r="J180" i="11"/>
  <c r="C180" i="11"/>
  <c r="B180" i="11"/>
  <c r="L179" i="11"/>
  <c r="K179" i="11"/>
  <c r="J179" i="11"/>
  <c r="C179" i="11"/>
  <c r="B179" i="11"/>
  <c r="L178" i="11"/>
  <c r="K178" i="11"/>
  <c r="J178" i="11"/>
  <c r="C178" i="11"/>
  <c r="B178" i="11"/>
  <c r="L177" i="11"/>
  <c r="K177" i="11"/>
  <c r="J177" i="11"/>
  <c r="C177" i="11"/>
  <c r="B177" i="11"/>
  <c r="L176" i="11"/>
  <c r="K176" i="11"/>
  <c r="J176" i="11"/>
  <c r="C176" i="11"/>
  <c r="B176" i="11"/>
  <c r="L175" i="11"/>
  <c r="K175" i="11"/>
  <c r="J175" i="11"/>
  <c r="C175" i="11"/>
  <c r="B175" i="11"/>
  <c r="L174" i="11"/>
  <c r="K174" i="11"/>
  <c r="J174" i="11"/>
  <c r="C174" i="11"/>
  <c r="B174" i="11"/>
  <c r="L173" i="11"/>
  <c r="K173" i="11"/>
  <c r="J173" i="11"/>
  <c r="C173" i="11"/>
  <c r="B173" i="11"/>
  <c r="L172" i="11"/>
  <c r="K172" i="11"/>
  <c r="J172" i="11"/>
  <c r="C172" i="11"/>
  <c r="B172" i="11"/>
  <c r="L171" i="11"/>
  <c r="K171" i="11"/>
  <c r="J171" i="11"/>
  <c r="C171" i="11"/>
  <c r="B171" i="11"/>
  <c r="L170" i="11"/>
  <c r="K170" i="11"/>
  <c r="J170" i="11"/>
  <c r="C170" i="11"/>
  <c r="B170" i="11"/>
  <c r="L169" i="11"/>
  <c r="K169" i="11"/>
  <c r="J169" i="11"/>
  <c r="C169" i="11"/>
  <c r="B169" i="11"/>
  <c r="L168" i="11"/>
  <c r="K168" i="11"/>
  <c r="J168" i="11"/>
  <c r="C168" i="11"/>
  <c r="B168" i="11"/>
  <c r="L167" i="11"/>
  <c r="K167" i="11"/>
  <c r="J167" i="11"/>
  <c r="C167" i="11"/>
  <c r="B167" i="11"/>
  <c r="L166" i="11"/>
  <c r="K166" i="11"/>
  <c r="J166" i="11"/>
  <c r="C166" i="11"/>
  <c r="B166" i="11"/>
  <c r="L165" i="11"/>
  <c r="K165" i="11"/>
  <c r="J165" i="11"/>
  <c r="C165" i="11"/>
  <c r="B165" i="11"/>
  <c r="L164" i="11"/>
  <c r="K164" i="11"/>
  <c r="J164" i="11"/>
  <c r="C164" i="11"/>
  <c r="B164" i="11"/>
  <c r="L163" i="11"/>
  <c r="K163" i="11"/>
  <c r="J163" i="11"/>
  <c r="C163" i="11"/>
  <c r="B163" i="11"/>
  <c r="L162" i="11"/>
  <c r="K162" i="11"/>
  <c r="J162" i="11"/>
  <c r="C162" i="11"/>
  <c r="B162" i="11"/>
  <c r="L161" i="11"/>
  <c r="K161" i="11"/>
  <c r="J161" i="11"/>
  <c r="C161" i="11"/>
  <c r="B161" i="11"/>
  <c r="L160" i="11"/>
  <c r="K160" i="11"/>
  <c r="J160" i="11"/>
  <c r="C160" i="11"/>
  <c r="B160" i="11"/>
  <c r="L159" i="11"/>
  <c r="K159" i="11"/>
  <c r="J159" i="11"/>
  <c r="C159" i="11"/>
  <c r="B159" i="11"/>
  <c r="L158" i="11"/>
  <c r="K158" i="11"/>
  <c r="J158" i="11"/>
  <c r="C158" i="11"/>
  <c r="B158" i="11"/>
  <c r="L157" i="11"/>
  <c r="K157" i="11"/>
  <c r="J157" i="11"/>
  <c r="C157" i="11"/>
  <c r="B157" i="11"/>
  <c r="L156" i="11"/>
  <c r="K156" i="11"/>
  <c r="J156" i="11"/>
  <c r="C156" i="11"/>
  <c r="B156" i="11"/>
  <c r="L155" i="11"/>
  <c r="K155" i="11"/>
  <c r="J155" i="11"/>
  <c r="C155" i="11"/>
  <c r="B155" i="11"/>
  <c r="L154" i="11"/>
  <c r="K154" i="11"/>
  <c r="J154" i="11"/>
  <c r="C154" i="11"/>
  <c r="B154" i="11"/>
  <c r="L153" i="11"/>
  <c r="K153" i="11"/>
  <c r="J153" i="11"/>
  <c r="C153" i="11"/>
  <c r="B153" i="11"/>
  <c r="L152" i="11"/>
  <c r="K152" i="11"/>
  <c r="J152" i="11"/>
  <c r="C152" i="11"/>
  <c r="B152" i="11"/>
  <c r="L151" i="11"/>
  <c r="K151" i="11"/>
  <c r="J151" i="11"/>
  <c r="C151" i="11"/>
  <c r="B151" i="11"/>
  <c r="L150" i="11"/>
  <c r="K150" i="11"/>
  <c r="J150" i="11"/>
  <c r="C150" i="11"/>
  <c r="B150" i="11"/>
  <c r="L149" i="11"/>
  <c r="K149" i="11"/>
  <c r="J149" i="11"/>
  <c r="C149" i="11"/>
  <c r="B149" i="11"/>
  <c r="L148" i="11"/>
  <c r="K148" i="11"/>
  <c r="J148" i="11"/>
  <c r="C148" i="11"/>
  <c r="B148" i="11"/>
  <c r="L147" i="11"/>
  <c r="K147" i="11"/>
  <c r="J147" i="11"/>
  <c r="C147" i="11"/>
  <c r="B147" i="11"/>
  <c r="L146" i="11"/>
  <c r="K146" i="11"/>
  <c r="J146" i="11"/>
  <c r="C146" i="11"/>
  <c r="B146" i="11"/>
  <c r="L145" i="11"/>
  <c r="K145" i="11"/>
  <c r="J145" i="11"/>
  <c r="C145" i="11"/>
  <c r="B145" i="11"/>
  <c r="L144" i="11"/>
  <c r="K144" i="11"/>
  <c r="J144" i="11"/>
  <c r="C144" i="11"/>
  <c r="B144" i="11"/>
  <c r="L143" i="11"/>
  <c r="K143" i="11"/>
  <c r="J143" i="11"/>
  <c r="C143" i="11"/>
  <c r="B143" i="11"/>
  <c r="L142" i="11"/>
  <c r="K142" i="11"/>
  <c r="J142" i="11"/>
  <c r="C142" i="11"/>
  <c r="B142" i="11"/>
  <c r="L141" i="11"/>
  <c r="K141" i="11"/>
  <c r="J141" i="11"/>
  <c r="C141" i="11"/>
  <c r="B141" i="11"/>
  <c r="L140" i="11"/>
  <c r="K140" i="11"/>
  <c r="J140" i="11"/>
  <c r="C140" i="11"/>
  <c r="B140" i="11"/>
  <c r="L139" i="11"/>
  <c r="K139" i="11"/>
  <c r="J139" i="11"/>
  <c r="C139" i="11"/>
  <c r="B139" i="11"/>
  <c r="L138" i="11"/>
  <c r="K138" i="11"/>
  <c r="J138" i="11"/>
  <c r="C138" i="11"/>
  <c r="B138" i="11"/>
  <c r="L137" i="11"/>
  <c r="K137" i="11"/>
  <c r="J137" i="11"/>
  <c r="C137" i="11"/>
  <c r="B137" i="11"/>
  <c r="L136" i="11"/>
  <c r="K136" i="11"/>
  <c r="J136" i="11"/>
  <c r="C136" i="11"/>
  <c r="B136" i="11"/>
  <c r="L135" i="11"/>
  <c r="K135" i="11"/>
  <c r="J135" i="11"/>
  <c r="C135" i="11"/>
  <c r="B135" i="11"/>
  <c r="L134" i="11"/>
  <c r="K134" i="11"/>
  <c r="J134" i="11"/>
  <c r="C134" i="11"/>
  <c r="B134" i="11"/>
  <c r="L133" i="11"/>
  <c r="K133" i="11"/>
  <c r="J133" i="11"/>
  <c r="C133" i="11"/>
  <c r="B133" i="11"/>
  <c r="L132" i="11"/>
  <c r="K132" i="11"/>
  <c r="J132" i="11"/>
  <c r="C132" i="11"/>
  <c r="B132" i="11"/>
  <c r="L131" i="11"/>
  <c r="K131" i="11"/>
  <c r="J131" i="11"/>
  <c r="C131" i="11"/>
  <c r="B131" i="11"/>
  <c r="L130" i="11"/>
  <c r="K130" i="11"/>
  <c r="J130" i="11"/>
  <c r="C130" i="11"/>
  <c r="B130" i="11"/>
  <c r="L129" i="11"/>
  <c r="K129" i="11"/>
  <c r="J129" i="11"/>
  <c r="C129" i="11"/>
  <c r="B129" i="11"/>
  <c r="L128" i="11"/>
  <c r="K128" i="11"/>
  <c r="J128" i="11"/>
  <c r="C128" i="11"/>
  <c r="B128" i="11"/>
  <c r="L127" i="11"/>
  <c r="K127" i="11"/>
  <c r="J127" i="11"/>
  <c r="C127" i="11"/>
  <c r="B127" i="11"/>
  <c r="L126" i="11"/>
  <c r="K126" i="11"/>
  <c r="J126" i="11"/>
  <c r="C126" i="11"/>
  <c r="B126" i="11"/>
  <c r="L125" i="11"/>
  <c r="K125" i="11"/>
  <c r="J125" i="11"/>
  <c r="C125" i="11"/>
  <c r="B125" i="11"/>
  <c r="L124" i="11"/>
  <c r="K124" i="11"/>
  <c r="J124" i="11"/>
  <c r="C124" i="11"/>
  <c r="B124" i="11"/>
  <c r="L123" i="11"/>
  <c r="K123" i="11"/>
  <c r="J123" i="11"/>
  <c r="C123" i="11"/>
  <c r="B123" i="11"/>
  <c r="L122" i="11"/>
  <c r="K122" i="11"/>
  <c r="J122" i="11"/>
  <c r="C122" i="11"/>
  <c r="B122" i="11"/>
  <c r="L121" i="11"/>
  <c r="K121" i="11"/>
  <c r="J121" i="11"/>
  <c r="C121" i="11"/>
  <c r="B121" i="11"/>
  <c r="L120" i="11"/>
  <c r="K120" i="11"/>
  <c r="J120" i="11"/>
  <c r="C120" i="11"/>
  <c r="B120" i="11"/>
  <c r="L119" i="11"/>
  <c r="K119" i="11"/>
  <c r="J119" i="11"/>
  <c r="C119" i="11"/>
  <c r="B119" i="11"/>
  <c r="L118" i="11"/>
  <c r="K118" i="11"/>
  <c r="J118" i="11"/>
  <c r="C118" i="11"/>
  <c r="B118" i="11"/>
  <c r="L117" i="11"/>
  <c r="K117" i="11"/>
  <c r="J117" i="11"/>
  <c r="C117" i="11"/>
  <c r="B117" i="11"/>
  <c r="L116" i="11"/>
  <c r="K116" i="11"/>
  <c r="J116" i="11"/>
  <c r="C116" i="11"/>
  <c r="B116" i="11"/>
  <c r="L115" i="11"/>
  <c r="K115" i="11"/>
  <c r="J115" i="11"/>
  <c r="C115" i="11"/>
  <c r="B115" i="11"/>
  <c r="L114" i="11"/>
  <c r="K114" i="11"/>
  <c r="J114" i="11"/>
  <c r="C114" i="11"/>
  <c r="B114" i="11"/>
  <c r="L113" i="11"/>
  <c r="K113" i="11"/>
  <c r="J113" i="11"/>
  <c r="C113" i="11"/>
  <c r="B113" i="11"/>
  <c r="L112" i="11"/>
  <c r="K112" i="11"/>
  <c r="J112" i="11"/>
  <c r="C112" i="11"/>
  <c r="B112" i="11"/>
  <c r="L111" i="11"/>
  <c r="K111" i="11"/>
  <c r="J111" i="11"/>
  <c r="C111" i="11"/>
  <c r="B111" i="11"/>
  <c r="L110" i="11"/>
  <c r="K110" i="11"/>
  <c r="J110" i="11"/>
  <c r="C110" i="11"/>
  <c r="B110" i="11"/>
  <c r="L109" i="11"/>
  <c r="K109" i="11"/>
  <c r="J109" i="11"/>
  <c r="C109" i="11"/>
  <c r="B109" i="11"/>
  <c r="L108" i="11"/>
  <c r="K108" i="11"/>
  <c r="J108" i="11"/>
  <c r="C108" i="11"/>
  <c r="B108" i="11"/>
  <c r="L107" i="11"/>
  <c r="K107" i="11"/>
  <c r="J107" i="11"/>
  <c r="C107" i="11"/>
  <c r="B107" i="11"/>
  <c r="L106" i="11"/>
  <c r="K106" i="11"/>
  <c r="J106" i="11"/>
  <c r="C106" i="11"/>
  <c r="B106" i="11"/>
  <c r="L105" i="11"/>
  <c r="K105" i="11"/>
  <c r="J105" i="11"/>
  <c r="C105" i="11"/>
  <c r="B105" i="11"/>
  <c r="L104" i="11"/>
  <c r="K104" i="11"/>
  <c r="J104" i="11"/>
  <c r="C104" i="11"/>
  <c r="B104" i="11"/>
  <c r="L103" i="11"/>
  <c r="K103" i="11"/>
  <c r="J103" i="11"/>
  <c r="C103" i="11"/>
  <c r="B103" i="11"/>
  <c r="L102" i="11"/>
  <c r="K102" i="11"/>
  <c r="J102" i="11"/>
  <c r="C102" i="11"/>
  <c r="B102" i="11"/>
  <c r="L101" i="11"/>
  <c r="K101" i="11"/>
  <c r="J101" i="11"/>
  <c r="C101" i="11"/>
  <c r="B101" i="11"/>
  <c r="L100" i="11"/>
  <c r="K100" i="11"/>
  <c r="J100" i="11"/>
  <c r="C100" i="11"/>
  <c r="B100" i="11"/>
  <c r="L99" i="11"/>
  <c r="K99" i="11"/>
  <c r="J99" i="11"/>
  <c r="C99" i="11"/>
  <c r="B99" i="11"/>
  <c r="L98" i="11"/>
  <c r="K98" i="11"/>
  <c r="J98" i="11"/>
  <c r="C98" i="11"/>
  <c r="B98" i="11"/>
  <c r="L97" i="11"/>
  <c r="K97" i="11"/>
  <c r="J97" i="11"/>
  <c r="C97" i="11"/>
  <c r="B97" i="11"/>
  <c r="L96" i="11"/>
  <c r="K96" i="11"/>
  <c r="J96" i="11"/>
  <c r="C96" i="11"/>
  <c r="B96" i="11"/>
  <c r="L95" i="11"/>
  <c r="K95" i="11"/>
  <c r="J95" i="11"/>
  <c r="C95" i="11"/>
  <c r="B95" i="11"/>
  <c r="L94" i="11"/>
  <c r="K94" i="11"/>
  <c r="J94" i="11"/>
  <c r="C94" i="11"/>
  <c r="B94" i="11"/>
  <c r="L93" i="11"/>
  <c r="K93" i="11"/>
  <c r="J93" i="11"/>
  <c r="C93" i="11"/>
  <c r="B93" i="11"/>
  <c r="L92" i="11"/>
  <c r="K92" i="11"/>
  <c r="J92" i="11"/>
  <c r="C92" i="11"/>
  <c r="B92" i="11"/>
  <c r="L91" i="11"/>
  <c r="K91" i="11"/>
  <c r="J91" i="11"/>
  <c r="C91" i="11"/>
  <c r="B91" i="11"/>
  <c r="L90" i="11"/>
  <c r="K90" i="11"/>
  <c r="J90" i="11"/>
  <c r="C90" i="11"/>
  <c r="B90" i="11"/>
  <c r="L89" i="11"/>
  <c r="K89" i="11"/>
  <c r="J89" i="11"/>
  <c r="C89" i="11"/>
  <c r="B89" i="11"/>
  <c r="L88" i="11"/>
  <c r="K88" i="11"/>
  <c r="J88" i="11"/>
  <c r="C88" i="11"/>
  <c r="B88" i="11"/>
  <c r="L87" i="11"/>
  <c r="K87" i="11"/>
  <c r="J87" i="11"/>
  <c r="C87" i="11"/>
  <c r="B87" i="11"/>
  <c r="L86" i="11"/>
  <c r="K86" i="11"/>
  <c r="J86" i="11"/>
  <c r="C86" i="11"/>
  <c r="B86" i="11"/>
  <c r="L85" i="11"/>
  <c r="K85" i="11"/>
  <c r="J85" i="11"/>
  <c r="C85" i="11"/>
  <c r="B85" i="11"/>
  <c r="L84" i="11"/>
  <c r="K84" i="11"/>
  <c r="J84" i="11"/>
  <c r="C84" i="11"/>
  <c r="B84" i="11"/>
  <c r="L83" i="11"/>
  <c r="K83" i="11"/>
  <c r="J83" i="11"/>
  <c r="C83" i="11"/>
  <c r="B83" i="11"/>
  <c r="L82" i="11"/>
  <c r="K82" i="11"/>
  <c r="J82" i="11"/>
  <c r="C82" i="11"/>
  <c r="B82" i="11"/>
  <c r="L81" i="11"/>
  <c r="K81" i="11"/>
  <c r="J81" i="11"/>
  <c r="C81" i="11"/>
  <c r="B81" i="11"/>
  <c r="L80" i="11"/>
  <c r="K80" i="11"/>
  <c r="J80" i="11"/>
  <c r="C80" i="11"/>
  <c r="B80" i="11"/>
  <c r="L79" i="11"/>
  <c r="K79" i="11"/>
  <c r="J79" i="11"/>
  <c r="C79" i="11"/>
  <c r="B79" i="11"/>
  <c r="L78" i="11"/>
  <c r="K78" i="11"/>
  <c r="J78" i="11"/>
  <c r="C78" i="11"/>
  <c r="B78" i="11"/>
  <c r="L77" i="11"/>
  <c r="K77" i="11"/>
  <c r="J77" i="11"/>
  <c r="C77" i="11"/>
  <c r="B77" i="11"/>
  <c r="L76" i="11"/>
  <c r="K76" i="11"/>
  <c r="J76" i="11"/>
  <c r="C76" i="11"/>
  <c r="B76" i="11"/>
  <c r="L75" i="11"/>
  <c r="K75" i="11"/>
  <c r="J75" i="11"/>
  <c r="C75" i="11"/>
  <c r="B75" i="11"/>
  <c r="L74" i="11"/>
  <c r="K74" i="11"/>
  <c r="J74" i="11"/>
  <c r="C74" i="11"/>
  <c r="B74" i="11"/>
  <c r="L73" i="11"/>
  <c r="K73" i="11"/>
  <c r="J73" i="11"/>
  <c r="C73" i="11"/>
  <c r="B73" i="11"/>
  <c r="L72" i="11"/>
  <c r="K72" i="11"/>
  <c r="J72" i="11"/>
  <c r="C72" i="11"/>
  <c r="B72" i="11"/>
  <c r="L71" i="11"/>
  <c r="K71" i="11"/>
  <c r="J71" i="11"/>
  <c r="C71" i="11"/>
  <c r="B71" i="11"/>
  <c r="L70" i="11"/>
  <c r="K70" i="11"/>
  <c r="J70" i="11"/>
  <c r="C70" i="11"/>
  <c r="B70" i="11"/>
  <c r="L69" i="11"/>
  <c r="K69" i="11"/>
  <c r="J69" i="11"/>
  <c r="C69" i="11"/>
  <c r="B69" i="11"/>
  <c r="L68" i="11"/>
  <c r="K68" i="11"/>
  <c r="J68" i="11"/>
  <c r="C68" i="11"/>
  <c r="B68" i="11"/>
  <c r="L67" i="11"/>
  <c r="K67" i="11"/>
  <c r="J67" i="11"/>
  <c r="C67" i="11"/>
  <c r="B67" i="11"/>
  <c r="L66" i="11"/>
  <c r="K66" i="11"/>
  <c r="J66" i="11"/>
  <c r="C66" i="11"/>
  <c r="B66" i="11"/>
  <c r="L65" i="11"/>
  <c r="K65" i="11"/>
  <c r="J65" i="11"/>
  <c r="C65" i="11"/>
  <c r="B65" i="11"/>
  <c r="L64" i="11"/>
  <c r="K64" i="11"/>
  <c r="J64" i="11"/>
  <c r="C64" i="11"/>
  <c r="B64" i="11"/>
  <c r="L63" i="11"/>
  <c r="K63" i="11"/>
  <c r="J63" i="11"/>
  <c r="C63" i="11"/>
  <c r="B63" i="11"/>
  <c r="L62" i="11"/>
  <c r="K62" i="11"/>
  <c r="J62" i="11"/>
  <c r="C62" i="11"/>
  <c r="B62" i="11"/>
  <c r="L61" i="11"/>
  <c r="K61" i="11"/>
  <c r="J61" i="11"/>
  <c r="C61" i="11"/>
  <c r="B61" i="11"/>
  <c r="L60" i="11"/>
  <c r="K60" i="11"/>
  <c r="J60" i="11"/>
  <c r="C60" i="11"/>
  <c r="B60" i="11"/>
  <c r="L59" i="11"/>
  <c r="K59" i="11"/>
  <c r="J59" i="11"/>
  <c r="C59" i="11"/>
  <c r="B59" i="11"/>
  <c r="L58" i="11"/>
  <c r="K58" i="11"/>
  <c r="J58" i="11"/>
  <c r="C58" i="11"/>
  <c r="B58" i="11"/>
  <c r="L57" i="11"/>
  <c r="K57" i="11"/>
  <c r="J57" i="11"/>
  <c r="C57" i="11"/>
  <c r="B57" i="11"/>
  <c r="L56" i="11"/>
  <c r="K56" i="11"/>
  <c r="J56" i="11"/>
  <c r="C56" i="11"/>
  <c r="B56" i="11"/>
  <c r="L55" i="11"/>
  <c r="K55" i="11"/>
  <c r="J55" i="11"/>
  <c r="C55" i="11"/>
  <c r="B55" i="11"/>
  <c r="L54" i="11"/>
  <c r="K54" i="11"/>
  <c r="J54" i="11"/>
  <c r="C54" i="11"/>
  <c r="B54" i="11"/>
  <c r="L53" i="11"/>
  <c r="K53" i="11"/>
  <c r="J53" i="11"/>
  <c r="C53" i="11"/>
  <c r="B53" i="11"/>
  <c r="L52" i="11"/>
  <c r="K52" i="11"/>
  <c r="J52" i="11"/>
  <c r="C52" i="11"/>
  <c r="B52" i="11"/>
  <c r="L51" i="11"/>
  <c r="K51" i="11"/>
  <c r="J51" i="11"/>
  <c r="C51" i="11"/>
  <c r="B51" i="11"/>
  <c r="L50" i="11"/>
  <c r="K50" i="11"/>
  <c r="J50" i="11"/>
  <c r="C50" i="11"/>
  <c r="B50" i="11"/>
  <c r="L49" i="11"/>
  <c r="K49" i="11"/>
  <c r="J49" i="11"/>
  <c r="C49" i="11"/>
  <c r="B49" i="11"/>
  <c r="L48" i="11"/>
  <c r="K48" i="11"/>
  <c r="J48" i="11"/>
  <c r="C48" i="11"/>
  <c r="B48" i="11"/>
  <c r="L47" i="11"/>
  <c r="K47" i="11"/>
  <c r="J47" i="11"/>
  <c r="C47" i="11"/>
  <c r="B47" i="11"/>
  <c r="L46" i="11"/>
  <c r="K46" i="11"/>
  <c r="J46" i="11"/>
  <c r="C46" i="11"/>
  <c r="B46" i="11"/>
  <c r="L45" i="11"/>
  <c r="K45" i="11"/>
  <c r="J45" i="11"/>
  <c r="C45" i="11"/>
  <c r="B45" i="11"/>
  <c r="L44" i="11"/>
  <c r="K44" i="11"/>
  <c r="J44" i="11"/>
  <c r="C44" i="11"/>
  <c r="B44" i="11"/>
  <c r="L43" i="11"/>
  <c r="K43" i="11"/>
  <c r="J43" i="11"/>
  <c r="C43" i="11"/>
  <c r="B43" i="11"/>
  <c r="L42" i="11"/>
  <c r="K42" i="11"/>
  <c r="J42" i="11"/>
  <c r="C42" i="11"/>
  <c r="B42" i="11"/>
  <c r="L41" i="11"/>
  <c r="K41" i="11"/>
  <c r="J41" i="11"/>
  <c r="C41" i="11"/>
  <c r="B41" i="11"/>
  <c r="L40" i="11"/>
  <c r="K40" i="11"/>
  <c r="J40" i="11"/>
  <c r="C40" i="11"/>
  <c r="B40" i="11"/>
  <c r="L39" i="11"/>
  <c r="K39" i="11"/>
  <c r="J39" i="11"/>
  <c r="C39" i="11"/>
  <c r="B39" i="11"/>
  <c r="L38" i="11"/>
  <c r="K38" i="11"/>
  <c r="J38" i="11"/>
  <c r="C38" i="11"/>
  <c r="B38" i="11"/>
  <c r="L37" i="11"/>
  <c r="K37" i="11"/>
  <c r="J37" i="11"/>
  <c r="C37" i="11"/>
  <c r="B37" i="11"/>
  <c r="L36" i="11"/>
  <c r="K36" i="11"/>
  <c r="J36" i="11"/>
  <c r="C36" i="11"/>
  <c r="B36" i="11"/>
  <c r="L35" i="11"/>
  <c r="K35" i="11"/>
  <c r="J35" i="11"/>
  <c r="C35" i="11"/>
  <c r="B35" i="11"/>
  <c r="L34" i="11"/>
  <c r="K34" i="11"/>
  <c r="J34" i="11"/>
  <c r="C34" i="11"/>
  <c r="B34" i="11"/>
  <c r="L33" i="11"/>
  <c r="K33" i="11"/>
  <c r="J33" i="11"/>
  <c r="C33" i="11"/>
  <c r="B33" i="11"/>
  <c r="L32" i="11"/>
  <c r="K32" i="11"/>
  <c r="J32" i="11"/>
  <c r="C32" i="11"/>
  <c r="B32" i="11"/>
  <c r="L31" i="11"/>
  <c r="K31" i="11"/>
  <c r="J31" i="11"/>
  <c r="C31" i="11"/>
  <c r="B31" i="11"/>
  <c r="L30" i="11"/>
  <c r="K30" i="11"/>
  <c r="J30" i="11"/>
  <c r="C30" i="11"/>
  <c r="B30" i="11"/>
  <c r="L29" i="11"/>
  <c r="K29" i="11"/>
  <c r="J29" i="11"/>
  <c r="C29" i="11"/>
  <c r="B29" i="11"/>
  <c r="L28" i="11"/>
  <c r="K28" i="11"/>
  <c r="J28" i="11"/>
  <c r="C28" i="11"/>
  <c r="B28" i="11"/>
  <c r="L27" i="11"/>
  <c r="K27" i="11"/>
  <c r="J27" i="11"/>
  <c r="C27" i="11"/>
  <c r="B27" i="11"/>
  <c r="L26" i="11"/>
  <c r="K26" i="11"/>
  <c r="J26" i="11"/>
  <c r="C26" i="11"/>
  <c r="B26" i="11"/>
  <c r="L25" i="11"/>
  <c r="K25" i="11"/>
  <c r="J25" i="11"/>
  <c r="C25" i="11"/>
  <c r="B25" i="11"/>
  <c r="L24" i="11"/>
  <c r="K24" i="11"/>
  <c r="J24" i="11"/>
  <c r="C24" i="11"/>
  <c r="B24" i="11"/>
  <c r="L23" i="11"/>
  <c r="K23" i="11"/>
  <c r="J23" i="11"/>
  <c r="C23" i="11"/>
  <c r="B23" i="11"/>
  <c r="L22" i="11"/>
  <c r="K22" i="11"/>
  <c r="J22" i="11"/>
  <c r="C22" i="11"/>
  <c r="B22" i="11"/>
  <c r="L21" i="11"/>
  <c r="K21" i="11"/>
  <c r="J21" i="11"/>
  <c r="C21" i="11"/>
  <c r="B21" i="11"/>
  <c r="L20" i="11"/>
  <c r="K20" i="11"/>
  <c r="J20" i="11"/>
  <c r="C20" i="11"/>
  <c r="B20" i="11"/>
  <c r="L19" i="11"/>
  <c r="K19" i="11"/>
  <c r="J19" i="11"/>
  <c r="C19" i="11"/>
  <c r="B19" i="11"/>
  <c r="L18" i="11"/>
  <c r="K18" i="11"/>
  <c r="J18" i="11"/>
  <c r="C18" i="11"/>
  <c r="B18" i="11"/>
  <c r="L17" i="11"/>
  <c r="K17" i="11"/>
  <c r="J17" i="11"/>
  <c r="C17" i="11"/>
  <c r="B17" i="11"/>
  <c r="L16" i="11"/>
  <c r="K16" i="11"/>
  <c r="J16" i="11"/>
  <c r="C16" i="11"/>
  <c r="B16" i="11"/>
  <c r="L15" i="11"/>
  <c r="K15" i="11"/>
  <c r="J15" i="11"/>
  <c r="C15" i="11"/>
  <c r="B15" i="11"/>
  <c r="L14" i="11"/>
  <c r="K14" i="11"/>
  <c r="J14" i="11"/>
  <c r="C14" i="11"/>
  <c r="B14" i="11"/>
  <c r="L13" i="11"/>
  <c r="K13" i="11"/>
  <c r="J13" i="11"/>
  <c r="C13" i="11"/>
  <c r="B13" i="11"/>
  <c r="L12" i="11"/>
  <c r="K12" i="11"/>
  <c r="J12" i="11"/>
  <c r="C12" i="11"/>
  <c r="B12" i="11"/>
  <c r="L11" i="11"/>
  <c r="K11" i="11"/>
  <c r="J11" i="11"/>
  <c r="C11" i="11"/>
  <c r="B11" i="11"/>
  <c r="L10" i="11"/>
  <c r="K10" i="11"/>
  <c r="J10" i="11"/>
  <c r="C10" i="11"/>
  <c r="B10" i="11"/>
  <c r="L9" i="11"/>
  <c r="K9" i="11"/>
  <c r="J9" i="11"/>
  <c r="C9" i="11"/>
  <c r="B9" i="11"/>
  <c r="L8" i="11"/>
  <c r="K8" i="11"/>
  <c r="J8" i="11"/>
  <c r="C8" i="11"/>
  <c r="B8" i="11"/>
  <c r="L7" i="11"/>
  <c r="K7" i="11"/>
  <c r="J7" i="11"/>
  <c r="C7" i="11"/>
  <c r="B7" i="11"/>
  <c r="L6" i="11"/>
  <c r="K6" i="11"/>
  <c r="J6" i="11"/>
  <c r="C6" i="11"/>
  <c r="B6" i="11"/>
  <c r="L5" i="11"/>
  <c r="K5" i="11"/>
  <c r="J5" i="11"/>
  <c r="C5" i="11"/>
  <c r="B5" i="11"/>
  <c r="L4" i="11"/>
  <c r="K4" i="11"/>
  <c r="J4" i="11"/>
  <c r="C4" i="11"/>
  <c r="J19" i="10"/>
  <c r="I19" i="10"/>
  <c r="G19" i="10"/>
  <c r="F19" i="10"/>
  <c r="B19" i="10"/>
  <c r="L18" i="10"/>
  <c r="J18" i="10"/>
  <c r="I18" i="10"/>
  <c r="H18" i="10"/>
  <c r="G18" i="10"/>
  <c r="F18" i="10"/>
  <c r="B18" i="10"/>
  <c r="L17" i="10"/>
  <c r="J17" i="10"/>
  <c r="I17" i="10"/>
  <c r="G17" i="10"/>
  <c r="F17" i="10"/>
  <c r="E17" i="10"/>
  <c r="D17" i="10"/>
  <c r="B17" i="10"/>
  <c r="L16" i="10"/>
  <c r="J16" i="10"/>
  <c r="I16" i="10"/>
  <c r="G16" i="10"/>
  <c r="F16" i="10"/>
  <c r="E16" i="10"/>
  <c r="H16" i="10"/>
  <c r="D16" i="10"/>
  <c r="B16" i="10"/>
  <c r="L15" i="10"/>
  <c r="J15" i="10"/>
  <c r="I15" i="10"/>
  <c r="G15" i="10"/>
  <c r="F15" i="10"/>
  <c r="D15" i="10"/>
  <c r="E15" i="10"/>
  <c r="H15" i="10"/>
  <c r="B15" i="10"/>
  <c r="L14" i="10"/>
  <c r="J14" i="10"/>
  <c r="I14" i="10"/>
  <c r="H14" i="10"/>
  <c r="G14" i="10"/>
  <c r="F14" i="10"/>
  <c r="D14" i="10"/>
  <c r="E14" i="10"/>
  <c r="B14" i="10"/>
  <c r="L13" i="10"/>
  <c r="J13" i="10"/>
  <c r="I13" i="10"/>
  <c r="G13" i="10"/>
  <c r="F13" i="10"/>
  <c r="E13" i="10"/>
  <c r="H13" i="10"/>
  <c r="D13" i="10"/>
  <c r="B13" i="10"/>
  <c r="L12" i="10"/>
  <c r="J12" i="10"/>
  <c r="I12" i="10"/>
  <c r="G12" i="10"/>
  <c r="F12" i="10"/>
  <c r="E12" i="10"/>
  <c r="H12" i="10"/>
  <c r="D12" i="10"/>
  <c r="B12" i="10"/>
  <c r="L11" i="10"/>
  <c r="J11" i="10"/>
  <c r="I11" i="10"/>
  <c r="G11" i="10"/>
  <c r="F11" i="10"/>
  <c r="D11" i="10"/>
  <c r="E11" i="10"/>
  <c r="H11" i="10"/>
  <c r="B11" i="10"/>
  <c r="L10" i="10"/>
  <c r="J10" i="10"/>
  <c r="I10" i="10"/>
  <c r="H10" i="10"/>
  <c r="G10" i="10"/>
  <c r="F10" i="10"/>
  <c r="D10" i="10"/>
  <c r="E10" i="10"/>
  <c r="B10" i="10"/>
  <c r="L9" i="10"/>
  <c r="J9" i="10"/>
  <c r="I9" i="10"/>
  <c r="G9" i="10"/>
  <c r="F9" i="10"/>
  <c r="E9" i="10"/>
  <c r="H9" i="10"/>
  <c r="D9" i="10"/>
  <c r="B9" i="10"/>
  <c r="L8" i="10"/>
  <c r="J8" i="10"/>
  <c r="I8" i="10"/>
  <c r="G8" i="10"/>
  <c r="F8" i="10"/>
  <c r="E8" i="10"/>
  <c r="H8" i="10"/>
  <c r="D8" i="10"/>
  <c r="B8" i="10"/>
  <c r="L7" i="10"/>
  <c r="J7" i="10"/>
  <c r="I7" i="10"/>
  <c r="G7" i="10"/>
  <c r="F7" i="10"/>
  <c r="D7" i="10"/>
  <c r="E7" i="10"/>
  <c r="B7" i="10"/>
  <c r="L6" i="10"/>
  <c r="J6" i="10"/>
  <c r="I6" i="10"/>
  <c r="H6" i="10"/>
  <c r="G58" i="11"/>
  <c r="G6" i="10"/>
  <c r="F6" i="10"/>
  <c r="D6" i="10"/>
  <c r="E6" i="10"/>
  <c r="B6" i="10"/>
  <c r="L5" i="10"/>
  <c r="J5" i="10"/>
  <c r="I5" i="10"/>
  <c r="G5" i="10"/>
  <c r="B5" i="10"/>
  <c r="H4" i="10"/>
  <c r="F35" i="11"/>
  <c r="G4" i="10"/>
  <c r="K460" i="7"/>
  <c r="J460" i="7"/>
  <c r="C460" i="7"/>
  <c r="B460" i="7"/>
  <c r="K459" i="7"/>
  <c r="J459" i="7"/>
  <c r="C459" i="7"/>
  <c r="B459" i="7"/>
  <c r="K458" i="7"/>
  <c r="J458" i="7"/>
  <c r="C458" i="7"/>
  <c r="B458" i="7"/>
  <c r="K457" i="7"/>
  <c r="J457" i="7"/>
  <c r="C457" i="7"/>
  <c r="B457" i="7"/>
  <c r="K456" i="7"/>
  <c r="J456" i="7"/>
  <c r="C456" i="7"/>
  <c r="B456" i="7"/>
  <c r="K455" i="7"/>
  <c r="J455" i="7"/>
  <c r="C455" i="7"/>
  <c r="B455" i="7"/>
  <c r="K454" i="7"/>
  <c r="J454" i="7"/>
  <c r="C454" i="7"/>
  <c r="B454" i="7"/>
  <c r="K453" i="7"/>
  <c r="J453" i="7"/>
  <c r="C453" i="7"/>
  <c r="B453" i="7"/>
  <c r="K452" i="7"/>
  <c r="J452" i="7"/>
  <c r="C452" i="7"/>
  <c r="B452" i="7"/>
  <c r="K451" i="7"/>
  <c r="J451" i="7"/>
  <c r="C451" i="7"/>
  <c r="B451" i="7"/>
  <c r="K450" i="7"/>
  <c r="J450" i="7"/>
  <c r="C450" i="7"/>
  <c r="B450" i="7"/>
  <c r="K449" i="7"/>
  <c r="J449" i="7"/>
  <c r="C449" i="7"/>
  <c r="B449" i="7"/>
  <c r="K448" i="7"/>
  <c r="J448" i="7"/>
  <c r="C448" i="7"/>
  <c r="B448" i="7"/>
  <c r="K447" i="7"/>
  <c r="J447" i="7"/>
  <c r="C447" i="7"/>
  <c r="B447" i="7"/>
  <c r="K446" i="7"/>
  <c r="J446" i="7"/>
  <c r="C446" i="7"/>
  <c r="B446" i="7"/>
  <c r="K445" i="7"/>
  <c r="J445" i="7"/>
  <c r="C445" i="7"/>
  <c r="B445" i="7"/>
  <c r="K444" i="7"/>
  <c r="J444" i="7"/>
  <c r="C444" i="7"/>
  <c r="B444" i="7"/>
  <c r="K443" i="7"/>
  <c r="J443" i="7"/>
  <c r="C443" i="7"/>
  <c r="B443" i="7"/>
  <c r="K442" i="7"/>
  <c r="J442" i="7"/>
  <c r="C442" i="7"/>
  <c r="B442" i="7"/>
  <c r="K441" i="7"/>
  <c r="J441" i="7"/>
  <c r="C441" i="7"/>
  <c r="B441" i="7"/>
  <c r="K440" i="7"/>
  <c r="J440" i="7"/>
  <c r="C440" i="7"/>
  <c r="B440" i="7"/>
  <c r="K439" i="7"/>
  <c r="J439" i="7"/>
  <c r="C439" i="7"/>
  <c r="B439" i="7"/>
  <c r="K438" i="7"/>
  <c r="J438" i="7"/>
  <c r="C438" i="7"/>
  <c r="B438" i="7"/>
  <c r="K437" i="7"/>
  <c r="J437" i="7"/>
  <c r="C437" i="7"/>
  <c r="B437" i="7"/>
  <c r="K436" i="7"/>
  <c r="J436" i="7"/>
  <c r="C436" i="7"/>
  <c r="B436" i="7"/>
  <c r="K435" i="7"/>
  <c r="J435" i="7"/>
  <c r="C435" i="7"/>
  <c r="B435" i="7"/>
  <c r="K434" i="7"/>
  <c r="J434" i="7"/>
  <c r="C434" i="7"/>
  <c r="B434" i="7"/>
  <c r="K433" i="7"/>
  <c r="J433" i="7"/>
  <c r="C433" i="7"/>
  <c r="B433" i="7"/>
  <c r="K432" i="7"/>
  <c r="J432" i="7"/>
  <c r="C432" i="7"/>
  <c r="B432" i="7"/>
  <c r="K431" i="7"/>
  <c r="J431" i="7"/>
  <c r="C431" i="7"/>
  <c r="B431" i="7"/>
  <c r="K430" i="7"/>
  <c r="J430" i="7"/>
  <c r="C430" i="7"/>
  <c r="B430" i="7"/>
  <c r="K429" i="7"/>
  <c r="J429" i="7"/>
  <c r="C429" i="7"/>
  <c r="B429" i="7"/>
  <c r="K428" i="7"/>
  <c r="J428" i="7"/>
  <c r="C428" i="7"/>
  <c r="B428" i="7"/>
  <c r="K427" i="7"/>
  <c r="J427" i="7"/>
  <c r="C427" i="7"/>
  <c r="B427" i="7"/>
  <c r="K426" i="7"/>
  <c r="J426" i="7"/>
  <c r="C426" i="7"/>
  <c r="B426" i="7"/>
  <c r="K425" i="7"/>
  <c r="J425" i="7"/>
  <c r="C425" i="7"/>
  <c r="B425" i="7"/>
  <c r="K424" i="7"/>
  <c r="J424" i="7"/>
  <c r="C424" i="7"/>
  <c r="B424" i="7"/>
  <c r="K423" i="7"/>
  <c r="J423" i="7"/>
  <c r="C423" i="7"/>
  <c r="B423" i="7"/>
  <c r="K422" i="7"/>
  <c r="J422" i="7"/>
  <c r="C422" i="7"/>
  <c r="B422" i="7"/>
  <c r="K421" i="7"/>
  <c r="J421" i="7"/>
  <c r="C421" i="7"/>
  <c r="B421" i="7"/>
  <c r="K420" i="7"/>
  <c r="J420" i="7"/>
  <c r="C420" i="7"/>
  <c r="B420" i="7"/>
  <c r="K419" i="7"/>
  <c r="J419" i="7"/>
  <c r="C419" i="7"/>
  <c r="B419" i="7"/>
  <c r="K418" i="7"/>
  <c r="J418" i="7"/>
  <c r="C418" i="7"/>
  <c r="B418" i="7"/>
  <c r="K417" i="7"/>
  <c r="J417" i="7"/>
  <c r="C417" i="7"/>
  <c r="B417" i="7"/>
  <c r="K416" i="7"/>
  <c r="J416" i="7"/>
  <c r="C416" i="7"/>
  <c r="B416" i="7"/>
  <c r="K415" i="7"/>
  <c r="J415" i="7"/>
  <c r="C415" i="7"/>
  <c r="B415" i="7"/>
  <c r="L414" i="7"/>
  <c r="K414" i="7"/>
  <c r="J414" i="7"/>
  <c r="C414" i="7"/>
  <c r="B414" i="7"/>
  <c r="L413" i="7"/>
  <c r="K413" i="7"/>
  <c r="J413" i="7"/>
  <c r="C413" i="7"/>
  <c r="B413" i="7"/>
  <c r="L412" i="7"/>
  <c r="K412" i="7"/>
  <c r="J412" i="7"/>
  <c r="C412" i="7"/>
  <c r="B412" i="7"/>
  <c r="L411" i="7"/>
  <c r="K411" i="7"/>
  <c r="J411" i="7"/>
  <c r="C411" i="7"/>
  <c r="B411" i="7"/>
  <c r="L410" i="7"/>
  <c r="K410" i="7"/>
  <c r="J410" i="7"/>
  <c r="C410" i="7"/>
  <c r="B410" i="7"/>
  <c r="L409" i="7"/>
  <c r="K409" i="7"/>
  <c r="J409" i="7"/>
  <c r="C409" i="7"/>
  <c r="B409" i="7"/>
  <c r="L408" i="7"/>
  <c r="K408" i="7"/>
  <c r="J408" i="7"/>
  <c r="C408" i="7"/>
  <c r="B408" i="7"/>
  <c r="L407" i="7"/>
  <c r="K407" i="7"/>
  <c r="J407" i="7"/>
  <c r="C407" i="7"/>
  <c r="B407" i="7"/>
  <c r="L406" i="7"/>
  <c r="K406" i="7"/>
  <c r="J406" i="7"/>
  <c r="C406" i="7"/>
  <c r="B406" i="7"/>
  <c r="L405" i="7"/>
  <c r="K405" i="7"/>
  <c r="J405" i="7"/>
  <c r="C405" i="7"/>
  <c r="B405" i="7"/>
  <c r="L404" i="7"/>
  <c r="K404" i="7"/>
  <c r="J404" i="7"/>
  <c r="C404" i="7"/>
  <c r="B404" i="7"/>
  <c r="L403" i="7"/>
  <c r="K403" i="7"/>
  <c r="J403" i="7"/>
  <c r="C403" i="7"/>
  <c r="B403" i="7"/>
  <c r="L402" i="7"/>
  <c r="K402" i="7"/>
  <c r="J402" i="7"/>
  <c r="C402" i="7"/>
  <c r="B402" i="7"/>
  <c r="L401" i="7"/>
  <c r="K401" i="7"/>
  <c r="J401" i="7"/>
  <c r="C401" i="7"/>
  <c r="B401" i="7"/>
  <c r="L400" i="7"/>
  <c r="K400" i="7"/>
  <c r="J400" i="7"/>
  <c r="C400" i="7"/>
  <c r="B400" i="7"/>
  <c r="L399" i="7"/>
  <c r="K399" i="7"/>
  <c r="J399" i="7"/>
  <c r="C399" i="7"/>
  <c r="B399" i="7"/>
  <c r="L398" i="7"/>
  <c r="K398" i="7"/>
  <c r="J398" i="7"/>
  <c r="C398" i="7"/>
  <c r="B398" i="7"/>
  <c r="L397" i="7"/>
  <c r="K397" i="7"/>
  <c r="J397" i="7"/>
  <c r="C397" i="7"/>
  <c r="B397" i="7"/>
  <c r="L396" i="7"/>
  <c r="K396" i="7"/>
  <c r="J396" i="7"/>
  <c r="C396" i="7"/>
  <c r="B396" i="7"/>
  <c r="L395" i="7"/>
  <c r="K395" i="7"/>
  <c r="J395" i="7"/>
  <c r="C395" i="7"/>
  <c r="B395" i="7"/>
  <c r="L394" i="7"/>
  <c r="K394" i="7"/>
  <c r="J394" i="7"/>
  <c r="C394" i="7"/>
  <c r="B394" i="7"/>
  <c r="L393" i="7"/>
  <c r="K393" i="7"/>
  <c r="J393" i="7"/>
  <c r="C393" i="7"/>
  <c r="B393" i="7"/>
  <c r="L392" i="7"/>
  <c r="K392" i="7"/>
  <c r="J392" i="7"/>
  <c r="C392" i="7"/>
  <c r="B392" i="7"/>
  <c r="L391" i="7"/>
  <c r="K391" i="7"/>
  <c r="J391" i="7"/>
  <c r="C391" i="7"/>
  <c r="B391" i="7"/>
  <c r="L390" i="7"/>
  <c r="K390" i="7"/>
  <c r="J390" i="7"/>
  <c r="C390" i="7"/>
  <c r="B390" i="7"/>
  <c r="L389" i="7"/>
  <c r="K389" i="7"/>
  <c r="J389" i="7"/>
  <c r="C389" i="7"/>
  <c r="B389" i="7"/>
  <c r="L388" i="7"/>
  <c r="K388" i="7"/>
  <c r="J388" i="7"/>
  <c r="C388" i="7"/>
  <c r="B388" i="7"/>
  <c r="L387" i="7"/>
  <c r="K387" i="7"/>
  <c r="J387" i="7"/>
  <c r="C387" i="7"/>
  <c r="B387" i="7"/>
  <c r="L386" i="7"/>
  <c r="K386" i="7"/>
  <c r="J386" i="7"/>
  <c r="C386" i="7"/>
  <c r="B386" i="7"/>
  <c r="L385" i="7"/>
  <c r="K385" i="7"/>
  <c r="J385" i="7"/>
  <c r="C385" i="7"/>
  <c r="B385" i="7"/>
  <c r="L384" i="7"/>
  <c r="K384" i="7"/>
  <c r="J384" i="7"/>
  <c r="C384" i="7"/>
  <c r="B384" i="7"/>
  <c r="L383" i="7"/>
  <c r="K383" i="7"/>
  <c r="J383" i="7"/>
  <c r="C383" i="7"/>
  <c r="B383" i="7"/>
  <c r="L382" i="7"/>
  <c r="K382" i="7"/>
  <c r="J382" i="7"/>
  <c r="C382" i="7"/>
  <c r="B382" i="7"/>
  <c r="L381" i="7"/>
  <c r="K381" i="7"/>
  <c r="J381" i="7"/>
  <c r="C381" i="7"/>
  <c r="B381" i="7"/>
  <c r="L380" i="7"/>
  <c r="K380" i="7"/>
  <c r="J380" i="7"/>
  <c r="C380" i="7"/>
  <c r="B380" i="7"/>
  <c r="L379" i="7"/>
  <c r="K379" i="7"/>
  <c r="J379" i="7"/>
  <c r="C379" i="7"/>
  <c r="B379" i="7"/>
  <c r="L378" i="7"/>
  <c r="K378" i="7"/>
  <c r="J378" i="7"/>
  <c r="C378" i="7"/>
  <c r="B378" i="7"/>
  <c r="L377" i="7"/>
  <c r="K377" i="7"/>
  <c r="J377" i="7"/>
  <c r="C377" i="7"/>
  <c r="B377" i="7"/>
  <c r="L376" i="7"/>
  <c r="K376" i="7"/>
  <c r="J376" i="7"/>
  <c r="C376" i="7"/>
  <c r="B376" i="7"/>
  <c r="L375" i="7"/>
  <c r="K375" i="7"/>
  <c r="J375" i="7"/>
  <c r="C375" i="7"/>
  <c r="B375" i="7"/>
  <c r="L374" i="7"/>
  <c r="K374" i="7"/>
  <c r="J374" i="7"/>
  <c r="C374" i="7"/>
  <c r="B374" i="7"/>
  <c r="L373" i="7"/>
  <c r="K373" i="7"/>
  <c r="J373" i="7"/>
  <c r="C373" i="7"/>
  <c r="B373" i="7"/>
  <c r="L372" i="7"/>
  <c r="K372" i="7"/>
  <c r="J372" i="7"/>
  <c r="C372" i="7"/>
  <c r="B372" i="7"/>
  <c r="L371" i="7"/>
  <c r="K371" i="7"/>
  <c r="J371" i="7"/>
  <c r="C371" i="7"/>
  <c r="B371" i="7"/>
  <c r="L370" i="7"/>
  <c r="K370" i="7"/>
  <c r="J370" i="7"/>
  <c r="C370" i="7"/>
  <c r="B370" i="7"/>
  <c r="L369" i="7"/>
  <c r="K369" i="7"/>
  <c r="J369" i="7"/>
  <c r="C369" i="7"/>
  <c r="B369" i="7"/>
  <c r="L368" i="7"/>
  <c r="K368" i="7"/>
  <c r="J368" i="7"/>
  <c r="C368" i="7"/>
  <c r="B368" i="7"/>
  <c r="L367" i="7"/>
  <c r="K367" i="7"/>
  <c r="J367" i="7"/>
  <c r="C367" i="7"/>
  <c r="B367" i="7"/>
  <c r="L366" i="7"/>
  <c r="K366" i="7"/>
  <c r="J366" i="7"/>
  <c r="C366" i="7"/>
  <c r="B366" i="7"/>
  <c r="L365" i="7"/>
  <c r="K365" i="7"/>
  <c r="J365" i="7"/>
  <c r="C365" i="7"/>
  <c r="B365" i="7"/>
  <c r="L364" i="7"/>
  <c r="K364" i="7"/>
  <c r="J364" i="7"/>
  <c r="C364" i="7"/>
  <c r="B364" i="7"/>
  <c r="L363" i="7"/>
  <c r="K363" i="7"/>
  <c r="J363" i="7"/>
  <c r="C363" i="7"/>
  <c r="B363" i="7"/>
  <c r="L362" i="7"/>
  <c r="K362" i="7"/>
  <c r="J362" i="7"/>
  <c r="C362" i="7"/>
  <c r="B362" i="7"/>
  <c r="L361" i="7"/>
  <c r="K361" i="7"/>
  <c r="J361" i="7"/>
  <c r="C361" i="7"/>
  <c r="B361" i="7"/>
  <c r="L360" i="7"/>
  <c r="K360" i="7"/>
  <c r="J360" i="7"/>
  <c r="C360" i="7"/>
  <c r="B360" i="7"/>
  <c r="L359" i="7"/>
  <c r="K359" i="7"/>
  <c r="J359" i="7"/>
  <c r="C359" i="7"/>
  <c r="B359" i="7"/>
  <c r="L358" i="7"/>
  <c r="K358" i="7"/>
  <c r="J358" i="7"/>
  <c r="C358" i="7"/>
  <c r="B358" i="7"/>
  <c r="L357" i="7"/>
  <c r="K357" i="7"/>
  <c r="J357" i="7"/>
  <c r="C357" i="7"/>
  <c r="B357" i="7"/>
  <c r="L356" i="7"/>
  <c r="K356" i="7"/>
  <c r="J356" i="7"/>
  <c r="C356" i="7"/>
  <c r="B356" i="7"/>
  <c r="L355" i="7"/>
  <c r="K355" i="7"/>
  <c r="J355" i="7"/>
  <c r="C355" i="7"/>
  <c r="B355" i="7"/>
  <c r="L354" i="7"/>
  <c r="K354" i="7"/>
  <c r="J354" i="7"/>
  <c r="C354" i="7"/>
  <c r="B354" i="7"/>
  <c r="L353" i="7"/>
  <c r="K353" i="7"/>
  <c r="J353" i="7"/>
  <c r="C353" i="7"/>
  <c r="B353" i="7"/>
  <c r="L352" i="7"/>
  <c r="K352" i="7"/>
  <c r="J352" i="7"/>
  <c r="C352" i="7"/>
  <c r="B352" i="7"/>
  <c r="L351" i="7"/>
  <c r="K351" i="7"/>
  <c r="J351" i="7"/>
  <c r="C351" i="7"/>
  <c r="B351" i="7"/>
  <c r="L350" i="7"/>
  <c r="K350" i="7"/>
  <c r="J350" i="7"/>
  <c r="C350" i="7"/>
  <c r="B350" i="7"/>
  <c r="L349" i="7"/>
  <c r="K349" i="7"/>
  <c r="J349" i="7"/>
  <c r="C349" i="7"/>
  <c r="B349" i="7"/>
  <c r="L348" i="7"/>
  <c r="K348" i="7"/>
  <c r="J348" i="7"/>
  <c r="C348" i="7"/>
  <c r="B348" i="7"/>
  <c r="L347" i="7"/>
  <c r="K347" i="7"/>
  <c r="J347" i="7"/>
  <c r="C347" i="7"/>
  <c r="B347" i="7"/>
  <c r="L346" i="7"/>
  <c r="K346" i="7"/>
  <c r="J346" i="7"/>
  <c r="C346" i="7"/>
  <c r="B346" i="7"/>
  <c r="L345" i="7"/>
  <c r="K345" i="7"/>
  <c r="J345" i="7"/>
  <c r="C345" i="7"/>
  <c r="B345" i="7"/>
  <c r="L344" i="7"/>
  <c r="K344" i="7"/>
  <c r="J344" i="7"/>
  <c r="C344" i="7"/>
  <c r="B344" i="7"/>
  <c r="L343" i="7"/>
  <c r="K343" i="7"/>
  <c r="J343" i="7"/>
  <c r="C343" i="7"/>
  <c r="B343" i="7"/>
  <c r="L342" i="7"/>
  <c r="K342" i="7"/>
  <c r="J342" i="7"/>
  <c r="C342" i="7"/>
  <c r="B342" i="7"/>
  <c r="L341" i="7"/>
  <c r="K341" i="7"/>
  <c r="J341" i="7"/>
  <c r="C341" i="7"/>
  <c r="B341" i="7"/>
  <c r="L340" i="7"/>
  <c r="K340" i="7"/>
  <c r="J340" i="7"/>
  <c r="C340" i="7"/>
  <c r="B340" i="7"/>
  <c r="L339" i="7"/>
  <c r="K339" i="7"/>
  <c r="J339" i="7"/>
  <c r="C339" i="7"/>
  <c r="B339" i="7"/>
  <c r="L338" i="7"/>
  <c r="K338" i="7"/>
  <c r="J338" i="7"/>
  <c r="C338" i="7"/>
  <c r="B338" i="7"/>
  <c r="L337" i="7"/>
  <c r="K337" i="7"/>
  <c r="J337" i="7"/>
  <c r="C337" i="7"/>
  <c r="B337" i="7"/>
  <c r="L336" i="7"/>
  <c r="K336" i="7"/>
  <c r="J336" i="7"/>
  <c r="C336" i="7"/>
  <c r="B336" i="7"/>
  <c r="L335" i="7"/>
  <c r="K335" i="7"/>
  <c r="J335" i="7"/>
  <c r="C335" i="7"/>
  <c r="B335" i="7"/>
  <c r="L334" i="7"/>
  <c r="K334" i="7"/>
  <c r="J334" i="7"/>
  <c r="C334" i="7"/>
  <c r="B334" i="7"/>
  <c r="L333" i="7"/>
  <c r="K333" i="7"/>
  <c r="J333" i="7"/>
  <c r="C333" i="7"/>
  <c r="B333" i="7"/>
  <c r="L332" i="7"/>
  <c r="K332" i="7"/>
  <c r="J332" i="7"/>
  <c r="C332" i="7"/>
  <c r="B332" i="7"/>
  <c r="L331" i="7"/>
  <c r="K331" i="7"/>
  <c r="J331" i="7"/>
  <c r="C331" i="7"/>
  <c r="B331" i="7"/>
  <c r="L330" i="7"/>
  <c r="K330" i="7"/>
  <c r="J330" i="7"/>
  <c r="C330" i="7"/>
  <c r="B330" i="7"/>
  <c r="L329" i="7"/>
  <c r="K329" i="7"/>
  <c r="J329" i="7"/>
  <c r="C329" i="7"/>
  <c r="B329" i="7"/>
  <c r="L328" i="7"/>
  <c r="K328" i="7"/>
  <c r="J328" i="7"/>
  <c r="C328" i="7"/>
  <c r="B328" i="7"/>
  <c r="L327" i="7"/>
  <c r="K327" i="7"/>
  <c r="J327" i="7"/>
  <c r="C327" i="7"/>
  <c r="B327" i="7"/>
  <c r="L326" i="7"/>
  <c r="K326" i="7"/>
  <c r="J326" i="7"/>
  <c r="C326" i="7"/>
  <c r="B326" i="7"/>
  <c r="L325" i="7"/>
  <c r="K325" i="7"/>
  <c r="J325" i="7"/>
  <c r="C325" i="7"/>
  <c r="B325" i="7"/>
  <c r="L324" i="7"/>
  <c r="K324" i="7"/>
  <c r="J324" i="7"/>
  <c r="C324" i="7"/>
  <c r="B324" i="7"/>
  <c r="L323" i="7"/>
  <c r="K323" i="7"/>
  <c r="J323" i="7"/>
  <c r="C323" i="7"/>
  <c r="B323" i="7"/>
  <c r="L322" i="7"/>
  <c r="K322" i="7"/>
  <c r="J322" i="7"/>
  <c r="C322" i="7"/>
  <c r="B322" i="7"/>
  <c r="L321" i="7"/>
  <c r="K321" i="7"/>
  <c r="J321" i="7"/>
  <c r="C321" i="7"/>
  <c r="B321" i="7"/>
  <c r="L320" i="7"/>
  <c r="K320" i="7"/>
  <c r="J320" i="7"/>
  <c r="C320" i="7"/>
  <c r="B320" i="7"/>
  <c r="L319" i="7"/>
  <c r="K319" i="7"/>
  <c r="J319" i="7"/>
  <c r="C319" i="7"/>
  <c r="B319" i="7"/>
  <c r="L318" i="7"/>
  <c r="K318" i="7"/>
  <c r="J318" i="7"/>
  <c r="C318" i="7"/>
  <c r="B318" i="7"/>
  <c r="L317" i="7"/>
  <c r="K317" i="7"/>
  <c r="J317" i="7"/>
  <c r="C317" i="7"/>
  <c r="B317" i="7"/>
  <c r="L316" i="7"/>
  <c r="K316" i="7"/>
  <c r="J316" i="7"/>
  <c r="C316" i="7"/>
  <c r="B316" i="7"/>
  <c r="L315" i="7"/>
  <c r="K315" i="7"/>
  <c r="J315" i="7"/>
  <c r="C315" i="7"/>
  <c r="B315" i="7"/>
  <c r="L314" i="7"/>
  <c r="K314" i="7"/>
  <c r="J314" i="7"/>
  <c r="C314" i="7"/>
  <c r="B314" i="7"/>
  <c r="L313" i="7"/>
  <c r="K313" i="7"/>
  <c r="J313" i="7"/>
  <c r="C313" i="7"/>
  <c r="B313" i="7"/>
  <c r="L312" i="7"/>
  <c r="K312" i="7"/>
  <c r="J312" i="7"/>
  <c r="C312" i="7"/>
  <c r="B312" i="7"/>
  <c r="L311" i="7"/>
  <c r="K311" i="7"/>
  <c r="J311" i="7"/>
  <c r="C311" i="7"/>
  <c r="B311" i="7"/>
  <c r="L310" i="7"/>
  <c r="K310" i="7"/>
  <c r="J310" i="7"/>
  <c r="C310" i="7"/>
  <c r="B310" i="7"/>
  <c r="L309" i="7"/>
  <c r="K309" i="7"/>
  <c r="J309" i="7"/>
  <c r="C309" i="7"/>
  <c r="B309" i="7"/>
  <c r="L308" i="7"/>
  <c r="K308" i="7"/>
  <c r="J308" i="7"/>
  <c r="C308" i="7"/>
  <c r="B308" i="7"/>
  <c r="L307" i="7"/>
  <c r="K307" i="7"/>
  <c r="J307" i="7"/>
  <c r="C307" i="7"/>
  <c r="B307" i="7"/>
  <c r="L306" i="7"/>
  <c r="K306" i="7"/>
  <c r="J306" i="7"/>
  <c r="C306" i="7"/>
  <c r="B306" i="7"/>
  <c r="L305" i="7"/>
  <c r="K305" i="7"/>
  <c r="J305" i="7"/>
  <c r="C305" i="7"/>
  <c r="B305" i="7"/>
  <c r="L304" i="7"/>
  <c r="K304" i="7"/>
  <c r="J304" i="7"/>
  <c r="C304" i="7"/>
  <c r="B304" i="7"/>
  <c r="L303" i="7"/>
  <c r="K303" i="7"/>
  <c r="J303" i="7"/>
  <c r="C303" i="7"/>
  <c r="B303" i="7"/>
  <c r="L302" i="7"/>
  <c r="K302" i="7"/>
  <c r="J302" i="7"/>
  <c r="C302" i="7"/>
  <c r="B302" i="7"/>
  <c r="L301" i="7"/>
  <c r="K301" i="7"/>
  <c r="J301" i="7"/>
  <c r="C301" i="7"/>
  <c r="B301" i="7"/>
  <c r="L300" i="7"/>
  <c r="K300" i="7"/>
  <c r="J300" i="7"/>
  <c r="C300" i="7"/>
  <c r="B300" i="7"/>
  <c r="L299" i="7"/>
  <c r="K299" i="7"/>
  <c r="J299" i="7"/>
  <c r="C299" i="7"/>
  <c r="B299" i="7"/>
  <c r="L298" i="7"/>
  <c r="K298" i="7"/>
  <c r="J298" i="7"/>
  <c r="C298" i="7"/>
  <c r="B298" i="7"/>
  <c r="L297" i="7"/>
  <c r="K297" i="7"/>
  <c r="J297" i="7"/>
  <c r="C297" i="7"/>
  <c r="B297" i="7"/>
  <c r="L296" i="7"/>
  <c r="K296" i="7"/>
  <c r="J296" i="7"/>
  <c r="C296" i="7"/>
  <c r="B296" i="7"/>
  <c r="L295" i="7"/>
  <c r="K295" i="7"/>
  <c r="J295" i="7"/>
  <c r="C295" i="7"/>
  <c r="B295" i="7"/>
  <c r="L294" i="7"/>
  <c r="K294" i="7"/>
  <c r="J294" i="7"/>
  <c r="C294" i="7"/>
  <c r="B294" i="7"/>
  <c r="L293" i="7"/>
  <c r="K293" i="7"/>
  <c r="J293" i="7"/>
  <c r="C293" i="7"/>
  <c r="B293" i="7"/>
  <c r="L292" i="7"/>
  <c r="K292" i="7"/>
  <c r="J292" i="7"/>
  <c r="C292" i="7"/>
  <c r="B292" i="7"/>
  <c r="L291" i="7"/>
  <c r="K291" i="7"/>
  <c r="J291" i="7"/>
  <c r="C291" i="7"/>
  <c r="B291" i="7"/>
  <c r="L290" i="7"/>
  <c r="K290" i="7"/>
  <c r="J290" i="7"/>
  <c r="C290" i="7"/>
  <c r="B290" i="7"/>
  <c r="L289" i="7"/>
  <c r="K289" i="7"/>
  <c r="J289" i="7"/>
  <c r="C289" i="7"/>
  <c r="B289" i="7"/>
  <c r="L288" i="7"/>
  <c r="K288" i="7"/>
  <c r="J288" i="7"/>
  <c r="C288" i="7"/>
  <c r="B288" i="7"/>
  <c r="L287" i="7"/>
  <c r="K287" i="7"/>
  <c r="J287" i="7"/>
  <c r="C287" i="7"/>
  <c r="B287" i="7"/>
  <c r="L286" i="7"/>
  <c r="K286" i="7"/>
  <c r="J286" i="7"/>
  <c r="C286" i="7"/>
  <c r="B286" i="7"/>
  <c r="L285" i="7"/>
  <c r="K285" i="7"/>
  <c r="J285" i="7"/>
  <c r="C285" i="7"/>
  <c r="B285" i="7"/>
  <c r="L284" i="7"/>
  <c r="K284" i="7"/>
  <c r="J284" i="7"/>
  <c r="C284" i="7"/>
  <c r="B284" i="7"/>
  <c r="L283" i="7"/>
  <c r="K283" i="7"/>
  <c r="J283" i="7"/>
  <c r="C283" i="7"/>
  <c r="B283" i="7"/>
  <c r="L282" i="7"/>
  <c r="K282" i="7"/>
  <c r="J282" i="7"/>
  <c r="C282" i="7"/>
  <c r="B282" i="7"/>
  <c r="L281" i="7"/>
  <c r="K281" i="7"/>
  <c r="J281" i="7"/>
  <c r="C281" i="7"/>
  <c r="B281" i="7"/>
  <c r="L280" i="7"/>
  <c r="K280" i="7"/>
  <c r="J280" i="7"/>
  <c r="C280" i="7"/>
  <c r="B280" i="7"/>
  <c r="L279" i="7"/>
  <c r="K279" i="7"/>
  <c r="J279" i="7"/>
  <c r="C279" i="7"/>
  <c r="B279" i="7"/>
  <c r="L278" i="7"/>
  <c r="K278" i="7"/>
  <c r="J278" i="7"/>
  <c r="C278" i="7"/>
  <c r="B278" i="7"/>
  <c r="L277" i="7"/>
  <c r="K277" i="7"/>
  <c r="J277" i="7"/>
  <c r="C277" i="7"/>
  <c r="B277" i="7"/>
  <c r="L276" i="7"/>
  <c r="K276" i="7"/>
  <c r="J276" i="7"/>
  <c r="C276" i="7"/>
  <c r="B276" i="7"/>
  <c r="L275" i="7"/>
  <c r="K275" i="7"/>
  <c r="J275" i="7"/>
  <c r="C275" i="7"/>
  <c r="B275" i="7"/>
  <c r="L274" i="7"/>
  <c r="K274" i="7"/>
  <c r="J274" i="7"/>
  <c r="C274" i="7"/>
  <c r="B274" i="7"/>
  <c r="L273" i="7"/>
  <c r="K273" i="7"/>
  <c r="J273" i="7"/>
  <c r="C273" i="7"/>
  <c r="B273" i="7"/>
  <c r="L272" i="7"/>
  <c r="K272" i="7"/>
  <c r="J272" i="7"/>
  <c r="C272" i="7"/>
  <c r="B272" i="7"/>
  <c r="L271" i="7"/>
  <c r="K271" i="7"/>
  <c r="J271" i="7"/>
  <c r="C271" i="7"/>
  <c r="B271" i="7"/>
  <c r="L270" i="7"/>
  <c r="K270" i="7"/>
  <c r="J270" i="7"/>
  <c r="C270" i="7"/>
  <c r="B270" i="7"/>
  <c r="L269" i="7"/>
  <c r="K269" i="7"/>
  <c r="J269" i="7"/>
  <c r="C269" i="7"/>
  <c r="B269" i="7"/>
  <c r="L268" i="7"/>
  <c r="K268" i="7"/>
  <c r="J268" i="7"/>
  <c r="C268" i="7"/>
  <c r="B268" i="7"/>
  <c r="L267" i="7"/>
  <c r="K267" i="7"/>
  <c r="J267" i="7"/>
  <c r="C267" i="7"/>
  <c r="B267" i="7"/>
  <c r="L266" i="7"/>
  <c r="K266" i="7"/>
  <c r="J266" i="7"/>
  <c r="C266" i="7"/>
  <c r="B266" i="7"/>
  <c r="L265" i="7"/>
  <c r="K265" i="7"/>
  <c r="J265" i="7"/>
  <c r="C265" i="7"/>
  <c r="B265" i="7"/>
  <c r="L264" i="7"/>
  <c r="K264" i="7"/>
  <c r="J264" i="7"/>
  <c r="C264" i="7"/>
  <c r="B264" i="7"/>
  <c r="L263" i="7"/>
  <c r="K263" i="7"/>
  <c r="J263" i="7"/>
  <c r="C263" i="7"/>
  <c r="B263" i="7"/>
  <c r="L262" i="7"/>
  <c r="K262" i="7"/>
  <c r="J262" i="7"/>
  <c r="C262" i="7"/>
  <c r="B262" i="7"/>
  <c r="L261" i="7"/>
  <c r="K261" i="7"/>
  <c r="J261" i="7"/>
  <c r="C261" i="7"/>
  <c r="B261" i="7"/>
  <c r="L260" i="7"/>
  <c r="K260" i="7"/>
  <c r="J260" i="7"/>
  <c r="C260" i="7"/>
  <c r="B260" i="7"/>
  <c r="L259" i="7"/>
  <c r="K259" i="7"/>
  <c r="J259" i="7"/>
  <c r="C259" i="7"/>
  <c r="B259" i="7"/>
  <c r="L258" i="7"/>
  <c r="K258" i="7"/>
  <c r="J258" i="7"/>
  <c r="C258" i="7"/>
  <c r="B258" i="7"/>
  <c r="L257" i="7"/>
  <c r="K257" i="7"/>
  <c r="J257" i="7"/>
  <c r="C257" i="7"/>
  <c r="B257" i="7"/>
  <c r="L256" i="7"/>
  <c r="K256" i="7"/>
  <c r="J256" i="7"/>
  <c r="C256" i="7"/>
  <c r="B256" i="7"/>
  <c r="L255" i="7"/>
  <c r="K255" i="7"/>
  <c r="J255" i="7"/>
  <c r="C255" i="7"/>
  <c r="B255" i="7"/>
  <c r="L254" i="7"/>
  <c r="K254" i="7"/>
  <c r="J254" i="7"/>
  <c r="C254" i="7"/>
  <c r="B254" i="7"/>
  <c r="L253" i="7"/>
  <c r="K253" i="7"/>
  <c r="J253" i="7"/>
  <c r="C253" i="7"/>
  <c r="B253" i="7"/>
  <c r="L252" i="7"/>
  <c r="K252" i="7"/>
  <c r="J252" i="7"/>
  <c r="C252" i="7"/>
  <c r="B252" i="7"/>
  <c r="L251" i="7"/>
  <c r="K251" i="7"/>
  <c r="J251" i="7"/>
  <c r="C251" i="7"/>
  <c r="B251" i="7"/>
  <c r="L250" i="7"/>
  <c r="K250" i="7"/>
  <c r="J250" i="7"/>
  <c r="C250" i="7"/>
  <c r="B250" i="7"/>
  <c r="L249" i="7"/>
  <c r="K249" i="7"/>
  <c r="J249" i="7"/>
  <c r="C249" i="7"/>
  <c r="B249" i="7"/>
  <c r="L248" i="7"/>
  <c r="K248" i="7"/>
  <c r="J248" i="7"/>
  <c r="C248" i="7"/>
  <c r="B248" i="7"/>
  <c r="L247" i="7"/>
  <c r="K247" i="7"/>
  <c r="J247" i="7"/>
  <c r="C247" i="7"/>
  <c r="B247" i="7"/>
  <c r="L246" i="7"/>
  <c r="K246" i="7"/>
  <c r="J246" i="7"/>
  <c r="C246" i="7"/>
  <c r="B246" i="7"/>
  <c r="L245" i="7"/>
  <c r="K245" i="7"/>
  <c r="J245" i="7"/>
  <c r="C245" i="7"/>
  <c r="B245" i="7"/>
  <c r="L244" i="7"/>
  <c r="K244" i="7"/>
  <c r="J244" i="7"/>
  <c r="C244" i="7"/>
  <c r="B244" i="7"/>
  <c r="L243" i="7"/>
  <c r="K243" i="7"/>
  <c r="J243" i="7"/>
  <c r="C243" i="7"/>
  <c r="B243" i="7"/>
  <c r="L242" i="7"/>
  <c r="K242" i="7"/>
  <c r="J242" i="7"/>
  <c r="C242" i="7"/>
  <c r="B242" i="7"/>
  <c r="L241" i="7"/>
  <c r="K241" i="7"/>
  <c r="J241" i="7"/>
  <c r="C241" i="7"/>
  <c r="B241" i="7"/>
  <c r="L240" i="7"/>
  <c r="K240" i="7"/>
  <c r="J240" i="7"/>
  <c r="C240" i="7"/>
  <c r="B240" i="7"/>
  <c r="L239" i="7"/>
  <c r="K239" i="7"/>
  <c r="J239" i="7"/>
  <c r="C239" i="7"/>
  <c r="B239" i="7"/>
  <c r="L238" i="7"/>
  <c r="K238" i="7"/>
  <c r="J238" i="7"/>
  <c r="C238" i="7"/>
  <c r="B238" i="7"/>
  <c r="L237" i="7"/>
  <c r="K237" i="7"/>
  <c r="J237" i="7"/>
  <c r="C237" i="7"/>
  <c r="B237" i="7"/>
  <c r="L236" i="7"/>
  <c r="K236" i="7"/>
  <c r="J236" i="7"/>
  <c r="C236" i="7"/>
  <c r="B236" i="7"/>
  <c r="L235" i="7"/>
  <c r="K235" i="7"/>
  <c r="J235" i="7"/>
  <c r="C235" i="7"/>
  <c r="B235" i="7"/>
  <c r="L234" i="7"/>
  <c r="K234" i="7"/>
  <c r="J234" i="7"/>
  <c r="C234" i="7"/>
  <c r="B234" i="7"/>
  <c r="L233" i="7"/>
  <c r="K233" i="7"/>
  <c r="J233" i="7"/>
  <c r="C233" i="7"/>
  <c r="B233" i="7"/>
  <c r="L232" i="7"/>
  <c r="K232" i="7"/>
  <c r="J232" i="7"/>
  <c r="C232" i="7"/>
  <c r="B232" i="7"/>
  <c r="L231" i="7"/>
  <c r="K231" i="7"/>
  <c r="J231" i="7"/>
  <c r="C231" i="7"/>
  <c r="B231" i="7"/>
  <c r="L230" i="7"/>
  <c r="K230" i="7"/>
  <c r="J230" i="7"/>
  <c r="C230" i="7"/>
  <c r="B230" i="7"/>
  <c r="L229" i="7"/>
  <c r="K229" i="7"/>
  <c r="J229" i="7"/>
  <c r="C229" i="7"/>
  <c r="B229" i="7"/>
  <c r="L228" i="7"/>
  <c r="K228" i="7"/>
  <c r="J228" i="7"/>
  <c r="C228" i="7"/>
  <c r="B228" i="7"/>
  <c r="L227" i="7"/>
  <c r="K227" i="7"/>
  <c r="J227" i="7"/>
  <c r="C227" i="7"/>
  <c r="B227" i="7"/>
  <c r="L226" i="7"/>
  <c r="K226" i="7"/>
  <c r="J226" i="7"/>
  <c r="C226" i="7"/>
  <c r="B226" i="7"/>
  <c r="L225" i="7"/>
  <c r="K225" i="7"/>
  <c r="J225" i="7"/>
  <c r="C225" i="7"/>
  <c r="B225" i="7"/>
  <c r="L224" i="7"/>
  <c r="K224" i="7"/>
  <c r="J224" i="7"/>
  <c r="C224" i="7"/>
  <c r="B224" i="7"/>
  <c r="L223" i="7"/>
  <c r="K223" i="7"/>
  <c r="J223" i="7"/>
  <c r="C223" i="7"/>
  <c r="B223" i="7"/>
  <c r="L222" i="7"/>
  <c r="K222" i="7"/>
  <c r="J222" i="7"/>
  <c r="C222" i="7"/>
  <c r="B222" i="7"/>
  <c r="L221" i="7"/>
  <c r="K221" i="7"/>
  <c r="J221" i="7"/>
  <c r="C221" i="7"/>
  <c r="B221" i="7"/>
  <c r="L220" i="7"/>
  <c r="K220" i="7"/>
  <c r="J220" i="7"/>
  <c r="C220" i="7"/>
  <c r="B220" i="7"/>
  <c r="L219" i="7"/>
  <c r="K219" i="7"/>
  <c r="J219" i="7"/>
  <c r="C219" i="7"/>
  <c r="B219" i="7"/>
  <c r="L218" i="7"/>
  <c r="K218" i="7"/>
  <c r="J218" i="7"/>
  <c r="C218" i="7"/>
  <c r="B218" i="7"/>
  <c r="L217" i="7"/>
  <c r="K217" i="7"/>
  <c r="J217" i="7"/>
  <c r="C217" i="7"/>
  <c r="B217" i="7"/>
  <c r="L216" i="7"/>
  <c r="K216" i="7"/>
  <c r="J216" i="7"/>
  <c r="C216" i="7"/>
  <c r="B216" i="7"/>
  <c r="L215" i="7"/>
  <c r="K215" i="7"/>
  <c r="J215" i="7"/>
  <c r="C215" i="7"/>
  <c r="B215" i="7"/>
  <c r="L214" i="7"/>
  <c r="K214" i="7"/>
  <c r="J214" i="7"/>
  <c r="C214" i="7"/>
  <c r="B214" i="7"/>
  <c r="L213" i="7"/>
  <c r="K213" i="7"/>
  <c r="J213" i="7"/>
  <c r="C213" i="7"/>
  <c r="B213" i="7"/>
  <c r="L212" i="7"/>
  <c r="K212" i="7"/>
  <c r="J212" i="7"/>
  <c r="C212" i="7"/>
  <c r="B212" i="7"/>
  <c r="L211" i="7"/>
  <c r="K211" i="7"/>
  <c r="J211" i="7"/>
  <c r="C211" i="7"/>
  <c r="B211" i="7"/>
  <c r="L210" i="7"/>
  <c r="K210" i="7"/>
  <c r="J210" i="7"/>
  <c r="C210" i="7"/>
  <c r="B210" i="7"/>
  <c r="L209" i="7"/>
  <c r="K209" i="7"/>
  <c r="J209" i="7"/>
  <c r="C209" i="7"/>
  <c r="B209" i="7"/>
  <c r="L208" i="7"/>
  <c r="K208" i="7"/>
  <c r="J208" i="7"/>
  <c r="C208" i="7"/>
  <c r="B208" i="7"/>
  <c r="L207" i="7"/>
  <c r="K207" i="7"/>
  <c r="J207" i="7"/>
  <c r="C207" i="7"/>
  <c r="B207" i="7"/>
  <c r="L206" i="7"/>
  <c r="K206" i="7"/>
  <c r="J206" i="7"/>
  <c r="C206" i="7"/>
  <c r="B206" i="7"/>
  <c r="L205" i="7"/>
  <c r="K205" i="7"/>
  <c r="J205" i="7"/>
  <c r="C205" i="7"/>
  <c r="B205" i="7"/>
  <c r="L204" i="7"/>
  <c r="K204" i="7"/>
  <c r="J204" i="7"/>
  <c r="C204" i="7"/>
  <c r="B204" i="7"/>
  <c r="L203" i="7"/>
  <c r="K203" i="7"/>
  <c r="J203" i="7"/>
  <c r="C203" i="7"/>
  <c r="B203" i="7"/>
  <c r="L202" i="7"/>
  <c r="K202" i="7"/>
  <c r="J202" i="7"/>
  <c r="C202" i="7"/>
  <c r="B202" i="7"/>
  <c r="L201" i="7"/>
  <c r="K201" i="7"/>
  <c r="J201" i="7"/>
  <c r="C201" i="7"/>
  <c r="B201" i="7"/>
  <c r="L200" i="7"/>
  <c r="K200" i="7"/>
  <c r="J200" i="7"/>
  <c r="C200" i="7"/>
  <c r="B200" i="7"/>
  <c r="L199" i="7"/>
  <c r="K199" i="7"/>
  <c r="J199" i="7"/>
  <c r="C199" i="7"/>
  <c r="B199" i="7"/>
  <c r="L198" i="7"/>
  <c r="K198" i="7"/>
  <c r="J198" i="7"/>
  <c r="C198" i="7"/>
  <c r="B198" i="7"/>
  <c r="L197" i="7"/>
  <c r="K197" i="7"/>
  <c r="J197" i="7"/>
  <c r="C197" i="7"/>
  <c r="B197" i="7"/>
  <c r="L196" i="7"/>
  <c r="K196" i="7"/>
  <c r="J196" i="7"/>
  <c r="C196" i="7"/>
  <c r="B196" i="7"/>
  <c r="L195" i="7"/>
  <c r="K195" i="7"/>
  <c r="J195" i="7"/>
  <c r="C195" i="7"/>
  <c r="B195" i="7"/>
  <c r="L194" i="7"/>
  <c r="K194" i="7"/>
  <c r="J194" i="7"/>
  <c r="C194" i="7"/>
  <c r="B194" i="7"/>
  <c r="L193" i="7"/>
  <c r="K193" i="7"/>
  <c r="J193" i="7"/>
  <c r="C193" i="7"/>
  <c r="B193" i="7"/>
  <c r="L192" i="7"/>
  <c r="K192" i="7"/>
  <c r="J192" i="7"/>
  <c r="C192" i="7"/>
  <c r="B192" i="7"/>
  <c r="L191" i="7"/>
  <c r="K191" i="7"/>
  <c r="J191" i="7"/>
  <c r="C191" i="7"/>
  <c r="B191" i="7"/>
  <c r="L190" i="7"/>
  <c r="K190" i="7"/>
  <c r="J190" i="7"/>
  <c r="C190" i="7"/>
  <c r="B190" i="7"/>
  <c r="L189" i="7"/>
  <c r="K189" i="7"/>
  <c r="J189" i="7"/>
  <c r="C189" i="7"/>
  <c r="B189" i="7"/>
  <c r="L188" i="7"/>
  <c r="K188" i="7"/>
  <c r="J188" i="7"/>
  <c r="C188" i="7"/>
  <c r="B188" i="7"/>
  <c r="L187" i="7"/>
  <c r="K187" i="7"/>
  <c r="J187" i="7"/>
  <c r="C187" i="7"/>
  <c r="B187" i="7"/>
  <c r="L186" i="7"/>
  <c r="K186" i="7"/>
  <c r="J186" i="7"/>
  <c r="C186" i="7"/>
  <c r="B186" i="7"/>
  <c r="L185" i="7"/>
  <c r="K185" i="7"/>
  <c r="J185" i="7"/>
  <c r="C185" i="7"/>
  <c r="B185" i="7"/>
  <c r="L184" i="7"/>
  <c r="K184" i="7"/>
  <c r="J184" i="7"/>
  <c r="C184" i="7"/>
  <c r="B184" i="7"/>
  <c r="L183" i="7"/>
  <c r="K183" i="7"/>
  <c r="J183" i="7"/>
  <c r="C183" i="7"/>
  <c r="B183" i="7"/>
  <c r="L182" i="7"/>
  <c r="K182" i="7"/>
  <c r="J182" i="7"/>
  <c r="C182" i="7"/>
  <c r="B182" i="7"/>
  <c r="L181" i="7"/>
  <c r="K181" i="7"/>
  <c r="J181" i="7"/>
  <c r="C181" i="7"/>
  <c r="B181" i="7"/>
  <c r="L180" i="7"/>
  <c r="K180" i="7"/>
  <c r="J180" i="7"/>
  <c r="C180" i="7"/>
  <c r="B180" i="7"/>
  <c r="L179" i="7"/>
  <c r="K179" i="7"/>
  <c r="J179" i="7"/>
  <c r="C179" i="7"/>
  <c r="B179" i="7"/>
  <c r="L178" i="7"/>
  <c r="K178" i="7"/>
  <c r="J178" i="7"/>
  <c r="C178" i="7"/>
  <c r="B178" i="7"/>
  <c r="L177" i="7"/>
  <c r="K177" i="7"/>
  <c r="J177" i="7"/>
  <c r="C177" i="7"/>
  <c r="B177" i="7"/>
  <c r="L176" i="7"/>
  <c r="K176" i="7"/>
  <c r="J176" i="7"/>
  <c r="C176" i="7"/>
  <c r="B176" i="7"/>
  <c r="L175" i="7"/>
  <c r="K175" i="7"/>
  <c r="J175" i="7"/>
  <c r="C175" i="7"/>
  <c r="B175" i="7"/>
  <c r="L174" i="7"/>
  <c r="K174" i="7"/>
  <c r="J174" i="7"/>
  <c r="C174" i="7"/>
  <c r="B174" i="7"/>
  <c r="L173" i="7"/>
  <c r="K173" i="7"/>
  <c r="J173" i="7"/>
  <c r="C173" i="7"/>
  <c r="B173" i="7"/>
  <c r="L172" i="7"/>
  <c r="K172" i="7"/>
  <c r="J172" i="7"/>
  <c r="C172" i="7"/>
  <c r="B172" i="7"/>
  <c r="L171" i="7"/>
  <c r="K171" i="7"/>
  <c r="J171" i="7"/>
  <c r="C171" i="7"/>
  <c r="B171" i="7"/>
  <c r="L170" i="7"/>
  <c r="K170" i="7"/>
  <c r="J170" i="7"/>
  <c r="C170" i="7"/>
  <c r="B170" i="7"/>
  <c r="L169" i="7"/>
  <c r="K169" i="7"/>
  <c r="J169" i="7"/>
  <c r="C169" i="7"/>
  <c r="B169" i="7"/>
  <c r="L168" i="7"/>
  <c r="K168" i="7"/>
  <c r="J168" i="7"/>
  <c r="C168" i="7"/>
  <c r="B168" i="7"/>
  <c r="L167" i="7"/>
  <c r="K167" i="7"/>
  <c r="J167" i="7"/>
  <c r="C167" i="7"/>
  <c r="B167" i="7"/>
  <c r="L166" i="7"/>
  <c r="K166" i="7"/>
  <c r="J166" i="7"/>
  <c r="C166" i="7"/>
  <c r="B166" i="7"/>
  <c r="L165" i="7"/>
  <c r="K165" i="7"/>
  <c r="J165" i="7"/>
  <c r="C165" i="7"/>
  <c r="B165" i="7"/>
  <c r="L164" i="7"/>
  <c r="K164" i="7"/>
  <c r="J164" i="7"/>
  <c r="C164" i="7"/>
  <c r="B164" i="7"/>
  <c r="L163" i="7"/>
  <c r="K163" i="7"/>
  <c r="J163" i="7"/>
  <c r="C163" i="7"/>
  <c r="B163" i="7"/>
  <c r="L162" i="7"/>
  <c r="K162" i="7"/>
  <c r="J162" i="7"/>
  <c r="C162" i="7"/>
  <c r="B162" i="7"/>
  <c r="L161" i="7"/>
  <c r="K161" i="7"/>
  <c r="J161" i="7"/>
  <c r="C161" i="7"/>
  <c r="B161" i="7"/>
  <c r="L160" i="7"/>
  <c r="K160" i="7"/>
  <c r="J160" i="7"/>
  <c r="C160" i="7"/>
  <c r="B160" i="7"/>
  <c r="L159" i="7"/>
  <c r="K159" i="7"/>
  <c r="J159" i="7"/>
  <c r="C159" i="7"/>
  <c r="B159" i="7"/>
  <c r="L158" i="7"/>
  <c r="K158" i="7"/>
  <c r="J158" i="7"/>
  <c r="C158" i="7"/>
  <c r="B158" i="7"/>
  <c r="L157" i="7"/>
  <c r="K157" i="7"/>
  <c r="J157" i="7"/>
  <c r="C157" i="7"/>
  <c r="B157" i="7"/>
  <c r="L156" i="7"/>
  <c r="K156" i="7"/>
  <c r="J156" i="7"/>
  <c r="C156" i="7"/>
  <c r="B156" i="7"/>
  <c r="L155" i="7"/>
  <c r="K155" i="7"/>
  <c r="J155" i="7"/>
  <c r="C155" i="7"/>
  <c r="B155" i="7"/>
  <c r="L154" i="7"/>
  <c r="K154" i="7"/>
  <c r="J154" i="7"/>
  <c r="C154" i="7"/>
  <c r="B154" i="7"/>
  <c r="L153" i="7"/>
  <c r="K153" i="7"/>
  <c r="J153" i="7"/>
  <c r="C153" i="7"/>
  <c r="B153" i="7"/>
  <c r="L152" i="7"/>
  <c r="K152" i="7"/>
  <c r="J152" i="7"/>
  <c r="C152" i="7"/>
  <c r="B152" i="7"/>
  <c r="L151" i="7"/>
  <c r="K151" i="7"/>
  <c r="J151" i="7"/>
  <c r="C151" i="7"/>
  <c r="B151" i="7"/>
  <c r="L150" i="7"/>
  <c r="K150" i="7"/>
  <c r="J150" i="7"/>
  <c r="C150" i="7"/>
  <c r="B150" i="7"/>
  <c r="L149" i="7"/>
  <c r="K149" i="7"/>
  <c r="J149" i="7"/>
  <c r="C149" i="7"/>
  <c r="B149" i="7"/>
  <c r="L148" i="7"/>
  <c r="K148" i="7"/>
  <c r="J148" i="7"/>
  <c r="C148" i="7"/>
  <c r="B148" i="7"/>
  <c r="L147" i="7"/>
  <c r="K147" i="7"/>
  <c r="J147" i="7"/>
  <c r="C147" i="7"/>
  <c r="B147" i="7"/>
  <c r="L146" i="7"/>
  <c r="K146" i="7"/>
  <c r="J146" i="7"/>
  <c r="C146" i="7"/>
  <c r="B146" i="7"/>
  <c r="L145" i="7"/>
  <c r="K145" i="7"/>
  <c r="J145" i="7"/>
  <c r="C145" i="7"/>
  <c r="B145" i="7"/>
  <c r="L144" i="7"/>
  <c r="K144" i="7"/>
  <c r="J144" i="7"/>
  <c r="C144" i="7"/>
  <c r="B144" i="7"/>
  <c r="L143" i="7"/>
  <c r="K143" i="7"/>
  <c r="J143" i="7"/>
  <c r="C143" i="7"/>
  <c r="B143" i="7"/>
  <c r="L142" i="7"/>
  <c r="K142" i="7"/>
  <c r="J142" i="7"/>
  <c r="C142" i="7"/>
  <c r="B142" i="7"/>
  <c r="L141" i="7"/>
  <c r="K141" i="7"/>
  <c r="J141" i="7"/>
  <c r="C141" i="7"/>
  <c r="B141" i="7"/>
  <c r="L140" i="7"/>
  <c r="K140" i="7"/>
  <c r="J140" i="7"/>
  <c r="C140" i="7"/>
  <c r="B140" i="7"/>
  <c r="L139" i="7"/>
  <c r="K139" i="7"/>
  <c r="J139" i="7"/>
  <c r="C139" i="7"/>
  <c r="B139" i="7"/>
  <c r="L138" i="7"/>
  <c r="K138" i="7"/>
  <c r="J138" i="7"/>
  <c r="C138" i="7"/>
  <c r="B138" i="7"/>
  <c r="L137" i="7"/>
  <c r="K137" i="7"/>
  <c r="J137" i="7"/>
  <c r="C137" i="7"/>
  <c r="B137" i="7"/>
  <c r="L136" i="7"/>
  <c r="K136" i="7"/>
  <c r="J136" i="7"/>
  <c r="C136" i="7"/>
  <c r="B136" i="7"/>
  <c r="L135" i="7"/>
  <c r="K135" i="7"/>
  <c r="J135" i="7"/>
  <c r="C135" i="7"/>
  <c r="B135" i="7"/>
  <c r="L134" i="7"/>
  <c r="K134" i="7"/>
  <c r="J134" i="7"/>
  <c r="C134" i="7"/>
  <c r="B134" i="7"/>
  <c r="L133" i="7"/>
  <c r="K133" i="7"/>
  <c r="J133" i="7"/>
  <c r="C133" i="7"/>
  <c r="B133" i="7"/>
  <c r="L132" i="7"/>
  <c r="K132" i="7"/>
  <c r="J132" i="7"/>
  <c r="C132" i="7"/>
  <c r="B132" i="7"/>
  <c r="L131" i="7"/>
  <c r="K131" i="7"/>
  <c r="J131" i="7"/>
  <c r="C131" i="7"/>
  <c r="B131" i="7"/>
  <c r="L130" i="7"/>
  <c r="K130" i="7"/>
  <c r="J130" i="7"/>
  <c r="C130" i="7"/>
  <c r="B130" i="7"/>
  <c r="L129" i="7"/>
  <c r="K129" i="7"/>
  <c r="J129" i="7"/>
  <c r="C129" i="7"/>
  <c r="B129" i="7"/>
  <c r="L128" i="7"/>
  <c r="K128" i="7"/>
  <c r="J128" i="7"/>
  <c r="C128" i="7"/>
  <c r="B128" i="7"/>
  <c r="L127" i="7"/>
  <c r="K127" i="7"/>
  <c r="J127" i="7"/>
  <c r="C127" i="7"/>
  <c r="B127" i="7"/>
  <c r="L126" i="7"/>
  <c r="K126" i="7"/>
  <c r="J126" i="7"/>
  <c r="C126" i="7"/>
  <c r="B126" i="7"/>
  <c r="L125" i="7"/>
  <c r="K125" i="7"/>
  <c r="J125" i="7"/>
  <c r="C125" i="7"/>
  <c r="B125" i="7"/>
  <c r="L124" i="7"/>
  <c r="K124" i="7"/>
  <c r="J124" i="7"/>
  <c r="C124" i="7"/>
  <c r="B124" i="7"/>
  <c r="L123" i="7"/>
  <c r="K123" i="7"/>
  <c r="J123" i="7"/>
  <c r="C123" i="7"/>
  <c r="B123" i="7"/>
  <c r="L122" i="7"/>
  <c r="K122" i="7"/>
  <c r="J122" i="7"/>
  <c r="C122" i="7"/>
  <c r="B122" i="7"/>
  <c r="L121" i="7"/>
  <c r="K121" i="7"/>
  <c r="J121" i="7"/>
  <c r="C121" i="7"/>
  <c r="B121" i="7"/>
  <c r="L120" i="7"/>
  <c r="K120" i="7"/>
  <c r="J120" i="7"/>
  <c r="C120" i="7"/>
  <c r="B120" i="7"/>
  <c r="L119" i="7"/>
  <c r="K119" i="7"/>
  <c r="J119" i="7"/>
  <c r="C119" i="7"/>
  <c r="B119" i="7"/>
  <c r="L118" i="7"/>
  <c r="K118" i="7"/>
  <c r="J118" i="7"/>
  <c r="C118" i="7"/>
  <c r="B118" i="7"/>
  <c r="L117" i="7"/>
  <c r="K117" i="7"/>
  <c r="J117" i="7"/>
  <c r="C117" i="7"/>
  <c r="B117" i="7"/>
  <c r="L116" i="7"/>
  <c r="K116" i="7"/>
  <c r="J116" i="7"/>
  <c r="C116" i="7"/>
  <c r="B116" i="7"/>
  <c r="L115" i="7"/>
  <c r="K115" i="7"/>
  <c r="J115" i="7"/>
  <c r="C115" i="7"/>
  <c r="B115" i="7"/>
  <c r="L114" i="7"/>
  <c r="K114" i="7"/>
  <c r="J114" i="7"/>
  <c r="C114" i="7"/>
  <c r="B114" i="7"/>
  <c r="L113" i="7"/>
  <c r="K113" i="7"/>
  <c r="J113" i="7"/>
  <c r="C113" i="7"/>
  <c r="B113" i="7"/>
  <c r="L112" i="7"/>
  <c r="K112" i="7"/>
  <c r="J112" i="7"/>
  <c r="C112" i="7"/>
  <c r="B112" i="7"/>
  <c r="L111" i="7"/>
  <c r="K111" i="7"/>
  <c r="J111" i="7"/>
  <c r="C111" i="7"/>
  <c r="B111" i="7"/>
  <c r="L110" i="7"/>
  <c r="K110" i="7"/>
  <c r="J110" i="7"/>
  <c r="C110" i="7"/>
  <c r="B110" i="7"/>
  <c r="L109" i="7"/>
  <c r="K109" i="7"/>
  <c r="J109" i="7"/>
  <c r="C109" i="7"/>
  <c r="B109" i="7"/>
  <c r="L108" i="7"/>
  <c r="K108" i="7"/>
  <c r="J108" i="7"/>
  <c r="C108" i="7"/>
  <c r="B108" i="7"/>
  <c r="L107" i="7"/>
  <c r="K107" i="7"/>
  <c r="J107" i="7"/>
  <c r="C107" i="7"/>
  <c r="B107" i="7"/>
  <c r="L106" i="7"/>
  <c r="K106" i="7"/>
  <c r="J106" i="7"/>
  <c r="C106" i="7"/>
  <c r="B106" i="7"/>
  <c r="L105" i="7"/>
  <c r="K105" i="7"/>
  <c r="J105" i="7"/>
  <c r="C105" i="7"/>
  <c r="B105" i="7"/>
  <c r="L104" i="7"/>
  <c r="K104" i="7"/>
  <c r="J104" i="7"/>
  <c r="C104" i="7"/>
  <c r="B104" i="7"/>
  <c r="L103" i="7"/>
  <c r="K103" i="7"/>
  <c r="J103" i="7"/>
  <c r="C103" i="7"/>
  <c r="B103" i="7"/>
  <c r="L102" i="7"/>
  <c r="K102" i="7"/>
  <c r="J102" i="7"/>
  <c r="C102" i="7"/>
  <c r="B102" i="7"/>
  <c r="L101" i="7"/>
  <c r="K101" i="7"/>
  <c r="J101" i="7"/>
  <c r="C101" i="7"/>
  <c r="B101" i="7"/>
  <c r="L100" i="7"/>
  <c r="K100" i="7"/>
  <c r="J100" i="7"/>
  <c r="C100" i="7"/>
  <c r="B100" i="7"/>
  <c r="L99" i="7"/>
  <c r="K99" i="7"/>
  <c r="J99" i="7"/>
  <c r="C99" i="7"/>
  <c r="B99" i="7"/>
  <c r="L98" i="7"/>
  <c r="K98" i="7"/>
  <c r="J98" i="7"/>
  <c r="C98" i="7"/>
  <c r="B98" i="7"/>
  <c r="L97" i="7"/>
  <c r="K97" i="7"/>
  <c r="J97" i="7"/>
  <c r="C97" i="7"/>
  <c r="B97" i="7"/>
  <c r="L96" i="7"/>
  <c r="K96" i="7"/>
  <c r="J96" i="7"/>
  <c r="C96" i="7"/>
  <c r="B96" i="7"/>
  <c r="L95" i="7"/>
  <c r="K95" i="7"/>
  <c r="J95" i="7"/>
  <c r="C95" i="7"/>
  <c r="B95" i="7"/>
  <c r="L94" i="7"/>
  <c r="K94" i="7"/>
  <c r="J94" i="7"/>
  <c r="C94" i="7"/>
  <c r="B94" i="7"/>
  <c r="L93" i="7"/>
  <c r="K93" i="7"/>
  <c r="J93" i="7"/>
  <c r="C93" i="7"/>
  <c r="B93" i="7"/>
  <c r="L92" i="7"/>
  <c r="K92" i="7"/>
  <c r="J92" i="7"/>
  <c r="C92" i="7"/>
  <c r="B92" i="7"/>
  <c r="L91" i="7"/>
  <c r="K91" i="7"/>
  <c r="J91" i="7"/>
  <c r="C91" i="7"/>
  <c r="B91" i="7"/>
  <c r="L90" i="7"/>
  <c r="K90" i="7"/>
  <c r="J90" i="7"/>
  <c r="C90" i="7"/>
  <c r="B90" i="7"/>
  <c r="L89" i="7"/>
  <c r="K89" i="7"/>
  <c r="J89" i="7"/>
  <c r="C89" i="7"/>
  <c r="B89" i="7"/>
  <c r="L88" i="7"/>
  <c r="K88" i="7"/>
  <c r="J88" i="7"/>
  <c r="C88" i="7"/>
  <c r="B88" i="7"/>
  <c r="L87" i="7"/>
  <c r="K87" i="7"/>
  <c r="J87" i="7"/>
  <c r="C87" i="7"/>
  <c r="B87" i="7"/>
  <c r="L86" i="7"/>
  <c r="K86" i="7"/>
  <c r="J86" i="7"/>
  <c r="C86" i="7"/>
  <c r="B86" i="7"/>
  <c r="L85" i="7"/>
  <c r="K85" i="7"/>
  <c r="J85" i="7"/>
  <c r="C85" i="7"/>
  <c r="B85" i="7"/>
  <c r="L84" i="7"/>
  <c r="K84" i="7"/>
  <c r="J84" i="7"/>
  <c r="C84" i="7"/>
  <c r="B84" i="7"/>
  <c r="L83" i="7"/>
  <c r="K83" i="7"/>
  <c r="J83" i="7"/>
  <c r="C83" i="7"/>
  <c r="B83" i="7"/>
  <c r="L82" i="7"/>
  <c r="K82" i="7"/>
  <c r="J82" i="7"/>
  <c r="C82" i="7"/>
  <c r="B82" i="7"/>
  <c r="L81" i="7"/>
  <c r="K81" i="7"/>
  <c r="J81" i="7"/>
  <c r="C81" i="7"/>
  <c r="B81" i="7"/>
  <c r="L80" i="7"/>
  <c r="K80" i="7"/>
  <c r="J80" i="7"/>
  <c r="C80" i="7"/>
  <c r="B80" i="7"/>
  <c r="L79" i="7"/>
  <c r="K79" i="7"/>
  <c r="J79" i="7"/>
  <c r="C79" i="7"/>
  <c r="B79" i="7"/>
  <c r="L78" i="7"/>
  <c r="K78" i="7"/>
  <c r="J78" i="7"/>
  <c r="C78" i="7"/>
  <c r="B78" i="7"/>
  <c r="L77" i="7"/>
  <c r="K77" i="7"/>
  <c r="J77" i="7"/>
  <c r="C77" i="7"/>
  <c r="B77" i="7"/>
  <c r="L76" i="7"/>
  <c r="K76" i="7"/>
  <c r="J76" i="7"/>
  <c r="C76" i="7"/>
  <c r="B76" i="7"/>
  <c r="L75" i="7"/>
  <c r="K75" i="7"/>
  <c r="J75" i="7"/>
  <c r="C75" i="7"/>
  <c r="B75" i="7"/>
  <c r="L74" i="7"/>
  <c r="K74" i="7"/>
  <c r="J74" i="7"/>
  <c r="C74" i="7"/>
  <c r="B74" i="7"/>
  <c r="L73" i="7"/>
  <c r="K73" i="7"/>
  <c r="J73" i="7"/>
  <c r="C73" i="7"/>
  <c r="B73" i="7"/>
  <c r="L72" i="7"/>
  <c r="K72" i="7"/>
  <c r="J72" i="7"/>
  <c r="C72" i="7"/>
  <c r="B72" i="7"/>
  <c r="L71" i="7"/>
  <c r="K71" i="7"/>
  <c r="J71" i="7"/>
  <c r="C71" i="7"/>
  <c r="B71" i="7"/>
  <c r="L70" i="7"/>
  <c r="K70" i="7"/>
  <c r="J70" i="7"/>
  <c r="C70" i="7"/>
  <c r="B70" i="7"/>
  <c r="L69" i="7"/>
  <c r="K69" i="7"/>
  <c r="J69" i="7"/>
  <c r="C69" i="7"/>
  <c r="B69" i="7"/>
  <c r="L68" i="7"/>
  <c r="K68" i="7"/>
  <c r="J68" i="7"/>
  <c r="C68" i="7"/>
  <c r="B68" i="7"/>
  <c r="L67" i="7"/>
  <c r="K67" i="7"/>
  <c r="J67" i="7"/>
  <c r="C67" i="7"/>
  <c r="B67" i="7"/>
  <c r="L66" i="7"/>
  <c r="K66" i="7"/>
  <c r="J66" i="7"/>
  <c r="C66" i="7"/>
  <c r="B66" i="7"/>
  <c r="L65" i="7"/>
  <c r="K65" i="7"/>
  <c r="J65" i="7"/>
  <c r="C65" i="7"/>
  <c r="B65" i="7"/>
  <c r="L64" i="7"/>
  <c r="K64" i="7"/>
  <c r="J64" i="7"/>
  <c r="C64" i="7"/>
  <c r="B64" i="7"/>
  <c r="L63" i="7"/>
  <c r="K63" i="7"/>
  <c r="J63" i="7"/>
  <c r="C63" i="7"/>
  <c r="B63" i="7"/>
  <c r="L62" i="7"/>
  <c r="K62" i="7"/>
  <c r="J62" i="7"/>
  <c r="C62" i="7"/>
  <c r="B62" i="7"/>
  <c r="L61" i="7"/>
  <c r="K61" i="7"/>
  <c r="J61" i="7"/>
  <c r="C61" i="7"/>
  <c r="B61" i="7"/>
  <c r="L60" i="7"/>
  <c r="K60" i="7"/>
  <c r="J60" i="7"/>
  <c r="C60" i="7"/>
  <c r="B60" i="7"/>
  <c r="L59" i="7"/>
  <c r="K59" i="7"/>
  <c r="J59" i="7"/>
  <c r="C59" i="7"/>
  <c r="B59" i="7"/>
  <c r="L58" i="7"/>
  <c r="K58" i="7"/>
  <c r="J58" i="7"/>
  <c r="C58" i="7"/>
  <c r="B58" i="7"/>
  <c r="L57" i="7"/>
  <c r="K57" i="7"/>
  <c r="J57" i="7"/>
  <c r="C57" i="7"/>
  <c r="B57" i="7"/>
  <c r="L56" i="7"/>
  <c r="K56" i="7"/>
  <c r="J56" i="7"/>
  <c r="C56" i="7"/>
  <c r="B56" i="7"/>
  <c r="L55" i="7"/>
  <c r="K55" i="7"/>
  <c r="J55" i="7"/>
  <c r="C55" i="7"/>
  <c r="B55" i="7"/>
  <c r="L54" i="7"/>
  <c r="K54" i="7"/>
  <c r="J54" i="7"/>
  <c r="C54" i="7"/>
  <c r="B54" i="7"/>
  <c r="L53" i="7"/>
  <c r="K53" i="7"/>
  <c r="J53" i="7"/>
  <c r="C53" i="7"/>
  <c r="B53" i="7"/>
  <c r="L52" i="7"/>
  <c r="K52" i="7"/>
  <c r="J52" i="7"/>
  <c r="C52" i="7"/>
  <c r="B52" i="7"/>
  <c r="L51" i="7"/>
  <c r="K51" i="7"/>
  <c r="J51" i="7"/>
  <c r="C51" i="7"/>
  <c r="B51" i="7"/>
  <c r="L50" i="7"/>
  <c r="K50" i="7"/>
  <c r="J50" i="7"/>
  <c r="C50" i="7"/>
  <c r="B50" i="7"/>
  <c r="L49" i="7"/>
  <c r="K49" i="7"/>
  <c r="J49" i="7"/>
  <c r="C49" i="7"/>
  <c r="B49" i="7"/>
  <c r="L48" i="7"/>
  <c r="K48" i="7"/>
  <c r="J48" i="7"/>
  <c r="C48" i="7"/>
  <c r="B48" i="7"/>
  <c r="L47" i="7"/>
  <c r="K47" i="7"/>
  <c r="J47" i="7"/>
  <c r="C47" i="7"/>
  <c r="B47" i="7"/>
  <c r="L46" i="7"/>
  <c r="K46" i="7"/>
  <c r="J46" i="7"/>
  <c r="C46" i="7"/>
  <c r="B46" i="7"/>
  <c r="L45" i="7"/>
  <c r="K45" i="7"/>
  <c r="J45" i="7"/>
  <c r="C45" i="7"/>
  <c r="B45" i="7"/>
  <c r="L44" i="7"/>
  <c r="K44" i="7"/>
  <c r="J44" i="7"/>
  <c r="C44" i="7"/>
  <c r="B44" i="7"/>
  <c r="L43" i="7"/>
  <c r="K43" i="7"/>
  <c r="J43" i="7"/>
  <c r="C43" i="7"/>
  <c r="B43" i="7"/>
  <c r="L42" i="7"/>
  <c r="K42" i="7"/>
  <c r="J42" i="7"/>
  <c r="C42" i="7"/>
  <c r="B42" i="7"/>
  <c r="L41" i="7"/>
  <c r="K41" i="7"/>
  <c r="J41" i="7"/>
  <c r="C41" i="7"/>
  <c r="B41" i="7"/>
  <c r="L40" i="7"/>
  <c r="K40" i="7"/>
  <c r="J40" i="7"/>
  <c r="C40" i="7"/>
  <c r="B40" i="7"/>
  <c r="L39" i="7"/>
  <c r="K39" i="7"/>
  <c r="J39" i="7"/>
  <c r="C39" i="7"/>
  <c r="B39" i="7"/>
  <c r="L38" i="7"/>
  <c r="K38" i="7"/>
  <c r="J38" i="7"/>
  <c r="C38" i="7"/>
  <c r="B38" i="7"/>
  <c r="L37" i="7"/>
  <c r="K37" i="7"/>
  <c r="J37" i="7"/>
  <c r="C37" i="7"/>
  <c r="B37" i="7"/>
  <c r="L36" i="7"/>
  <c r="K36" i="7"/>
  <c r="J36" i="7"/>
  <c r="C36" i="7"/>
  <c r="B36" i="7"/>
  <c r="L35" i="7"/>
  <c r="K35" i="7"/>
  <c r="J35" i="7"/>
  <c r="C35" i="7"/>
  <c r="B35" i="7"/>
  <c r="L34" i="7"/>
  <c r="K34" i="7"/>
  <c r="J34" i="7"/>
  <c r="C34" i="7"/>
  <c r="B34" i="7"/>
  <c r="L33" i="7"/>
  <c r="K33" i="7"/>
  <c r="J33" i="7"/>
  <c r="C33" i="7"/>
  <c r="B33" i="7"/>
  <c r="L32" i="7"/>
  <c r="K32" i="7"/>
  <c r="J32" i="7"/>
  <c r="C32" i="7"/>
  <c r="B32" i="7"/>
  <c r="L31" i="7"/>
  <c r="K31" i="7"/>
  <c r="J31" i="7"/>
  <c r="C31" i="7"/>
  <c r="B31" i="7"/>
  <c r="L30" i="7"/>
  <c r="K30" i="7"/>
  <c r="J30" i="7"/>
  <c r="C30" i="7"/>
  <c r="B30" i="7"/>
  <c r="L29" i="7"/>
  <c r="K29" i="7"/>
  <c r="J29" i="7"/>
  <c r="C29" i="7"/>
  <c r="B29" i="7"/>
  <c r="L28" i="7"/>
  <c r="K28" i="7"/>
  <c r="J28" i="7"/>
  <c r="C28" i="7"/>
  <c r="B28" i="7"/>
  <c r="L27" i="7"/>
  <c r="K27" i="7"/>
  <c r="J27" i="7"/>
  <c r="C27" i="7"/>
  <c r="B27" i="7"/>
  <c r="L26" i="7"/>
  <c r="K26" i="7"/>
  <c r="J26" i="7"/>
  <c r="C26" i="7"/>
  <c r="B26" i="7"/>
  <c r="L25" i="7"/>
  <c r="K25" i="7"/>
  <c r="J25" i="7"/>
  <c r="C25" i="7"/>
  <c r="B25" i="7"/>
  <c r="L24" i="7"/>
  <c r="K24" i="7"/>
  <c r="J24" i="7"/>
  <c r="C24" i="7"/>
  <c r="B24" i="7"/>
  <c r="L23" i="7"/>
  <c r="K23" i="7"/>
  <c r="J23" i="7"/>
  <c r="C23" i="7"/>
  <c r="B23" i="7"/>
  <c r="L22" i="7"/>
  <c r="K22" i="7"/>
  <c r="J22" i="7"/>
  <c r="C22" i="7"/>
  <c r="B22" i="7"/>
  <c r="L21" i="7"/>
  <c r="K21" i="7"/>
  <c r="J21" i="7"/>
  <c r="C21" i="7"/>
  <c r="B21" i="7"/>
  <c r="L20" i="7"/>
  <c r="K20" i="7"/>
  <c r="J20" i="7"/>
  <c r="C20" i="7"/>
  <c r="B20" i="7"/>
  <c r="L19" i="7"/>
  <c r="K19" i="7"/>
  <c r="J19" i="7"/>
  <c r="C19" i="7"/>
  <c r="B19" i="7"/>
  <c r="L18" i="7"/>
  <c r="K18" i="7"/>
  <c r="J18" i="7"/>
  <c r="C18" i="7"/>
  <c r="B18" i="7"/>
  <c r="L17" i="7"/>
  <c r="K17" i="7"/>
  <c r="J17" i="7"/>
  <c r="C17" i="7"/>
  <c r="B17" i="7"/>
  <c r="L16" i="7"/>
  <c r="K16" i="7"/>
  <c r="J16" i="7"/>
  <c r="C16" i="7"/>
  <c r="B16" i="7"/>
  <c r="L15" i="7"/>
  <c r="K15" i="7"/>
  <c r="J15" i="7"/>
  <c r="C15" i="7"/>
  <c r="B15" i="7"/>
  <c r="L14" i="7"/>
  <c r="K14" i="7"/>
  <c r="J14" i="7"/>
  <c r="C14" i="7"/>
  <c r="B14" i="7"/>
  <c r="L13" i="7"/>
  <c r="K13" i="7"/>
  <c r="J13" i="7"/>
  <c r="C13" i="7"/>
  <c r="B13" i="7"/>
  <c r="L12" i="7"/>
  <c r="K12" i="7"/>
  <c r="J12" i="7"/>
  <c r="C12" i="7"/>
  <c r="B12" i="7"/>
  <c r="L11" i="7"/>
  <c r="K11" i="7"/>
  <c r="J11" i="7"/>
  <c r="C11" i="7"/>
  <c r="B11" i="7"/>
  <c r="L10" i="7"/>
  <c r="K10" i="7"/>
  <c r="J10" i="7"/>
  <c r="C10" i="7"/>
  <c r="B10" i="7"/>
  <c r="L9" i="7"/>
  <c r="K9" i="7"/>
  <c r="J9" i="7"/>
  <c r="C9" i="7"/>
  <c r="B9" i="7"/>
  <c r="L8" i="7"/>
  <c r="K8" i="7"/>
  <c r="J8" i="7"/>
  <c r="C8" i="7"/>
  <c r="B8" i="7"/>
  <c r="L7" i="7"/>
  <c r="K7" i="7"/>
  <c r="J7" i="7"/>
  <c r="C7" i="7"/>
  <c r="B7" i="7"/>
  <c r="L6" i="7"/>
  <c r="K6" i="7"/>
  <c r="J6" i="7"/>
  <c r="C6" i="7"/>
  <c r="B6" i="7"/>
  <c r="L5" i="7"/>
  <c r="K5" i="7"/>
  <c r="J5" i="7"/>
  <c r="C5" i="7"/>
  <c r="B5" i="7"/>
  <c r="L4" i="7"/>
  <c r="K4" i="7"/>
  <c r="J4" i="7"/>
  <c r="C4" i="7"/>
  <c r="H19" i="8"/>
  <c r="G19" i="8"/>
  <c r="E19" i="8"/>
  <c r="D19" i="8"/>
  <c r="B19" i="8"/>
  <c r="J18" i="8"/>
  <c r="H18" i="8"/>
  <c r="G18" i="8"/>
  <c r="E18" i="8"/>
  <c r="D18" i="8"/>
  <c r="B18" i="8"/>
  <c r="J17" i="8"/>
  <c r="H17" i="8"/>
  <c r="G17" i="8"/>
  <c r="E17" i="8"/>
  <c r="D17" i="8"/>
  <c r="B17" i="8"/>
  <c r="J16" i="8"/>
  <c r="H16" i="8"/>
  <c r="G16" i="8"/>
  <c r="E16" i="8"/>
  <c r="D16" i="8"/>
  <c r="B16" i="8"/>
  <c r="J15" i="8"/>
  <c r="H15" i="8"/>
  <c r="G15" i="8"/>
  <c r="E15" i="8"/>
  <c r="D15" i="8"/>
  <c r="B15" i="8"/>
  <c r="J14" i="8"/>
  <c r="H14" i="8"/>
  <c r="G14" i="8"/>
  <c r="E14" i="8"/>
  <c r="D14" i="8"/>
  <c r="B14" i="8"/>
  <c r="J13" i="8"/>
  <c r="H13" i="8"/>
  <c r="G13" i="8"/>
  <c r="E13" i="8"/>
  <c r="D13" i="8"/>
  <c r="B13" i="8"/>
  <c r="J12" i="8"/>
  <c r="H12" i="8"/>
  <c r="G12" i="8"/>
  <c r="E12" i="8"/>
  <c r="D12" i="8"/>
  <c r="B12" i="8"/>
  <c r="J11" i="8"/>
  <c r="H11" i="8"/>
  <c r="G11" i="8"/>
  <c r="E11" i="8"/>
  <c r="D11" i="8"/>
  <c r="B11" i="8"/>
  <c r="J10" i="8"/>
  <c r="H10" i="8"/>
  <c r="G10" i="8"/>
  <c r="E10" i="8"/>
  <c r="D10" i="8"/>
  <c r="B10" i="8"/>
  <c r="J9" i="8"/>
  <c r="H9" i="8"/>
  <c r="G9" i="8"/>
  <c r="E9" i="8"/>
  <c r="D9" i="8"/>
  <c r="B9" i="8"/>
  <c r="J8" i="8"/>
  <c r="H8" i="8"/>
  <c r="G8" i="8"/>
  <c r="E8" i="8"/>
  <c r="D8" i="8"/>
  <c r="B8" i="8"/>
  <c r="J7" i="8"/>
  <c r="H7" i="8"/>
  <c r="G7" i="8"/>
  <c r="E7" i="8"/>
  <c r="D7" i="8"/>
  <c r="B7" i="8"/>
  <c r="J6" i="8"/>
  <c r="H6" i="8"/>
  <c r="G6" i="8"/>
  <c r="E6" i="8"/>
  <c r="D6" i="8"/>
  <c r="B6" i="8"/>
  <c r="J5" i="8"/>
  <c r="H5" i="8"/>
  <c r="G5" i="8"/>
  <c r="E5" i="8"/>
  <c r="B5" i="8"/>
  <c r="E4" i="8"/>
  <c r="O16" i="25"/>
  <c r="N137" i="25"/>
  <c r="O137" i="25"/>
  <c r="M137" i="25"/>
  <c r="S49" i="9"/>
  <c r="A16" i="25"/>
  <c r="B13" i="29"/>
  <c r="C50" i="9"/>
  <c r="S50" i="9"/>
  <c r="B50" i="9"/>
  <c r="E3" i="9"/>
  <c r="B12" i="30"/>
  <c r="D2" i="30"/>
  <c r="F246" i="11"/>
  <c r="F242" i="11"/>
  <c r="F238" i="11"/>
  <c r="F234" i="11"/>
  <c r="F230" i="11"/>
  <c r="F243" i="11"/>
  <c r="M243" i="11"/>
  <c r="F241" i="11"/>
  <c r="M241" i="11"/>
  <c r="F235" i="11"/>
  <c r="F233" i="11"/>
  <c r="F227" i="11"/>
  <c r="M227" i="11"/>
  <c r="F223" i="11"/>
  <c r="F219" i="11"/>
  <c r="G216" i="11"/>
  <c r="F240" i="11"/>
  <c r="F232" i="11"/>
  <c r="M232" i="11"/>
  <c r="F224" i="11"/>
  <c r="F220" i="11"/>
  <c r="G217" i="11"/>
  <c r="G213" i="11"/>
  <c r="F247" i="11"/>
  <c r="F245" i="11"/>
  <c r="F239" i="11"/>
  <c r="F237" i="11"/>
  <c r="M237" i="11"/>
  <c r="F231" i="11"/>
  <c r="F229" i="11"/>
  <c r="F225" i="11"/>
  <c r="F221" i="11"/>
  <c r="G214" i="11"/>
  <c r="F244" i="11"/>
  <c r="M244" i="11"/>
  <c r="F236" i="11"/>
  <c r="F228" i="11"/>
  <c r="M228" i="11"/>
  <c r="F226" i="11"/>
  <c r="F222" i="11"/>
  <c r="F218" i="11"/>
  <c r="G215" i="11"/>
  <c r="G211" i="11"/>
  <c r="G207" i="11"/>
  <c r="G203" i="11"/>
  <c r="G199" i="11"/>
  <c r="G195" i="11"/>
  <c r="G191" i="11"/>
  <c r="G187" i="11"/>
  <c r="G206" i="11"/>
  <c r="G204" i="11"/>
  <c r="G198" i="11"/>
  <c r="G196" i="11"/>
  <c r="G190" i="11"/>
  <c r="G188" i="11"/>
  <c r="G209" i="11"/>
  <c r="G201" i="11"/>
  <c r="G193" i="11"/>
  <c r="G210" i="11"/>
  <c r="G208" i="11"/>
  <c r="G202" i="11"/>
  <c r="G200" i="11"/>
  <c r="G194" i="11"/>
  <c r="G192" i="11"/>
  <c r="G212" i="11"/>
  <c r="G205" i="11"/>
  <c r="G197" i="11"/>
  <c r="G189" i="11"/>
  <c r="F278" i="11"/>
  <c r="F274" i="11"/>
  <c r="F270" i="11"/>
  <c r="F266" i="11"/>
  <c r="F262" i="11"/>
  <c r="F258" i="11"/>
  <c r="F254" i="11"/>
  <c r="F250" i="11"/>
  <c r="G247" i="11"/>
  <c r="G243" i="11"/>
  <c r="G239" i="11"/>
  <c r="G235" i="11"/>
  <c r="G231" i="11"/>
  <c r="G227" i="11"/>
  <c r="F275" i="11"/>
  <c r="F273" i="11"/>
  <c r="F267" i="11"/>
  <c r="F265" i="11"/>
  <c r="F259" i="11"/>
  <c r="F257" i="11"/>
  <c r="F251" i="11"/>
  <c r="F249" i="11"/>
  <c r="G242" i="11"/>
  <c r="G240" i="11"/>
  <c r="G234" i="11"/>
  <c r="G232" i="11"/>
  <c r="G224" i="11"/>
  <c r="G220" i="11"/>
  <c r="F272" i="11"/>
  <c r="F264" i="11"/>
  <c r="F256" i="11"/>
  <c r="F248" i="11"/>
  <c r="G245" i="11"/>
  <c r="G237" i="11"/>
  <c r="G229" i="11"/>
  <c r="G225" i="11"/>
  <c r="G221" i="11"/>
  <c r="F277" i="11"/>
  <c r="F271" i="11"/>
  <c r="F269" i="11"/>
  <c r="F263" i="11"/>
  <c r="F261" i="11"/>
  <c r="F255" i="11"/>
  <c r="F253" i="11"/>
  <c r="G246" i="11"/>
  <c r="G244" i="11"/>
  <c r="G238" i="11"/>
  <c r="G236" i="11"/>
  <c r="G230" i="11"/>
  <c r="G228" i="11"/>
  <c r="G226" i="11"/>
  <c r="G222" i="11"/>
  <c r="G218" i="11"/>
  <c r="F276" i="11"/>
  <c r="F268" i="11"/>
  <c r="F260" i="11"/>
  <c r="F252" i="11"/>
  <c r="G241" i="11"/>
  <c r="G233" i="11"/>
  <c r="G223" i="11"/>
  <c r="G219" i="11"/>
  <c r="H19" i="10"/>
  <c r="H7" i="10"/>
  <c r="F154" i="11"/>
  <c r="F150" i="11"/>
  <c r="F146" i="11"/>
  <c r="M146" i="11"/>
  <c r="F142" i="11"/>
  <c r="F151" i="11"/>
  <c r="F149" i="11"/>
  <c r="F143" i="11"/>
  <c r="F141" i="11"/>
  <c r="F136" i="11"/>
  <c r="F132" i="11"/>
  <c r="F128" i="11"/>
  <c r="G125" i="11"/>
  <c r="G121" i="11"/>
  <c r="G117" i="11"/>
  <c r="G113" i="11"/>
  <c r="G109" i="11"/>
  <c r="G105" i="11"/>
  <c r="G101" i="11"/>
  <c r="G97" i="11"/>
  <c r="F156" i="11"/>
  <c r="F148" i="11"/>
  <c r="F140" i="11"/>
  <c r="F137" i="11"/>
  <c r="F133" i="11"/>
  <c r="M133" i="11"/>
  <c r="F129" i="11"/>
  <c r="G122" i="11"/>
  <c r="G118" i="11"/>
  <c r="G114" i="11"/>
  <c r="G110" i="11"/>
  <c r="G106" i="11"/>
  <c r="G102" i="11"/>
  <c r="G98" i="11"/>
  <c r="F155" i="11"/>
  <c r="F153" i="11"/>
  <c r="F147" i="11"/>
  <c r="M147" i="11"/>
  <c r="F145" i="11"/>
  <c r="F138" i="11"/>
  <c r="F134" i="11"/>
  <c r="M134" i="11"/>
  <c r="F130" i="11"/>
  <c r="F126" i="11"/>
  <c r="G123" i="11"/>
  <c r="G119" i="11"/>
  <c r="G115" i="11"/>
  <c r="G111" i="11"/>
  <c r="G107" i="11"/>
  <c r="G103" i="11"/>
  <c r="G99" i="11"/>
  <c r="F152" i="11"/>
  <c r="F144" i="11"/>
  <c r="F139" i="11"/>
  <c r="F135" i="11"/>
  <c r="F131" i="11"/>
  <c r="M131" i="11"/>
  <c r="F127" i="11"/>
  <c r="G124" i="11"/>
  <c r="G120" i="11"/>
  <c r="G116" i="11"/>
  <c r="G112" i="11"/>
  <c r="G108" i="11"/>
  <c r="G104" i="11"/>
  <c r="G100" i="11"/>
  <c r="G96" i="11"/>
  <c r="F366" i="11"/>
  <c r="F362" i="11"/>
  <c r="F358" i="11"/>
  <c r="F354" i="11"/>
  <c r="F350" i="11"/>
  <c r="F346" i="11"/>
  <c r="F342" i="11"/>
  <c r="G339" i="11"/>
  <c r="G335" i="11"/>
  <c r="G331" i="11"/>
  <c r="G327" i="11"/>
  <c r="G323" i="11"/>
  <c r="G319" i="11"/>
  <c r="G315" i="11"/>
  <c r="G311" i="11"/>
  <c r="F367" i="11"/>
  <c r="F365" i="11"/>
  <c r="M365" i="11"/>
  <c r="F359" i="11"/>
  <c r="F357" i="11"/>
  <c r="F351" i="11"/>
  <c r="F349" i="11"/>
  <c r="F343" i="11"/>
  <c r="F341" i="11"/>
  <c r="G334" i="11"/>
  <c r="G332" i="11"/>
  <c r="G326" i="11"/>
  <c r="G324" i="11"/>
  <c r="G318" i="11"/>
  <c r="G316" i="11"/>
  <c r="G310" i="11"/>
  <c r="F364" i="11"/>
  <c r="M364" i="11"/>
  <c r="F356" i="11"/>
  <c r="F348" i="11"/>
  <c r="M348" i="11"/>
  <c r="F340" i="11"/>
  <c r="G337" i="11"/>
  <c r="G329" i="11"/>
  <c r="G321" i="11"/>
  <c r="G313" i="11"/>
  <c r="F369" i="11"/>
  <c r="F363" i="11"/>
  <c r="F361" i="11"/>
  <c r="F355" i="11"/>
  <c r="F353" i="11"/>
  <c r="F347" i="11"/>
  <c r="F345" i="11"/>
  <c r="M345" i="11"/>
  <c r="G338" i="11"/>
  <c r="G336" i="11"/>
  <c r="G330" i="11"/>
  <c r="G328" i="11"/>
  <c r="G322" i="11"/>
  <c r="G320" i="11"/>
  <c r="G314" i="11"/>
  <c r="G312" i="11"/>
  <c r="F368" i="11"/>
  <c r="M368" i="11"/>
  <c r="F360" i="11"/>
  <c r="F352" i="11"/>
  <c r="F344" i="11"/>
  <c r="G333" i="11"/>
  <c r="G325" i="11"/>
  <c r="G317" i="11"/>
  <c r="G309" i="11"/>
  <c r="F398" i="11"/>
  <c r="F394" i="11"/>
  <c r="F390" i="11"/>
  <c r="F386" i="11"/>
  <c r="F382" i="11"/>
  <c r="F396" i="11"/>
  <c r="F400" i="11"/>
  <c r="F392" i="11"/>
  <c r="F399" i="11"/>
  <c r="F397" i="11"/>
  <c r="F391" i="11"/>
  <c r="F389" i="11"/>
  <c r="F383" i="11"/>
  <c r="F381" i="11"/>
  <c r="F378" i="11"/>
  <c r="F374" i="11"/>
  <c r="F370" i="11"/>
  <c r="G367" i="11"/>
  <c r="G363" i="11"/>
  <c r="G359" i="11"/>
  <c r="G355" i="11"/>
  <c r="G351" i="11"/>
  <c r="G347" i="11"/>
  <c r="G343" i="11"/>
  <c r="F395" i="11"/>
  <c r="F388" i="11"/>
  <c r="F375" i="11"/>
  <c r="F373" i="11"/>
  <c r="G366" i="11"/>
  <c r="G364" i="11"/>
  <c r="G358" i="11"/>
  <c r="G356" i="11"/>
  <c r="G350" i="11"/>
  <c r="G348" i="11"/>
  <c r="G342" i="11"/>
  <c r="G340" i="11"/>
  <c r="F380" i="11"/>
  <c r="F372" i="11"/>
  <c r="G369" i="11"/>
  <c r="G361" i="11"/>
  <c r="G353" i="11"/>
  <c r="G345" i="11"/>
  <c r="F393" i="11"/>
  <c r="F387" i="11"/>
  <c r="F385" i="11"/>
  <c r="F384" i="11"/>
  <c r="F379" i="11"/>
  <c r="F377" i="11"/>
  <c r="F371" i="11"/>
  <c r="G368" i="11"/>
  <c r="G362" i="11"/>
  <c r="G360" i="11"/>
  <c r="G354" i="11"/>
  <c r="G352" i="11"/>
  <c r="G346" i="11"/>
  <c r="G344" i="11"/>
  <c r="F376" i="11"/>
  <c r="G365" i="11"/>
  <c r="G357" i="11"/>
  <c r="G349" i="11"/>
  <c r="G341" i="11"/>
  <c r="F5" i="11"/>
  <c r="F7" i="11"/>
  <c r="F9" i="11"/>
  <c r="F11" i="11"/>
  <c r="F13" i="11"/>
  <c r="F15" i="11"/>
  <c r="F17" i="11"/>
  <c r="F19" i="11"/>
  <c r="F21" i="11"/>
  <c r="F23" i="11"/>
  <c r="F25" i="11"/>
  <c r="F27" i="11"/>
  <c r="F29" i="11"/>
  <c r="F31" i="11"/>
  <c r="F33" i="11"/>
  <c r="G36" i="11"/>
  <c r="G38" i="11"/>
  <c r="G40" i="11"/>
  <c r="G42" i="11"/>
  <c r="G44" i="11"/>
  <c r="G46" i="11"/>
  <c r="G48" i="11"/>
  <c r="G50" i="11"/>
  <c r="G54" i="11"/>
  <c r="G37" i="11"/>
  <c r="G39" i="11"/>
  <c r="G41" i="11"/>
  <c r="G43" i="11"/>
  <c r="G45" i="11"/>
  <c r="G47" i="11"/>
  <c r="G49" i="11"/>
  <c r="G51" i="11"/>
  <c r="G57" i="11"/>
  <c r="G59" i="11"/>
  <c r="F34" i="11"/>
  <c r="F32" i="11"/>
  <c r="F30" i="11"/>
  <c r="F28" i="11"/>
  <c r="F26" i="11"/>
  <c r="F24" i="11"/>
  <c r="F22" i="11"/>
  <c r="F20" i="11"/>
  <c r="F18" i="11"/>
  <c r="F16" i="11"/>
  <c r="F14" i="11"/>
  <c r="F12" i="11"/>
  <c r="F10" i="11"/>
  <c r="F8" i="11"/>
  <c r="F6" i="11"/>
  <c r="F4" i="11"/>
  <c r="F457" i="11"/>
  <c r="F453" i="11"/>
  <c r="F449" i="11"/>
  <c r="F460" i="11"/>
  <c r="F456" i="11"/>
  <c r="F452" i="11"/>
  <c r="F448" i="11"/>
  <c r="F459" i="11"/>
  <c r="F455" i="11"/>
  <c r="F451" i="11"/>
  <c r="F447" i="11"/>
  <c r="F446" i="11"/>
  <c r="F442" i="11"/>
  <c r="F438" i="11"/>
  <c r="F434" i="11"/>
  <c r="F430" i="11"/>
  <c r="G429" i="11"/>
  <c r="G425" i="11"/>
  <c r="G421" i="11"/>
  <c r="G417" i="11"/>
  <c r="G411" i="11"/>
  <c r="G407" i="11"/>
  <c r="G403" i="11"/>
  <c r="F454" i="11"/>
  <c r="F443" i="11"/>
  <c r="F440" i="11"/>
  <c r="F433" i="11"/>
  <c r="G428" i="11"/>
  <c r="G409" i="11"/>
  <c r="G401" i="11"/>
  <c r="F458" i="11"/>
  <c r="F444" i="11"/>
  <c r="F437" i="11"/>
  <c r="F431" i="11"/>
  <c r="G419" i="11"/>
  <c r="G418" i="11"/>
  <c r="G416" i="11"/>
  <c r="G410" i="11"/>
  <c r="G408" i="11"/>
  <c r="G402" i="11"/>
  <c r="F450" i="11"/>
  <c r="F441" i="11"/>
  <c r="F435" i="11"/>
  <c r="F432" i="11"/>
  <c r="G423" i="11"/>
  <c r="G422" i="11"/>
  <c r="G420" i="11"/>
  <c r="G415" i="11"/>
  <c r="G413" i="11"/>
  <c r="G405" i="11"/>
  <c r="F445" i="11"/>
  <c r="F439" i="11"/>
  <c r="F436" i="11"/>
  <c r="G427" i="11"/>
  <c r="G426" i="11"/>
  <c r="G424" i="11"/>
  <c r="G414" i="11"/>
  <c r="G412" i="11"/>
  <c r="G406" i="11"/>
  <c r="G404" i="11"/>
  <c r="F92" i="11"/>
  <c r="F88" i="11"/>
  <c r="F84" i="11"/>
  <c r="F80" i="11"/>
  <c r="F76" i="11"/>
  <c r="F72" i="11"/>
  <c r="F68" i="11"/>
  <c r="G61" i="11"/>
  <c r="F93" i="11"/>
  <c r="F89" i="11"/>
  <c r="F85" i="11"/>
  <c r="F81" i="11"/>
  <c r="F77" i="11"/>
  <c r="F73" i="11"/>
  <c r="F69" i="11"/>
  <c r="F65" i="11"/>
  <c r="G62" i="11"/>
  <c r="F94" i="11"/>
  <c r="F90" i="11"/>
  <c r="F86" i="11"/>
  <c r="F82" i="11"/>
  <c r="F78" i="11"/>
  <c r="F74" i="11"/>
  <c r="F70" i="11"/>
  <c r="F66" i="11"/>
  <c r="G63" i="11"/>
  <c r="F95" i="11"/>
  <c r="F91" i="11"/>
  <c r="F87" i="11"/>
  <c r="F83" i="11"/>
  <c r="F79" i="11"/>
  <c r="F75" i="11"/>
  <c r="F71" i="11"/>
  <c r="F67" i="11"/>
  <c r="G64" i="11"/>
  <c r="G60" i="11"/>
  <c r="G56" i="11"/>
  <c r="G52" i="11"/>
  <c r="F186" i="11"/>
  <c r="F182" i="11"/>
  <c r="F178" i="11"/>
  <c r="F174" i="11"/>
  <c r="F170" i="11"/>
  <c r="F166" i="11"/>
  <c r="F162" i="11"/>
  <c r="F158" i="11"/>
  <c r="G155" i="11"/>
  <c r="G151" i="11"/>
  <c r="G147" i="11"/>
  <c r="G143" i="11"/>
  <c r="F183" i="11"/>
  <c r="M183" i="11"/>
  <c r="F181" i="11"/>
  <c r="F175" i="11"/>
  <c r="F173" i="11"/>
  <c r="F167" i="11"/>
  <c r="M167" i="11"/>
  <c r="F165" i="11"/>
  <c r="F159" i="11"/>
  <c r="F157" i="11"/>
  <c r="M157" i="11"/>
  <c r="G156" i="11"/>
  <c r="G150" i="11"/>
  <c r="G148" i="11"/>
  <c r="G142" i="11"/>
  <c r="G140" i="11"/>
  <c r="G137" i="11"/>
  <c r="G133" i="11"/>
  <c r="G129" i="11"/>
  <c r="F180" i="11"/>
  <c r="F172" i="11"/>
  <c r="M172" i="11"/>
  <c r="F164" i="11"/>
  <c r="G153" i="11"/>
  <c r="G145" i="11"/>
  <c r="G138" i="11"/>
  <c r="G134" i="11"/>
  <c r="G130" i="11"/>
  <c r="G126" i="11"/>
  <c r="F185" i="11"/>
  <c r="F179" i="11"/>
  <c r="F177" i="11"/>
  <c r="M177" i="11"/>
  <c r="F171" i="11"/>
  <c r="F169" i="11"/>
  <c r="F163" i="11"/>
  <c r="F161" i="11"/>
  <c r="G154" i="11"/>
  <c r="G152" i="11"/>
  <c r="G146" i="11"/>
  <c r="G144" i="11"/>
  <c r="G139" i="11"/>
  <c r="G135" i="11"/>
  <c r="G131" i="11"/>
  <c r="G127" i="11"/>
  <c r="F184" i="11"/>
  <c r="F176" i="11"/>
  <c r="F168" i="11"/>
  <c r="F160" i="11"/>
  <c r="G149" i="11"/>
  <c r="G141" i="11"/>
  <c r="G136" i="11"/>
  <c r="G132" i="11"/>
  <c r="G128" i="11"/>
  <c r="F215" i="11"/>
  <c r="F216" i="11"/>
  <c r="M216" i="11"/>
  <c r="F212" i="11"/>
  <c r="M212" i="11"/>
  <c r="F217" i="11"/>
  <c r="M217" i="11"/>
  <c r="F213" i="11"/>
  <c r="M213" i="11"/>
  <c r="F214" i="11"/>
  <c r="M214" i="11"/>
  <c r="F210" i="11"/>
  <c r="M210" i="11"/>
  <c r="F206" i="11"/>
  <c r="M206" i="11"/>
  <c r="F202" i="11"/>
  <c r="M202" i="11"/>
  <c r="F198" i="11"/>
  <c r="M198" i="11"/>
  <c r="F194" i="11"/>
  <c r="M194" i="11"/>
  <c r="F190" i="11"/>
  <c r="M190" i="11"/>
  <c r="G183" i="11"/>
  <c r="G179" i="11"/>
  <c r="G175" i="11"/>
  <c r="G171" i="11"/>
  <c r="G167" i="11"/>
  <c r="G163" i="11"/>
  <c r="G159" i="11"/>
  <c r="F207" i="11"/>
  <c r="M207" i="11"/>
  <c r="F205" i="11"/>
  <c r="M205" i="11"/>
  <c r="F199" i="11"/>
  <c r="M199" i="11"/>
  <c r="F197" i="11"/>
  <c r="M197" i="11"/>
  <c r="F191" i="11"/>
  <c r="M191" i="11"/>
  <c r="F189" i="11"/>
  <c r="M189" i="11"/>
  <c r="G182" i="11"/>
  <c r="G180" i="11"/>
  <c r="G174" i="11"/>
  <c r="G172" i="11"/>
  <c r="G166" i="11"/>
  <c r="G164" i="11"/>
  <c r="G158" i="11"/>
  <c r="F204" i="11"/>
  <c r="M204" i="11"/>
  <c r="F196" i="11"/>
  <c r="M196" i="11"/>
  <c r="F188" i="11"/>
  <c r="M188" i="11"/>
  <c r="G185" i="11"/>
  <c r="G177" i="11"/>
  <c r="G169" i="11"/>
  <c r="G161" i="11"/>
  <c r="F211" i="11"/>
  <c r="M211" i="11"/>
  <c r="F209" i="11"/>
  <c r="M209" i="11"/>
  <c r="F203" i="11"/>
  <c r="M203" i="11"/>
  <c r="F201" i="11"/>
  <c r="M201" i="11"/>
  <c r="F195" i="11"/>
  <c r="M195" i="11"/>
  <c r="F193" i="11"/>
  <c r="M193" i="11"/>
  <c r="F187" i="11"/>
  <c r="M187" i="11"/>
  <c r="G186" i="11"/>
  <c r="G184" i="11"/>
  <c r="G178" i="11"/>
  <c r="G176" i="11"/>
  <c r="G170" i="11"/>
  <c r="G168" i="11"/>
  <c r="G162" i="11"/>
  <c r="G160" i="11"/>
  <c r="F208" i="11"/>
  <c r="M208" i="11"/>
  <c r="F200" i="11"/>
  <c r="M200" i="11"/>
  <c r="F192" i="11"/>
  <c r="M192" i="11"/>
  <c r="G181" i="11"/>
  <c r="G173" i="11"/>
  <c r="G165" i="11"/>
  <c r="G157" i="11"/>
  <c r="F306" i="11"/>
  <c r="M306" i="11"/>
  <c r="F302" i="11"/>
  <c r="F298" i="11"/>
  <c r="M298" i="11"/>
  <c r="F294" i="11"/>
  <c r="F308" i="11"/>
  <c r="F300" i="11"/>
  <c r="F307" i="11"/>
  <c r="F305" i="11"/>
  <c r="F304" i="11"/>
  <c r="F296" i="11"/>
  <c r="F290" i="11"/>
  <c r="F286" i="11"/>
  <c r="F282" i="11"/>
  <c r="G275" i="11"/>
  <c r="G271" i="11"/>
  <c r="G267" i="11"/>
  <c r="G263" i="11"/>
  <c r="G259" i="11"/>
  <c r="G255" i="11"/>
  <c r="G251" i="11"/>
  <c r="F303" i="11"/>
  <c r="M303" i="11"/>
  <c r="F299" i="11"/>
  <c r="F291" i="11"/>
  <c r="F289" i="11"/>
  <c r="F283" i="11"/>
  <c r="F281" i="11"/>
  <c r="G274" i="11"/>
  <c r="G272" i="11"/>
  <c r="G266" i="11"/>
  <c r="G264" i="11"/>
  <c r="G258" i="11"/>
  <c r="G256" i="11"/>
  <c r="G250" i="11"/>
  <c r="G248" i="11"/>
  <c r="F295" i="11"/>
  <c r="F288" i="11"/>
  <c r="F280" i="11"/>
  <c r="G277" i="11"/>
  <c r="G269" i="11"/>
  <c r="G261" i="11"/>
  <c r="G253" i="11"/>
  <c r="F301" i="11"/>
  <c r="F293" i="11"/>
  <c r="F287" i="11"/>
  <c r="F285" i="11"/>
  <c r="F279" i="11"/>
  <c r="G278" i="11"/>
  <c r="G276" i="11"/>
  <c r="G270" i="11"/>
  <c r="G268" i="11"/>
  <c r="G262" i="11"/>
  <c r="G260" i="11"/>
  <c r="G254" i="11"/>
  <c r="G252" i="11"/>
  <c r="F297" i="11"/>
  <c r="M297" i="11"/>
  <c r="F292" i="11"/>
  <c r="F284" i="11"/>
  <c r="M284" i="11"/>
  <c r="G273" i="11"/>
  <c r="G265" i="11"/>
  <c r="G257" i="11"/>
  <c r="G249" i="11"/>
  <c r="F338" i="11"/>
  <c r="M338" i="11"/>
  <c r="F334" i="11"/>
  <c r="M334" i="11"/>
  <c r="F330" i="11"/>
  <c r="M330" i="11"/>
  <c r="F326" i="11"/>
  <c r="M326" i="11"/>
  <c r="F322" i="11"/>
  <c r="M322" i="11"/>
  <c r="F318" i="11"/>
  <c r="M318" i="11"/>
  <c r="F314" i="11"/>
  <c r="M314" i="11"/>
  <c r="F310" i="11"/>
  <c r="M310" i="11"/>
  <c r="G307" i="11"/>
  <c r="G303" i="11"/>
  <c r="G299" i="11"/>
  <c r="G295" i="11"/>
  <c r="F335" i="11"/>
  <c r="M335" i="11"/>
  <c r="F333" i="11"/>
  <c r="F327" i="11"/>
  <c r="M327" i="11"/>
  <c r="F325" i="11"/>
  <c r="M325" i="11"/>
  <c r="F319" i="11"/>
  <c r="M319" i="11"/>
  <c r="F317" i="11"/>
  <c r="M317" i="11"/>
  <c r="F311" i="11"/>
  <c r="M311" i="11"/>
  <c r="F309" i="11"/>
  <c r="M309" i="11"/>
  <c r="G308" i="11"/>
  <c r="F332" i="11"/>
  <c r="F324" i="11"/>
  <c r="M324" i="11"/>
  <c r="F316" i="11"/>
  <c r="M316" i="11"/>
  <c r="G305" i="11"/>
  <c r="F339" i="11"/>
  <c r="M339" i="11"/>
  <c r="F337" i="11"/>
  <c r="M337" i="11"/>
  <c r="F331" i="11"/>
  <c r="M331" i="11"/>
  <c r="F329" i="11"/>
  <c r="M329" i="11"/>
  <c r="F323" i="11"/>
  <c r="M323" i="11"/>
  <c r="F321" i="11"/>
  <c r="M321" i="11"/>
  <c r="F315" i="11"/>
  <c r="M315" i="11"/>
  <c r="F313" i="11"/>
  <c r="M313" i="11"/>
  <c r="G306" i="11"/>
  <c r="G304" i="11"/>
  <c r="F336" i="11"/>
  <c r="M336" i="11"/>
  <c r="F328" i="11"/>
  <c r="M328" i="11"/>
  <c r="F320" i="11"/>
  <c r="F312" i="11"/>
  <c r="M312" i="11"/>
  <c r="G301" i="11"/>
  <c r="G291" i="11"/>
  <c r="G287" i="11"/>
  <c r="G283" i="11"/>
  <c r="G279" i="11"/>
  <c r="G290" i="11"/>
  <c r="G288" i="11"/>
  <c r="G282" i="11"/>
  <c r="G280" i="11"/>
  <c r="G302" i="11"/>
  <c r="G298" i="11"/>
  <c r="G293" i="11"/>
  <c r="G285" i="11"/>
  <c r="G300" i="11"/>
  <c r="G297" i="11"/>
  <c r="G296" i="11"/>
  <c r="G292" i="11"/>
  <c r="G286" i="11"/>
  <c r="G284" i="11"/>
  <c r="G294" i="11"/>
  <c r="G289" i="11"/>
  <c r="G281" i="11"/>
  <c r="H17" i="10"/>
  <c r="H5" i="10"/>
  <c r="G53" i="11"/>
  <c r="G55" i="11"/>
  <c r="AS11" i="1"/>
  <c r="AT11" i="1"/>
  <c r="AQ16" i="1"/>
  <c r="AR16" i="1"/>
  <c r="AP16" i="1"/>
  <c r="AR13" i="1"/>
  <c r="AV13" i="1"/>
  <c r="AQ12" i="1"/>
  <c r="AR12" i="1"/>
  <c r="AP12" i="1"/>
  <c r="AS15" i="1"/>
  <c r="AT15" i="1"/>
  <c r="AS14" i="1"/>
  <c r="AT14" i="1"/>
  <c r="AS18" i="1"/>
  <c r="AT18" i="1"/>
  <c r="AP18" i="1"/>
  <c r="AS12" i="1"/>
  <c r="AT12" i="1"/>
  <c r="AS16" i="1"/>
  <c r="AT16" i="1"/>
  <c r="AS20" i="1"/>
  <c r="AT20" i="1"/>
  <c r="AS19" i="1"/>
  <c r="AT19" i="1"/>
  <c r="AV11" i="1"/>
  <c r="AV12" i="1"/>
  <c r="AV14" i="1"/>
  <c r="AV15" i="1"/>
  <c r="AV16" i="1"/>
  <c r="AV17" i="1"/>
  <c r="AV18" i="1"/>
  <c r="AV19" i="1"/>
  <c r="AV20" i="1"/>
  <c r="AV21" i="1"/>
  <c r="AE19" i="1"/>
  <c r="AD19" i="1"/>
  <c r="AC14" i="1"/>
  <c r="AC18" i="1"/>
  <c r="AC22" i="1"/>
  <c r="AC13" i="1"/>
  <c r="AC17" i="1"/>
  <c r="AC21" i="1"/>
  <c r="AC12" i="1"/>
  <c r="AC16" i="1"/>
  <c r="AC20" i="1"/>
  <c r="AC11" i="1"/>
  <c r="AC15" i="1"/>
  <c r="S5" i="23"/>
  <c r="W6" i="23"/>
  <c r="O8" i="23"/>
  <c r="S9" i="23"/>
  <c r="W10" i="23"/>
  <c r="O12" i="23"/>
  <c r="S13" i="23"/>
  <c r="W14" i="23"/>
  <c r="O16" i="23"/>
  <c r="S17" i="23"/>
  <c r="W18" i="23"/>
  <c r="O20" i="23"/>
  <c r="S21" i="23"/>
  <c r="W22" i="23"/>
  <c r="O24" i="23"/>
  <c r="S25" i="23"/>
  <c r="W26" i="23"/>
  <c r="O28" i="23"/>
  <c r="S29" i="23"/>
  <c r="W30" i="23"/>
  <c r="O32" i="23"/>
  <c r="S33" i="23"/>
  <c r="W34" i="23"/>
  <c r="O36" i="23"/>
  <c r="S37" i="23"/>
  <c r="W38" i="23"/>
  <c r="O40" i="23"/>
  <c r="S41" i="23"/>
  <c r="W42" i="23"/>
  <c r="O44" i="23"/>
  <c r="S45" i="23"/>
  <c r="W46" i="23"/>
  <c r="O48" i="23"/>
  <c r="S49" i="23"/>
  <c r="W50" i="23"/>
  <c r="O52" i="23"/>
  <c r="S53" i="23"/>
  <c r="W54" i="23"/>
  <c r="O56" i="23"/>
  <c r="S57" i="23"/>
  <c r="W60" i="23"/>
  <c r="O62" i="23"/>
  <c r="S63" i="23"/>
  <c r="W64" i="23"/>
  <c r="O66" i="23"/>
  <c r="S67" i="23"/>
  <c r="W68" i="23"/>
  <c r="X69" i="23"/>
  <c r="P71" i="23"/>
  <c r="T72" i="23"/>
  <c r="X73" i="23"/>
  <c r="P75" i="23"/>
  <c r="V77" i="23"/>
  <c r="R80" i="23"/>
  <c r="N83" i="23"/>
  <c r="V85" i="23"/>
  <c r="R88" i="23"/>
  <c r="N91" i="23"/>
  <c r="V93" i="23"/>
  <c r="R96" i="23"/>
  <c r="N99" i="23"/>
  <c r="V101" i="23"/>
  <c r="R104" i="23"/>
  <c r="N107" i="23"/>
  <c r="V109" i="23"/>
  <c r="R112" i="23"/>
  <c r="N115" i="23"/>
  <c r="V117" i="23"/>
  <c r="R120" i="23"/>
  <c r="N123" i="23"/>
  <c r="V125" i="23"/>
  <c r="W5" i="23"/>
  <c r="O7" i="23"/>
  <c r="S8" i="23"/>
  <c r="W9" i="23"/>
  <c r="O11" i="23"/>
  <c r="S12" i="23"/>
  <c r="W13" i="23"/>
  <c r="O15" i="23"/>
  <c r="S16" i="23"/>
  <c r="W17" i="23"/>
  <c r="O19" i="23"/>
  <c r="S20" i="23"/>
  <c r="W21" i="23"/>
  <c r="O23" i="23"/>
  <c r="S24" i="23"/>
  <c r="W25" i="23"/>
  <c r="O27" i="23"/>
  <c r="S28" i="23"/>
  <c r="W29" i="23"/>
  <c r="O31" i="23"/>
  <c r="S32" i="23"/>
  <c r="W33" i="23"/>
  <c r="O35" i="23"/>
  <c r="S36" i="23"/>
  <c r="W37" i="23"/>
  <c r="O39" i="23"/>
  <c r="S40" i="23"/>
  <c r="W41" i="23"/>
  <c r="O43" i="23"/>
  <c r="S44" i="23"/>
  <c r="W45" i="23"/>
  <c r="O47" i="23"/>
  <c r="S48" i="23"/>
  <c r="W49" i="23"/>
  <c r="O51" i="23"/>
  <c r="S52" i="23"/>
  <c r="W53" i="23"/>
  <c r="O55" i="23"/>
  <c r="S56" i="23"/>
  <c r="W57" i="23"/>
  <c r="O61" i="23"/>
  <c r="S62" i="23"/>
  <c r="W63" i="23"/>
  <c r="O65" i="23"/>
  <c r="S66" i="23"/>
  <c r="W67" i="23"/>
  <c r="P70" i="23"/>
  <c r="T71" i="23"/>
  <c r="X72" i="23"/>
  <c r="P74" i="23"/>
  <c r="V75" i="23"/>
  <c r="R78" i="23"/>
  <c r="N81" i="23"/>
  <c r="V83" i="23"/>
  <c r="R86" i="23"/>
  <c r="N89" i="23"/>
  <c r="V91" i="23"/>
  <c r="R94" i="23"/>
  <c r="N97" i="23"/>
  <c r="V99" i="23"/>
  <c r="R102" i="23"/>
  <c r="N105" i="23"/>
  <c r="V107" i="23"/>
  <c r="R110" i="23"/>
  <c r="N113" i="23"/>
  <c r="V115" i="23"/>
  <c r="R118" i="23"/>
  <c r="N121" i="23"/>
  <c r="V123" i="23"/>
  <c r="R126" i="23"/>
  <c r="O6" i="23"/>
  <c r="S7" i="23"/>
  <c r="W8" i="23"/>
  <c r="O10" i="23"/>
  <c r="S11" i="23"/>
  <c r="W12" i="23"/>
  <c r="O14" i="23"/>
  <c r="S15" i="23"/>
  <c r="W16" i="23"/>
  <c r="O18" i="23"/>
  <c r="S19" i="23"/>
  <c r="W20" i="23"/>
  <c r="O22" i="23"/>
  <c r="S23" i="23"/>
  <c r="W24" i="23"/>
  <c r="O26" i="23"/>
  <c r="S27" i="23"/>
  <c r="W28" i="23"/>
  <c r="O30" i="23"/>
  <c r="S31" i="23"/>
  <c r="W32" i="23"/>
  <c r="O34" i="23"/>
  <c r="S35" i="23"/>
  <c r="W36" i="23"/>
  <c r="O38" i="23"/>
  <c r="S39" i="23"/>
  <c r="W40" i="23"/>
  <c r="O42" i="23"/>
  <c r="S43" i="23"/>
  <c r="W44" i="23"/>
  <c r="O46" i="23"/>
  <c r="S47" i="23"/>
  <c r="W48" i="23"/>
  <c r="O50" i="23"/>
  <c r="S51" i="23"/>
  <c r="W52" i="23"/>
  <c r="O54" i="23"/>
  <c r="S55" i="23"/>
  <c r="W56" i="23"/>
  <c r="O60" i="23"/>
  <c r="S61" i="23"/>
  <c r="W62" i="23"/>
  <c r="O64" i="23"/>
  <c r="S65" i="23"/>
  <c r="W66" i="23"/>
  <c r="O68" i="23"/>
  <c r="P69" i="23"/>
  <c r="T70" i="23"/>
  <c r="X71" i="23"/>
  <c r="P73" i="23"/>
  <c r="T74" i="23"/>
  <c r="R76" i="23"/>
  <c r="N79" i="23"/>
  <c r="V81" i="23"/>
  <c r="R84" i="23"/>
  <c r="N87" i="23"/>
  <c r="V89" i="23"/>
  <c r="R92" i="23"/>
  <c r="N95" i="23"/>
  <c r="V97" i="23"/>
  <c r="R100" i="23"/>
  <c r="N103" i="23"/>
  <c r="V105" i="23"/>
  <c r="R108" i="23"/>
  <c r="N111" i="23"/>
  <c r="V113" i="23"/>
  <c r="R116" i="23"/>
  <c r="N119" i="23"/>
  <c r="V121" i="23"/>
  <c r="R124" i="23"/>
  <c r="N127" i="23"/>
  <c r="O5" i="23"/>
  <c r="S6" i="23"/>
  <c r="W7" i="23"/>
  <c r="O9" i="23"/>
  <c r="S10" i="23"/>
  <c r="W11" i="23"/>
  <c r="O13" i="23"/>
  <c r="S14" i="23"/>
  <c r="W15" i="23"/>
  <c r="O17" i="23"/>
  <c r="S18" i="23"/>
  <c r="W19" i="23"/>
  <c r="O21" i="23"/>
  <c r="S22" i="23"/>
  <c r="W23" i="23"/>
  <c r="O25" i="23"/>
  <c r="S26" i="23"/>
  <c r="W27" i="23"/>
  <c r="O29" i="23"/>
  <c r="S30" i="23"/>
  <c r="W31" i="23"/>
  <c r="O33" i="23"/>
  <c r="S34" i="23"/>
  <c r="W35" i="23"/>
  <c r="O37" i="23"/>
  <c r="S38" i="23"/>
  <c r="W39" i="23"/>
  <c r="O41" i="23"/>
  <c r="S42" i="23"/>
  <c r="W43" i="23"/>
  <c r="O45" i="23"/>
  <c r="S46" i="23"/>
  <c r="W47" i="23"/>
  <c r="O49" i="23"/>
  <c r="S50" i="23"/>
  <c r="W51" i="23"/>
  <c r="O53" i="23"/>
  <c r="S54" i="23"/>
  <c r="W55" i="23"/>
  <c r="O57" i="23"/>
  <c r="S60" i="23"/>
  <c r="W61" i="23"/>
  <c r="O63" i="23"/>
  <c r="S64" i="23"/>
  <c r="W65" i="23"/>
  <c r="O67" i="23"/>
  <c r="S68" i="23"/>
  <c r="T69" i="23"/>
  <c r="X70" i="23"/>
  <c r="P72" i="23"/>
  <c r="T73" i="23"/>
  <c r="X74" i="23"/>
  <c r="N77" i="23"/>
  <c r="V79" i="23"/>
  <c r="R82" i="23"/>
  <c r="N85" i="23"/>
  <c r="V87" i="23"/>
  <c r="R90" i="23"/>
  <c r="N93" i="23"/>
  <c r="V95" i="23"/>
  <c r="R98" i="23"/>
  <c r="N101" i="23"/>
  <c r="V103" i="23"/>
  <c r="R106" i="23"/>
  <c r="N109" i="23"/>
  <c r="V111" i="23"/>
  <c r="R114" i="23"/>
  <c r="N117" i="23"/>
  <c r="V119" i="23"/>
  <c r="R122" i="23"/>
  <c r="N125" i="23"/>
  <c r="AL66" i="9"/>
  <c r="AL76" i="9"/>
  <c r="AL58" i="9"/>
  <c r="AL82" i="9"/>
  <c r="AL74" i="9"/>
  <c r="AL60" i="9"/>
  <c r="AL68" i="9"/>
  <c r="AL56" i="9"/>
  <c r="AL64" i="9"/>
  <c r="AL72" i="9"/>
  <c r="AL80" i="9"/>
  <c r="AL54" i="9"/>
  <c r="AL62" i="9"/>
  <c r="AL70" i="9"/>
  <c r="AL78" i="9"/>
  <c r="Y16" i="25"/>
  <c r="Y17" i="25"/>
  <c r="Y18" i="25"/>
  <c r="Y19" i="25"/>
  <c r="Y20" i="25"/>
  <c r="Y21" i="25"/>
  <c r="Y22" i="25"/>
  <c r="Y23" i="25"/>
  <c r="Y24" i="25"/>
  <c r="Y25" i="25"/>
  <c r="Y26" i="25"/>
  <c r="Y27" i="25"/>
  <c r="Y28" i="25"/>
  <c r="Y29" i="25"/>
  <c r="Y30" i="25"/>
  <c r="Y31" i="25"/>
  <c r="Y32" i="25"/>
  <c r="Y33" i="25"/>
  <c r="Y34" i="25"/>
  <c r="Y35" i="25"/>
  <c r="Y36" i="25"/>
  <c r="Y37" i="25"/>
  <c r="Y38" i="25"/>
  <c r="Y39" i="25"/>
  <c r="Y40" i="25"/>
  <c r="Y41" i="25"/>
  <c r="Y42" i="25"/>
  <c r="Y43" i="25"/>
  <c r="Y44" i="25"/>
  <c r="Y45" i="25"/>
  <c r="Y46" i="25"/>
  <c r="Y47" i="25"/>
  <c r="Y48" i="25"/>
  <c r="Y49" i="25"/>
  <c r="Y50" i="25"/>
  <c r="Y51" i="25"/>
  <c r="Y52" i="25"/>
  <c r="Y53" i="25"/>
  <c r="Y54" i="25"/>
  <c r="Y55" i="25"/>
  <c r="Y56" i="25"/>
  <c r="Y57" i="25"/>
  <c r="Y58" i="25"/>
  <c r="Y59" i="25"/>
  <c r="Y60" i="25"/>
  <c r="Y61" i="25"/>
  <c r="Y62" i="25"/>
  <c r="Y63" i="25"/>
  <c r="Y64" i="25"/>
  <c r="Y65" i="25"/>
  <c r="Y66" i="25"/>
  <c r="Y67" i="25"/>
  <c r="Y68" i="25"/>
  <c r="Y69" i="25"/>
  <c r="Y70" i="25"/>
  <c r="Y71" i="25"/>
  <c r="Y72" i="25"/>
  <c r="Y73" i="25"/>
  <c r="Y74" i="25"/>
  <c r="Y75" i="25"/>
  <c r="Y76" i="25"/>
  <c r="Y77" i="25"/>
  <c r="Y78" i="25"/>
  <c r="Y79" i="25"/>
  <c r="Y80" i="25"/>
  <c r="Y81" i="25"/>
  <c r="Y82" i="25"/>
  <c r="Y83" i="25"/>
  <c r="Y84" i="25"/>
  <c r="Y85" i="25"/>
  <c r="Y86" i="25"/>
  <c r="Y87" i="25"/>
  <c r="Y88" i="25"/>
  <c r="Y89" i="25"/>
  <c r="Y90" i="25"/>
  <c r="Y91" i="25"/>
  <c r="Y92" i="25"/>
  <c r="Y93" i="25"/>
  <c r="Y94" i="25"/>
  <c r="Y95" i="25"/>
  <c r="Y96" i="25"/>
  <c r="Y97" i="25"/>
  <c r="Y98" i="25"/>
  <c r="Y99" i="25"/>
  <c r="Y100" i="25"/>
  <c r="Y101" i="25"/>
  <c r="Y102" i="25"/>
  <c r="Y103" i="25"/>
  <c r="Y104" i="25"/>
  <c r="Y105" i="25"/>
  <c r="Y106" i="25"/>
  <c r="Y107" i="25"/>
  <c r="Y108" i="25"/>
  <c r="Y109" i="25"/>
  <c r="Y110" i="25"/>
  <c r="Y111" i="25"/>
  <c r="Y112" i="25"/>
  <c r="Y113" i="25"/>
  <c r="Y114" i="25"/>
  <c r="Y115" i="25"/>
  <c r="Y116" i="25"/>
  <c r="Y117" i="25"/>
  <c r="Y118" i="25"/>
  <c r="Y119" i="25"/>
  <c r="Y120" i="25"/>
  <c r="Y121" i="25"/>
  <c r="Y122" i="25"/>
  <c r="Y123" i="25"/>
  <c r="Y124" i="25"/>
  <c r="Y125" i="25"/>
  <c r="Y126" i="25"/>
  <c r="Y127" i="25"/>
  <c r="Y128" i="25"/>
  <c r="Y129" i="25"/>
  <c r="Y130" i="25"/>
  <c r="Y131" i="25"/>
  <c r="Y132" i="25"/>
  <c r="Y133" i="25"/>
  <c r="Y134" i="25"/>
  <c r="Y135" i="25"/>
  <c r="Y136" i="25"/>
  <c r="Y137" i="25"/>
  <c r="J7" i="29"/>
  <c r="L7" i="29"/>
  <c r="AL53" i="9"/>
  <c r="AL57" i="9"/>
  <c r="AL61" i="9"/>
  <c r="AL65" i="9"/>
  <c r="AL69" i="9"/>
  <c r="AL73" i="9"/>
  <c r="AL77" i="9"/>
  <c r="AL81" i="9"/>
  <c r="AL55" i="9"/>
  <c r="AL59" i="9"/>
  <c r="AL63" i="9"/>
  <c r="AL67" i="9"/>
  <c r="AL71" i="9"/>
  <c r="AL75" i="9"/>
  <c r="AL79" i="9"/>
  <c r="Y127" i="23"/>
  <c r="U127" i="23"/>
  <c r="Q127" i="23"/>
  <c r="Y126" i="23"/>
  <c r="U126" i="23"/>
  <c r="Q126" i="23"/>
  <c r="Y125" i="23"/>
  <c r="U125" i="23"/>
  <c r="Q125" i="23"/>
  <c r="Y124" i="23"/>
  <c r="U124" i="23"/>
  <c r="Q124" i="23"/>
  <c r="Y123" i="23"/>
  <c r="U123" i="23"/>
  <c r="Q123" i="23"/>
  <c r="Y122" i="23"/>
  <c r="U122" i="23"/>
  <c r="Q122" i="23"/>
  <c r="Y121" i="23"/>
  <c r="U121" i="23"/>
  <c r="Q121" i="23"/>
  <c r="Y120" i="23"/>
  <c r="U120" i="23"/>
  <c r="Q120" i="23"/>
  <c r="Y119" i="23"/>
  <c r="U119" i="23"/>
  <c r="Q119" i="23"/>
  <c r="Y118" i="23"/>
  <c r="U118" i="23"/>
  <c r="Q118" i="23"/>
  <c r="Y117" i="23"/>
  <c r="U117" i="23"/>
  <c r="Q117" i="23"/>
  <c r="Y116" i="23"/>
  <c r="U116" i="23"/>
  <c r="Q116" i="23"/>
  <c r="Y115" i="23"/>
  <c r="U115" i="23"/>
  <c r="Q115" i="23"/>
  <c r="Y114" i="23"/>
  <c r="U114" i="23"/>
  <c r="Q114" i="23"/>
  <c r="Y113" i="23"/>
  <c r="U113" i="23"/>
  <c r="Q113" i="23"/>
  <c r="Y112" i="23"/>
  <c r="U112" i="23"/>
  <c r="Q112" i="23"/>
  <c r="Y111" i="23"/>
  <c r="U111" i="23"/>
  <c r="Q111" i="23"/>
  <c r="Y110" i="23"/>
  <c r="U110" i="23"/>
  <c r="Q110" i="23"/>
  <c r="Y109" i="23"/>
  <c r="U109" i="23"/>
  <c r="Q109" i="23"/>
  <c r="Y108" i="23"/>
  <c r="U108" i="23"/>
  <c r="Q108" i="23"/>
  <c r="Y107" i="23"/>
  <c r="U107" i="23"/>
  <c r="Q107" i="23"/>
  <c r="Y106" i="23"/>
  <c r="U106" i="23"/>
  <c r="Q106" i="23"/>
  <c r="Y105" i="23"/>
  <c r="U105" i="23"/>
  <c r="Q105" i="23"/>
  <c r="Y104" i="23"/>
  <c r="U104" i="23"/>
  <c r="Q104" i="23"/>
  <c r="Y103" i="23"/>
  <c r="U103" i="23"/>
  <c r="Q103" i="23"/>
  <c r="Y102" i="23"/>
  <c r="U102" i="23"/>
  <c r="Q102" i="23"/>
  <c r="Y101" i="23"/>
  <c r="U101" i="23"/>
  <c r="Q101" i="23"/>
  <c r="Y100" i="23"/>
  <c r="U100" i="23"/>
  <c r="Q100" i="23"/>
  <c r="Y99" i="23"/>
  <c r="U99" i="23"/>
  <c r="Q99" i="23"/>
  <c r="Y98" i="23"/>
  <c r="U98" i="23"/>
  <c r="Q98" i="23"/>
  <c r="Y97" i="23"/>
  <c r="U97" i="23"/>
  <c r="Q97" i="23"/>
  <c r="Y96" i="23"/>
  <c r="U96" i="23"/>
  <c r="Q96" i="23"/>
  <c r="Y95" i="23"/>
  <c r="U95" i="23"/>
  <c r="Q95" i="23"/>
  <c r="Y94" i="23"/>
  <c r="U94" i="23"/>
  <c r="Q94" i="23"/>
  <c r="Y93" i="23"/>
  <c r="U93" i="23"/>
  <c r="Q93" i="23"/>
  <c r="Y92" i="23"/>
  <c r="U92" i="23"/>
  <c r="Q92" i="23"/>
  <c r="Y91" i="23"/>
  <c r="U91" i="23"/>
  <c r="Q91" i="23"/>
  <c r="Y90" i="23"/>
  <c r="U90" i="23"/>
  <c r="Q90" i="23"/>
  <c r="Y89" i="23"/>
  <c r="U89" i="23"/>
  <c r="Q89" i="23"/>
  <c r="Y88" i="23"/>
  <c r="U88" i="23"/>
  <c r="Q88" i="23"/>
  <c r="Y87" i="23"/>
  <c r="U87" i="23"/>
  <c r="Q87" i="23"/>
  <c r="Y86" i="23"/>
  <c r="U86" i="23"/>
  <c r="Q86" i="23"/>
  <c r="Y85" i="23"/>
  <c r="U85" i="23"/>
  <c r="Q85" i="23"/>
  <c r="Y84" i="23"/>
  <c r="U84" i="23"/>
  <c r="Q84" i="23"/>
  <c r="Y83" i="23"/>
  <c r="U83" i="23"/>
  <c r="Q83" i="23"/>
  <c r="Y82" i="23"/>
  <c r="U82" i="23"/>
  <c r="Q82" i="23"/>
  <c r="Y81" i="23"/>
  <c r="U81" i="23"/>
  <c r="Q81" i="23"/>
  <c r="Y80" i="23"/>
  <c r="U80" i="23"/>
  <c r="Q80" i="23"/>
  <c r="Y79" i="23"/>
  <c r="U79" i="23"/>
  <c r="Q79" i="23"/>
  <c r="Y78" i="23"/>
  <c r="U78" i="23"/>
  <c r="Q78" i="23"/>
  <c r="Y77" i="23"/>
  <c r="U77" i="23"/>
  <c r="Q77" i="23"/>
  <c r="Y76" i="23"/>
  <c r="U76" i="23"/>
  <c r="Q76" i="23"/>
  <c r="Y75" i="23"/>
  <c r="U75" i="23"/>
  <c r="W127" i="23"/>
  <c r="S127" i="23"/>
  <c r="O127" i="23"/>
  <c r="W126" i="23"/>
  <c r="S126" i="23"/>
  <c r="O126" i="23"/>
  <c r="W125" i="23"/>
  <c r="S125" i="23"/>
  <c r="O125" i="23"/>
  <c r="W124" i="23"/>
  <c r="S124" i="23"/>
  <c r="O124" i="23"/>
  <c r="W123" i="23"/>
  <c r="S123" i="23"/>
  <c r="O123" i="23"/>
  <c r="W122" i="23"/>
  <c r="S122" i="23"/>
  <c r="O122" i="23"/>
  <c r="W121" i="23"/>
  <c r="S121" i="23"/>
  <c r="O121" i="23"/>
  <c r="W120" i="23"/>
  <c r="S120" i="23"/>
  <c r="O120" i="23"/>
  <c r="W119" i="23"/>
  <c r="S119" i="23"/>
  <c r="O119" i="23"/>
  <c r="W118" i="23"/>
  <c r="S118" i="23"/>
  <c r="O118" i="23"/>
  <c r="W117" i="23"/>
  <c r="S117" i="23"/>
  <c r="O117" i="23"/>
  <c r="W116" i="23"/>
  <c r="S116" i="23"/>
  <c r="O116" i="23"/>
  <c r="W115" i="23"/>
  <c r="S115" i="23"/>
  <c r="O115" i="23"/>
  <c r="W114" i="23"/>
  <c r="S114" i="23"/>
  <c r="O114" i="23"/>
  <c r="W113" i="23"/>
  <c r="S113" i="23"/>
  <c r="O113" i="23"/>
  <c r="W112" i="23"/>
  <c r="S112" i="23"/>
  <c r="O112" i="23"/>
  <c r="W111" i="23"/>
  <c r="S111" i="23"/>
  <c r="O111" i="23"/>
  <c r="W110" i="23"/>
  <c r="S110" i="23"/>
  <c r="O110" i="23"/>
  <c r="W109" i="23"/>
  <c r="S109" i="23"/>
  <c r="O109" i="23"/>
  <c r="W108" i="23"/>
  <c r="S108" i="23"/>
  <c r="O108" i="23"/>
  <c r="W107" i="23"/>
  <c r="S107" i="23"/>
  <c r="O107" i="23"/>
  <c r="W106" i="23"/>
  <c r="S106" i="23"/>
  <c r="O106" i="23"/>
  <c r="W105" i="23"/>
  <c r="S105" i="23"/>
  <c r="O105" i="23"/>
  <c r="W104" i="23"/>
  <c r="S104" i="23"/>
  <c r="O104" i="23"/>
  <c r="W103" i="23"/>
  <c r="S103" i="23"/>
  <c r="O103" i="23"/>
  <c r="W102" i="23"/>
  <c r="S102" i="23"/>
  <c r="O102" i="23"/>
  <c r="W101" i="23"/>
  <c r="S101" i="23"/>
  <c r="O101" i="23"/>
  <c r="W100" i="23"/>
  <c r="S100" i="23"/>
  <c r="O100" i="23"/>
  <c r="W99" i="23"/>
  <c r="S99" i="23"/>
  <c r="O99" i="23"/>
  <c r="W98" i="23"/>
  <c r="S98" i="23"/>
  <c r="O98" i="23"/>
  <c r="W97" i="23"/>
  <c r="S97" i="23"/>
  <c r="O97" i="23"/>
  <c r="W96" i="23"/>
  <c r="S96" i="23"/>
  <c r="O96" i="23"/>
  <c r="W95" i="23"/>
  <c r="S95" i="23"/>
  <c r="O95" i="23"/>
  <c r="W94" i="23"/>
  <c r="S94" i="23"/>
  <c r="O94" i="23"/>
  <c r="W93" i="23"/>
  <c r="S93" i="23"/>
  <c r="O93" i="23"/>
  <c r="W92" i="23"/>
  <c r="S92" i="23"/>
  <c r="O92" i="23"/>
  <c r="W91" i="23"/>
  <c r="S91" i="23"/>
  <c r="O91" i="23"/>
  <c r="W90" i="23"/>
  <c r="S90" i="23"/>
  <c r="O90" i="23"/>
  <c r="W89" i="23"/>
  <c r="S89" i="23"/>
  <c r="O89" i="23"/>
  <c r="W88" i="23"/>
  <c r="S88" i="23"/>
  <c r="O88" i="23"/>
  <c r="W87" i="23"/>
  <c r="S87" i="23"/>
  <c r="O87" i="23"/>
  <c r="W86" i="23"/>
  <c r="S86" i="23"/>
  <c r="O86" i="23"/>
  <c r="W85" i="23"/>
  <c r="S85" i="23"/>
  <c r="O85" i="23"/>
  <c r="W84" i="23"/>
  <c r="S84" i="23"/>
  <c r="O84" i="23"/>
  <c r="W83" i="23"/>
  <c r="S83" i="23"/>
  <c r="O83" i="23"/>
  <c r="W82" i="23"/>
  <c r="S82" i="23"/>
  <c r="O82" i="23"/>
  <c r="W81" i="23"/>
  <c r="S81" i="23"/>
  <c r="O81" i="23"/>
  <c r="W80" i="23"/>
  <c r="S80" i="23"/>
  <c r="O80" i="23"/>
  <c r="W79" i="23"/>
  <c r="S79" i="23"/>
  <c r="O79" i="23"/>
  <c r="W78" i="23"/>
  <c r="S78" i="23"/>
  <c r="O78" i="23"/>
  <c r="W77" i="23"/>
  <c r="S77" i="23"/>
  <c r="O77" i="23"/>
  <c r="W76" i="23"/>
  <c r="S76" i="23"/>
  <c r="O76" i="23"/>
  <c r="W75" i="23"/>
  <c r="S75" i="23"/>
  <c r="X127" i="23"/>
  <c r="P127" i="23"/>
  <c r="T126" i="23"/>
  <c r="X125" i="23"/>
  <c r="P125" i="23"/>
  <c r="T124" i="23"/>
  <c r="X123" i="23"/>
  <c r="P123" i="23"/>
  <c r="T122" i="23"/>
  <c r="X121" i="23"/>
  <c r="P121" i="23"/>
  <c r="T120" i="23"/>
  <c r="X119" i="23"/>
  <c r="P119" i="23"/>
  <c r="T118" i="23"/>
  <c r="X117" i="23"/>
  <c r="P117" i="23"/>
  <c r="T116" i="23"/>
  <c r="X115" i="23"/>
  <c r="P115" i="23"/>
  <c r="T114" i="23"/>
  <c r="X113" i="23"/>
  <c r="P113" i="23"/>
  <c r="T112" i="23"/>
  <c r="X111" i="23"/>
  <c r="P111" i="23"/>
  <c r="T110" i="23"/>
  <c r="X109" i="23"/>
  <c r="P109" i="23"/>
  <c r="T108" i="23"/>
  <c r="X107" i="23"/>
  <c r="P107" i="23"/>
  <c r="T106" i="23"/>
  <c r="X105" i="23"/>
  <c r="P105" i="23"/>
  <c r="T104" i="23"/>
  <c r="X103" i="23"/>
  <c r="P103" i="23"/>
  <c r="T102" i="23"/>
  <c r="X101" i="23"/>
  <c r="P101" i="23"/>
  <c r="T100" i="23"/>
  <c r="X99" i="23"/>
  <c r="P99" i="23"/>
  <c r="T98" i="23"/>
  <c r="X97" i="23"/>
  <c r="P97" i="23"/>
  <c r="T96" i="23"/>
  <c r="X95" i="23"/>
  <c r="P95" i="23"/>
  <c r="T94" i="23"/>
  <c r="X93" i="23"/>
  <c r="P93" i="23"/>
  <c r="T92" i="23"/>
  <c r="X91" i="23"/>
  <c r="P91" i="23"/>
  <c r="T90" i="23"/>
  <c r="X89" i="23"/>
  <c r="P89" i="23"/>
  <c r="T88" i="23"/>
  <c r="X87" i="23"/>
  <c r="P87" i="23"/>
  <c r="T86" i="23"/>
  <c r="X85" i="23"/>
  <c r="P85" i="23"/>
  <c r="T84" i="23"/>
  <c r="X83" i="23"/>
  <c r="P83" i="23"/>
  <c r="T82" i="23"/>
  <c r="X81" i="23"/>
  <c r="P81" i="23"/>
  <c r="T80" i="23"/>
  <c r="X79" i="23"/>
  <c r="P79" i="23"/>
  <c r="T78" i="23"/>
  <c r="X77" i="23"/>
  <c r="P77" i="23"/>
  <c r="T76" i="23"/>
  <c r="X75" i="23"/>
  <c r="Q75" i="23"/>
  <c r="Y74" i="23"/>
  <c r="U74" i="23"/>
  <c r="Q74" i="23"/>
  <c r="Y73" i="23"/>
  <c r="U73" i="23"/>
  <c r="Q73" i="23"/>
  <c r="Y72" i="23"/>
  <c r="U72" i="23"/>
  <c r="Q72" i="23"/>
  <c r="Y71" i="23"/>
  <c r="U71" i="23"/>
  <c r="Q71" i="23"/>
  <c r="Y70" i="23"/>
  <c r="U70" i="23"/>
  <c r="Q70" i="23"/>
  <c r="Y69" i="23"/>
  <c r="U69" i="23"/>
  <c r="Q69" i="23"/>
  <c r="V68" i="23"/>
  <c r="R68" i="23"/>
  <c r="N68" i="23"/>
  <c r="V67" i="23"/>
  <c r="R67" i="23"/>
  <c r="N67" i="23"/>
  <c r="V66" i="23"/>
  <c r="R66" i="23"/>
  <c r="N66" i="23"/>
  <c r="V65" i="23"/>
  <c r="R65" i="23"/>
  <c r="N65" i="23"/>
  <c r="V64" i="23"/>
  <c r="R64" i="23"/>
  <c r="N64" i="23"/>
  <c r="V63" i="23"/>
  <c r="R63" i="23"/>
  <c r="N63" i="23"/>
  <c r="V62" i="23"/>
  <c r="R62" i="23"/>
  <c r="N62" i="23"/>
  <c r="V61" i="23"/>
  <c r="R61" i="23"/>
  <c r="N61" i="23"/>
  <c r="V60" i="23"/>
  <c r="R60" i="23"/>
  <c r="N60" i="23"/>
  <c r="V57" i="23"/>
  <c r="R57" i="23"/>
  <c r="N57" i="23"/>
  <c r="V56" i="23"/>
  <c r="R56" i="23"/>
  <c r="N56" i="23"/>
  <c r="V55" i="23"/>
  <c r="R55" i="23"/>
  <c r="N55" i="23"/>
  <c r="V54" i="23"/>
  <c r="R54" i="23"/>
  <c r="N54" i="23"/>
  <c r="V53" i="23"/>
  <c r="R53" i="23"/>
  <c r="N53" i="23"/>
  <c r="V52" i="23"/>
  <c r="R52" i="23"/>
  <c r="N52" i="23"/>
  <c r="V51" i="23"/>
  <c r="R51" i="23"/>
  <c r="N51" i="23"/>
  <c r="V50" i="23"/>
  <c r="R50" i="23"/>
  <c r="N50" i="23"/>
  <c r="V49" i="23"/>
  <c r="R49" i="23"/>
  <c r="N49" i="23"/>
  <c r="V48" i="23"/>
  <c r="R48" i="23"/>
  <c r="N48" i="23"/>
  <c r="V47" i="23"/>
  <c r="R47" i="23"/>
  <c r="N47" i="23"/>
  <c r="V46" i="23"/>
  <c r="R46" i="23"/>
  <c r="N46" i="23"/>
  <c r="V45" i="23"/>
  <c r="R45" i="23"/>
  <c r="N45" i="23"/>
  <c r="V44" i="23"/>
  <c r="R44" i="23"/>
  <c r="N44" i="23"/>
  <c r="V43" i="23"/>
  <c r="R43" i="23"/>
  <c r="N43" i="23"/>
  <c r="V42" i="23"/>
  <c r="R42" i="23"/>
  <c r="N42" i="23"/>
  <c r="V41" i="23"/>
  <c r="R41" i="23"/>
  <c r="N41" i="23"/>
  <c r="V40" i="23"/>
  <c r="R40" i="23"/>
  <c r="N40" i="23"/>
  <c r="V39" i="23"/>
  <c r="R39" i="23"/>
  <c r="N39" i="23"/>
  <c r="V38" i="23"/>
  <c r="R38" i="23"/>
  <c r="N38" i="23"/>
  <c r="V37" i="23"/>
  <c r="R37" i="23"/>
  <c r="N37" i="23"/>
  <c r="V36" i="23"/>
  <c r="R36" i="23"/>
  <c r="N36" i="23"/>
  <c r="V35" i="23"/>
  <c r="R35" i="23"/>
  <c r="N35" i="23"/>
  <c r="V34" i="23"/>
  <c r="R34" i="23"/>
  <c r="N34" i="23"/>
  <c r="V33" i="23"/>
  <c r="R33" i="23"/>
  <c r="N33" i="23"/>
  <c r="V32" i="23"/>
  <c r="R32" i="23"/>
  <c r="N32" i="23"/>
  <c r="V31" i="23"/>
  <c r="R31" i="23"/>
  <c r="N31" i="23"/>
  <c r="V30" i="23"/>
  <c r="R30" i="23"/>
  <c r="N30" i="23"/>
  <c r="V29" i="23"/>
  <c r="R29" i="23"/>
  <c r="N29" i="23"/>
  <c r="V28" i="23"/>
  <c r="R28" i="23"/>
  <c r="N28" i="23"/>
  <c r="V27" i="23"/>
  <c r="R27" i="23"/>
  <c r="N27" i="23"/>
  <c r="V26" i="23"/>
  <c r="R26" i="23"/>
  <c r="N26" i="23"/>
  <c r="V25" i="23"/>
  <c r="R25" i="23"/>
  <c r="N25" i="23"/>
  <c r="V24" i="23"/>
  <c r="R24" i="23"/>
  <c r="N24" i="23"/>
  <c r="V23" i="23"/>
  <c r="R23" i="23"/>
  <c r="N23" i="23"/>
  <c r="V22" i="23"/>
  <c r="R22" i="23"/>
  <c r="N22" i="23"/>
  <c r="V21" i="23"/>
  <c r="R21" i="23"/>
  <c r="N21" i="23"/>
  <c r="V20" i="23"/>
  <c r="R20" i="23"/>
  <c r="N20" i="23"/>
  <c r="V19" i="23"/>
  <c r="R19" i="23"/>
  <c r="N19" i="23"/>
  <c r="V18" i="23"/>
  <c r="R18" i="23"/>
  <c r="N18" i="23"/>
  <c r="V17" i="23"/>
  <c r="R17" i="23"/>
  <c r="N17" i="23"/>
  <c r="V16" i="23"/>
  <c r="R16" i="23"/>
  <c r="N16" i="23"/>
  <c r="V15" i="23"/>
  <c r="R15" i="23"/>
  <c r="N15" i="23"/>
  <c r="V14" i="23"/>
  <c r="R14" i="23"/>
  <c r="N14" i="23"/>
  <c r="V13" i="23"/>
  <c r="R13" i="23"/>
  <c r="N13" i="23"/>
  <c r="V12" i="23"/>
  <c r="R12" i="23"/>
  <c r="N12" i="23"/>
  <c r="V11" i="23"/>
  <c r="R11" i="23"/>
  <c r="N11" i="23"/>
  <c r="V10" i="23"/>
  <c r="R10" i="23"/>
  <c r="N10" i="23"/>
  <c r="V9" i="23"/>
  <c r="R9" i="23"/>
  <c r="N9" i="23"/>
  <c r="V8" i="23"/>
  <c r="R8" i="23"/>
  <c r="N8" i="23"/>
  <c r="V7" i="23"/>
  <c r="R7" i="23"/>
  <c r="N7" i="23"/>
  <c r="V6" i="23"/>
  <c r="R6" i="23"/>
  <c r="N6" i="23"/>
  <c r="V5" i="23"/>
  <c r="R5" i="23"/>
  <c r="N5" i="23"/>
  <c r="T127" i="23"/>
  <c r="X126" i="23"/>
  <c r="P126" i="23"/>
  <c r="T125" i="23"/>
  <c r="X124" i="23"/>
  <c r="P124" i="23"/>
  <c r="T123" i="23"/>
  <c r="X122" i="23"/>
  <c r="P122" i="23"/>
  <c r="T121" i="23"/>
  <c r="X120" i="23"/>
  <c r="P120" i="23"/>
  <c r="T119" i="23"/>
  <c r="X118" i="23"/>
  <c r="P118" i="23"/>
  <c r="T117" i="23"/>
  <c r="X116" i="23"/>
  <c r="P116" i="23"/>
  <c r="T115" i="23"/>
  <c r="X114" i="23"/>
  <c r="P114" i="23"/>
  <c r="T113" i="23"/>
  <c r="X112" i="23"/>
  <c r="P112" i="23"/>
  <c r="T111" i="23"/>
  <c r="X110" i="23"/>
  <c r="P110" i="23"/>
  <c r="T109" i="23"/>
  <c r="X108" i="23"/>
  <c r="P108" i="23"/>
  <c r="T107" i="23"/>
  <c r="X106" i="23"/>
  <c r="P106" i="23"/>
  <c r="T105" i="23"/>
  <c r="X104" i="23"/>
  <c r="P104" i="23"/>
  <c r="T103" i="23"/>
  <c r="X102" i="23"/>
  <c r="P102" i="23"/>
  <c r="T101" i="23"/>
  <c r="X100" i="23"/>
  <c r="P100" i="23"/>
  <c r="T99" i="23"/>
  <c r="X98" i="23"/>
  <c r="P98" i="23"/>
  <c r="T97" i="23"/>
  <c r="X96" i="23"/>
  <c r="P96" i="23"/>
  <c r="T95" i="23"/>
  <c r="X94" i="23"/>
  <c r="P94" i="23"/>
  <c r="T93" i="23"/>
  <c r="X92" i="23"/>
  <c r="P92" i="23"/>
  <c r="T91" i="23"/>
  <c r="X90" i="23"/>
  <c r="P90" i="23"/>
  <c r="T89" i="23"/>
  <c r="X88" i="23"/>
  <c r="P88" i="23"/>
  <c r="T87" i="23"/>
  <c r="X86" i="23"/>
  <c r="P86" i="23"/>
  <c r="T85" i="23"/>
  <c r="X84" i="23"/>
  <c r="P84" i="23"/>
  <c r="T83" i="23"/>
  <c r="X82" i="23"/>
  <c r="P82" i="23"/>
  <c r="T81" i="23"/>
  <c r="X80" i="23"/>
  <c r="P80" i="23"/>
  <c r="T79" i="23"/>
  <c r="X78" i="23"/>
  <c r="P78" i="23"/>
  <c r="T77" i="23"/>
  <c r="X76" i="23"/>
  <c r="P76" i="23"/>
  <c r="T75" i="23"/>
  <c r="O75" i="23"/>
  <c r="W74" i="23"/>
  <c r="S74" i="23"/>
  <c r="O74" i="23"/>
  <c r="W73" i="23"/>
  <c r="S73" i="23"/>
  <c r="O73" i="23"/>
  <c r="W72" i="23"/>
  <c r="S72" i="23"/>
  <c r="O72" i="23"/>
  <c r="W71" i="23"/>
  <c r="S71" i="23"/>
  <c r="O71" i="23"/>
  <c r="W70" i="23"/>
  <c r="S70" i="23"/>
  <c r="O70" i="23"/>
  <c r="W69" i="23"/>
  <c r="S69" i="23"/>
  <c r="O69" i="23"/>
  <c r="X68" i="23"/>
  <c r="T68" i="23"/>
  <c r="P68" i="23"/>
  <c r="X67" i="23"/>
  <c r="T67" i="23"/>
  <c r="P67" i="23"/>
  <c r="X66" i="23"/>
  <c r="T66" i="23"/>
  <c r="P66" i="23"/>
  <c r="X65" i="23"/>
  <c r="T65" i="23"/>
  <c r="P65" i="23"/>
  <c r="X64" i="23"/>
  <c r="T64" i="23"/>
  <c r="P64" i="23"/>
  <c r="X63" i="23"/>
  <c r="T63" i="23"/>
  <c r="P63" i="23"/>
  <c r="X62" i="23"/>
  <c r="T62" i="23"/>
  <c r="P62" i="23"/>
  <c r="X61" i="23"/>
  <c r="T61" i="23"/>
  <c r="P61" i="23"/>
  <c r="X60" i="23"/>
  <c r="T60" i="23"/>
  <c r="P60" i="23"/>
  <c r="X57" i="23"/>
  <c r="T57" i="23"/>
  <c r="P57" i="23"/>
  <c r="X56" i="23"/>
  <c r="T56" i="23"/>
  <c r="P56" i="23"/>
  <c r="X55" i="23"/>
  <c r="T55" i="23"/>
  <c r="P55" i="23"/>
  <c r="X54" i="23"/>
  <c r="T54" i="23"/>
  <c r="P54" i="23"/>
  <c r="X53" i="23"/>
  <c r="T53" i="23"/>
  <c r="P53" i="23"/>
  <c r="X52" i="23"/>
  <c r="T52" i="23"/>
  <c r="P52" i="23"/>
  <c r="X51" i="23"/>
  <c r="T51" i="23"/>
  <c r="P51" i="23"/>
  <c r="X50" i="23"/>
  <c r="T50" i="23"/>
  <c r="P50" i="23"/>
  <c r="X49" i="23"/>
  <c r="T49" i="23"/>
  <c r="P49" i="23"/>
  <c r="X48" i="23"/>
  <c r="T48" i="23"/>
  <c r="P48" i="23"/>
  <c r="X47" i="23"/>
  <c r="T47" i="23"/>
  <c r="P47" i="23"/>
  <c r="X46" i="23"/>
  <c r="T46" i="23"/>
  <c r="P46" i="23"/>
  <c r="X45" i="23"/>
  <c r="T45" i="23"/>
  <c r="P45" i="23"/>
  <c r="X44" i="23"/>
  <c r="T44" i="23"/>
  <c r="P44" i="23"/>
  <c r="X43" i="23"/>
  <c r="T43" i="23"/>
  <c r="P43" i="23"/>
  <c r="X42" i="23"/>
  <c r="T42" i="23"/>
  <c r="P42" i="23"/>
  <c r="X41" i="23"/>
  <c r="T41" i="23"/>
  <c r="P41" i="23"/>
  <c r="X40" i="23"/>
  <c r="T40" i="23"/>
  <c r="P40" i="23"/>
  <c r="X39" i="23"/>
  <c r="T39" i="23"/>
  <c r="P39" i="23"/>
  <c r="X38" i="23"/>
  <c r="T38" i="23"/>
  <c r="P38" i="23"/>
  <c r="X37" i="23"/>
  <c r="T37" i="23"/>
  <c r="P37" i="23"/>
  <c r="X36" i="23"/>
  <c r="T36" i="23"/>
  <c r="P36" i="23"/>
  <c r="X35" i="23"/>
  <c r="T35" i="23"/>
  <c r="P35" i="23"/>
  <c r="X34" i="23"/>
  <c r="T34" i="23"/>
  <c r="P34" i="23"/>
  <c r="X33" i="23"/>
  <c r="T33" i="23"/>
  <c r="P33" i="23"/>
  <c r="X32" i="23"/>
  <c r="T32" i="23"/>
  <c r="P32" i="23"/>
  <c r="X31" i="23"/>
  <c r="T31" i="23"/>
  <c r="P31" i="23"/>
  <c r="X30" i="23"/>
  <c r="T30" i="23"/>
  <c r="P30" i="23"/>
  <c r="X29" i="23"/>
  <c r="T29" i="23"/>
  <c r="P29" i="23"/>
  <c r="X28" i="23"/>
  <c r="T28" i="23"/>
  <c r="P28" i="23"/>
  <c r="X27" i="23"/>
  <c r="T27" i="23"/>
  <c r="P27" i="23"/>
  <c r="X26" i="23"/>
  <c r="T26" i="23"/>
  <c r="P26" i="23"/>
  <c r="X25" i="23"/>
  <c r="T25" i="23"/>
  <c r="P25" i="23"/>
  <c r="X24" i="23"/>
  <c r="T24" i="23"/>
  <c r="P24" i="23"/>
  <c r="X23" i="23"/>
  <c r="T23" i="23"/>
  <c r="P23" i="23"/>
  <c r="X22" i="23"/>
  <c r="T22" i="23"/>
  <c r="P22" i="23"/>
  <c r="X21" i="23"/>
  <c r="T21" i="23"/>
  <c r="P21" i="23"/>
  <c r="X20" i="23"/>
  <c r="T20" i="23"/>
  <c r="P20" i="23"/>
  <c r="X19" i="23"/>
  <c r="T19" i="23"/>
  <c r="P19" i="23"/>
  <c r="X18" i="23"/>
  <c r="T18" i="23"/>
  <c r="P18" i="23"/>
  <c r="X17" i="23"/>
  <c r="T17" i="23"/>
  <c r="P17" i="23"/>
  <c r="X16" i="23"/>
  <c r="T16" i="23"/>
  <c r="P16" i="23"/>
  <c r="X15" i="23"/>
  <c r="T15" i="23"/>
  <c r="P15" i="23"/>
  <c r="X14" i="23"/>
  <c r="T14" i="23"/>
  <c r="P14" i="23"/>
  <c r="X13" i="23"/>
  <c r="T13" i="23"/>
  <c r="P13" i="23"/>
  <c r="X12" i="23"/>
  <c r="T12" i="23"/>
  <c r="P12" i="23"/>
  <c r="X11" i="23"/>
  <c r="T11" i="23"/>
  <c r="P11" i="23"/>
  <c r="X10" i="23"/>
  <c r="T10" i="23"/>
  <c r="P10" i="23"/>
  <c r="X9" i="23"/>
  <c r="T9" i="23"/>
  <c r="P9" i="23"/>
  <c r="X8" i="23"/>
  <c r="T8" i="23"/>
  <c r="P8" i="23"/>
  <c r="X7" i="23"/>
  <c r="T7" i="23"/>
  <c r="P7" i="23"/>
  <c r="X6" i="23"/>
  <c r="T6" i="23"/>
  <c r="P6" i="23"/>
  <c r="X5" i="23"/>
  <c r="T5" i="23"/>
  <c r="P5" i="23"/>
  <c r="U5" i="23"/>
  <c r="Q6" i="23"/>
  <c r="Y6" i="23"/>
  <c r="U7" i="23"/>
  <c r="Q8" i="23"/>
  <c r="Y8" i="23"/>
  <c r="U9" i="23"/>
  <c r="Q10" i="23"/>
  <c r="Y10" i="23"/>
  <c r="U11" i="23"/>
  <c r="Q12" i="23"/>
  <c r="Y12" i="23"/>
  <c r="U13" i="23"/>
  <c r="Q14" i="23"/>
  <c r="Y14" i="23"/>
  <c r="U15" i="23"/>
  <c r="Q16" i="23"/>
  <c r="Y16" i="23"/>
  <c r="U17" i="23"/>
  <c r="Q18" i="23"/>
  <c r="Y18" i="23"/>
  <c r="U19" i="23"/>
  <c r="Q20" i="23"/>
  <c r="Y20" i="23"/>
  <c r="U21" i="23"/>
  <c r="Q22" i="23"/>
  <c r="Y22" i="23"/>
  <c r="U23" i="23"/>
  <c r="Q24" i="23"/>
  <c r="Y24" i="23"/>
  <c r="U25" i="23"/>
  <c r="Q26" i="23"/>
  <c r="Y26" i="23"/>
  <c r="U27" i="23"/>
  <c r="Q28" i="23"/>
  <c r="Y28" i="23"/>
  <c r="U29" i="23"/>
  <c r="Q30" i="23"/>
  <c r="Y30" i="23"/>
  <c r="U31" i="23"/>
  <c r="Q32" i="23"/>
  <c r="Y32" i="23"/>
  <c r="U33" i="23"/>
  <c r="Q34" i="23"/>
  <c r="Y34" i="23"/>
  <c r="U35" i="23"/>
  <c r="Q36" i="23"/>
  <c r="Y36" i="23"/>
  <c r="U37" i="23"/>
  <c r="Q38" i="23"/>
  <c r="Y38" i="23"/>
  <c r="U39" i="23"/>
  <c r="Q40" i="23"/>
  <c r="Y40" i="23"/>
  <c r="U41" i="23"/>
  <c r="Q42" i="23"/>
  <c r="Y42" i="23"/>
  <c r="U43" i="23"/>
  <c r="Q44" i="23"/>
  <c r="Y44" i="23"/>
  <c r="U45" i="23"/>
  <c r="Q46" i="23"/>
  <c r="Y46" i="23"/>
  <c r="U47" i="23"/>
  <c r="Q48" i="23"/>
  <c r="Y48" i="23"/>
  <c r="U49" i="23"/>
  <c r="Q50" i="23"/>
  <c r="Y50" i="23"/>
  <c r="U51" i="23"/>
  <c r="Q52" i="23"/>
  <c r="Y52" i="23"/>
  <c r="U53" i="23"/>
  <c r="Q54" i="23"/>
  <c r="Y54" i="23"/>
  <c r="U55" i="23"/>
  <c r="Q56" i="23"/>
  <c r="Y56" i="23"/>
  <c r="U57" i="23"/>
  <c r="Q60" i="23"/>
  <c r="Y60" i="23"/>
  <c r="U61" i="23"/>
  <c r="Q62" i="23"/>
  <c r="Y62" i="23"/>
  <c r="U63" i="23"/>
  <c r="Q64" i="23"/>
  <c r="Y64" i="23"/>
  <c r="U65" i="23"/>
  <c r="Q66" i="23"/>
  <c r="Y66" i="23"/>
  <c r="U67" i="23"/>
  <c r="Q68" i="23"/>
  <c r="Y68" i="23"/>
  <c r="R69" i="23"/>
  <c r="N70" i="23"/>
  <c r="V70" i="23"/>
  <c r="R71" i="23"/>
  <c r="N72" i="23"/>
  <c r="V72" i="23"/>
  <c r="R73" i="23"/>
  <c r="N74" i="23"/>
  <c r="V74" i="23"/>
  <c r="R75" i="23"/>
  <c r="V76" i="23"/>
  <c r="N78" i="23"/>
  <c r="R79" i="23"/>
  <c r="V80" i="23"/>
  <c r="N82" i="23"/>
  <c r="R83" i="23"/>
  <c r="V84" i="23"/>
  <c r="N86" i="23"/>
  <c r="R87" i="23"/>
  <c r="V88" i="23"/>
  <c r="N90" i="23"/>
  <c r="R91" i="23"/>
  <c r="V92" i="23"/>
  <c r="N94" i="23"/>
  <c r="R95" i="23"/>
  <c r="V96" i="23"/>
  <c r="N98" i="23"/>
  <c r="R99" i="23"/>
  <c r="V100" i="23"/>
  <c r="N102" i="23"/>
  <c r="R103" i="23"/>
  <c r="V104" i="23"/>
  <c r="N106" i="23"/>
  <c r="R107" i="23"/>
  <c r="V108" i="23"/>
  <c r="N110" i="23"/>
  <c r="R111" i="23"/>
  <c r="V112" i="23"/>
  <c r="N114" i="23"/>
  <c r="R115" i="23"/>
  <c r="V116" i="23"/>
  <c r="N118" i="23"/>
  <c r="R119" i="23"/>
  <c r="V120" i="23"/>
  <c r="N122" i="23"/>
  <c r="R123" i="23"/>
  <c r="V124" i="23"/>
  <c r="N126" i="23"/>
  <c r="R127" i="23"/>
  <c r="Q5" i="23"/>
  <c r="Y5" i="23"/>
  <c r="U6" i="23"/>
  <c r="Q7" i="23"/>
  <c r="Y7" i="23"/>
  <c r="U8" i="23"/>
  <c r="Q9" i="23"/>
  <c r="Y9" i="23"/>
  <c r="U10" i="23"/>
  <c r="Q11" i="23"/>
  <c r="Y11" i="23"/>
  <c r="U12" i="23"/>
  <c r="Q13" i="23"/>
  <c r="Y13" i="23"/>
  <c r="U14" i="23"/>
  <c r="Q15" i="23"/>
  <c r="Y15" i="23"/>
  <c r="U16" i="23"/>
  <c r="Q17" i="23"/>
  <c r="Y17" i="23"/>
  <c r="U18" i="23"/>
  <c r="Q19" i="23"/>
  <c r="Y19" i="23"/>
  <c r="U20" i="23"/>
  <c r="Q21" i="23"/>
  <c r="Y21" i="23"/>
  <c r="U22" i="23"/>
  <c r="Q23" i="23"/>
  <c r="Y23" i="23"/>
  <c r="U24" i="23"/>
  <c r="Q25" i="23"/>
  <c r="Y25" i="23"/>
  <c r="U26" i="23"/>
  <c r="Q27" i="23"/>
  <c r="Y27" i="23"/>
  <c r="U28" i="23"/>
  <c r="Q29" i="23"/>
  <c r="Y29" i="23"/>
  <c r="U30" i="23"/>
  <c r="Q31" i="23"/>
  <c r="Y31" i="23"/>
  <c r="U32" i="23"/>
  <c r="Q33" i="23"/>
  <c r="Y33" i="23"/>
  <c r="U34" i="23"/>
  <c r="Q35" i="23"/>
  <c r="Y35" i="23"/>
  <c r="U36" i="23"/>
  <c r="Q37" i="23"/>
  <c r="Y37" i="23"/>
  <c r="U38" i="23"/>
  <c r="Q39" i="23"/>
  <c r="Y39" i="23"/>
  <c r="U40" i="23"/>
  <c r="Q41" i="23"/>
  <c r="Y41" i="23"/>
  <c r="U42" i="23"/>
  <c r="Q43" i="23"/>
  <c r="Y43" i="23"/>
  <c r="U44" i="23"/>
  <c r="Q45" i="23"/>
  <c r="Y45" i="23"/>
  <c r="U46" i="23"/>
  <c r="Q47" i="23"/>
  <c r="Y47" i="23"/>
  <c r="U48" i="23"/>
  <c r="Q49" i="23"/>
  <c r="Y49" i="23"/>
  <c r="U50" i="23"/>
  <c r="Q51" i="23"/>
  <c r="Y51" i="23"/>
  <c r="U52" i="23"/>
  <c r="Q53" i="23"/>
  <c r="Y53" i="23"/>
  <c r="U54" i="23"/>
  <c r="Q55" i="23"/>
  <c r="Y55" i="23"/>
  <c r="U56" i="23"/>
  <c r="Q57" i="23"/>
  <c r="Y57" i="23"/>
  <c r="U60" i="23"/>
  <c r="Q61" i="23"/>
  <c r="Y61" i="23"/>
  <c r="U62" i="23"/>
  <c r="Q63" i="23"/>
  <c r="Y63" i="23"/>
  <c r="U64" i="23"/>
  <c r="Q65" i="23"/>
  <c r="Y65" i="23"/>
  <c r="U66" i="23"/>
  <c r="Q67" i="23"/>
  <c r="Y67" i="23"/>
  <c r="U68" i="23"/>
  <c r="N69" i="23"/>
  <c r="V69" i="23"/>
  <c r="R70" i="23"/>
  <c r="N71" i="23"/>
  <c r="V71" i="23"/>
  <c r="R72" i="23"/>
  <c r="N73" i="23"/>
  <c r="V73" i="23"/>
  <c r="R74" i="23"/>
  <c r="N75" i="23"/>
  <c r="N76" i="23"/>
  <c r="R77" i="23"/>
  <c r="V78" i="23"/>
  <c r="N80" i="23"/>
  <c r="R81" i="23"/>
  <c r="V82" i="23"/>
  <c r="N84" i="23"/>
  <c r="R85" i="23"/>
  <c r="V86" i="23"/>
  <c r="N88" i="23"/>
  <c r="R89" i="23"/>
  <c r="V90" i="23"/>
  <c r="N92" i="23"/>
  <c r="R93" i="23"/>
  <c r="V94" i="23"/>
  <c r="N96" i="23"/>
  <c r="R97" i="23"/>
  <c r="V98" i="23"/>
  <c r="N100" i="23"/>
  <c r="R101" i="23"/>
  <c r="V102" i="23"/>
  <c r="N104" i="23"/>
  <c r="R105" i="23"/>
  <c r="V106" i="23"/>
  <c r="N108" i="23"/>
  <c r="R109" i="23"/>
  <c r="V110" i="23"/>
  <c r="N112" i="23"/>
  <c r="R113" i="23"/>
  <c r="V114" i="23"/>
  <c r="N116" i="23"/>
  <c r="R117" i="23"/>
  <c r="V118" i="23"/>
  <c r="N120" i="23"/>
  <c r="R121" i="23"/>
  <c r="V122" i="23"/>
  <c r="N124" i="23"/>
  <c r="R125" i="23"/>
  <c r="V126" i="23"/>
  <c r="Z129" i="25"/>
  <c r="Q138" i="25"/>
  <c r="Q139" i="25"/>
  <c r="Q140" i="25"/>
  <c r="Q141" i="25"/>
  <c r="Q142" i="25"/>
  <c r="Q143" i="25"/>
  <c r="Q144" i="25"/>
  <c r="Q145" i="25"/>
  <c r="Q146" i="25"/>
  <c r="Q147" i="25"/>
  <c r="Q148" i="25"/>
  <c r="Q149" i="25"/>
  <c r="Q150" i="25"/>
  <c r="Q151" i="25"/>
  <c r="Q152" i="25"/>
  <c r="Q153" i="25"/>
  <c r="Q154" i="25"/>
  <c r="Q155" i="25"/>
  <c r="Q156" i="25"/>
  <c r="Q157" i="25"/>
  <c r="L157" i="25"/>
  <c r="S211" i="25"/>
  <c r="S212" i="25"/>
  <c r="S213" i="25"/>
  <c r="S214" i="25"/>
  <c r="S215" i="25"/>
  <c r="S216" i="25"/>
  <c r="S217" i="25"/>
  <c r="S218" i="25"/>
  <c r="S219" i="25"/>
  <c r="S220" i="25"/>
  <c r="S221" i="25"/>
  <c r="S222" i="25"/>
  <c r="S223" i="25"/>
  <c r="S224" i="25"/>
  <c r="S225" i="25"/>
  <c r="S226" i="25"/>
  <c r="S227" i="25"/>
  <c r="S228" i="25"/>
  <c r="S229" i="25"/>
  <c r="S230" i="25"/>
  <c r="S231" i="25"/>
  <c r="S232" i="25"/>
  <c r="S233" i="25"/>
  <c r="S234" i="25"/>
  <c r="S235" i="25"/>
  <c r="S236" i="25"/>
  <c r="S237" i="25"/>
  <c r="S238" i="25"/>
  <c r="S239" i="25"/>
  <c r="S240" i="25"/>
  <c r="S241" i="25"/>
  <c r="S242" i="25"/>
  <c r="S243" i="25"/>
  <c r="S244" i="25"/>
  <c r="S245" i="25"/>
  <c r="S246" i="25"/>
  <c r="S247" i="25"/>
  <c r="S248" i="25"/>
  <c r="S249" i="25"/>
  <c r="S250" i="25"/>
  <c r="S251" i="25"/>
  <c r="S252" i="25"/>
  <c r="S253" i="25"/>
  <c r="S254" i="25"/>
  <c r="S255" i="25"/>
  <c r="S256" i="25"/>
  <c r="S257" i="25"/>
  <c r="S258" i="25"/>
  <c r="S259" i="25"/>
  <c r="S260" i="25"/>
  <c r="S261" i="25"/>
  <c r="S262" i="25"/>
  <c r="S263" i="25"/>
  <c r="S264" i="25"/>
  <c r="S265" i="25"/>
  <c r="S266" i="25"/>
  <c r="S267" i="25"/>
  <c r="S268" i="25"/>
  <c r="S269" i="25"/>
  <c r="S270" i="25"/>
  <c r="S271" i="25"/>
  <c r="S272" i="25"/>
  <c r="S273" i="25"/>
  <c r="S274" i="25"/>
  <c r="S275" i="25"/>
  <c r="S276" i="25"/>
  <c r="S277" i="25"/>
  <c r="S278" i="25"/>
  <c r="S279" i="25"/>
  <c r="S280" i="25"/>
  <c r="S281" i="25"/>
  <c r="S282" i="25"/>
  <c r="S283" i="25"/>
  <c r="S284" i="25"/>
  <c r="S285" i="25"/>
  <c r="S286" i="25"/>
  <c r="S287" i="25"/>
  <c r="S288" i="25"/>
  <c r="S289" i="25"/>
  <c r="S290" i="25"/>
  <c r="S291" i="25"/>
  <c r="S292" i="25"/>
  <c r="S293" i="25"/>
  <c r="S294" i="25"/>
  <c r="S295" i="25"/>
  <c r="S296" i="25"/>
  <c r="S297" i="25"/>
  <c r="S298" i="25"/>
  <c r="S299" i="25"/>
  <c r="S300" i="25"/>
  <c r="S301" i="25"/>
  <c r="S302" i="25"/>
  <c r="S303" i="25"/>
  <c r="S304" i="25"/>
  <c r="S305" i="25"/>
  <c r="S306" i="25"/>
  <c r="S307" i="25"/>
  <c r="S308" i="25"/>
  <c r="S309" i="25"/>
  <c r="S310" i="25"/>
  <c r="S311" i="25"/>
  <c r="S312" i="25"/>
  <c r="S313" i="25"/>
  <c r="S314" i="25"/>
  <c r="S315" i="25"/>
  <c r="S316" i="25"/>
  <c r="S317" i="25"/>
  <c r="S318" i="25"/>
  <c r="S319" i="25"/>
  <c r="S320" i="25"/>
  <c r="S321" i="25"/>
  <c r="S322" i="25"/>
  <c r="S323" i="25"/>
  <c r="S324" i="25"/>
  <c r="S325" i="25"/>
  <c r="S326" i="25"/>
  <c r="S327" i="25"/>
  <c r="S328" i="25"/>
  <c r="S329" i="25"/>
  <c r="S330" i="25"/>
  <c r="S331" i="25"/>
  <c r="S332" i="25"/>
  <c r="S333" i="25"/>
  <c r="S334" i="25"/>
  <c r="S335" i="25"/>
  <c r="S336" i="25"/>
  <c r="S337" i="25"/>
  <c r="S338" i="25"/>
  <c r="S339" i="25"/>
  <c r="S340" i="25"/>
  <c r="S341" i="25"/>
  <c r="S342" i="25"/>
  <c r="S343" i="25"/>
  <c r="S344" i="25"/>
  <c r="Z126" i="25"/>
  <c r="J6" i="29"/>
  <c r="L6" i="29"/>
  <c r="N157" i="25"/>
  <c r="M157" i="25"/>
  <c r="A17" i="25"/>
  <c r="B14" i="29"/>
  <c r="B51" i="9"/>
  <c r="C51" i="9"/>
  <c r="S51" i="9"/>
  <c r="C1" i="23"/>
  <c r="F426" i="11"/>
  <c r="M426" i="11"/>
  <c r="F422" i="11"/>
  <c r="M422" i="11"/>
  <c r="F418" i="11"/>
  <c r="M418" i="11"/>
  <c r="F415" i="11"/>
  <c r="M415" i="11"/>
  <c r="F414" i="11"/>
  <c r="M414" i="11"/>
  <c r="F410" i="11"/>
  <c r="M410" i="11"/>
  <c r="F406" i="11"/>
  <c r="M406" i="11"/>
  <c r="F402" i="11"/>
  <c r="M402" i="11"/>
  <c r="G399" i="11"/>
  <c r="G395" i="11"/>
  <c r="G391" i="11"/>
  <c r="G387" i="11"/>
  <c r="G383" i="11"/>
  <c r="F427" i="11"/>
  <c r="M427" i="11"/>
  <c r="F424" i="11"/>
  <c r="M424" i="11"/>
  <c r="F417" i="11"/>
  <c r="M417" i="11"/>
  <c r="F412" i="11"/>
  <c r="M412" i="11"/>
  <c r="F404" i="11"/>
  <c r="M404" i="11"/>
  <c r="G393" i="11"/>
  <c r="F428" i="11"/>
  <c r="M428" i="11"/>
  <c r="F421" i="11"/>
  <c r="M421" i="11"/>
  <c r="F411" i="11"/>
  <c r="M411" i="11"/>
  <c r="F409" i="11"/>
  <c r="M409" i="11"/>
  <c r="F403" i="11"/>
  <c r="M403" i="11"/>
  <c r="F401" i="11"/>
  <c r="M401" i="11"/>
  <c r="G400" i="11"/>
  <c r="F425" i="11"/>
  <c r="M425" i="11"/>
  <c r="F419" i="11"/>
  <c r="M419" i="11"/>
  <c r="F416" i="11"/>
  <c r="M416" i="11"/>
  <c r="F408" i="11"/>
  <c r="M408" i="11"/>
  <c r="G397" i="11"/>
  <c r="F429" i="11"/>
  <c r="M429" i="11"/>
  <c r="F423" i="11"/>
  <c r="M423" i="11"/>
  <c r="F420" i="11"/>
  <c r="M420" i="11"/>
  <c r="F413" i="11"/>
  <c r="M413" i="11"/>
  <c r="F407" i="11"/>
  <c r="M407" i="11"/>
  <c r="F405" i="11"/>
  <c r="M405" i="11"/>
  <c r="G398" i="11"/>
  <c r="G396" i="11"/>
  <c r="G390" i="11"/>
  <c r="G388" i="11"/>
  <c r="M388" i="11"/>
  <c r="G382" i="11"/>
  <c r="G379" i="11"/>
  <c r="G375" i="11"/>
  <c r="G371" i="11"/>
  <c r="M371" i="11"/>
  <c r="G386" i="11"/>
  <c r="G380" i="11"/>
  <c r="G374" i="11"/>
  <c r="G372" i="11"/>
  <c r="M372" i="11"/>
  <c r="G389" i="11"/>
  <c r="G385" i="11"/>
  <c r="G384" i="11"/>
  <c r="G381" i="11"/>
  <c r="G377" i="11"/>
  <c r="G392" i="11"/>
  <c r="G378" i="11"/>
  <c r="G376" i="11"/>
  <c r="G370" i="11"/>
  <c r="G394" i="11"/>
  <c r="G373" i="11"/>
  <c r="M320" i="11"/>
  <c r="M332" i="11"/>
  <c r="M333" i="11"/>
  <c r="M292" i="11"/>
  <c r="M287" i="11"/>
  <c r="M288" i="11"/>
  <c r="M289" i="11"/>
  <c r="M286" i="11"/>
  <c r="M305" i="11"/>
  <c r="M294" i="11"/>
  <c r="M215" i="11"/>
  <c r="M168" i="11"/>
  <c r="M163" i="11"/>
  <c r="M179" i="11"/>
  <c r="M164" i="11"/>
  <c r="M159" i="11"/>
  <c r="M175" i="11"/>
  <c r="M162" i="11"/>
  <c r="M178" i="11"/>
  <c r="M82" i="11"/>
  <c r="M384" i="11"/>
  <c r="M381" i="11"/>
  <c r="M397" i="11"/>
  <c r="M396" i="11"/>
  <c r="M394" i="11"/>
  <c r="M352" i="11"/>
  <c r="M347" i="11"/>
  <c r="M363" i="11"/>
  <c r="M356" i="11"/>
  <c r="M351" i="11"/>
  <c r="M367" i="11"/>
  <c r="M354" i="11"/>
  <c r="M127" i="11"/>
  <c r="M144" i="11"/>
  <c r="M138" i="11"/>
  <c r="M155" i="11"/>
  <c r="M129" i="11"/>
  <c r="M148" i="11"/>
  <c r="M136" i="11"/>
  <c r="M151" i="11"/>
  <c r="M154" i="11"/>
  <c r="M276" i="11"/>
  <c r="M261" i="11"/>
  <c r="M277" i="11"/>
  <c r="M264" i="11"/>
  <c r="M249" i="11"/>
  <c r="M265" i="11"/>
  <c r="M258" i="11"/>
  <c r="M274" i="11"/>
  <c r="M226" i="11"/>
  <c r="M231" i="11"/>
  <c r="M247" i="11"/>
  <c r="M224" i="11"/>
  <c r="M219" i="11"/>
  <c r="M235" i="11"/>
  <c r="M234" i="11"/>
  <c r="M293" i="11"/>
  <c r="M295" i="11"/>
  <c r="M291" i="11"/>
  <c r="M290" i="11"/>
  <c r="M307" i="11"/>
  <c r="M176" i="11"/>
  <c r="M169" i="11"/>
  <c r="M185" i="11"/>
  <c r="M165" i="11"/>
  <c r="M181" i="11"/>
  <c r="M166" i="11"/>
  <c r="M182" i="11"/>
  <c r="M376" i="11"/>
  <c r="M385" i="11"/>
  <c r="M380" i="11"/>
  <c r="M395" i="11"/>
  <c r="M370" i="11"/>
  <c r="M383" i="11"/>
  <c r="M399" i="11"/>
  <c r="M382" i="11"/>
  <c r="M398" i="11"/>
  <c r="M360" i="11"/>
  <c r="M353" i="11"/>
  <c r="M369" i="11"/>
  <c r="M341" i="11"/>
  <c r="M357" i="11"/>
  <c r="M342" i="11"/>
  <c r="M358" i="11"/>
  <c r="M152" i="11"/>
  <c r="M126" i="11"/>
  <c r="M145" i="11"/>
  <c r="M156" i="11"/>
  <c r="M141" i="11"/>
  <c r="M142" i="11"/>
  <c r="F124" i="11"/>
  <c r="M124" i="11"/>
  <c r="F120" i="11"/>
  <c r="M120" i="11"/>
  <c r="F116" i="11"/>
  <c r="M116" i="11"/>
  <c r="F112" i="11"/>
  <c r="M112" i="11"/>
  <c r="F108" i="11"/>
  <c r="M108" i="11"/>
  <c r="F104" i="11"/>
  <c r="M104" i="11"/>
  <c r="F100" i="11"/>
  <c r="M100" i="11"/>
  <c r="F96" i="11"/>
  <c r="M96" i="11"/>
  <c r="G93" i="11"/>
  <c r="M93" i="11"/>
  <c r="G89" i="11"/>
  <c r="G85" i="11"/>
  <c r="G81" i="11"/>
  <c r="M81" i="11"/>
  <c r="G77" i="11"/>
  <c r="M77" i="11"/>
  <c r="G73" i="11"/>
  <c r="G69" i="11"/>
  <c r="M69" i="11"/>
  <c r="G65" i="11"/>
  <c r="M65" i="11"/>
  <c r="F125" i="11"/>
  <c r="M125" i="11"/>
  <c r="F121" i="11"/>
  <c r="M121" i="11"/>
  <c r="F117" i="11"/>
  <c r="M117" i="11"/>
  <c r="F113" i="11"/>
  <c r="M113" i="11"/>
  <c r="F109" i="11"/>
  <c r="M109" i="11"/>
  <c r="F105" i="11"/>
  <c r="M105" i="11"/>
  <c r="F101" i="11"/>
  <c r="M101" i="11"/>
  <c r="F97" i="11"/>
  <c r="M97" i="11"/>
  <c r="G94" i="11"/>
  <c r="G90" i="11"/>
  <c r="G86" i="11"/>
  <c r="M86" i="11"/>
  <c r="G82" i="11"/>
  <c r="G78" i="11"/>
  <c r="G74" i="11"/>
  <c r="G70" i="11"/>
  <c r="M70" i="11"/>
  <c r="G66" i="11"/>
  <c r="M66" i="11"/>
  <c r="F122" i="11"/>
  <c r="M122" i="11"/>
  <c r="F118" i="11"/>
  <c r="M118" i="11"/>
  <c r="F114" i="11"/>
  <c r="M114" i="11"/>
  <c r="F110" i="11"/>
  <c r="M110" i="11"/>
  <c r="F106" i="11"/>
  <c r="M106" i="11"/>
  <c r="F102" i="11"/>
  <c r="M102" i="11"/>
  <c r="F98" i="11"/>
  <c r="M98" i="11"/>
  <c r="G95" i="11"/>
  <c r="G91" i="11"/>
  <c r="M91" i="11"/>
  <c r="G87" i="11"/>
  <c r="M87" i="11"/>
  <c r="G83" i="11"/>
  <c r="G79" i="11"/>
  <c r="G75" i="11"/>
  <c r="M75" i="11"/>
  <c r="G71" i="11"/>
  <c r="M71" i="11"/>
  <c r="G67" i="11"/>
  <c r="F123" i="11"/>
  <c r="M123" i="11"/>
  <c r="F119" i="11"/>
  <c r="M119" i="11"/>
  <c r="F115" i="11"/>
  <c r="M115" i="11"/>
  <c r="F111" i="11"/>
  <c r="M111" i="11"/>
  <c r="F107" i="11"/>
  <c r="M107" i="11"/>
  <c r="F103" i="11"/>
  <c r="M103" i="11"/>
  <c r="F99" i="11"/>
  <c r="M99" i="11"/>
  <c r="G92" i="11"/>
  <c r="M92" i="11"/>
  <c r="G88" i="11"/>
  <c r="G84" i="11"/>
  <c r="G80" i="11"/>
  <c r="M80" i="11"/>
  <c r="G76" i="11"/>
  <c r="M76" i="11"/>
  <c r="G72" i="11"/>
  <c r="G68" i="11"/>
  <c r="M252" i="11"/>
  <c r="M263" i="11"/>
  <c r="M272" i="11"/>
  <c r="M251" i="11"/>
  <c r="M267" i="11"/>
  <c r="M262" i="11"/>
  <c r="M278" i="11"/>
  <c r="M221" i="11"/>
  <c r="M223" i="11"/>
  <c r="M238" i="11"/>
  <c r="M279" i="11"/>
  <c r="M301" i="11"/>
  <c r="M281" i="11"/>
  <c r="M299" i="11"/>
  <c r="M296" i="11"/>
  <c r="M300" i="11"/>
  <c r="M302" i="11"/>
  <c r="M184" i="11"/>
  <c r="M171" i="11"/>
  <c r="M180" i="11"/>
  <c r="M170" i="11"/>
  <c r="M186" i="11"/>
  <c r="M79" i="11"/>
  <c r="M95" i="11"/>
  <c r="M74" i="11"/>
  <c r="M90" i="11"/>
  <c r="M85" i="11"/>
  <c r="M68" i="11"/>
  <c r="M84" i="11"/>
  <c r="M435" i="11"/>
  <c r="M447" i="11"/>
  <c r="M14" i="11"/>
  <c r="M21" i="11"/>
  <c r="M377" i="11"/>
  <c r="M387" i="11"/>
  <c r="M373" i="11"/>
  <c r="M374" i="11"/>
  <c r="M389" i="11"/>
  <c r="M392" i="11"/>
  <c r="M386" i="11"/>
  <c r="M355" i="11"/>
  <c r="M340" i="11"/>
  <c r="M343" i="11"/>
  <c r="M359" i="11"/>
  <c r="M346" i="11"/>
  <c r="M362" i="11"/>
  <c r="M135" i="11"/>
  <c r="M130" i="11"/>
  <c r="M137" i="11"/>
  <c r="M128" i="11"/>
  <c r="M143" i="11"/>
  <c r="G460" i="11"/>
  <c r="M460" i="11"/>
  <c r="G456" i="11"/>
  <c r="M456" i="11"/>
  <c r="G452" i="11"/>
  <c r="G448" i="11"/>
  <c r="M448" i="11"/>
  <c r="G459" i="11"/>
  <c r="M459" i="11"/>
  <c r="G455" i="11"/>
  <c r="M455" i="11"/>
  <c r="G451" i="11"/>
  <c r="G447" i="11"/>
  <c r="G458" i="11"/>
  <c r="M458" i="11"/>
  <c r="G454" i="11"/>
  <c r="M454" i="11"/>
  <c r="G450" i="11"/>
  <c r="M450" i="11"/>
  <c r="G446" i="11"/>
  <c r="M446" i="11"/>
  <c r="G457" i="11"/>
  <c r="M457" i="11"/>
  <c r="G453" i="11"/>
  <c r="G445" i="11"/>
  <c r="M445" i="11"/>
  <c r="G441" i="11"/>
  <c r="G437" i="11"/>
  <c r="M437" i="11"/>
  <c r="G433" i="11"/>
  <c r="M433" i="11"/>
  <c r="G449" i="11"/>
  <c r="M449" i="11"/>
  <c r="G444" i="11"/>
  <c r="M444" i="11"/>
  <c r="G431" i="11"/>
  <c r="M431" i="11"/>
  <c r="G430" i="11"/>
  <c r="M430" i="11"/>
  <c r="G435" i="11"/>
  <c r="G434" i="11"/>
  <c r="M434" i="11"/>
  <c r="G432" i="11"/>
  <c r="M432" i="11"/>
  <c r="G439" i="11"/>
  <c r="M439" i="11"/>
  <c r="G438" i="11"/>
  <c r="G436" i="11"/>
  <c r="M436" i="11"/>
  <c r="G443" i="11"/>
  <c r="M443" i="11"/>
  <c r="G442" i="11"/>
  <c r="M442" i="11"/>
  <c r="G440" i="11"/>
  <c r="K19" i="10"/>
  <c r="M19" i="10"/>
  <c r="M260" i="11"/>
  <c r="M253" i="11"/>
  <c r="M269" i="11"/>
  <c r="M248" i="11"/>
  <c r="M257" i="11"/>
  <c r="M273" i="11"/>
  <c r="M250" i="11"/>
  <c r="M266" i="11"/>
  <c r="M218" i="11"/>
  <c r="M236" i="11"/>
  <c r="M225" i="11"/>
  <c r="M239" i="11"/>
  <c r="M240" i="11"/>
  <c r="M242" i="11"/>
  <c r="F64" i="11"/>
  <c r="M64" i="11"/>
  <c r="F61" i="11"/>
  <c r="M61" i="11"/>
  <c r="F62" i="11"/>
  <c r="M62" i="11"/>
  <c r="F63" i="11"/>
  <c r="M63" i="11"/>
  <c r="F59" i="11"/>
  <c r="M59" i="11"/>
  <c r="F55" i="11"/>
  <c r="M55" i="11"/>
  <c r="F51" i="11"/>
  <c r="M51" i="11"/>
  <c r="F50" i="11"/>
  <c r="M50" i="11"/>
  <c r="F48" i="11"/>
  <c r="M48" i="11"/>
  <c r="F46" i="11"/>
  <c r="M46" i="11"/>
  <c r="F44" i="11"/>
  <c r="M44" i="11"/>
  <c r="F42" i="11"/>
  <c r="M42" i="11"/>
  <c r="F40" i="11"/>
  <c r="M40" i="11"/>
  <c r="F38" i="11"/>
  <c r="M38" i="11"/>
  <c r="F36" i="11"/>
  <c r="M36" i="11"/>
  <c r="K4" i="10"/>
  <c r="F56" i="11"/>
  <c r="M56" i="11"/>
  <c r="F54" i="11"/>
  <c r="M54" i="11"/>
  <c r="F53" i="11"/>
  <c r="M53" i="11"/>
  <c r="F60" i="11"/>
  <c r="M60" i="11"/>
  <c r="F58" i="11"/>
  <c r="M58" i="11"/>
  <c r="F52" i="11"/>
  <c r="M52" i="11"/>
  <c r="G35" i="11"/>
  <c r="M35" i="11"/>
  <c r="G33" i="11"/>
  <c r="M33" i="11"/>
  <c r="G31" i="11"/>
  <c r="M31" i="11"/>
  <c r="G29" i="11"/>
  <c r="M29" i="11"/>
  <c r="G27" i="11"/>
  <c r="G25" i="11"/>
  <c r="M25" i="11"/>
  <c r="G23" i="11"/>
  <c r="M23" i="11"/>
  <c r="G21" i="11"/>
  <c r="G19" i="11"/>
  <c r="G17" i="11"/>
  <c r="M17" i="11"/>
  <c r="G15" i="11"/>
  <c r="M15" i="11"/>
  <c r="G13" i="11"/>
  <c r="M13" i="11"/>
  <c r="G11" i="11"/>
  <c r="G9" i="11"/>
  <c r="M9" i="11"/>
  <c r="G7" i="11"/>
  <c r="M7" i="11"/>
  <c r="G5" i="11"/>
  <c r="M5" i="11"/>
  <c r="F57" i="11"/>
  <c r="M57" i="11"/>
  <c r="F49" i="11"/>
  <c r="M49" i="11"/>
  <c r="F47" i="11"/>
  <c r="M47" i="11"/>
  <c r="F45" i="11"/>
  <c r="M45" i="11"/>
  <c r="F43" i="11"/>
  <c r="M43" i="11"/>
  <c r="F41" i="11"/>
  <c r="M41" i="11"/>
  <c r="F39" i="11"/>
  <c r="M39" i="11"/>
  <c r="F37" i="11"/>
  <c r="M37" i="11"/>
  <c r="G34" i="11"/>
  <c r="M34" i="11"/>
  <c r="G32" i="11"/>
  <c r="G30" i="11"/>
  <c r="M30" i="11"/>
  <c r="G28" i="11"/>
  <c r="M28" i="11"/>
  <c r="G26" i="11"/>
  <c r="M26" i="11"/>
  <c r="G24" i="11"/>
  <c r="M24" i="11"/>
  <c r="G22" i="11"/>
  <c r="M22" i="11"/>
  <c r="G20" i="11"/>
  <c r="M20" i="11"/>
  <c r="G18" i="11"/>
  <c r="M18" i="11"/>
  <c r="G16" i="11"/>
  <c r="M16" i="11"/>
  <c r="G14" i="11"/>
  <c r="G12" i="11"/>
  <c r="M12" i="11"/>
  <c r="G10" i="11"/>
  <c r="M10" i="11"/>
  <c r="G8" i="11"/>
  <c r="M8" i="11"/>
  <c r="G6" i="11"/>
  <c r="M6" i="11"/>
  <c r="G4" i="11"/>
  <c r="M4" i="11"/>
  <c r="M285" i="11"/>
  <c r="M280" i="11"/>
  <c r="M283" i="11"/>
  <c r="M282" i="11"/>
  <c r="M304" i="11"/>
  <c r="M308" i="11"/>
  <c r="M160" i="11"/>
  <c r="M161" i="11"/>
  <c r="M173" i="11"/>
  <c r="M158" i="11"/>
  <c r="M174" i="11"/>
  <c r="M67" i="11"/>
  <c r="M83" i="11"/>
  <c r="M78" i="11"/>
  <c r="M94" i="11"/>
  <c r="M73" i="11"/>
  <c r="M89" i="11"/>
  <c r="M72" i="11"/>
  <c r="M88" i="11"/>
  <c r="M441" i="11"/>
  <c r="M440" i="11"/>
  <c r="M438" i="11"/>
  <c r="M451" i="11"/>
  <c r="M452" i="11"/>
  <c r="M453" i="11"/>
  <c r="M32" i="11"/>
  <c r="M27" i="11"/>
  <c r="M19" i="11"/>
  <c r="M11" i="11"/>
  <c r="K5" i="10"/>
  <c r="K6" i="10"/>
  <c r="K7" i="10"/>
  <c r="K8" i="10"/>
  <c r="K9" i="10"/>
  <c r="K10" i="10"/>
  <c r="K11" i="10"/>
  <c r="K12" i="10"/>
  <c r="K13" i="10"/>
  <c r="K14" i="10"/>
  <c r="K15" i="10"/>
  <c r="K16" i="10"/>
  <c r="K17" i="10"/>
  <c r="K18" i="10"/>
  <c r="M379" i="11"/>
  <c r="M393" i="11"/>
  <c r="M375" i="11"/>
  <c r="M378" i="11"/>
  <c r="M391" i="11"/>
  <c r="M400" i="11"/>
  <c r="M390" i="11"/>
  <c r="M344" i="11"/>
  <c r="M361" i="11"/>
  <c r="M349" i="11"/>
  <c r="M350" i="11"/>
  <c r="M366" i="11"/>
  <c r="M139" i="11"/>
  <c r="M153" i="11"/>
  <c r="M140" i="11"/>
  <c r="M132" i="11"/>
  <c r="M149" i="11"/>
  <c r="M150" i="11"/>
  <c r="M268" i="11"/>
  <c r="M255" i="11"/>
  <c r="M271" i="11"/>
  <c r="M256" i="11"/>
  <c r="M259" i="11"/>
  <c r="M275" i="11"/>
  <c r="M254" i="11"/>
  <c r="M270" i="11"/>
  <c r="M222" i="11"/>
  <c r="M229" i="11"/>
  <c r="M245" i="11"/>
  <c r="M220" i="11"/>
  <c r="M233" i="11"/>
  <c r="M230" i="11"/>
  <c r="M246" i="11"/>
  <c r="AE11" i="1"/>
  <c r="AD11" i="1"/>
  <c r="AE21" i="1"/>
  <c r="AD21" i="1"/>
  <c r="AE18" i="1"/>
  <c r="AD18" i="1"/>
  <c r="AD20" i="1"/>
  <c r="AE20" i="1"/>
  <c r="AE17" i="1"/>
  <c r="AD17" i="1"/>
  <c r="AE14" i="1"/>
  <c r="AD14" i="1"/>
  <c r="AD16" i="1"/>
  <c r="AE16" i="1"/>
  <c r="AE13" i="1"/>
  <c r="AD13" i="1"/>
  <c r="AE15" i="1"/>
  <c r="AD15" i="1"/>
  <c r="AD12" i="1"/>
  <c r="AE12" i="1"/>
  <c r="AE22" i="1"/>
  <c r="AD22" i="1"/>
  <c r="AF19" i="1"/>
  <c r="AH19" i="1"/>
  <c r="AM19" i="1"/>
  <c r="AN19" i="1"/>
  <c r="AU19" i="1"/>
  <c r="M19" i="1"/>
  <c r="K19" i="1"/>
  <c r="C14" i="8"/>
  <c r="F14" i="8"/>
  <c r="N19" i="1"/>
  <c r="D1" i="23"/>
  <c r="K1" i="23"/>
  <c r="L1" i="23"/>
  <c r="J1" i="23"/>
  <c r="I1" i="23"/>
  <c r="J10" i="9"/>
  <c r="G1" i="23"/>
  <c r="J8" i="9"/>
  <c r="N1" i="23"/>
  <c r="P1" i="23"/>
  <c r="M1" i="23"/>
  <c r="Q1" i="23"/>
  <c r="E1" i="23"/>
  <c r="H1" i="23"/>
  <c r="J9" i="9"/>
  <c r="F1" i="23"/>
  <c r="J7" i="9"/>
  <c r="O1" i="23"/>
  <c r="K7" i="9"/>
  <c r="Q158" i="25"/>
  <c r="Q159" i="25"/>
  <c r="Q160" i="25"/>
  <c r="Q161" i="25"/>
  <c r="Q162" i="25"/>
  <c r="Q163" i="25"/>
  <c r="Q164" i="25"/>
  <c r="Q165" i="25"/>
  <c r="Q166" i="25"/>
  <c r="Q167" i="25"/>
  <c r="Q168" i="25"/>
  <c r="Q169" i="25"/>
  <c r="Q170" i="25"/>
  <c r="Q171" i="25"/>
  <c r="Q172" i="25"/>
  <c r="Q173" i="25"/>
  <c r="Q174" i="25"/>
  <c r="L174" i="25"/>
  <c r="Y138" i="25"/>
  <c r="Y139" i="25"/>
  <c r="Y140" i="25"/>
  <c r="Y141" i="25"/>
  <c r="Y142" i="25"/>
  <c r="Y143" i="25"/>
  <c r="Y144" i="25"/>
  <c r="Z137" i="25"/>
  <c r="O157" i="25"/>
  <c r="N174" i="25"/>
  <c r="M174" i="25"/>
  <c r="A18" i="25"/>
  <c r="B15" i="29"/>
  <c r="C52" i="9"/>
  <c r="S52" i="9"/>
  <c r="B52" i="9"/>
  <c r="O4" i="11"/>
  <c r="O5" i="11"/>
  <c r="O6" i="11"/>
  <c r="O7" i="11"/>
  <c r="O8" i="11"/>
  <c r="O9" i="11"/>
  <c r="O10" i="11"/>
  <c r="O11" i="11"/>
  <c r="O12" i="11"/>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01" i="11"/>
  <c r="O102"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O140" i="11"/>
  <c r="O141" i="11"/>
  <c r="O142" i="11"/>
  <c r="O143" i="11"/>
  <c r="O144" i="11"/>
  <c r="O145" i="11"/>
  <c r="O146" i="11"/>
  <c r="O147" i="11"/>
  <c r="O148" i="11"/>
  <c r="O149" i="11"/>
  <c r="O150" i="11"/>
  <c r="O151" i="11"/>
  <c r="O152" i="11"/>
  <c r="O153" i="11"/>
  <c r="O154" i="11"/>
  <c r="O155" i="11"/>
  <c r="O156" i="11"/>
  <c r="O157" i="11"/>
  <c r="O158" i="11"/>
  <c r="O159" i="11"/>
  <c r="O160" i="11"/>
  <c r="O161" i="11"/>
  <c r="O162" i="11"/>
  <c r="O163" i="11"/>
  <c r="O164" i="11"/>
  <c r="O165" i="11"/>
  <c r="O166" i="11"/>
  <c r="O167" i="11"/>
  <c r="O168" i="11"/>
  <c r="O169" i="11"/>
  <c r="O170" i="11"/>
  <c r="O171" i="11"/>
  <c r="O172" i="11"/>
  <c r="O173" i="11"/>
  <c r="O174" i="11"/>
  <c r="O175" i="11"/>
  <c r="O176" i="11"/>
  <c r="O177" i="11"/>
  <c r="O178" i="11"/>
  <c r="O179" i="11"/>
  <c r="O180" i="11"/>
  <c r="O181" i="11"/>
  <c r="O182" i="11"/>
  <c r="O183" i="11"/>
  <c r="O184" i="11"/>
  <c r="O185" i="11"/>
  <c r="O186" i="11"/>
  <c r="O187" i="11"/>
  <c r="O188" i="11"/>
  <c r="O189" i="11"/>
  <c r="O190" i="11"/>
  <c r="O191" i="11"/>
  <c r="O192" i="11"/>
  <c r="O193" i="11"/>
  <c r="O194" i="11"/>
  <c r="O195" i="11"/>
  <c r="O196" i="11"/>
  <c r="O197" i="11"/>
  <c r="O198" i="11"/>
  <c r="O199" i="11"/>
  <c r="O200" i="11"/>
  <c r="O201" i="11"/>
  <c r="O202" i="11"/>
  <c r="O203" i="11"/>
  <c r="O204" i="11"/>
  <c r="O205" i="11"/>
  <c r="O206" i="11"/>
  <c r="O207" i="11"/>
  <c r="O208" i="11"/>
  <c r="O209" i="11"/>
  <c r="O210" i="11"/>
  <c r="O211" i="11"/>
  <c r="O212" i="11"/>
  <c r="O213" i="11"/>
  <c r="O214" i="11"/>
  <c r="O215" i="11"/>
  <c r="O216" i="11"/>
  <c r="O217" i="11"/>
  <c r="O218" i="11"/>
  <c r="O219" i="11"/>
  <c r="O220" i="11"/>
  <c r="O221" i="11"/>
  <c r="O222" i="11"/>
  <c r="O223" i="11"/>
  <c r="O224" i="11"/>
  <c r="O225" i="11"/>
  <c r="O226" i="11"/>
  <c r="O227" i="11"/>
  <c r="O228" i="11"/>
  <c r="O229" i="11"/>
  <c r="O230" i="11"/>
  <c r="O231" i="11"/>
  <c r="O232" i="11"/>
  <c r="O233" i="11"/>
  <c r="O234" i="11"/>
  <c r="O235" i="11"/>
  <c r="O236" i="11"/>
  <c r="O237" i="11"/>
  <c r="O238" i="11"/>
  <c r="O239" i="11"/>
  <c r="O240" i="11"/>
  <c r="O241" i="11"/>
  <c r="O242" i="11"/>
  <c r="O243" i="11"/>
  <c r="O244" i="11"/>
  <c r="O245" i="11"/>
  <c r="O246" i="11"/>
  <c r="O247" i="11"/>
  <c r="O248" i="11"/>
  <c r="O249" i="11"/>
  <c r="O250" i="11"/>
  <c r="O251" i="11"/>
  <c r="O252" i="11"/>
  <c r="O253" i="11"/>
  <c r="O254" i="11"/>
  <c r="O255" i="11"/>
  <c r="O256" i="11"/>
  <c r="O257" i="11"/>
  <c r="O258" i="11"/>
  <c r="O259" i="11"/>
  <c r="O260" i="11"/>
  <c r="O261" i="11"/>
  <c r="O262" i="11"/>
  <c r="O263" i="11"/>
  <c r="O264" i="11"/>
  <c r="O265" i="11"/>
  <c r="O266" i="11"/>
  <c r="O267" i="11"/>
  <c r="O268" i="11"/>
  <c r="O269" i="11"/>
  <c r="O270" i="11"/>
  <c r="O271" i="11"/>
  <c r="O272" i="11"/>
  <c r="O273" i="11"/>
  <c r="O274" i="11"/>
  <c r="O275" i="11"/>
  <c r="O276" i="11"/>
  <c r="O277" i="11"/>
  <c r="O278" i="11"/>
  <c r="O279" i="11"/>
  <c r="O280" i="11"/>
  <c r="O281" i="11"/>
  <c r="O282" i="11"/>
  <c r="O283" i="11"/>
  <c r="O284" i="11"/>
  <c r="O285" i="11"/>
  <c r="O286" i="11"/>
  <c r="O287" i="11"/>
  <c r="O288" i="11"/>
  <c r="O289" i="11"/>
  <c r="O290" i="11"/>
  <c r="O291" i="11"/>
  <c r="O292" i="11"/>
  <c r="O293" i="11"/>
  <c r="O294" i="11"/>
  <c r="O295" i="11"/>
  <c r="O296" i="11"/>
  <c r="O297" i="11"/>
  <c r="O298" i="11"/>
  <c r="O299" i="11"/>
  <c r="O300" i="11"/>
  <c r="O301" i="11"/>
  <c r="O302" i="11"/>
  <c r="O303" i="11"/>
  <c r="O304" i="11"/>
  <c r="O305" i="11"/>
  <c r="O306" i="11"/>
  <c r="O307" i="11"/>
  <c r="O308" i="11"/>
  <c r="O309" i="11"/>
  <c r="O310" i="11"/>
  <c r="O311" i="11"/>
  <c r="O312" i="11"/>
  <c r="O313" i="11"/>
  <c r="O314" i="11"/>
  <c r="O315" i="11"/>
  <c r="O316" i="11"/>
  <c r="O317" i="11"/>
  <c r="O318" i="11"/>
  <c r="O319" i="11"/>
  <c r="O320" i="11"/>
  <c r="O321" i="11"/>
  <c r="O322" i="11"/>
  <c r="O323" i="11"/>
  <c r="O324" i="11"/>
  <c r="O325" i="11"/>
  <c r="O326" i="11"/>
  <c r="O327" i="11"/>
  <c r="O328" i="11"/>
  <c r="O329" i="11"/>
  <c r="O330" i="11"/>
  <c r="O331" i="11"/>
  <c r="O332" i="11"/>
  <c r="O333" i="11"/>
  <c r="O334" i="11"/>
  <c r="O335" i="11"/>
  <c r="O336" i="11"/>
  <c r="O337" i="11"/>
  <c r="O338" i="11"/>
  <c r="O339" i="11"/>
  <c r="O340" i="11"/>
  <c r="O341" i="11"/>
  <c r="O342" i="11"/>
  <c r="O343" i="11"/>
  <c r="O344" i="11"/>
  <c r="O345" i="11"/>
  <c r="O346" i="11"/>
  <c r="O347" i="11"/>
  <c r="O348" i="11"/>
  <c r="O349" i="11"/>
  <c r="O350" i="11"/>
  <c r="O351" i="11"/>
  <c r="O352" i="11"/>
  <c r="O353" i="11"/>
  <c r="O354" i="11"/>
  <c r="O355" i="11"/>
  <c r="O356" i="11"/>
  <c r="O357" i="11"/>
  <c r="O358" i="11"/>
  <c r="O359" i="11"/>
  <c r="O360" i="11"/>
  <c r="O361" i="11"/>
  <c r="O362" i="11"/>
  <c r="O363" i="11"/>
  <c r="O364" i="11"/>
  <c r="O365" i="11"/>
  <c r="O366" i="11"/>
  <c r="O367" i="11"/>
  <c r="O368" i="11"/>
  <c r="O369" i="11"/>
  <c r="O370" i="11"/>
  <c r="O371" i="11"/>
  <c r="O372" i="11"/>
  <c r="O373" i="11"/>
  <c r="O374" i="11"/>
  <c r="O375" i="11"/>
  <c r="O376" i="11"/>
  <c r="O377" i="11"/>
  <c r="O378" i="11"/>
  <c r="O379" i="11"/>
  <c r="O380" i="11"/>
  <c r="O381" i="11"/>
  <c r="O382" i="11"/>
  <c r="O383" i="11"/>
  <c r="O384" i="11"/>
  <c r="O385" i="11"/>
  <c r="O386" i="11"/>
  <c r="O387" i="11"/>
  <c r="O388" i="11"/>
  <c r="O389" i="11"/>
  <c r="O390" i="11"/>
  <c r="O391" i="11"/>
  <c r="O392" i="11"/>
  <c r="O393" i="11"/>
  <c r="O394" i="11"/>
  <c r="O395" i="11"/>
  <c r="O396" i="11"/>
  <c r="O397" i="11"/>
  <c r="O398" i="11"/>
  <c r="O399" i="11"/>
  <c r="O400" i="11"/>
  <c r="O401" i="11"/>
  <c r="O402" i="11"/>
  <c r="O403" i="11"/>
  <c r="O404" i="11"/>
  <c r="O405" i="11"/>
  <c r="O406" i="11"/>
  <c r="O407" i="11"/>
  <c r="O408" i="11"/>
  <c r="O409" i="11"/>
  <c r="O410" i="11"/>
  <c r="O411" i="11"/>
  <c r="O412" i="11"/>
  <c r="O413" i="11"/>
  <c r="O414" i="11"/>
  <c r="O415" i="11"/>
  <c r="O416" i="11"/>
  <c r="O417" i="11"/>
  <c r="O418" i="11"/>
  <c r="O419" i="11"/>
  <c r="O420" i="11"/>
  <c r="O421" i="11"/>
  <c r="O422" i="11"/>
  <c r="O423" i="11"/>
  <c r="O424" i="11"/>
  <c r="O425" i="11"/>
  <c r="O426" i="11"/>
  <c r="O427" i="11"/>
  <c r="O428" i="11"/>
  <c r="O429" i="11"/>
  <c r="O430" i="11"/>
  <c r="O431" i="11"/>
  <c r="O432" i="11"/>
  <c r="O433" i="11"/>
  <c r="O434" i="11"/>
  <c r="O435" i="11"/>
  <c r="O436" i="11"/>
  <c r="O437" i="11"/>
  <c r="O438" i="11"/>
  <c r="O439" i="11"/>
  <c r="O440" i="11"/>
  <c r="O441" i="11"/>
  <c r="O442" i="11"/>
  <c r="O443" i="11"/>
  <c r="O444" i="11"/>
  <c r="O445" i="11"/>
  <c r="O446" i="11"/>
  <c r="O447" i="11"/>
  <c r="O448" i="11"/>
  <c r="O449" i="11"/>
  <c r="O450" i="11"/>
  <c r="O451" i="11"/>
  <c r="O452" i="11"/>
  <c r="O453" i="11"/>
  <c r="O454" i="11"/>
  <c r="O455" i="11"/>
  <c r="O456" i="11"/>
  <c r="O457" i="11"/>
  <c r="O458" i="11"/>
  <c r="O459" i="11"/>
  <c r="O460" i="11"/>
  <c r="I458" i="11"/>
  <c r="I454" i="11"/>
  <c r="I450" i="11"/>
  <c r="I446" i="11"/>
  <c r="I457" i="11"/>
  <c r="I453" i="11"/>
  <c r="I449" i="11"/>
  <c r="I460" i="11"/>
  <c r="I456" i="11"/>
  <c r="I452" i="11"/>
  <c r="I448" i="11"/>
  <c r="I459" i="11"/>
  <c r="I455" i="11"/>
  <c r="I443" i="11"/>
  <c r="I439" i="11"/>
  <c r="I435" i="11"/>
  <c r="I431" i="11"/>
  <c r="I441" i="11"/>
  <c r="I438" i="11"/>
  <c r="I432" i="11"/>
  <c r="I451" i="11"/>
  <c r="I445" i="11"/>
  <c r="I442" i="11"/>
  <c r="I436" i="11"/>
  <c r="I440" i="11"/>
  <c r="I433" i="11"/>
  <c r="I430" i="11"/>
  <c r="I447" i="11"/>
  <c r="I444" i="11"/>
  <c r="I437" i="11"/>
  <c r="I434" i="11"/>
  <c r="M18" i="10"/>
  <c r="F336" i="7"/>
  <c r="F332" i="7"/>
  <c r="F328" i="7"/>
  <c r="F324" i="7"/>
  <c r="F320" i="7"/>
  <c r="F316" i="7"/>
  <c r="F337" i="7"/>
  <c r="F335" i="7"/>
  <c r="F329" i="7"/>
  <c r="F327" i="7"/>
  <c r="F321" i="7"/>
  <c r="F319" i="7"/>
  <c r="F312" i="7"/>
  <c r="G305" i="7"/>
  <c r="G301" i="7"/>
  <c r="G297" i="7"/>
  <c r="G293" i="7"/>
  <c r="G289" i="7"/>
  <c r="G285" i="7"/>
  <c r="G281" i="7"/>
  <c r="F334" i="7"/>
  <c r="F326" i="7"/>
  <c r="F318" i="7"/>
  <c r="F313" i="7"/>
  <c r="F309" i="7"/>
  <c r="G306" i="7"/>
  <c r="G302" i="7"/>
  <c r="G298" i="7"/>
  <c r="G294" i="7"/>
  <c r="G290" i="7"/>
  <c r="G286" i="7"/>
  <c r="G282" i="7"/>
  <c r="F339" i="7"/>
  <c r="F333" i="7"/>
  <c r="F331" i="7"/>
  <c r="F325" i="7"/>
  <c r="F323" i="7"/>
  <c r="F317" i="7"/>
  <c r="F314" i="7"/>
  <c r="F310" i="7"/>
  <c r="G307" i="7"/>
  <c r="G303" i="7"/>
  <c r="G299" i="7"/>
  <c r="G295" i="7"/>
  <c r="G291" i="7"/>
  <c r="G287" i="7"/>
  <c r="G283" i="7"/>
  <c r="G279" i="7"/>
  <c r="F338" i="7"/>
  <c r="F330" i="7"/>
  <c r="F322" i="7"/>
  <c r="F315" i="7"/>
  <c r="F311" i="7"/>
  <c r="G308" i="7"/>
  <c r="G304" i="7"/>
  <c r="G300" i="7"/>
  <c r="G296" i="7"/>
  <c r="G292" i="7"/>
  <c r="G288" i="7"/>
  <c r="G284" i="7"/>
  <c r="G280" i="7"/>
  <c r="AF15" i="1"/>
  <c r="AH15" i="1"/>
  <c r="AM15" i="1"/>
  <c r="AN15" i="1"/>
  <c r="AU15" i="1"/>
  <c r="M15" i="1"/>
  <c r="K15" i="1"/>
  <c r="C10" i="8"/>
  <c r="F10" i="8"/>
  <c r="N15" i="1"/>
  <c r="AF18" i="1"/>
  <c r="AH18" i="1"/>
  <c r="AM18" i="1"/>
  <c r="AN18" i="1"/>
  <c r="AU18" i="1"/>
  <c r="M18" i="1"/>
  <c r="K18" i="1"/>
  <c r="C13" i="8"/>
  <c r="F13" i="8"/>
  <c r="N18" i="1"/>
  <c r="N12" i="1"/>
  <c r="AF12" i="1"/>
  <c r="AH12" i="1"/>
  <c r="AM12" i="1"/>
  <c r="AN12" i="1"/>
  <c r="AU12" i="1"/>
  <c r="M12" i="1"/>
  <c r="K12" i="1"/>
  <c r="C7" i="8"/>
  <c r="N20" i="1"/>
  <c r="AF20" i="1"/>
  <c r="AH20" i="1"/>
  <c r="AM20" i="1"/>
  <c r="AN20" i="1"/>
  <c r="AU20" i="1"/>
  <c r="M20" i="1"/>
  <c r="K20" i="1"/>
  <c r="C15" i="8"/>
  <c r="F15" i="8"/>
  <c r="N13" i="1"/>
  <c r="AF13" i="1"/>
  <c r="AH13" i="1"/>
  <c r="AM13" i="1"/>
  <c r="AN13" i="1"/>
  <c r="AU13" i="1"/>
  <c r="M13" i="1"/>
  <c r="K13" i="1"/>
  <c r="C8" i="8"/>
  <c r="F8" i="8"/>
  <c r="AF14" i="1"/>
  <c r="AH14" i="1"/>
  <c r="AM14" i="1"/>
  <c r="AN14" i="1"/>
  <c r="AU14" i="1"/>
  <c r="M14" i="1"/>
  <c r="K14" i="1"/>
  <c r="C9" i="8"/>
  <c r="F9" i="8"/>
  <c r="N14" i="1"/>
  <c r="N21" i="1"/>
  <c r="AF21" i="1"/>
  <c r="AH21" i="1"/>
  <c r="AM21" i="1"/>
  <c r="AN21" i="1"/>
  <c r="AU21" i="1"/>
  <c r="M21" i="1"/>
  <c r="K21" i="1"/>
  <c r="C16" i="8"/>
  <c r="N16" i="1"/>
  <c r="AF16" i="1"/>
  <c r="AH16" i="1"/>
  <c r="AM16" i="1"/>
  <c r="AN16" i="1"/>
  <c r="AU16" i="1"/>
  <c r="M16" i="1"/>
  <c r="K16" i="1"/>
  <c r="C11" i="8"/>
  <c r="F11" i="8"/>
  <c r="AF22" i="1"/>
  <c r="AH22" i="1"/>
  <c r="AM22" i="1"/>
  <c r="AN22" i="1"/>
  <c r="AU22" i="1"/>
  <c r="M22" i="1"/>
  <c r="K22" i="1"/>
  <c r="C17" i="8"/>
  <c r="N22" i="1"/>
  <c r="N17" i="1"/>
  <c r="AF17" i="1"/>
  <c r="AH17" i="1"/>
  <c r="AM17" i="1"/>
  <c r="AN17" i="1"/>
  <c r="AU17" i="1"/>
  <c r="M17" i="1"/>
  <c r="K17" i="1"/>
  <c r="C12" i="8"/>
  <c r="F12" i="8"/>
  <c r="AF11" i="1"/>
  <c r="AH11" i="1"/>
  <c r="AM11" i="1"/>
  <c r="AN11" i="1"/>
  <c r="AU11" i="1"/>
  <c r="M11" i="1"/>
  <c r="K11" i="1"/>
  <c r="C6" i="8"/>
  <c r="N11" i="1"/>
  <c r="C6" i="9"/>
  <c r="E6" i="9"/>
  <c r="A3" i="25"/>
  <c r="R9" i="9"/>
  <c r="O9" i="9"/>
  <c r="G9" i="9"/>
  <c r="R10" i="9"/>
  <c r="G10" i="9"/>
  <c r="B1" i="23"/>
  <c r="J4" i="9"/>
  <c r="C10" i="9"/>
  <c r="I7" i="9"/>
  <c r="G7" i="9"/>
  <c r="R7" i="9"/>
  <c r="R8" i="9"/>
  <c r="O8" i="9"/>
  <c r="G8" i="9"/>
  <c r="Y145" i="25"/>
  <c r="Y146" i="25"/>
  <c r="Y147" i="25"/>
  <c r="Y148" i="25"/>
  <c r="Y149" i="25"/>
  <c r="Y150" i="25"/>
  <c r="Y151" i="25"/>
  <c r="Y152" i="25"/>
  <c r="Y153" i="25"/>
  <c r="Y154" i="25"/>
  <c r="Y155" i="25"/>
  <c r="Y156" i="25"/>
  <c r="Y157" i="25"/>
  <c r="Z157" i="25"/>
  <c r="Z144" i="25"/>
  <c r="Q175" i="25"/>
  <c r="Q176" i="25"/>
  <c r="Q177" i="25"/>
  <c r="Q178" i="25"/>
  <c r="Q179" i="25"/>
  <c r="Q180" i="25"/>
  <c r="Q181" i="25"/>
  <c r="Q182" i="25"/>
  <c r="Q183" i="25"/>
  <c r="Q184" i="25"/>
  <c r="Q185" i="25"/>
  <c r="Q186" i="25"/>
  <c r="Q187" i="25"/>
  <c r="O174" i="25"/>
  <c r="Q188" i="25"/>
  <c r="Q189" i="25"/>
  <c r="Q190" i="25"/>
  <c r="L190" i="25"/>
  <c r="L187" i="25"/>
  <c r="A19" i="25"/>
  <c r="B16" i="29"/>
  <c r="C53" i="9"/>
  <c r="S53" i="9"/>
  <c r="B53" i="9"/>
  <c r="P49" i="9"/>
  <c r="U49" i="9"/>
  <c r="P50" i="9"/>
  <c r="U50" i="9"/>
  <c r="P53" i="9"/>
  <c r="U53" i="9"/>
  <c r="P51" i="9"/>
  <c r="D7" i="30"/>
  <c r="E10" i="9"/>
  <c r="A7" i="25"/>
  <c r="P52" i="9"/>
  <c r="U52" i="9"/>
  <c r="B6" i="29"/>
  <c r="E14" i="29"/>
  <c r="H459" i="11"/>
  <c r="H455" i="11"/>
  <c r="H451" i="11"/>
  <c r="H447" i="11"/>
  <c r="H458" i="11"/>
  <c r="H454" i="11"/>
  <c r="H450" i="11"/>
  <c r="H446" i="11"/>
  <c r="H457" i="11"/>
  <c r="H453" i="11"/>
  <c r="H449" i="11"/>
  <c r="H456" i="11"/>
  <c r="H448" i="11"/>
  <c r="H444" i="11"/>
  <c r="H440" i="11"/>
  <c r="H436" i="11"/>
  <c r="H432" i="11"/>
  <c r="I427" i="11"/>
  <c r="I423" i="11"/>
  <c r="I419" i="11"/>
  <c r="I413" i="11"/>
  <c r="I409" i="11"/>
  <c r="I405" i="11"/>
  <c r="I401" i="11"/>
  <c r="H460" i="11"/>
  <c r="H437" i="11"/>
  <c r="H435" i="11"/>
  <c r="H434" i="11"/>
  <c r="I425" i="11"/>
  <c r="I422" i="11"/>
  <c r="I416" i="11"/>
  <c r="I415" i="11"/>
  <c r="I408" i="11"/>
  <c r="H441" i="11"/>
  <c r="H439" i="11"/>
  <c r="H438" i="11"/>
  <c r="I429" i="11"/>
  <c r="I426" i="11"/>
  <c r="I420" i="11"/>
  <c r="I414" i="11"/>
  <c r="I407" i="11"/>
  <c r="I406" i="11"/>
  <c r="H445" i="11"/>
  <c r="H443" i="11"/>
  <c r="H442" i="11"/>
  <c r="I424" i="11"/>
  <c r="I417" i="11"/>
  <c r="I412" i="11"/>
  <c r="I404" i="11"/>
  <c r="H452" i="11"/>
  <c r="H433" i="11"/>
  <c r="H431" i="11"/>
  <c r="H430" i="11"/>
  <c r="I428" i="11"/>
  <c r="I421" i="11"/>
  <c r="I418" i="11"/>
  <c r="I411" i="11"/>
  <c r="I410" i="11"/>
  <c r="I403" i="11"/>
  <c r="I402" i="11"/>
  <c r="M17" i="10"/>
  <c r="F16" i="8"/>
  <c r="F4" i="8"/>
  <c r="F156" i="7"/>
  <c r="F152" i="7"/>
  <c r="F148" i="7"/>
  <c r="F144" i="7"/>
  <c r="F140" i="7"/>
  <c r="F136" i="7"/>
  <c r="F132" i="7"/>
  <c r="F128" i="7"/>
  <c r="G125" i="7"/>
  <c r="G121" i="7"/>
  <c r="G117" i="7"/>
  <c r="G113" i="7"/>
  <c r="G109" i="7"/>
  <c r="G105" i="7"/>
  <c r="G101" i="7"/>
  <c r="G97" i="7"/>
  <c r="F153" i="7"/>
  <c r="F149" i="7"/>
  <c r="F145" i="7"/>
  <c r="F141" i="7"/>
  <c r="F137" i="7"/>
  <c r="F133" i="7"/>
  <c r="F129" i="7"/>
  <c r="G122" i="7"/>
  <c r="G118" i="7"/>
  <c r="G114" i="7"/>
  <c r="G110" i="7"/>
  <c r="G106" i="7"/>
  <c r="G102" i="7"/>
  <c r="G98" i="7"/>
  <c r="F154" i="7"/>
  <c r="F150" i="7"/>
  <c r="F146" i="7"/>
  <c r="F142" i="7"/>
  <c r="F138" i="7"/>
  <c r="F134" i="7"/>
  <c r="F130" i="7"/>
  <c r="F126" i="7"/>
  <c r="G123" i="7"/>
  <c r="G119" i="7"/>
  <c r="G115" i="7"/>
  <c r="G111" i="7"/>
  <c r="G107" i="7"/>
  <c r="G103" i="7"/>
  <c r="G99" i="7"/>
  <c r="F155" i="7"/>
  <c r="F151" i="7"/>
  <c r="F147" i="7"/>
  <c r="F143" i="7"/>
  <c r="F139" i="7"/>
  <c r="F135" i="7"/>
  <c r="F131" i="7"/>
  <c r="F127" i="7"/>
  <c r="G124" i="7"/>
  <c r="G120" i="7"/>
  <c r="G116" i="7"/>
  <c r="G112" i="7"/>
  <c r="G108" i="7"/>
  <c r="G104" i="7"/>
  <c r="G100" i="7"/>
  <c r="G96" i="7"/>
  <c r="F19" i="8"/>
  <c r="F7" i="8"/>
  <c r="F6" i="8"/>
  <c r="F18" i="8"/>
  <c r="F17" i="8"/>
  <c r="F5" i="8"/>
  <c r="F216" i="7"/>
  <c r="F217" i="7"/>
  <c r="F213" i="7"/>
  <c r="F215" i="7"/>
  <c r="F211" i="7"/>
  <c r="F207" i="7"/>
  <c r="F203" i="7"/>
  <c r="F199" i="7"/>
  <c r="F195" i="7"/>
  <c r="F191" i="7"/>
  <c r="F187" i="7"/>
  <c r="G184" i="7"/>
  <c r="G180" i="7"/>
  <c r="F208" i="7"/>
  <c r="F206" i="7"/>
  <c r="F200" i="7"/>
  <c r="F198" i="7"/>
  <c r="F192" i="7"/>
  <c r="F190" i="7"/>
  <c r="G183" i="7"/>
  <c r="G181" i="7"/>
  <c r="G177" i="7"/>
  <c r="G173" i="7"/>
  <c r="G169" i="7"/>
  <c r="G165" i="7"/>
  <c r="G161" i="7"/>
  <c r="G157" i="7"/>
  <c r="F205" i="7"/>
  <c r="F197" i="7"/>
  <c r="F189" i="7"/>
  <c r="G186" i="7"/>
  <c r="G178" i="7"/>
  <c r="G174" i="7"/>
  <c r="G170" i="7"/>
  <c r="G166" i="7"/>
  <c r="G162" i="7"/>
  <c r="G158" i="7"/>
  <c r="F210" i="7"/>
  <c r="F204" i="7"/>
  <c r="F202" i="7"/>
  <c r="F196" i="7"/>
  <c r="F194" i="7"/>
  <c r="F188" i="7"/>
  <c r="G185" i="7"/>
  <c r="G179" i="7"/>
  <c r="G175" i="7"/>
  <c r="G171" i="7"/>
  <c r="G167" i="7"/>
  <c r="G163" i="7"/>
  <c r="G159" i="7"/>
  <c r="F214" i="7"/>
  <c r="F212" i="7"/>
  <c r="F209" i="7"/>
  <c r="F201" i="7"/>
  <c r="F193" i="7"/>
  <c r="G182" i="7"/>
  <c r="G176" i="7"/>
  <c r="G172" i="7"/>
  <c r="G168" i="7"/>
  <c r="G164" i="7"/>
  <c r="G160" i="7"/>
  <c r="F276" i="7"/>
  <c r="F272" i="7"/>
  <c r="F268" i="7"/>
  <c r="F264" i="7"/>
  <c r="F260" i="7"/>
  <c r="F256" i="7"/>
  <c r="F252" i="7"/>
  <c r="F248" i="7"/>
  <c r="G245" i="7"/>
  <c r="G241" i="7"/>
  <c r="G237" i="7"/>
  <c r="G233" i="7"/>
  <c r="G229" i="7"/>
  <c r="G225" i="7"/>
  <c r="G221" i="7"/>
  <c r="F277" i="7"/>
  <c r="F273" i="7"/>
  <c r="F269" i="7"/>
  <c r="F265" i="7"/>
  <c r="F261" i="7"/>
  <c r="F257" i="7"/>
  <c r="F253" i="7"/>
  <c r="F249" i="7"/>
  <c r="G246" i="7"/>
  <c r="G242" i="7"/>
  <c r="G238" i="7"/>
  <c r="G234" i="7"/>
  <c r="G230" i="7"/>
  <c r="G226" i="7"/>
  <c r="G222" i="7"/>
  <c r="G218" i="7"/>
  <c r="F278" i="7"/>
  <c r="F274" i="7"/>
  <c r="F270" i="7"/>
  <c r="F266" i="7"/>
  <c r="F262" i="7"/>
  <c r="F258" i="7"/>
  <c r="F254" i="7"/>
  <c r="F250" i="7"/>
  <c r="G247" i="7"/>
  <c r="G243" i="7"/>
  <c r="G239" i="7"/>
  <c r="G235" i="7"/>
  <c r="G231" i="7"/>
  <c r="G227" i="7"/>
  <c r="G223" i="7"/>
  <c r="G219" i="7"/>
  <c r="F275" i="7"/>
  <c r="F271" i="7"/>
  <c r="F267" i="7"/>
  <c r="F263" i="7"/>
  <c r="F259" i="7"/>
  <c r="F255" i="7"/>
  <c r="F251" i="7"/>
  <c r="G244" i="7"/>
  <c r="G240" i="7"/>
  <c r="G236" i="7"/>
  <c r="G232" i="7"/>
  <c r="G228" i="7"/>
  <c r="G224" i="7"/>
  <c r="G220" i="7"/>
  <c r="F244" i="7"/>
  <c r="F240" i="7"/>
  <c r="M240" i="7"/>
  <c r="F236" i="7"/>
  <c r="M236" i="7"/>
  <c r="F232" i="7"/>
  <c r="F228" i="7"/>
  <c r="F224" i="7"/>
  <c r="M224" i="7"/>
  <c r="F220" i="7"/>
  <c r="M220" i="7"/>
  <c r="G217" i="7"/>
  <c r="G213" i="7"/>
  <c r="F245" i="7"/>
  <c r="M245" i="7"/>
  <c r="F241" i="7"/>
  <c r="F237" i="7"/>
  <c r="F233" i="7"/>
  <c r="F229" i="7"/>
  <c r="M229" i="7"/>
  <c r="F225" i="7"/>
  <c r="F221" i="7"/>
  <c r="G214" i="7"/>
  <c r="F246" i="7"/>
  <c r="M246" i="7"/>
  <c r="F242" i="7"/>
  <c r="M242" i="7"/>
  <c r="F238" i="7"/>
  <c r="F234" i="7"/>
  <c r="F230" i="7"/>
  <c r="M230" i="7"/>
  <c r="F226" i="7"/>
  <c r="M226" i="7"/>
  <c r="F222" i="7"/>
  <c r="F218" i="7"/>
  <c r="F247" i="7"/>
  <c r="M247" i="7"/>
  <c r="F243" i="7"/>
  <c r="M243" i="7"/>
  <c r="F239" i="7"/>
  <c r="F235" i="7"/>
  <c r="F231" i="7"/>
  <c r="M231" i="7"/>
  <c r="F227" i="7"/>
  <c r="M227" i="7"/>
  <c r="F223" i="7"/>
  <c r="F219" i="7"/>
  <c r="G216" i="7"/>
  <c r="G212" i="7"/>
  <c r="G208" i="7"/>
  <c r="G204" i="7"/>
  <c r="G200" i="7"/>
  <c r="G196" i="7"/>
  <c r="G192" i="7"/>
  <c r="G188" i="7"/>
  <c r="G207" i="7"/>
  <c r="G205" i="7"/>
  <c r="G199" i="7"/>
  <c r="G197" i="7"/>
  <c r="G191" i="7"/>
  <c r="G189" i="7"/>
  <c r="G210" i="7"/>
  <c r="G202" i="7"/>
  <c r="G194" i="7"/>
  <c r="G211" i="7"/>
  <c r="G209" i="7"/>
  <c r="G203" i="7"/>
  <c r="G201" i="7"/>
  <c r="G195" i="7"/>
  <c r="G193" i="7"/>
  <c r="G187" i="7"/>
  <c r="G215" i="7"/>
  <c r="G206" i="7"/>
  <c r="G198" i="7"/>
  <c r="G190" i="7"/>
  <c r="F366" i="7"/>
  <c r="F362" i="7"/>
  <c r="F358" i="7"/>
  <c r="F354" i="7"/>
  <c r="F350" i="7"/>
  <c r="F367" i="7"/>
  <c r="F363" i="7"/>
  <c r="F359" i="7"/>
  <c r="F355" i="7"/>
  <c r="F351" i="7"/>
  <c r="F368" i="7"/>
  <c r="F364" i="7"/>
  <c r="F360" i="7"/>
  <c r="F356" i="7"/>
  <c r="F352" i="7"/>
  <c r="F348" i="7"/>
  <c r="F344" i="7"/>
  <c r="F340" i="7"/>
  <c r="G337" i="7"/>
  <c r="M337" i="7"/>
  <c r="G333" i="7"/>
  <c r="M333" i="7"/>
  <c r="G329" i="7"/>
  <c r="G325" i="7"/>
  <c r="M325" i="7"/>
  <c r="G321" i="7"/>
  <c r="M321" i="7"/>
  <c r="G317" i="7"/>
  <c r="M317" i="7"/>
  <c r="F365" i="7"/>
  <c r="F357" i="7"/>
  <c r="F345" i="7"/>
  <c r="F343" i="7"/>
  <c r="G336" i="7"/>
  <c r="M336" i="7"/>
  <c r="G334" i="7"/>
  <c r="G328" i="7"/>
  <c r="M328" i="7"/>
  <c r="G326" i="7"/>
  <c r="M326" i="7"/>
  <c r="G320" i="7"/>
  <c r="M320" i="7"/>
  <c r="G318" i="7"/>
  <c r="M318" i="7"/>
  <c r="G313" i="7"/>
  <c r="M313" i="7"/>
  <c r="G309" i="7"/>
  <c r="M309" i="7"/>
  <c r="F342" i="7"/>
  <c r="G339" i="7"/>
  <c r="G331" i="7"/>
  <c r="M331" i="7"/>
  <c r="G323" i="7"/>
  <c r="G314" i="7"/>
  <c r="M314" i="7"/>
  <c r="G310" i="7"/>
  <c r="M310" i="7"/>
  <c r="F369" i="7"/>
  <c r="F361" i="7"/>
  <c r="F353" i="7"/>
  <c r="F349" i="7"/>
  <c r="F347" i="7"/>
  <c r="F341" i="7"/>
  <c r="G338" i="7"/>
  <c r="G332" i="7"/>
  <c r="M332" i="7"/>
  <c r="G330" i="7"/>
  <c r="G324" i="7"/>
  <c r="M324" i="7"/>
  <c r="G322" i="7"/>
  <c r="M322" i="7"/>
  <c r="G316" i="7"/>
  <c r="M316" i="7"/>
  <c r="G315" i="7"/>
  <c r="M315" i="7"/>
  <c r="G311" i="7"/>
  <c r="M311" i="7"/>
  <c r="F346" i="7"/>
  <c r="G335" i="7"/>
  <c r="M335" i="7"/>
  <c r="G327" i="7"/>
  <c r="M327" i="7"/>
  <c r="G319" i="7"/>
  <c r="M319" i="7"/>
  <c r="G312" i="7"/>
  <c r="M330" i="7"/>
  <c r="F183" i="7"/>
  <c r="M183" i="7"/>
  <c r="F184" i="7"/>
  <c r="M184" i="7"/>
  <c r="F182" i="7"/>
  <c r="F176" i="7"/>
  <c r="F172" i="7"/>
  <c r="M172" i="7"/>
  <c r="F168" i="7"/>
  <c r="M168" i="7"/>
  <c r="F164" i="7"/>
  <c r="F160" i="7"/>
  <c r="G153" i="7"/>
  <c r="G149" i="7"/>
  <c r="G145" i="7"/>
  <c r="G141" i="7"/>
  <c r="G137" i="7"/>
  <c r="G133" i="7"/>
  <c r="G129" i="7"/>
  <c r="F181" i="7"/>
  <c r="M181" i="7"/>
  <c r="F177" i="7"/>
  <c r="M177" i="7"/>
  <c r="F173" i="7"/>
  <c r="M173" i="7"/>
  <c r="F169" i="7"/>
  <c r="F165" i="7"/>
  <c r="M165" i="7"/>
  <c r="F161" i="7"/>
  <c r="M161" i="7"/>
  <c r="F157" i="7"/>
  <c r="M157" i="7"/>
  <c r="G154" i="7"/>
  <c r="G150" i="7"/>
  <c r="G146" i="7"/>
  <c r="G142" i="7"/>
  <c r="G138" i="7"/>
  <c r="G134" i="7"/>
  <c r="G130" i="7"/>
  <c r="G126" i="7"/>
  <c r="F186" i="7"/>
  <c r="F180" i="7"/>
  <c r="M180" i="7"/>
  <c r="F178" i="7"/>
  <c r="M178" i="7"/>
  <c r="F174" i="7"/>
  <c r="M174" i="7"/>
  <c r="F170" i="7"/>
  <c r="F166" i="7"/>
  <c r="M166" i="7"/>
  <c r="F162" i="7"/>
  <c r="M162" i="7"/>
  <c r="F158" i="7"/>
  <c r="M158" i="7"/>
  <c r="G155" i="7"/>
  <c r="G151" i="7"/>
  <c r="G147" i="7"/>
  <c r="G143" i="7"/>
  <c r="G139" i="7"/>
  <c r="G135" i="7"/>
  <c r="G131" i="7"/>
  <c r="G127" i="7"/>
  <c r="F185" i="7"/>
  <c r="F179" i="7"/>
  <c r="M179" i="7"/>
  <c r="F175" i="7"/>
  <c r="M175" i="7"/>
  <c r="F171" i="7"/>
  <c r="M171" i="7"/>
  <c r="F167" i="7"/>
  <c r="F163" i="7"/>
  <c r="M163" i="7"/>
  <c r="F159" i="7"/>
  <c r="M159" i="7"/>
  <c r="G156" i="7"/>
  <c r="G152" i="7"/>
  <c r="G148" i="7"/>
  <c r="G144" i="7"/>
  <c r="G140" i="7"/>
  <c r="G136" i="7"/>
  <c r="G132" i="7"/>
  <c r="G128" i="7"/>
  <c r="F308" i="7"/>
  <c r="M308" i="7"/>
  <c r="F304" i="7"/>
  <c r="M304" i="7"/>
  <c r="F300" i="7"/>
  <c r="M300" i="7"/>
  <c r="F296" i="7"/>
  <c r="M296" i="7"/>
  <c r="F292" i="7"/>
  <c r="M292" i="7"/>
  <c r="F288" i="7"/>
  <c r="M288" i="7"/>
  <c r="F284" i="7"/>
  <c r="M284" i="7"/>
  <c r="F280" i="7"/>
  <c r="M280" i="7"/>
  <c r="G277" i="7"/>
  <c r="G273" i="7"/>
  <c r="G269" i="7"/>
  <c r="G265" i="7"/>
  <c r="G261" i="7"/>
  <c r="G257" i="7"/>
  <c r="G253" i="7"/>
  <c r="G249" i="7"/>
  <c r="F305" i="7"/>
  <c r="M305" i="7"/>
  <c r="F301" i="7"/>
  <c r="M301" i="7"/>
  <c r="F297" i="7"/>
  <c r="M297" i="7"/>
  <c r="F293" i="7"/>
  <c r="M293" i="7"/>
  <c r="F289" i="7"/>
  <c r="M289" i="7"/>
  <c r="F285" i="7"/>
  <c r="M285" i="7"/>
  <c r="F281" i="7"/>
  <c r="M281" i="7"/>
  <c r="G278" i="7"/>
  <c r="G274" i="7"/>
  <c r="G270" i="7"/>
  <c r="G266" i="7"/>
  <c r="G262" i="7"/>
  <c r="G258" i="7"/>
  <c r="G254" i="7"/>
  <c r="G250" i="7"/>
  <c r="F306" i="7"/>
  <c r="M306" i="7"/>
  <c r="F302" i="7"/>
  <c r="M302" i="7"/>
  <c r="F298" i="7"/>
  <c r="M298" i="7"/>
  <c r="F294" i="7"/>
  <c r="M294" i="7"/>
  <c r="F290" i="7"/>
  <c r="M290" i="7"/>
  <c r="F286" i="7"/>
  <c r="M286" i="7"/>
  <c r="F282" i="7"/>
  <c r="M282" i="7"/>
  <c r="G275" i="7"/>
  <c r="G271" i="7"/>
  <c r="G267" i="7"/>
  <c r="G263" i="7"/>
  <c r="G259" i="7"/>
  <c r="G255" i="7"/>
  <c r="G251" i="7"/>
  <c r="F307" i="7"/>
  <c r="M307" i="7"/>
  <c r="F303" i="7"/>
  <c r="M303" i="7"/>
  <c r="F299" i="7"/>
  <c r="M299" i="7"/>
  <c r="F295" i="7"/>
  <c r="M295" i="7"/>
  <c r="F291" i="7"/>
  <c r="M291" i="7"/>
  <c r="F287" i="7"/>
  <c r="M287" i="7"/>
  <c r="F283" i="7"/>
  <c r="M283" i="7"/>
  <c r="F279" i="7"/>
  <c r="M279" i="7"/>
  <c r="G276" i="7"/>
  <c r="G272" i="7"/>
  <c r="G268" i="7"/>
  <c r="G264" i="7"/>
  <c r="G260" i="7"/>
  <c r="G256" i="7"/>
  <c r="G252" i="7"/>
  <c r="G248" i="7"/>
  <c r="M338" i="7"/>
  <c r="M323" i="7"/>
  <c r="M339" i="7"/>
  <c r="M334" i="7"/>
  <c r="M312" i="7"/>
  <c r="M329" i="7"/>
  <c r="D3" i="30"/>
  <c r="D12" i="30"/>
  <c r="E15" i="29"/>
  <c r="E16" i="29"/>
  <c r="E13" i="29"/>
  <c r="D11" i="30"/>
  <c r="B10" i="29"/>
  <c r="E8" i="30"/>
  <c r="G6" i="9"/>
  <c r="E7" i="30"/>
  <c r="X52" i="9"/>
  <c r="X51" i="9"/>
  <c r="X50" i="9"/>
  <c r="G16" i="25"/>
  <c r="V16" i="25"/>
  <c r="E9" i="30"/>
  <c r="X49" i="9"/>
  <c r="E10" i="30"/>
  <c r="U51" i="9"/>
  <c r="Q51" i="9"/>
  <c r="E11" i="30"/>
  <c r="Y158" i="25"/>
  <c r="Q191" i="25"/>
  <c r="Q192" i="25"/>
  <c r="Q193" i="25"/>
  <c r="Q194" i="25"/>
  <c r="Q195" i="25"/>
  <c r="Q196" i="25"/>
  <c r="Q197" i="25"/>
  <c r="Q198" i="25"/>
  <c r="Q199" i="25"/>
  <c r="Q200" i="25"/>
  <c r="Q201" i="25"/>
  <c r="Q202" i="25"/>
  <c r="Q203" i="25"/>
  <c r="Q204" i="25"/>
  <c r="Z174" i="25"/>
  <c r="M190" i="25"/>
  <c r="N190" i="25"/>
  <c r="O190" i="25"/>
  <c r="M187" i="25"/>
  <c r="G19" i="25"/>
  <c r="V19" i="25"/>
  <c r="Q205" i="25"/>
  <c r="Q206" i="25"/>
  <c r="Q207" i="25"/>
  <c r="Q208" i="25"/>
  <c r="Q209" i="25"/>
  <c r="Q210" i="25"/>
  <c r="L210" i="25"/>
  <c r="L204" i="25"/>
  <c r="F16" i="25"/>
  <c r="D17" i="25"/>
  <c r="E17" i="25"/>
  <c r="D18" i="25"/>
  <c r="E18" i="25"/>
  <c r="D16" i="25"/>
  <c r="E16" i="25"/>
  <c r="I19" i="25"/>
  <c r="W19" i="25"/>
  <c r="D19" i="25"/>
  <c r="F18" i="25"/>
  <c r="X53" i="9"/>
  <c r="F19" i="25"/>
  <c r="G18" i="25"/>
  <c r="V18" i="25"/>
  <c r="Q53" i="9"/>
  <c r="Q49" i="9"/>
  <c r="Q50" i="9"/>
  <c r="Q52" i="9"/>
  <c r="E11" i="9"/>
  <c r="D11" i="9"/>
  <c r="A20" i="25"/>
  <c r="F20" i="25"/>
  <c r="B17" i="29"/>
  <c r="E17" i="29"/>
  <c r="C54" i="9"/>
  <c r="S54" i="9"/>
  <c r="B54" i="9"/>
  <c r="Y159" i="25"/>
  <c r="Y160" i="25"/>
  <c r="Y161" i="25"/>
  <c r="Y162" i="25"/>
  <c r="Y163" i="25"/>
  <c r="Y164" i="25"/>
  <c r="Y165" i="25"/>
  <c r="Y166" i="25"/>
  <c r="Y167" i="25"/>
  <c r="Y168" i="25"/>
  <c r="Y169" i="25"/>
  <c r="Y170" i="25"/>
  <c r="Y171" i="25"/>
  <c r="Y172" i="25"/>
  <c r="Z158" i="25"/>
  <c r="M186" i="7"/>
  <c r="M223" i="7"/>
  <c r="M239" i="7"/>
  <c r="M222" i="7"/>
  <c r="M238" i="7"/>
  <c r="M221" i="7"/>
  <c r="M237" i="7"/>
  <c r="M232" i="7"/>
  <c r="Q431" i="11"/>
  <c r="N431" i="11"/>
  <c r="Q443" i="11"/>
  <c r="N443" i="11"/>
  <c r="N438" i="11"/>
  <c r="Q438" i="11"/>
  <c r="N434" i="11"/>
  <c r="Q434" i="11"/>
  <c r="Q436" i="11"/>
  <c r="N436" i="11"/>
  <c r="N456" i="11"/>
  <c r="Q456" i="11"/>
  <c r="Q446" i="11"/>
  <c r="N446" i="11"/>
  <c r="Q447" i="11"/>
  <c r="N447" i="11"/>
  <c r="Q433" i="11"/>
  <c r="N433" i="11"/>
  <c r="N445" i="11"/>
  <c r="Q445" i="11"/>
  <c r="N439" i="11"/>
  <c r="Q439" i="11"/>
  <c r="Q435" i="11"/>
  <c r="N435" i="11"/>
  <c r="N440" i="11"/>
  <c r="Q440" i="11"/>
  <c r="N449" i="11"/>
  <c r="Q449" i="11"/>
  <c r="N450" i="11"/>
  <c r="Q450" i="11"/>
  <c r="Q451" i="11"/>
  <c r="N451" i="11"/>
  <c r="N452" i="11"/>
  <c r="Q452" i="11"/>
  <c r="Q441" i="11"/>
  <c r="N441" i="11"/>
  <c r="Q437" i="11"/>
  <c r="N437" i="11"/>
  <c r="Q444" i="11"/>
  <c r="N444" i="11"/>
  <c r="Q453" i="11"/>
  <c r="N453" i="11"/>
  <c r="N454" i="11"/>
  <c r="Q454" i="11"/>
  <c r="Q455" i="11"/>
  <c r="N455" i="11"/>
  <c r="H428" i="11"/>
  <c r="H424" i="11"/>
  <c r="H420" i="11"/>
  <c r="H416" i="11"/>
  <c r="H412" i="11"/>
  <c r="Q412" i="11"/>
  <c r="H408" i="11"/>
  <c r="Q408" i="11"/>
  <c r="N408" i="11"/>
  <c r="H404" i="11"/>
  <c r="Q404" i="11"/>
  <c r="N404" i="11"/>
  <c r="I397" i="11"/>
  <c r="I393" i="11"/>
  <c r="I389" i="11"/>
  <c r="I385" i="11"/>
  <c r="I381" i="11"/>
  <c r="H421" i="11"/>
  <c r="H419" i="11"/>
  <c r="H418" i="11"/>
  <c r="H411" i="11"/>
  <c r="Q411" i="11"/>
  <c r="H410" i="11"/>
  <c r="Q410" i="11"/>
  <c r="H403" i="11"/>
  <c r="Q403" i="11"/>
  <c r="N403" i="11"/>
  <c r="H402" i="11"/>
  <c r="Q402" i="11"/>
  <c r="N402" i="11"/>
  <c r="I400" i="11"/>
  <c r="H425" i="11"/>
  <c r="H423" i="11"/>
  <c r="H422" i="11"/>
  <c r="H415" i="11"/>
  <c r="Q415" i="11"/>
  <c r="H413" i="11"/>
  <c r="Q413" i="11"/>
  <c r="H405" i="11"/>
  <c r="Q405" i="11"/>
  <c r="N405" i="11"/>
  <c r="I399" i="11"/>
  <c r="I398" i="11"/>
  <c r="H429" i="11"/>
  <c r="H427" i="11"/>
  <c r="H426" i="11"/>
  <c r="H414" i="11"/>
  <c r="Q414" i="11"/>
  <c r="H407" i="11"/>
  <c r="Q407" i="11"/>
  <c r="N407" i="11"/>
  <c r="H406" i="11"/>
  <c r="Q406" i="11"/>
  <c r="N406" i="11"/>
  <c r="I396" i="11"/>
  <c r="H417" i="11"/>
  <c r="H409" i="11"/>
  <c r="Q409" i="11"/>
  <c r="H401" i="11"/>
  <c r="Q401" i="11"/>
  <c r="N401" i="11"/>
  <c r="I395" i="11"/>
  <c r="I394" i="11"/>
  <c r="I387" i="11"/>
  <c r="I386" i="11"/>
  <c r="I377" i="11"/>
  <c r="I373" i="11"/>
  <c r="I391" i="11"/>
  <c r="I384" i="11"/>
  <c r="I383" i="11"/>
  <c r="I379" i="11"/>
  <c r="I378" i="11"/>
  <c r="I371" i="11"/>
  <c r="I370" i="11"/>
  <c r="I392" i="11"/>
  <c r="I376" i="11"/>
  <c r="I390" i="11"/>
  <c r="I382" i="11"/>
  <c r="I375" i="11"/>
  <c r="I374" i="11"/>
  <c r="I388" i="11"/>
  <c r="I380" i="11"/>
  <c r="I372" i="11"/>
  <c r="M16" i="10"/>
  <c r="Q430" i="11"/>
  <c r="N430" i="11"/>
  <c r="N442" i="11"/>
  <c r="Q442" i="11"/>
  <c r="N460" i="11"/>
  <c r="Q460" i="11"/>
  <c r="Q432" i="11"/>
  <c r="N432" i="11"/>
  <c r="N448" i="11"/>
  <c r="Q448" i="11"/>
  <c r="Q457" i="11"/>
  <c r="N457" i="11"/>
  <c r="N458" i="11"/>
  <c r="Q458" i="11"/>
  <c r="N459" i="11"/>
  <c r="Q459" i="11"/>
  <c r="M167" i="7"/>
  <c r="M185" i="7"/>
  <c r="M170" i="7"/>
  <c r="M169" i="7"/>
  <c r="M164" i="7"/>
  <c r="M182" i="7"/>
  <c r="M219" i="7"/>
  <c r="M235" i="7"/>
  <c r="M218" i="7"/>
  <c r="M234" i="7"/>
  <c r="M228" i="7"/>
  <c r="M244" i="7"/>
  <c r="M196" i="7"/>
  <c r="M195" i="7"/>
  <c r="M211" i="7"/>
  <c r="M212" i="7"/>
  <c r="M160" i="7"/>
  <c r="M176" i="7"/>
  <c r="M225" i="7"/>
  <c r="M241" i="7"/>
  <c r="M255" i="7"/>
  <c r="M271" i="7"/>
  <c r="M258" i="7"/>
  <c r="M274" i="7"/>
  <c r="M257" i="7"/>
  <c r="M273" i="7"/>
  <c r="M260" i="7"/>
  <c r="M276" i="7"/>
  <c r="M201" i="7"/>
  <c r="M194" i="7"/>
  <c r="M210" i="7"/>
  <c r="M189" i="7"/>
  <c r="M192" i="7"/>
  <c r="M208" i="7"/>
  <c r="M191" i="7"/>
  <c r="M207" i="7"/>
  <c r="M217" i="7"/>
  <c r="F460" i="7"/>
  <c r="F456" i="7"/>
  <c r="F459" i="7"/>
  <c r="F458" i="7"/>
  <c r="F457" i="7"/>
  <c r="F455" i="7"/>
  <c r="F451" i="7"/>
  <c r="F447" i="7"/>
  <c r="F443" i="7"/>
  <c r="F439" i="7"/>
  <c r="F435" i="7"/>
  <c r="F431" i="7"/>
  <c r="G426" i="7"/>
  <c r="G422" i="7"/>
  <c r="G418" i="7"/>
  <c r="G415" i="7"/>
  <c r="G414" i="7"/>
  <c r="G410" i="7"/>
  <c r="G406" i="7"/>
  <c r="G402" i="7"/>
  <c r="F454" i="7"/>
  <c r="F450" i="7"/>
  <c r="F446" i="7"/>
  <c r="F442" i="7"/>
  <c r="F438" i="7"/>
  <c r="F434" i="7"/>
  <c r="F430" i="7"/>
  <c r="G429" i="7"/>
  <c r="G425" i="7"/>
  <c r="G421" i="7"/>
  <c r="G417" i="7"/>
  <c r="G411" i="7"/>
  <c r="G407" i="7"/>
  <c r="G403" i="7"/>
  <c r="F453" i="7"/>
  <c r="F449" i="7"/>
  <c r="F445" i="7"/>
  <c r="F441" i="7"/>
  <c r="F437" i="7"/>
  <c r="F433" i="7"/>
  <c r="G428" i="7"/>
  <c r="G424" i="7"/>
  <c r="G420" i="7"/>
  <c r="G416" i="7"/>
  <c r="G412" i="7"/>
  <c r="G408" i="7"/>
  <c r="G404" i="7"/>
  <c r="F452" i="7"/>
  <c r="F448" i="7"/>
  <c r="F444" i="7"/>
  <c r="F440" i="7"/>
  <c r="F436" i="7"/>
  <c r="F432" i="7"/>
  <c r="G427" i="7"/>
  <c r="G423" i="7"/>
  <c r="G419" i="7"/>
  <c r="G413" i="7"/>
  <c r="G409" i="7"/>
  <c r="G405" i="7"/>
  <c r="G401" i="7"/>
  <c r="M127" i="7"/>
  <c r="M143" i="7"/>
  <c r="M130" i="7"/>
  <c r="M146" i="7"/>
  <c r="M137" i="7"/>
  <c r="M153" i="7"/>
  <c r="M140" i="7"/>
  <c r="M156" i="7"/>
  <c r="M259" i="7"/>
  <c r="M275" i="7"/>
  <c r="M262" i="7"/>
  <c r="M278" i="7"/>
  <c r="M261" i="7"/>
  <c r="M277" i="7"/>
  <c r="M248" i="7"/>
  <c r="M264" i="7"/>
  <c r="M209" i="7"/>
  <c r="M197" i="7"/>
  <c r="M198" i="7"/>
  <c r="M216" i="7"/>
  <c r="F92" i="7"/>
  <c r="F88" i="7"/>
  <c r="F84" i="7"/>
  <c r="F80" i="7"/>
  <c r="F76" i="7"/>
  <c r="F72" i="7"/>
  <c r="F68" i="7"/>
  <c r="F93" i="7"/>
  <c r="F89" i="7"/>
  <c r="F85" i="7"/>
  <c r="F81" i="7"/>
  <c r="F77" i="7"/>
  <c r="F73" i="7"/>
  <c r="F69" i="7"/>
  <c r="F94" i="7"/>
  <c r="F90" i="7"/>
  <c r="F86" i="7"/>
  <c r="F82" i="7"/>
  <c r="F78" i="7"/>
  <c r="F74" i="7"/>
  <c r="F95" i="7"/>
  <c r="F91" i="7"/>
  <c r="F87" i="7"/>
  <c r="F83" i="7"/>
  <c r="F79" i="7"/>
  <c r="F75" i="7"/>
  <c r="F71" i="7"/>
  <c r="F67" i="7"/>
  <c r="G64" i="7"/>
  <c r="G60" i="7"/>
  <c r="G56" i="7"/>
  <c r="G52" i="7"/>
  <c r="F66" i="7"/>
  <c r="G63" i="7"/>
  <c r="G61" i="7"/>
  <c r="G55" i="7"/>
  <c r="G53" i="7"/>
  <c r="F70" i="7"/>
  <c r="G58" i="7"/>
  <c r="G59" i="7"/>
  <c r="G57" i="7"/>
  <c r="G51" i="7"/>
  <c r="G49" i="7"/>
  <c r="G47" i="7"/>
  <c r="G45" i="7"/>
  <c r="G43" i="7"/>
  <c r="G41" i="7"/>
  <c r="G39" i="7"/>
  <c r="G37" i="7"/>
  <c r="F65" i="7"/>
  <c r="G62" i="7"/>
  <c r="G54" i="7"/>
  <c r="G50" i="7"/>
  <c r="G48" i="7"/>
  <c r="G46" i="7"/>
  <c r="G44" i="7"/>
  <c r="G42" i="7"/>
  <c r="G40" i="7"/>
  <c r="G38" i="7"/>
  <c r="G36" i="7"/>
  <c r="F124" i="7"/>
  <c r="M124" i="7"/>
  <c r="F120" i="7"/>
  <c r="M120" i="7"/>
  <c r="F116" i="7"/>
  <c r="M116" i="7"/>
  <c r="F112" i="7"/>
  <c r="M112" i="7"/>
  <c r="F108" i="7"/>
  <c r="M108" i="7"/>
  <c r="F104" i="7"/>
  <c r="M104" i="7"/>
  <c r="F100" i="7"/>
  <c r="M100" i="7"/>
  <c r="F96" i="7"/>
  <c r="M96" i="7"/>
  <c r="G93" i="7"/>
  <c r="G89" i="7"/>
  <c r="G85" i="7"/>
  <c r="G81" i="7"/>
  <c r="G77" i="7"/>
  <c r="G73" i="7"/>
  <c r="G69" i="7"/>
  <c r="F125" i="7"/>
  <c r="M125" i="7"/>
  <c r="F121" i="7"/>
  <c r="M121" i="7"/>
  <c r="F117" i="7"/>
  <c r="M117" i="7"/>
  <c r="F113" i="7"/>
  <c r="M113" i="7"/>
  <c r="F109" i="7"/>
  <c r="M109" i="7"/>
  <c r="F105" i="7"/>
  <c r="M105" i="7"/>
  <c r="F101" i="7"/>
  <c r="M101" i="7"/>
  <c r="F97" i="7"/>
  <c r="M97" i="7"/>
  <c r="G94" i="7"/>
  <c r="G90" i="7"/>
  <c r="G86" i="7"/>
  <c r="G82" i="7"/>
  <c r="G78" i="7"/>
  <c r="G74" i="7"/>
  <c r="G70" i="7"/>
  <c r="G66" i="7"/>
  <c r="F122" i="7"/>
  <c r="M122" i="7"/>
  <c r="F118" i="7"/>
  <c r="M118" i="7"/>
  <c r="F114" i="7"/>
  <c r="M114" i="7"/>
  <c r="F110" i="7"/>
  <c r="M110" i="7"/>
  <c r="F106" i="7"/>
  <c r="M106" i="7"/>
  <c r="F102" i="7"/>
  <c r="M102" i="7"/>
  <c r="F98" i="7"/>
  <c r="M98" i="7"/>
  <c r="G95" i="7"/>
  <c r="G91" i="7"/>
  <c r="G87" i="7"/>
  <c r="G83" i="7"/>
  <c r="G79" i="7"/>
  <c r="G75" i="7"/>
  <c r="G71" i="7"/>
  <c r="F123" i="7"/>
  <c r="M123" i="7"/>
  <c r="F119" i="7"/>
  <c r="M119" i="7"/>
  <c r="F115" i="7"/>
  <c r="M115" i="7"/>
  <c r="F111" i="7"/>
  <c r="M111" i="7"/>
  <c r="F107" i="7"/>
  <c r="M107" i="7"/>
  <c r="F103" i="7"/>
  <c r="M103" i="7"/>
  <c r="F99" i="7"/>
  <c r="M99" i="7"/>
  <c r="G92" i="7"/>
  <c r="G88" i="7"/>
  <c r="G84" i="7"/>
  <c r="G80" i="7"/>
  <c r="G76" i="7"/>
  <c r="G72" i="7"/>
  <c r="G68" i="7"/>
  <c r="G65" i="7"/>
  <c r="G67" i="7"/>
  <c r="M131" i="7"/>
  <c r="M147" i="7"/>
  <c r="M134" i="7"/>
  <c r="M150" i="7"/>
  <c r="M141" i="7"/>
  <c r="M128" i="7"/>
  <c r="M144" i="7"/>
  <c r="F35" i="7"/>
  <c r="F33" i="7"/>
  <c r="F31" i="7"/>
  <c r="F29" i="7"/>
  <c r="F27" i="7"/>
  <c r="F25" i="7"/>
  <c r="F23" i="7"/>
  <c r="F21" i="7"/>
  <c r="F19" i="7"/>
  <c r="F17" i="7"/>
  <c r="F15" i="7"/>
  <c r="F13" i="7"/>
  <c r="F34" i="7"/>
  <c r="F32" i="7"/>
  <c r="F30" i="7"/>
  <c r="F28" i="7"/>
  <c r="F26" i="7"/>
  <c r="F24" i="7"/>
  <c r="F22" i="7"/>
  <c r="F20" i="7"/>
  <c r="F18" i="7"/>
  <c r="F16" i="7"/>
  <c r="F14" i="7"/>
  <c r="F12" i="7"/>
  <c r="F10" i="7"/>
  <c r="F8" i="7"/>
  <c r="F6" i="7"/>
  <c r="F4" i="7"/>
  <c r="F11" i="7"/>
  <c r="F9" i="7"/>
  <c r="F7" i="7"/>
  <c r="F5" i="7"/>
  <c r="M233" i="7"/>
  <c r="M263" i="7"/>
  <c r="M250" i="7"/>
  <c r="M266" i="7"/>
  <c r="M249" i="7"/>
  <c r="M265" i="7"/>
  <c r="M252" i="7"/>
  <c r="M268" i="7"/>
  <c r="M202" i="7"/>
  <c r="M205" i="7"/>
  <c r="M200" i="7"/>
  <c r="M199" i="7"/>
  <c r="M215" i="7"/>
  <c r="F63" i="7"/>
  <c r="M63" i="7"/>
  <c r="F59" i="7"/>
  <c r="M59" i="7"/>
  <c r="F55" i="7"/>
  <c r="M55" i="7"/>
  <c r="F51" i="7"/>
  <c r="M51" i="7"/>
  <c r="F50" i="7"/>
  <c r="M50" i="7"/>
  <c r="F48" i="7"/>
  <c r="M48" i="7"/>
  <c r="F46" i="7"/>
  <c r="M46" i="7"/>
  <c r="F44" i="7"/>
  <c r="F42" i="7"/>
  <c r="M42" i="7"/>
  <c r="F40" i="7"/>
  <c r="M40" i="7"/>
  <c r="F38" i="7"/>
  <c r="M38" i="7"/>
  <c r="F36" i="7"/>
  <c r="F64" i="7"/>
  <c r="M64" i="7"/>
  <c r="F62" i="7"/>
  <c r="M62" i="7"/>
  <c r="F56" i="7"/>
  <c r="M56" i="7"/>
  <c r="F54" i="7"/>
  <c r="G6" i="7"/>
  <c r="F61" i="7"/>
  <c r="M61" i="7"/>
  <c r="F53" i="7"/>
  <c r="M53" i="7"/>
  <c r="G34" i="7"/>
  <c r="G32" i="7"/>
  <c r="G30" i="7"/>
  <c r="G28" i="7"/>
  <c r="G26" i="7"/>
  <c r="G24" i="7"/>
  <c r="G22" i="7"/>
  <c r="G20" i="7"/>
  <c r="G18" i="7"/>
  <c r="G16" i="7"/>
  <c r="G14" i="7"/>
  <c r="G12" i="7"/>
  <c r="G10" i="7"/>
  <c r="G8" i="7"/>
  <c r="F60" i="7"/>
  <c r="M60" i="7"/>
  <c r="F58" i="7"/>
  <c r="M58" i="7"/>
  <c r="F52" i="7"/>
  <c r="I4" i="8"/>
  <c r="I5" i="8"/>
  <c r="I6" i="8"/>
  <c r="I7" i="8"/>
  <c r="I8" i="8"/>
  <c r="I9" i="8"/>
  <c r="I10" i="8"/>
  <c r="I11" i="8"/>
  <c r="I12" i="8"/>
  <c r="I13" i="8"/>
  <c r="I14" i="8"/>
  <c r="I15" i="8"/>
  <c r="I16" i="8"/>
  <c r="I17" i="8"/>
  <c r="I18" i="8"/>
  <c r="F57" i="7"/>
  <c r="M57" i="7"/>
  <c r="F49" i="7"/>
  <c r="M49" i="7"/>
  <c r="F47" i="7"/>
  <c r="F45" i="7"/>
  <c r="M45" i="7"/>
  <c r="F43" i="7"/>
  <c r="M43" i="7"/>
  <c r="F41" i="7"/>
  <c r="M41" i="7"/>
  <c r="F39" i="7"/>
  <c r="F37" i="7"/>
  <c r="M37" i="7"/>
  <c r="G35" i="7"/>
  <c r="G33" i="7"/>
  <c r="G31" i="7"/>
  <c r="G29" i="7"/>
  <c r="G27" i="7"/>
  <c r="G25" i="7"/>
  <c r="G23" i="7"/>
  <c r="G21" i="7"/>
  <c r="G19" i="7"/>
  <c r="G17" i="7"/>
  <c r="G15" i="7"/>
  <c r="G13" i="7"/>
  <c r="G11" i="7"/>
  <c r="G9" i="7"/>
  <c r="G7" i="7"/>
  <c r="G5" i="7"/>
  <c r="G4" i="7"/>
  <c r="G459" i="7"/>
  <c r="G455" i="7"/>
  <c r="G458" i="7"/>
  <c r="G457" i="7"/>
  <c r="G460" i="7"/>
  <c r="G456" i="7"/>
  <c r="G454" i="7"/>
  <c r="G450" i="7"/>
  <c r="G446" i="7"/>
  <c r="G442" i="7"/>
  <c r="G438" i="7"/>
  <c r="G434" i="7"/>
  <c r="G430" i="7"/>
  <c r="G453" i="7"/>
  <c r="G449" i="7"/>
  <c r="G445" i="7"/>
  <c r="G441" i="7"/>
  <c r="G437" i="7"/>
  <c r="G433" i="7"/>
  <c r="G452" i="7"/>
  <c r="G448" i="7"/>
  <c r="G444" i="7"/>
  <c r="G440" i="7"/>
  <c r="G436" i="7"/>
  <c r="G432" i="7"/>
  <c r="G451" i="7"/>
  <c r="G447" i="7"/>
  <c r="G443" i="7"/>
  <c r="G439" i="7"/>
  <c r="G435" i="7"/>
  <c r="G431" i="7"/>
  <c r="I19" i="8"/>
  <c r="K19" i="8"/>
  <c r="M135" i="7"/>
  <c r="M151" i="7"/>
  <c r="M138" i="7"/>
  <c r="M154" i="7"/>
  <c r="M129" i="7"/>
  <c r="M145" i="7"/>
  <c r="M132" i="7"/>
  <c r="M148" i="7"/>
  <c r="F397" i="7"/>
  <c r="F393" i="7"/>
  <c r="F389" i="7"/>
  <c r="F385" i="7"/>
  <c r="F381" i="7"/>
  <c r="F377" i="7"/>
  <c r="F373" i="7"/>
  <c r="F398" i="7"/>
  <c r="F394" i="7"/>
  <c r="F390" i="7"/>
  <c r="F386" i="7"/>
  <c r="F382" i="7"/>
  <c r="F378" i="7"/>
  <c r="F374" i="7"/>
  <c r="F370" i="7"/>
  <c r="G367" i="7"/>
  <c r="M367" i="7"/>
  <c r="G363" i="7"/>
  <c r="M363" i="7"/>
  <c r="G359" i="7"/>
  <c r="M359" i="7"/>
  <c r="G355" i="7"/>
  <c r="M355" i="7"/>
  <c r="G351" i="7"/>
  <c r="M351" i="7"/>
  <c r="F399" i="7"/>
  <c r="F395" i="7"/>
  <c r="F391" i="7"/>
  <c r="F387" i="7"/>
  <c r="F383" i="7"/>
  <c r="F379" i="7"/>
  <c r="F375" i="7"/>
  <c r="F371" i="7"/>
  <c r="G368" i="7"/>
  <c r="M368" i="7"/>
  <c r="G364" i="7"/>
  <c r="M364" i="7"/>
  <c r="G360" i="7"/>
  <c r="M360" i="7"/>
  <c r="G356" i="7"/>
  <c r="M356" i="7"/>
  <c r="G352" i="7"/>
  <c r="M352" i="7"/>
  <c r="F400" i="7"/>
  <c r="F396" i="7"/>
  <c r="F392" i="7"/>
  <c r="F388" i="7"/>
  <c r="F384" i="7"/>
  <c r="F380" i="7"/>
  <c r="F376" i="7"/>
  <c r="F372" i="7"/>
  <c r="G369" i="7"/>
  <c r="M369" i="7"/>
  <c r="G365" i="7"/>
  <c r="M365" i="7"/>
  <c r="G361" i="7"/>
  <c r="M361" i="7"/>
  <c r="G357" i="7"/>
  <c r="M357" i="7"/>
  <c r="G353" i="7"/>
  <c r="M353" i="7"/>
  <c r="G349" i="7"/>
  <c r="M349" i="7"/>
  <c r="G345" i="7"/>
  <c r="M345" i="7"/>
  <c r="G341" i="7"/>
  <c r="M341" i="7"/>
  <c r="G366" i="7"/>
  <c r="M366" i="7"/>
  <c r="G358" i="7"/>
  <c r="M358" i="7"/>
  <c r="G344" i="7"/>
  <c r="M344" i="7"/>
  <c r="G342" i="7"/>
  <c r="M342" i="7"/>
  <c r="G350" i="7"/>
  <c r="M350" i="7"/>
  <c r="G347" i="7"/>
  <c r="M347" i="7"/>
  <c r="G362" i="7"/>
  <c r="M362" i="7"/>
  <c r="G354" i="7"/>
  <c r="M354" i="7"/>
  <c r="G348" i="7"/>
  <c r="M348" i="7"/>
  <c r="G346" i="7"/>
  <c r="M346" i="7"/>
  <c r="G340" i="7"/>
  <c r="M340" i="7"/>
  <c r="G343" i="7"/>
  <c r="M343" i="7"/>
  <c r="M251" i="7"/>
  <c r="M267" i="7"/>
  <c r="M254" i="7"/>
  <c r="M270" i="7"/>
  <c r="M253" i="7"/>
  <c r="M269" i="7"/>
  <c r="M256" i="7"/>
  <c r="M272" i="7"/>
  <c r="M193" i="7"/>
  <c r="M214" i="7"/>
  <c r="M188" i="7"/>
  <c r="M204" i="7"/>
  <c r="M190" i="7"/>
  <c r="M206" i="7"/>
  <c r="M187" i="7"/>
  <c r="M203" i="7"/>
  <c r="M213" i="7"/>
  <c r="F427" i="7"/>
  <c r="M427" i="7"/>
  <c r="F423" i="7"/>
  <c r="M423" i="7"/>
  <c r="F419" i="7"/>
  <c r="M419" i="7"/>
  <c r="F413" i="7"/>
  <c r="M413" i="7"/>
  <c r="F409" i="7"/>
  <c r="M409" i="7"/>
  <c r="F405" i="7"/>
  <c r="M405" i="7"/>
  <c r="F401" i="7"/>
  <c r="M401" i="7"/>
  <c r="G398" i="7"/>
  <c r="G394" i="7"/>
  <c r="G390" i="7"/>
  <c r="G386" i="7"/>
  <c r="G382" i="7"/>
  <c r="G378" i="7"/>
  <c r="G374" i="7"/>
  <c r="G370" i="7"/>
  <c r="F426" i="7"/>
  <c r="M426" i="7"/>
  <c r="F422" i="7"/>
  <c r="M422" i="7"/>
  <c r="F418" i="7"/>
  <c r="M418" i="7"/>
  <c r="F415" i="7"/>
  <c r="M415" i="7"/>
  <c r="F414" i="7"/>
  <c r="M414" i="7"/>
  <c r="F410" i="7"/>
  <c r="M410" i="7"/>
  <c r="F406" i="7"/>
  <c r="M406" i="7"/>
  <c r="F402" i="7"/>
  <c r="M402" i="7"/>
  <c r="G399" i="7"/>
  <c r="G395" i="7"/>
  <c r="G391" i="7"/>
  <c r="G387" i="7"/>
  <c r="G383" i="7"/>
  <c r="G379" i="7"/>
  <c r="G375" i="7"/>
  <c r="G371" i="7"/>
  <c r="F429" i="7"/>
  <c r="M429" i="7"/>
  <c r="F425" i="7"/>
  <c r="M425" i="7"/>
  <c r="F421" i="7"/>
  <c r="M421" i="7"/>
  <c r="F417" i="7"/>
  <c r="M417" i="7"/>
  <c r="F411" i="7"/>
  <c r="M411" i="7"/>
  <c r="F407" i="7"/>
  <c r="M407" i="7"/>
  <c r="F403" i="7"/>
  <c r="M403" i="7"/>
  <c r="G400" i="7"/>
  <c r="G396" i="7"/>
  <c r="G392" i="7"/>
  <c r="G388" i="7"/>
  <c r="G384" i="7"/>
  <c r="G380" i="7"/>
  <c r="G376" i="7"/>
  <c r="G372" i="7"/>
  <c r="F428" i="7"/>
  <c r="M428" i="7"/>
  <c r="F424" i="7"/>
  <c r="M424" i="7"/>
  <c r="F420" i="7"/>
  <c r="M420" i="7"/>
  <c r="F416" i="7"/>
  <c r="M416" i="7"/>
  <c r="F412" i="7"/>
  <c r="M412" i="7"/>
  <c r="F408" i="7"/>
  <c r="M408" i="7"/>
  <c r="F404" i="7"/>
  <c r="M404" i="7"/>
  <c r="G397" i="7"/>
  <c r="G393" i="7"/>
  <c r="G389" i="7"/>
  <c r="G385" i="7"/>
  <c r="G381" i="7"/>
  <c r="G377" i="7"/>
  <c r="G373" i="7"/>
  <c r="M139" i="7"/>
  <c r="M155" i="7"/>
  <c r="M126" i="7"/>
  <c r="M142" i="7"/>
  <c r="M133" i="7"/>
  <c r="M149" i="7"/>
  <c r="M136" i="7"/>
  <c r="M152" i="7"/>
  <c r="U17" i="25"/>
  <c r="K17" i="25"/>
  <c r="U16" i="25"/>
  <c r="K16" i="25"/>
  <c r="Z162" i="25"/>
  <c r="F13" i="29"/>
  <c r="AE13" i="29"/>
  <c r="AD13" i="29"/>
  <c r="G17" i="25"/>
  <c r="V17" i="25"/>
  <c r="H19" i="25"/>
  <c r="I16" i="25"/>
  <c r="W16" i="25"/>
  <c r="E19" i="25"/>
  <c r="H17" i="25"/>
  <c r="U19" i="25"/>
  <c r="K19" i="25"/>
  <c r="E7" i="9"/>
  <c r="E8" i="9"/>
  <c r="H18" i="25"/>
  <c r="I17" i="25"/>
  <c r="W17" i="25"/>
  <c r="F17" i="25"/>
  <c r="H16" i="25"/>
  <c r="I18" i="25"/>
  <c r="W18" i="25"/>
  <c r="U18" i="25"/>
  <c r="K18" i="25"/>
  <c r="AD15" i="29"/>
  <c r="F15" i="29"/>
  <c r="AE15" i="29"/>
  <c r="F14" i="29"/>
  <c r="AE14" i="29"/>
  <c r="AD14" i="29"/>
  <c r="AD16" i="29"/>
  <c r="F16" i="29"/>
  <c r="AE16" i="29"/>
  <c r="AD17" i="29"/>
  <c r="F17" i="29"/>
  <c r="AE17" i="29"/>
  <c r="Z168" i="25"/>
  <c r="Q211" i="25"/>
  <c r="Q212" i="25"/>
  <c r="Q213" i="25"/>
  <c r="Q214" i="25"/>
  <c r="Q215" i="25"/>
  <c r="Q216" i="25"/>
  <c r="Q217" i="25"/>
  <c r="Q218" i="25"/>
  <c r="Q219" i="25"/>
  <c r="Q220" i="25"/>
  <c r="N187" i="25"/>
  <c r="M204" i="25"/>
  <c r="N204" i="25"/>
  <c r="O204" i="25"/>
  <c r="N210" i="25"/>
  <c r="O210" i="25"/>
  <c r="M210" i="25"/>
  <c r="Q221" i="25"/>
  <c r="Q222" i="25"/>
  <c r="Q223" i="25"/>
  <c r="Q224" i="25"/>
  <c r="Q225" i="25"/>
  <c r="Q226" i="25"/>
  <c r="Q227" i="25"/>
  <c r="Q228" i="25"/>
  <c r="Q229" i="25"/>
  <c r="Q230" i="25"/>
  <c r="Q231" i="25"/>
  <c r="Q232" i="25"/>
  <c r="Q233" i="25"/>
  <c r="Q234" i="25"/>
  <c r="L220" i="25"/>
  <c r="U20" i="25"/>
  <c r="K20" i="25"/>
  <c r="D20" i="25"/>
  <c r="E20" i="25"/>
  <c r="E9" i="9"/>
  <c r="B9" i="29"/>
  <c r="H20" i="25"/>
  <c r="G20" i="25"/>
  <c r="V20" i="25"/>
  <c r="I20" i="25"/>
  <c r="W20" i="25"/>
  <c r="A21" i="25"/>
  <c r="D21" i="25"/>
  <c r="B18" i="29"/>
  <c r="E18" i="29"/>
  <c r="B55" i="9"/>
  <c r="C55" i="9"/>
  <c r="N55" i="9"/>
  <c r="X54" i="9"/>
  <c r="P54" i="9"/>
  <c r="M370" i="7"/>
  <c r="M386" i="7"/>
  <c r="H400" i="11"/>
  <c r="Q400" i="11"/>
  <c r="N400" i="11"/>
  <c r="H396" i="11"/>
  <c r="Q396" i="11"/>
  <c r="N396" i="11"/>
  <c r="H392" i="11"/>
  <c r="Q392" i="11"/>
  <c r="N392" i="11"/>
  <c r="H388" i="11"/>
  <c r="Q388" i="11"/>
  <c r="N388" i="11"/>
  <c r="H384" i="11"/>
  <c r="Q384" i="11"/>
  <c r="N384" i="11"/>
  <c r="H395" i="11"/>
  <c r="Q395" i="11"/>
  <c r="N395" i="11"/>
  <c r="H394" i="11"/>
  <c r="Q394" i="11"/>
  <c r="N394" i="11"/>
  <c r="H397" i="11"/>
  <c r="Q397" i="11"/>
  <c r="N397" i="11"/>
  <c r="H399" i="11"/>
  <c r="Q399" i="11"/>
  <c r="N399" i="11"/>
  <c r="H398" i="11"/>
  <c r="Q398" i="11"/>
  <c r="N398" i="11"/>
  <c r="H393" i="11"/>
  <c r="Q393" i="11"/>
  <c r="N393" i="11"/>
  <c r="H385" i="11"/>
  <c r="Q385" i="11"/>
  <c r="N385" i="11"/>
  <c r="H380" i="11"/>
  <c r="Q380" i="11"/>
  <c r="N380" i="11"/>
  <c r="H376" i="11"/>
  <c r="Q376" i="11"/>
  <c r="N376" i="11"/>
  <c r="H372" i="11"/>
  <c r="Q372" i="11"/>
  <c r="N372" i="11"/>
  <c r="I369" i="11"/>
  <c r="I365" i="11"/>
  <c r="I361" i="11"/>
  <c r="I357" i="11"/>
  <c r="I353" i="11"/>
  <c r="I349" i="11"/>
  <c r="I345" i="11"/>
  <c r="I341" i="11"/>
  <c r="H389" i="11"/>
  <c r="Q389" i="11"/>
  <c r="N389" i="11"/>
  <c r="H381" i="11"/>
  <c r="Q381" i="11"/>
  <c r="N381" i="11"/>
  <c r="H377" i="11"/>
  <c r="Q377" i="11"/>
  <c r="N377" i="11"/>
  <c r="I363" i="11"/>
  <c r="I362" i="11"/>
  <c r="I355" i="11"/>
  <c r="I354" i="11"/>
  <c r="I347" i="11"/>
  <c r="I346" i="11"/>
  <c r="H391" i="11"/>
  <c r="Q391" i="11"/>
  <c r="N391" i="11"/>
  <c r="H387" i="11"/>
  <c r="Q387" i="11"/>
  <c r="N387" i="11"/>
  <c r="H383" i="11"/>
  <c r="Q383" i="11"/>
  <c r="N383" i="11"/>
  <c r="H379" i="11"/>
  <c r="Q379" i="11"/>
  <c r="N379" i="11"/>
  <c r="H378" i="11"/>
  <c r="Q378" i="11"/>
  <c r="N378" i="11"/>
  <c r="H371" i="11"/>
  <c r="Q371" i="11"/>
  <c r="N371" i="11"/>
  <c r="H370" i="11"/>
  <c r="Q370" i="11"/>
  <c r="N370" i="11"/>
  <c r="I368" i="11"/>
  <c r="I360" i="11"/>
  <c r="I352" i="11"/>
  <c r="I344" i="11"/>
  <c r="H373" i="11"/>
  <c r="Q373" i="11"/>
  <c r="N373" i="11"/>
  <c r="I367" i="11"/>
  <c r="I366" i="11"/>
  <c r="I359" i="11"/>
  <c r="I358" i="11"/>
  <c r="I351" i="11"/>
  <c r="I350" i="11"/>
  <c r="I343" i="11"/>
  <c r="I342" i="11"/>
  <c r="H390" i="11"/>
  <c r="Q390" i="11"/>
  <c r="N390" i="11"/>
  <c r="H386" i="11"/>
  <c r="Q386" i="11"/>
  <c r="N386" i="11"/>
  <c r="H382" i="11"/>
  <c r="Q382" i="11"/>
  <c r="N382" i="11"/>
  <c r="H375" i="11"/>
  <c r="Q375" i="11"/>
  <c r="N375" i="11"/>
  <c r="H374" i="11"/>
  <c r="Q374" i="11"/>
  <c r="N374" i="11"/>
  <c r="I364" i="11"/>
  <c r="I356" i="11"/>
  <c r="I348" i="11"/>
  <c r="I340" i="11"/>
  <c r="M15" i="10"/>
  <c r="AE406" i="9"/>
  <c r="M406" i="9"/>
  <c r="AD406" i="9"/>
  <c r="T407" i="11"/>
  <c r="N429" i="11"/>
  <c r="Q429" i="11"/>
  <c r="N425" i="11"/>
  <c r="Q425" i="11"/>
  <c r="Q421" i="11"/>
  <c r="N421" i="11"/>
  <c r="N428" i="11"/>
  <c r="Q428" i="11"/>
  <c r="M39" i="7"/>
  <c r="M47" i="7"/>
  <c r="M52" i="7"/>
  <c r="M54" i="7"/>
  <c r="M36" i="7"/>
  <c r="M44" i="7"/>
  <c r="Q417" i="11"/>
  <c r="N417" i="11"/>
  <c r="N416" i="11"/>
  <c r="Q416" i="11"/>
  <c r="N426" i="11"/>
  <c r="Q426" i="11"/>
  <c r="Q422" i="11"/>
  <c r="N422" i="11"/>
  <c r="AE401" i="9"/>
  <c r="M401" i="9"/>
  <c r="AD401" i="9"/>
  <c r="T402" i="11"/>
  <c r="N418" i="11"/>
  <c r="Q418" i="11"/>
  <c r="AE403" i="9"/>
  <c r="M403" i="9"/>
  <c r="AD403" i="9"/>
  <c r="T404" i="11"/>
  <c r="Q420" i="11"/>
  <c r="N420" i="11"/>
  <c r="AE400" i="9"/>
  <c r="M400" i="9"/>
  <c r="AD400" i="9"/>
  <c r="T401" i="11"/>
  <c r="AE405" i="9"/>
  <c r="M405" i="9"/>
  <c r="AD405" i="9"/>
  <c r="T406" i="11"/>
  <c r="Q427" i="11"/>
  <c r="N427" i="11"/>
  <c r="AE404" i="9"/>
  <c r="M404" i="9"/>
  <c r="AD404" i="9"/>
  <c r="T405" i="11"/>
  <c r="N423" i="11"/>
  <c r="Q423" i="11"/>
  <c r="AE402" i="9"/>
  <c r="M402" i="9"/>
  <c r="AD402" i="9"/>
  <c r="T403" i="11"/>
  <c r="N419" i="11"/>
  <c r="Q419" i="11"/>
  <c r="AE407" i="9"/>
  <c r="M407" i="9"/>
  <c r="AD407" i="9"/>
  <c r="T408" i="11"/>
  <c r="Q424" i="11"/>
  <c r="N424" i="11"/>
  <c r="M8" i="7"/>
  <c r="M16" i="7"/>
  <c r="M24" i="7"/>
  <c r="M32" i="7"/>
  <c r="M75" i="7"/>
  <c r="M91" i="7"/>
  <c r="M371" i="7"/>
  <c r="M387" i="7"/>
  <c r="M5" i="7"/>
  <c r="M13" i="7"/>
  <c r="M21" i="7"/>
  <c r="M29" i="7"/>
  <c r="M80" i="7"/>
  <c r="M78" i="7"/>
  <c r="M94" i="7"/>
  <c r="M81" i="7"/>
  <c r="M384" i="7"/>
  <c r="M400" i="7"/>
  <c r="M379" i="7"/>
  <c r="M395" i="7"/>
  <c r="M374" i="7"/>
  <c r="M390" i="7"/>
  <c r="M377" i="7"/>
  <c r="M393" i="7"/>
  <c r="M7" i="7"/>
  <c r="M6" i="7"/>
  <c r="M14" i="7"/>
  <c r="M22" i="7"/>
  <c r="M30" i="7"/>
  <c r="M15" i="7"/>
  <c r="M23" i="7"/>
  <c r="M31" i="7"/>
  <c r="M66" i="7"/>
  <c r="M79" i="7"/>
  <c r="M95" i="7"/>
  <c r="M86" i="7"/>
  <c r="M73" i="7"/>
  <c r="M89" i="7"/>
  <c r="M76" i="7"/>
  <c r="M92" i="7"/>
  <c r="M440" i="7"/>
  <c r="M437" i="7"/>
  <c r="M453" i="7"/>
  <c r="M430" i="7"/>
  <c r="M446" i="7"/>
  <c r="M435" i="7"/>
  <c r="M451" i="7"/>
  <c r="M459" i="7"/>
  <c r="M372" i="7"/>
  <c r="M388" i="7"/>
  <c r="M383" i="7"/>
  <c r="M399" i="7"/>
  <c r="M378" i="7"/>
  <c r="M394" i="7"/>
  <c r="M381" i="7"/>
  <c r="M397" i="7"/>
  <c r="M9" i="7"/>
  <c r="M17" i="7"/>
  <c r="M25" i="7"/>
  <c r="M33" i="7"/>
  <c r="M67" i="7"/>
  <c r="M83" i="7"/>
  <c r="M74" i="7"/>
  <c r="M90" i="7"/>
  <c r="M77" i="7"/>
  <c r="M93" i="7"/>
  <c r="M444" i="7"/>
  <c r="M441" i="7"/>
  <c r="M434" i="7"/>
  <c r="M450" i="7"/>
  <c r="M439" i="7"/>
  <c r="M455" i="7"/>
  <c r="M456" i="7"/>
  <c r="M376" i="7"/>
  <c r="M392" i="7"/>
  <c r="M382" i="7"/>
  <c r="M398" i="7"/>
  <c r="M385" i="7"/>
  <c r="M11" i="7"/>
  <c r="M10" i="7"/>
  <c r="M18" i="7"/>
  <c r="M26" i="7"/>
  <c r="M34" i="7"/>
  <c r="M19" i="7"/>
  <c r="M27" i="7"/>
  <c r="M35" i="7"/>
  <c r="M71" i="7"/>
  <c r="M87" i="7"/>
  <c r="M68" i="7"/>
  <c r="M84" i="7"/>
  <c r="M432" i="7"/>
  <c r="M448" i="7"/>
  <c r="M445" i="7"/>
  <c r="M438" i="7"/>
  <c r="M454" i="7"/>
  <c r="M443" i="7"/>
  <c r="M457" i="7"/>
  <c r="M460" i="7"/>
  <c r="M380" i="7"/>
  <c r="M396" i="7"/>
  <c r="M375" i="7"/>
  <c r="M391" i="7"/>
  <c r="M373" i="7"/>
  <c r="M389" i="7"/>
  <c r="I457" i="7"/>
  <c r="I460" i="7"/>
  <c r="I456" i="7"/>
  <c r="I459" i="7"/>
  <c r="I455" i="7"/>
  <c r="I458" i="7"/>
  <c r="I452" i="7"/>
  <c r="I448" i="7"/>
  <c r="I444" i="7"/>
  <c r="I440" i="7"/>
  <c r="I436" i="7"/>
  <c r="I432" i="7"/>
  <c r="I451" i="7"/>
  <c r="I447" i="7"/>
  <c r="I443" i="7"/>
  <c r="I439" i="7"/>
  <c r="I435" i="7"/>
  <c r="I431" i="7"/>
  <c r="I454" i="7"/>
  <c r="I450" i="7"/>
  <c r="I446" i="7"/>
  <c r="I442" i="7"/>
  <c r="I438" i="7"/>
  <c r="I434" i="7"/>
  <c r="I430" i="7"/>
  <c r="I453" i="7"/>
  <c r="I449" i="7"/>
  <c r="I445" i="7"/>
  <c r="I441" i="7"/>
  <c r="I437" i="7"/>
  <c r="I433" i="7"/>
  <c r="K18" i="8"/>
  <c r="M4" i="7"/>
  <c r="M12" i="7"/>
  <c r="M20" i="7"/>
  <c r="M28" i="7"/>
  <c r="M65" i="7"/>
  <c r="M70" i="7"/>
  <c r="M82" i="7"/>
  <c r="M69" i="7"/>
  <c r="M85" i="7"/>
  <c r="M72" i="7"/>
  <c r="M88" i="7"/>
  <c r="M436" i="7"/>
  <c r="M452" i="7"/>
  <c r="M433" i="7"/>
  <c r="M449" i="7"/>
  <c r="M442" i="7"/>
  <c r="M431" i="7"/>
  <c r="M447" i="7"/>
  <c r="M458" i="7"/>
  <c r="Y173" i="25"/>
  <c r="Y174" i="25"/>
  <c r="Y175" i="25"/>
  <c r="Y176" i="25"/>
  <c r="Y177" i="25"/>
  <c r="Y178" i="25"/>
  <c r="Y179" i="25"/>
  <c r="Y180" i="25"/>
  <c r="Y181" i="25"/>
  <c r="Y182" i="25"/>
  <c r="Y183" i="25"/>
  <c r="Y184" i="25"/>
  <c r="Y185" i="25"/>
  <c r="Y186" i="25"/>
  <c r="Z172" i="25"/>
  <c r="D10" i="30"/>
  <c r="A6" i="25"/>
  <c r="D9" i="9"/>
  <c r="H9" i="9"/>
  <c r="H10" i="9"/>
  <c r="D8" i="30"/>
  <c r="A4" i="25"/>
  <c r="B7" i="29"/>
  <c r="AB6" i="29"/>
  <c r="N50" i="9"/>
  <c r="N49" i="9"/>
  <c r="N54" i="9"/>
  <c r="N53" i="9"/>
  <c r="N52" i="9"/>
  <c r="D7" i="9"/>
  <c r="N51" i="9"/>
  <c r="W53" i="9"/>
  <c r="W49" i="9"/>
  <c r="W52" i="9"/>
  <c r="W51" i="9"/>
  <c r="W54" i="9"/>
  <c r="W55" i="9"/>
  <c r="W50" i="9"/>
  <c r="D9" i="30"/>
  <c r="A5" i="25"/>
  <c r="B8" i="29"/>
  <c r="D8" i="9"/>
  <c r="H8" i="9"/>
  <c r="Z179" i="25"/>
  <c r="Z210" i="25"/>
  <c r="O187" i="25"/>
  <c r="M220" i="25"/>
  <c r="N220" i="25"/>
  <c r="Q235" i="25"/>
  <c r="Q236" i="25"/>
  <c r="Q237" i="25"/>
  <c r="Q238" i="25"/>
  <c r="Q239" i="25"/>
  <c r="Q240" i="25"/>
  <c r="Q241" i="25"/>
  <c r="Q242" i="25"/>
  <c r="Q243" i="25"/>
  <c r="Q244" i="25"/>
  <c r="Q245" i="25"/>
  <c r="Q246" i="25"/>
  <c r="Q247" i="25"/>
  <c r="Q248" i="25"/>
  <c r="L234" i="25"/>
  <c r="M234" i="25"/>
  <c r="N234" i="25"/>
  <c r="O234" i="25"/>
  <c r="I21" i="25"/>
  <c r="W21" i="25"/>
  <c r="H21" i="25"/>
  <c r="G21" i="25"/>
  <c r="V21" i="25"/>
  <c r="U21" i="25"/>
  <c r="K21" i="25"/>
  <c r="F21" i="25"/>
  <c r="E21" i="25"/>
  <c r="S55" i="9"/>
  <c r="A22" i="25"/>
  <c r="D22" i="25"/>
  <c r="B19" i="29"/>
  <c r="E19" i="29"/>
  <c r="C56" i="9"/>
  <c r="B56" i="9"/>
  <c r="P55" i="9"/>
  <c r="U55" i="9"/>
  <c r="X55" i="9"/>
  <c r="Q54" i="9"/>
  <c r="U54" i="9"/>
  <c r="F18" i="29"/>
  <c r="AE18" i="29"/>
  <c r="AD18" i="29"/>
  <c r="H368" i="11"/>
  <c r="Q368" i="11"/>
  <c r="N368" i="11"/>
  <c r="H364" i="11"/>
  <c r="Q364" i="11"/>
  <c r="N364" i="11"/>
  <c r="H360" i="11"/>
  <c r="Q360" i="11"/>
  <c r="N360" i="11"/>
  <c r="H356" i="11"/>
  <c r="Q356" i="11"/>
  <c r="N356" i="11"/>
  <c r="H352" i="11"/>
  <c r="Q352" i="11"/>
  <c r="N352" i="11"/>
  <c r="H348" i="11"/>
  <c r="Q348" i="11"/>
  <c r="N348" i="11"/>
  <c r="H344" i="11"/>
  <c r="Q344" i="11"/>
  <c r="N344" i="11"/>
  <c r="H340" i="11"/>
  <c r="Q340" i="11"/>
  <c r="N340" i="11"/>
  <c r="I337" i="11"/>
  <c r="I333" i="11"/>
  <c r="I329" i="11"/>
  <c r="I325" i="11"/>
  <c r="I321" i="11"/>
  <c r="I317" i="11"/>
  <c r="I313" i="11"/>
  <c r="I309" i="11"/>
  <c r="H369" i="11"/>
  <c r="Q369" i="11"/>
  <c r="N369" i="11"/>
  <c r="H361" i="11"/>
  <c r="Q361" i="11"/>
  <c r="N361" i="11"/>
  <c r="H353" i="11"/>
  <c r="Q353" i="11"/>
  <c r="N353" i="11"/>
  <c r="H345" i="11"/>
  <c r="Q345" i="11"/>
  <c r="N345" i="11"/>
  <c r="I339" i="11"/>
  <c r="I338" i="11"/>
  <c r="I331" i="11"/>
  <c r="I330" i="11"/>
  <c r="I323" i="11"/>
  <c r="I322" i="11"/>
  <c r="I315" i="11"/>
  <c r="I314" i="11"/>
  <c r="H363" i="11"/>
  <c r="Q363" i="11"/>
  <c r="N363" i="11"/>
  <c r="H362" i="11"/>
  <c r="Q362" i="11"/>
  <c r="N362" i="11"/>
  <c r="H355" i="11"/>
  <c r="Q355" i="11"/>
  <c r="N355" i="11"/>
  <c r="H354" i="11"/>
  <c r="Q354" i="11"/>
  <c r="N354" i="11"/>
  <c r="H347" i="11"/>
  <c r="Q347" i="11"/>
  <c r="N347" i="11"/>
  <c r="H346" i="11"/>
  <c r="Q346" i="11"/>
  <c r="N346" i="11"/>
  <c r="I336" i="11"/>
  <c r="I328" i="11"/>
  <c r="I320" i="11"/>
  <c r="I312" i="11"/>
  <c r="H365" i="11"/>
  <c r="Q365" i="11"/>
  <c r="N365" i="11"/>
  <c r="H357" i="11"/>
  <c r="Q357" i="11"/>
  <c r="N357" i="11"/>
  <c r="H349" i="11"/>
  <c r="Q349" i="11"/>
  <c r="N349" i="11"/>
  <c r="H341" i="11"/>
  <c r="Q341" i="11"/>
  <c r="N341" i="11"/>
  <c r="I335" i="11"/>
  <c r="I334" i="11"/>
  <c r="I327" i="11"/>
  <c r="I326" i="11"/>
  <c r="I319" i="11"/>
  <c r="I318" i="11"/>
  <c r="I311" i="11"/>
  <c r="I310" i="11"/>
  <c r="H367" i="11"/>
  <c r="Q367" i="11"/>
  <c r="N367" i="11"/>
  <c r="H366" i="11"/>
  <c r="Q366" i="11"/>
  <c r="N366" i="11"/>
  <c r="H359" i="11"/>
  <c r="Q359" i="11"/>
  <c r="N359" i="11"/>
  <c r="H358" i="11"/>
  <c r="Q358" i="11"/>
  <c r="N358" i="11"/>
  <c r="H351" i="11"/>
  <c r="Q351" i="11"/>
  <c r="N351" i="11"/>
  <c r="H350" i="11"/>
  <c r="Q350" i="11"/>
  <c r="N350" i="11"/>
  <c r="H343" i="11"/>
  <c r="Q343" i="11"/>
  <c r="N343" i="11"/>
  <c r="H342" i="11"/>
  <c r="Q342" i="11"/>
  <c r="N342" i="11"/>
  <c r="I332" i="11"/>
  <c r="I324" i="11"/>
  <c r="I316" i="11"/>
  <c r="M14" i="10"/>
  <c r="AE385" i="9"/>
  <c r="M385" i="9"/>
  <c r="AD385" i="9"/>
  <c r="T386" i="11"/>
  <c r="AE370" i="9"/>
  <c r="M370" i="9"/>
  <c r="AD370" i="9"/>
  <c r="T371" i="11"/>
  <c r="AE386" i="9"/>
  <c r="M386" i="9"/>
  <c r="AD386" i="9"/>
  <c r="T387" i="11"/>
  <c r="AE376" i="9"/>
  <c r="M376" i="9"/>
  <c r="AD376" i="9"/>
  <c r="T377" i="11"/>
  <c r="AE375" i="9"/>
  <c r="M375" i="9"/>
  <c r="AD375" i="9"/>
  <c r="T376" i="11"/>
  <c r="AE397" i="9"/>
  <c r="M397" i="9"/>
  <c r="AD397" i="9"/>
  <c r="T398" i="11"/>
  <c r="AE394" i="9"/>
  <c r="M394" i="9"/>
  <c r="AD394" i="9"/>
  <c r="T395" i="11"/>
  <c r="AE395" i="9"/>
  <c r="M395" i="9"/>
  <c r="AD395" i="9"/>
  <c r="T396" i="11"/>
  <c r="AE373" i="9"/>
  <c r="M373" i="9"/>
  <c r="AD373" i="9"/>
  <c r="T374" i="11"/>
  <c r="AE389" i="9"/>
  <c r="M389" i="9"/>
  <c r="AD389" i="9"/>
  <c r="T390" i="11"/>
  <c r="AE377" i="9"/>
  <c r="M377" i="9"/>
  <c r="AD377" i="9"/>
  <c r="T378" i="11"/>
  <c r="AE390" i="9"/>
  <c r="M390" i="9"/>
  <c r="AD390" i="9"/>
  <c r="T391" i="11"/>
  <c r="AE380" i="9"/>
  <c r="M380" i="9"/>
  <c r="AD380" i="9"/>
  <c r="T381" i="11"/>
  <c r="AE379" i="9"/>
  <c r="M379" i="9"/>
  <c r="AD379" i="9"/>
  <c r="T380" i="11"/>
  <c r="AE398" i="9"/>
  <c r="M398" i="9"/>
  <c r="AD398" i="9"/>
  <c r="T399" i="11"/>
  <c r="AE383" i="9"/>
  <c r="M383" i="9"/>
  <c r="AD383" i="9"/>
  <c r="T384" i="11"/>
  <c r="AE399" i="9"/>
  <c r="M399" i="9"/>
  <c r="AD399" i="9"/>
  <c r="T400" i="11"/>
  <c r="AE374" i="9"/>
  <c r="M374" i="9"/>
  <c r="AD374" i="9"/>
  <c r="T375" i="11"/>
  <c r="AE372" i="9"/>
  <c r="M372" i="9"/>
  <c r="AD372" i="9"/>
  <c r="T373" i="11"/>
  <c r="AE378" i="9"/>
  <c r="M378" i="9"/>
  <c r="AD378" i="9"/>
  <c r="T379" i="11"/>
  <c r="AE388" i="9"/>
  <c r="M388" i="9"/>
  <c r="AD388" i="9"/>
  <c r="T389" i="11"/>
  <c r="AE384" i="9"/>
  <c r="M384" i="9"/>
  <c r="AD384" i="9"/>
  <c r="T385" i="11"/>
  <c r="AE396" i="9"/>
  <c r="M396" i="9"/>
  <c r="AD396" i="9"/>
  <c r="T397" i="11"/>
  <c r="AE387" i="9"/>
  <c r="M387" i="9"/>
  <c r="AD387" i="9"/>
  <c r="T388" i="11"/>
  <c r="AE381" i="9"/>
  <c r="M381" i="9"/>
  <c r="AD381" i="9"/>
  <c r="T382" i="11"/>
  <c r="AE369" i="9"/>
  <c r="M369" i="9"/>
  <c r="AD369" i="9"/>
  <c r="T370" i="11"/>
  <c r="AE382" i="9"/>
  <c r="M382" i="9"/>
  <c r="AD382" i="9"/>
  <c r="T383" i="11"/>
  <c r="AE371" i="9"/>
  <c r="M371" i="9"/>
  <c r="AD371" i="9"/>
  <c r="T372" i="11"/>
  <c r="AE392" i="9"/>
  <c r="M392" i="9"/>
  <c r="AD392" i="9"/>
  <c r="T393" i="11"/>
  <c r="AE393" i="9"/>
  <c r="M393" i="9"/>
  <c r="AD393" i="9"/>
  <c r="T394" i="11"/>
  <c r="AE391" i="9"/>
  <c r="M391" i="9"/>
  <c r="AD391" i="9"/>
  <c r="T392" i="11"/>
  <c r="O4" i="7"/>
  <c r="O5" i="7"/>
  <c r="O6" i="7"/>
  <c r="O7" i="7"/>
  <c r="O8" i="7"/>
  <c r="O9" i="7"/>
  <c r="O10" i="7"/>
  <c r="O11" i="7"/>
  <c r="O12" i="7"/>
  <c r="O13" i="7"/>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201" i="7"/>
  <c r="O202" i="7"/>
  <c r="O203" i="7"/>
  <c r="O204" i="7"/>
  <c r="O205" i="7"/>
  <c r="O206" i="7"/>
  <c r="O207" i="7"/>
  <c r="O208" i="7"/>
  <c r="O209" i="7"/>
  <c r="O210" i="7"/>
  <c r="O211" i="7"/>
  <c r="O212" i="7"/>
  <c r="O213" i="7"/>
  <c r="O214" i="7"/>
  <c r="O215" i="7"/>
  <c r="O216" i="7"/>
  <c r="O217" i="7"/>
  <c r="O218" i="7"/>
  <c r="O219" i="7"/>
  <c r="O220" i="7"/>
  <c r="O221" i="7"/>
  <c r="O222" i="7"/>
  <c r="O223" i="7"/>
  <c r="O224" i="7"/>
  <c r="O225" i="7"/>
  <c r="O226" i="7"/>
  <c r="O227" i="7"/>
  <c r="O228" i="7"/>
  <c r="O229" i="7"/>
  <c r="O230" i="7"/>
  <c r="O231" i="7"/>
  <c r="O232" i="7"/>
  <c r="O233" i="7"/>
  <c r="O234" i="7"/>
  <c r="O235" i="7"/>
  <c r="O236" i="7"/>
  <c r="O237" i="7"/>
  <c r="O238" i="7"/>
  <c r="O239" i="7"/>
  <c r="O240" i="7"/>
  <c r="O241" i="7"/>
  <c r="O242" i="7"/>
  <c r="O243" i="7"/>
  <c r="O244" i="7"/>
  <c r="O245" i="7"/>
  <c r="O246" i="7"/>
  <c r="O247" i="7"/>
  <c r="O248" i="7"/>
  <c r="O249" i="7"/>
  <c r="O250" i="7"/>
  <c r="O251" i="7"/>
  <c r="O252" i="7"/>
  <c r="O253" i="7"/>
  <c r="O254" i="7"/>
  <c r="O255" i="7"/>
  <c r="O256" i="7"/>
  <c r="O257" i="7"/>
  <c r="O258" i="7"/>
  <c r="O259" i="7"/>
  <c r="O260" i="7"/>
  <c r="O261" i="7"/>
  <c r="O262" i="7"/>
  <c r="O263" i="7"/>
  <c r="O264" i="7"/>
  <c r="O265" i="7"/>
  <c r="O266" i="7"/>
  <c r="O267" i="7"/>
  <c r="O268" i="7"/>
  <c r="O269" i="7"/>
  <c r="O270" i="7"/>
  <c r="O271" i="7"/>
  <c r="O272" i="7"/>
  <c r="O273" i="7"/>
  <c r="O274" i="7"/>
  <c r="O275" i="7"/>
  <c r="O276" i="7"/>
  <c r="O277" i="7"/>
  <c r="O278" i="7"/>
  <c r="O279" i="7"/>
  <c r="O280" i="7"/>
  <c r="O281" i="7"/>
  <c r="O282" i="7"/>
  <c r="O283" i="7"/>
  <c r="O284" i="7"/>
  <c r="O285" i="7"/>
  <c r="O286" i="7"/>
  <c r="O287" i="7"/>
  <c r="O288" i="7"/>
  <c r="O289" i="7"/>
  <c r="O290" i="7"/>
  <c r="O291" i="7"/>
  <c r="O292" i="7"/>
  <c r="O293" i="7"/>
  <c r="O294" i="7"/>
  <c r="O295" i="7"/>
  <c r="O296" i="7"/>
  <c r="O297" i="7"/>
  <c r="O298" i="7"/>
  <c r="O299" i="7"/>
  <c r="O300" i="7"/>
  <c r="O301" i="7"/>
  <c r="O302" i="7"/>
  <c r="O303" i="7"/>
  <c r="O304" i="7"/>
  <c r="O305" i="7"/>
  <c r="O306" i="7"/>
  <c r="O307" i="7"/>
  <c r="O308" i="7"/>
  <c r="O309" i="7"/>
  <c r="O310" i="7"/>
  <c r="O311" i="7"/>
  <c r="O312" i="7"/>
  <c r="O313" i="7"/>
  <c r="O314" i="7"/>
  <c r="O315" i="7"/>
  <c r="O316" i="7"/>
  <c r="O317" i="7"/>
  <c r="O318" i="7"/>
  <c r="O319" i="7"/>
  <c r="O320" i="7"/>
  <c r="O321" i="7"/>
  <c r="O322" i="7"/>
  <c r="O323" i="7"/>
  <c r="O324" i="7"/>
  <c r="O325" i="7"/>
  <c r="O326" i="7"/>
  <c r="O327" i="7"/>
  <c r="O328" i="7"/>
  <c r="O329" i="7"/>
  <c r="O330" i="7"/>
  <c r="O331" i="7"/>
  <c r="O332" i="7"/>
  <c r="O333" i="7"/>
  <c r="O334" i="7"/>
  <c r="O335" i="7"/>
  <c r="O336" i="7"/>
  <c r="O337" i="7"/>
  <c r="O338" i="7"/>
  <c r="O339" i="7"/>
  <c r="O340" i="7"/>
  <c r="O341" i="7"/>
  <c r="O342" i="7"/>
  <c r="O343" i="7"/>
  <c r="O344" i="7"/>
  <c r="O345" i="7"/>
  <c r="O346" i="7"/>
  <c r="O347" i="7"/>
  <c r="O348" i="7"/>
  <c r="O349" i="7"/>
  <c r="O350" i="7"/>
  <c r="O351" i="7"/>
  <c r="O352" i="7"/>
  <c r="O353" i="7"/>
  <c r="O354" i="7"/>
  <c r="O355" i="7"/>
  <c r="O356" i="7"/>
  <c r="O357" i="7"/>
  <c r="O358" i="7"/>
  <c r="O359" i="7"/>
  <c r="O360" i="7"/>
  <c r="O361" i="7"/>
  <c r="O362" i="7"/>
  <c r="O363" i="7"/>
  <c r="O364" i="7"/>
  <c r="O365" i="7"/>
  <c r="O366" i="7"/>
  <c r="O367" i="7"/>
  <c r="O368" i="7"/>
  <c r="O369" i="7"/>
  <c r="O370" i="7"/>
  <c r="O371" i="7"/>
  <c r="O372" i="7"/>
  <c r="O373" i="7"/>
  <c r="O374" i="7"/>
  <c r="O375" i="7"/>
  <c r="O376" i="7"/>
  <c r="O377" i="7"/>
  <c r="O378" i="7"/>
  <c r="O379" i="7"/>
  <c r="O380" i="7"/>
  <c r="O381" i="7"/>
  <c r="O382" i="7"/>
  <c r="O383" i="7"/>
  <c r="O384" i="7"/>
  <c r="O385" i="7"/>
  <c r="O386" i="7"/>
  <c r="O387" i="7"/>
  <c r="O388" i="7"/>
  <c r="O389" i="7"/>
  <c r="O390" i="7"/>
  <c r="O391" i="7"/>
  <c r="O392" i="7"/>
  <c r="O393" i="7"/>
  <c r="O394" i="7"/>
  <c r="O395" i="7"/>
  <c r="O396" i="7"/>
  <c r="O397" i="7"/>
  <c r="O398" i="7"/>
  <c r="O399" i="7"/>
  <c r="O400" i="7"/>
  <c r="O401" i="7"/>
  <c r="O402" i="7"/>
  <c r="O403" i="7"/>
  <c r="O404" i="7"/>
  <c r="O405" i="7"/>
  <c r="O406" i="7"/>
  <c r="O407" i="7"/>
  <c r="O408" i="7"/>
  <c r="O409" i="7"/>
  <c r="O410" i="7"/>
  <c r="O411" i="7"/>
  <c r="O412" i="7"/>
  <c r="O413" i="7"/>
  <c r="O414" i="7"/>
  <c r="O415" i="7"/>
  <c r="O416" i="7"/>
  <c r="O417" i="7"/>
  <c r="O418" i="7"/>
  <c r="O419" i="7"/>
  <c r="O420" i="7"/>
  <c r="O421" i="7"/>
  <c r="O422" i="7"/>
  <c r="O423" i="7"/>
  <c r="O424" i="7"/>
  <c r="O425" i="7"/>
  <c r="O426" i="7"/>
  <c r="O427" i="7"/>
  <c r="O428" i="7"/>
  <c r="O429" i="7"/>
  <c r="O430" i="7"/>
  <c r="O431" i="7"/>
  <c r="O432" i="7"/>
  <c r="O433" i="7"/>
  <c r="O434" i="7"/>
  <c r="O435" i="7"/>
  <c r="O436" i="7"/>
  <c r="O437" i="7"/>
  <c r="O438" i="7"/>
  <c r="O439" i="7"/>
  <c r="O440" i="7"/>
  <c r="O441" i="7"/>
  <c r="O442" i="7"/>
  <c r="O443" i="7"/>
  <c r="O444" i="7"/>
  <c r="O445" i="7"/>
  <c r="O446" i="7"/>
  <c r="O447" i="7"/>
  <c r="O448" i="7"/>
  <c r="O449" i="7"/>
  <c r="O450" i="7"/>
  <c r="O451" i="7"/>
  <c r="O452" i="7"/>
  <c r="O453" i="7"/>
  <c r="O454" i="7"/>
  <c r="O455" i="7"/>
  <c r="O456" i="7"/>
  <c r="O457" i="7"/>
  <c r="O458" i="7"/>
  <c r="O459" i="7"/>
  <c r="O460" i="7"/>
  <c r="H458" i="7"/>
  <c r="N458" i="7"/>
  <c r="H457" i="7"/>
  <c r="N457" i="7"/>
  <c r="H460" i="7"/>
  <c r="Q460" i="7"/>
  <c r="H456" i="7"/>
  <c r="Q456" i="7"/>
  <c r="H459" i="7"/>
  <c r="N459" i="7"/>
  <c r="H453" i="7"/>
  <c r="N453" i="7"/>
  <c r="H449" i="7"/>
  <c r="N449" i="7"/>
  <c r="H445" i="7"/>
  <c r="H441" i="7"/>
  <c r="Q441" i="7"/>
  <c r="H437" i="7"/>
  <c r="N437" i="7"/>
  <c r="H433" i="7"/>
  <c r="N433" i="7"/>
  <c r="I428" i="7"/>
  <c r="I424" i="7"/>
  <c r="I420" i="7"/>
  <c r="I416" i="7"/>
  <c r="I412" i="7"/>
  <c r="I408" i="7"/>
  <c r="I404" i="7"/>
  <c r="H452" i="7"/>
  <c r="N452" i="7"/>
  <c r="H448" i="7"/>
  <c r="Q448" i="7"/>
  <c r="H444" i="7"/>
  <c r="N444" i="7"/>
  <c r="H440" i="7"/>
  <c r="N440" i="7"/>
  <c r="H436" i="7"/>
  <c r="Q436" i="7"/>
  <c r="H432" i="7"/>
  <c r="Q432" i="7"/>
  <c r="I427" i="7"/>
  <c r="I423" i="7"/>
  <c r="I419" i="7"/>
  <c r="I413" i="7"/>
  <c r="I409" i="7"/>
  <c r="I405" i="7"/>
  <c r="I401" i="7"/>
  <c r="H451" i="7"/>
  <c r="N451" i="7"/>
  <c r="H447" i="7"/>
  <c r="N447" i="7"/>
  <c r="H443" i="7"/>
  <c r="N443" i="7"/>
  <c r="H439" i="7"/>
  <c r="Q439" i="7"/>
  <c r="H435" i="7"/>
  <c r="N435" i="7"/>
  <c r="H431" i="7"/>
  <c r="Q431" i="7"/>
  <c r="I426" i="7"/>
  <c r="I422" i="7"/>
  <c r="I418" i="7"/>
  <c r="I415" i="7"/>
  <c r="I414" i="7"/>
  <c r="I410" i="7"/>
  <c r="I406" i="7"/>
  <c r="I402" i="7"/>
  <c r="H455" i="7"/>
  <c r="Q455" i="7"/>
  <c r="H454" i="7"/>
  <c r="N454" i="7"/>
  <c r="H450" i="7"/>
  <c r="Q450" i="7"/>
  <c r="H446" i="7"/>
  <c r="Q446" i="7"/>
  <c r="H442" i="7"/>
  <c r="N442" i="7"/>
  <c r="H438" i="7"/>
  <c r="Q438" i="7"/>
  <c r="H434" i="7"/>
  <c r="Q434" i="7"/>
  <c r="H430" i="7"/>
  <c r="N430" i="7"/>
  <c r="I429" i="7"/>
  <c r="I425" i="7"/>
  <c r="I421" i="7"/>
  <c r="I417" i="7"/>
  <c r="I411" i="7"/>
  <c r="I407" i="7"/>
  <c r="I403" i="7"/>
  <c r="K17" i="8"/>
  <c r="Q457" i="7"/>
  <c r="Q445" i="7"/>
  <c r="N445" i="7"/>
  <c r="N441" i="7"/>
  <c r="Q451" i="7"/>
  <c r="Q453" i="7"/>
  <c r="Q443" i="7"/>
  <c r="N439" i="7"/>
  <c r="Q435" i="7"/>
  <c r="Q437" i="7"/>
  <c r="Y187" i="25"/>
  <c r="Z186" i="25"/>
  <c r="AD8" i="29"/>
  <c r="AB8" i="29"/>
  <c r="D14" i="29"/>
  <c r="AC14" i="29"/>
  <c r="D16" i="29"/>
  <c r="AC16" i="29"/>
  <c r="D17" i="29"/>
  <c r="AC17" i="29"/>
  <c r="D13" i="29"/>
  <c r="AC13" i="29"/>
  <c r="D15" i="29"/>
  <c r="AC15" i="29"/>
  <c r="D18" i="29"/>
  <c r="AC18" i="29"/>
  <c r="AD9" i="29"/>
  <c r="AB9" i="29"/>
  <c r="D19" i="29"/>
  <c r="AC19" i="29"/>
  <c r="AD7" i="29"/>
  <c r="AB7" i="29"/>
  <c r="T20" i="25"/>
  <c r="T17" i="25"/>
  <c r="T16" i="25"/>
  <c r="T21" i="25"/>
  <c r="T18" i="25"/>
  <c r="T19" i="25"/>
  <c r="Z190" i="25"/>
  <c r="O220" i="25"/>
  <c r="Q249" i="25"/>
  <c r="Q250" i="25"/>
  <c r="Q251" i="25"/>
  <c r="Q252" i="25"/>
  <c r="Q253" i="25"/>
  <c r="Q254" i="25"/>
  <c r="Q255" i="25"/>
  <c r="Q256" i="25"/>
  <c r="Q257" i="25"/>
  <c r="Q258" i="25"/>
  <c r="Q259" i="25"/>
  <c r="Q260" i="25"/>
  <c r="Q261" i="25"/>
  <c r="Q262" i="25"/>
  <c r="Q263" i="25"/>
  <c r="Q264" i="25"/>
  <c r="Q265" i="25"/>
  <c r="L248" i="25"/>
  <c r="T22" i="25"/>
  <c r="Q55" i="9"/>
  <c r="A23" i="25"/>
  <c r="D23" i="25"/>
  <c r="B20" i="29"/>
  <c r="C57" i="9"/>
  <c r="B57" i="9"/>
  <c r="P56" i="9"/>
  <c r="U56" i="9"/>
  <c r="X56" i="9"/>
  <c r="W56" i="9"/>
  <c r="S56" i="9"/>
  <c r="N56" i="9"/>
  <c r="F19" i="29"/>
  <c r="AE19" i="29"/>
  <c r="AD19" i="29"/>
  <c r="G22" i="25"/>
  <c r="V22" i="25"/>
  <c r="H22" i="25"/>
  <c r="U22" i="25"/>
  <c r="K22" i="25"/>
  <c r="I22" i="25"/>
  <c r="W22" i="25"/>
  <c r="E22" i="25"/>
  <c r="F22" i="25"/>
  <c r="Y188" i="25"/>
  <c r="Y189" i="25"/>
  <c r="Y190" i="25"/>
  <c r="Y191" i="25"/>
  <c r="Y192" i="25"/>
  <c r="Y193" i="25"/>
  <c r="Y194" i="25"/>
  <c r="Y195" i="25"/>
  <c r="Y196" i="25"/>
  <c r="Y197" i="25"/>
  <c r="Y198" i="25"/>
  <c r="Y199" i="25"/>
  <c r="Y200" i="25"/>
  <c r="Y201" i="25"/>
  <c r="Y202" i="25"/>
  <c r="Y203" i="25"/>
  <c r="Z187" i="25"/>
  <c r="AE349" i="9"/>
  <c r="M349" i="9"/>
  <c r="AD349" i="9"/>
  <c r="T350" i="11"/>
  <c r="AE365" i="9"/>
  <c r="M365" i="9"/>
  <c r="AD365" i="9"/>
  <c r="T366" i="11"/>
  <c r="AE356" i="9"/>
  <c r="M356" i="9"/>
  <c r="AD356" i="9"/>
  <c r="T357" i="11"/>
  <c r="AE353" i="9"/>
  <c r="M353" i="9"/>
  <c r="AD353" i="9"/>
  <c r="T354" i="11"/>
  <c r="AE344" i="9"/>
  <c r="M344" i="9"/>
  <c r="AD344" i="9"/>
  <c r="T345" i="11"/>
  <c r="AE339" i="9"/>
  <c r="M339" i="9"/>
  <c r="AD339" i="9"/>
  <c r="T340" i="11"/>
  <c r="AE355" i="9"/>
  <c r="M355" i="9"/>
  <c r="AD355" i="9"/>
  <c r="T356" i="11"/>
  <c r="AE350" i="9"/>
  <c r="M350" i="9"/>
  <c r="AD350" i="9"/>
  <c r="T351" i="11"/>
  <c r="AE366" i="9"/>
  <c r="M366" i="9"/>
  <c r="AD366" i="9"/>
  <c r="T367" i="11"/>
  <c r="AE364" i="9"/>
  <c r="M364" i="9"/>
  <c r="AD364" i="9"/>
  <c r="T365" i="11"/>
  <c r="AE354" i="9"/>
  <c r="M354" i="9"/>
  <c r="AD354" i="9"/>
  <c r="T355" i="11"/>
  <c r="AE352" i="9"/>
  <c r="M352" i="9"/>
  <c r="AD352" i="9"/>
  <c r="T353" i="11"/>
  <c r="AE343" i="9"/>
  <c r="M343" i="9"/>
  <c r="AD343" i="9"/>
  <c r="T344" i="11"/>
  <c r="AE359" i="9"/>
  <c r="M359" i="9"/>
  <c r="AD359" i="9"/>
  <c r="T360" i="11"/>
  <c r="Q452" i="7"/>
  <c r="H336" i="11"/>
  <c r="Q336" i="11"/>
  <c r="N336" i="11"/>
  <c r="H332" i="11"/>
  <c r="Q332" i="11"/>
  <c r="N332" i="11"/>
  <c r="H328" i="11"/>
  <c r="Q328" i="11"/>
  <c r="N328" i="11"/>
  <c r="H324" i="11"/>
  <c r="Q324" i="11"/>
  <c r="N324" i="11"/>
  <c r="H320" i="11"/>
  <c r="Q320" i="11"/>
  <c r="N320" i="11"/>
  <c r="H316" i="11"/>
  <c r="Q316" i="11"/>
  <c r="N316" i="11"/>
  <c r="H312" i="11"/>
  <c r="Q312" i="11"/>
  <c r="N312" i="11"/>
  <c r="I305" i="11"/>
  <c r="I301" i="11"/>
  <c r="I297" i="11"/>
  <c r="H337" i="11"/>
  <c r="Q337" i="11"/>
  <c r="N337" i="11"/>
  <c r="H329" i="11"/>
  <c r="Q329" i="11"/>
  <c r="N329" i="11"/>
  <c r="H321" i="11"/>
  <c r="Q321" i="11"/>
  <c r="N321" i="11"/>
  <c r="H313" i="11"/>
  <c r="Q313" i="11"/>
  <c r="N313" i="11"/>
  <c r="I307" i="11"/>
  <c r="I306" i="11"/>
  <c r="H339" i="11"/>
  <c r="Q339" i="11"/>
  <c r="N339" i="11"/>
  <c r="H338" i="11"/>
  <c r="Q338" i="11"/>
  <c r="N338" i="11"/>
  <c r="H331" i="11"/>
  <c r="Q331" i="11"/>
  <c r="N331" i="11"/>
  <c r="H330" i="11"/>
  <c r="Q330" i="11"/>
  <c r="N330" i="11"/>
  <c r="H323" i="11"/>
  <c r="Q323" i="11"/>
  <c r="N323" i="11"/>
  <c r="H322" i="11"/>
  <c r="Q322" i="11"/>
  <c r="N322" i="11"/>
  <c r="H315" i="11"/>
  <c r="Q315" i="11"/>
  <c r="N315" i="11"/>
  <c r="H314" i="11"/>
  <c r="Q314" i="11"/>
  <c r="N314" i="11"/>
  <c r="I304" i="11"/>
  <c r="H333" i="11"/>
  <c r="Q333" i="11"/>
  <c r="N333" i="11"/>
  <c r="H325" i="11"/>
  <c r="Q325" i="11"/>
  <c r="N325" i="11"/>
  <c r="H317" i="11"/>
  <c r="Q317" i="11"/>
  <c r="N317" i="11"/>
  <c r="H309" i="11"/>
  <c r="Q309" i="11"/>
  <c r="N309" i="11"/>
  <c r="H335" i="11"/>
  <c r="Q335" i="11"/>
  <c r="N335" i="11"/>
  <c r="H334" i="11"/>
  <c r="Q334" i="11"/>
  <c r="N334" i="11"/>
  <c r="H327" i="11"/>
  <c r="Q327" i="11"/>
  <c r="N327" i="11"/>
  <c r="H326" i="11"/>
  <c r="Q326" i="11"/>
  <c r="N326" i="11"/>
  <c r="H319" i="11"/>
  <c r="Q319" i="11"/>
  <c r="N319" i="11"/>
  <c r="H318" i="11"/>
  <c r="Q318" i="11"/>
  <c r="N318" i="11"/>
  <c r="H311" i="11"/>
  <c r="Q311" i="11"/>
  <c r="N311" i="11"/>
  <c r="H310" i="11"/>
  <c r="Q310" i="11"/>
  <c r="N310" i="11"/>
  <c r="I308" i="11"/>
  <c r="I300" i="11"/>
  <c r="I293" i="11"/>
  <c r="I289" i="11"/>
  <c r="I285" i="11"/>
  <c r="I281" i="11"/>
  <c r="I302" i="11"/>
  <c r="I298" i="11"/>
  <c r="I295" i="11"/>
  <c r="I287" i="11"/>
  <c r="I286" i="11"/>
  <c r="I279" i="11"/>
  <c r="I296" i="11"/>
  <c r="I292" i="11"/>
  <c r="I284" i="11"/>
  <c r="I294" i="11"/>
  <c r="I291" i="11"/>
  <c r="I290" i="11"/>
  <c r="I283" i="11"/>
  <c r="I282" i="11"/>
  <c r="I303" i="11"/>
  <c r="I299" i="11"/>
  <c r="I288" i="11"/>
  <c r="I280" i="11"/>
  <c r="M13" i="10"/>
  <c r="AE341" i="9"/>
  <c r="M341" i="9"/>
  <c r="AD341" i="9"/>
  <c r="T342" i="11"/>
  <c r="AE357" i="9"/>
  <c r="M357" i="9"/>
  <c r="AD357" i="9"/>
  <c r="T358" i="11"/>
  <c r="AE340" i="9"/>
  <c r="M340" i="9"/>
  <c r="AD340" i="9"/>
  <c r="T341" i="11"/>
  <c r="AE345" i="9"/>
  <c r="M345" i="9"/>
  <c r="AD345" i="9"/>
  <c r="T346" i="11"/>
  <c r="AE361" i="9"/>
  <c r="M361" i="9"/>
  <c r="AD361" i="9"/>
  <c r="T362" i="11"/>
  <c r="AE360" i="9"/>
  <c r="M360" i="9"/>
  <c r="AD360" i="9"/>
  <c r="T361" i="11"/>
  <c r="AE347" i="9"/>
  <c r="M347" i="9"/>
  <c r="AD347" i="9"/>
  <c r="T348" i="11"/>
  <c r="AE363" i="9"/>
  <c r="M363" i="9"/>
  <c r="AD363" i="9"/>
  <c r="T364" i="11"/>
  <c r="Q444" i="7"/>
  <c r="N434" i="7"/>
  <c r="AE342" i="9"/>
  <c r="M342" i="9"/>
  <c r="AD342" i="9"/>
  <c r="T343" i="11"/>
  <c r="AE358" i="9"/>
  <c r="M358" i="9"/>
  <c r="AD358" i="9"/>
  <c r="T359" i="11"/>
  <c r="AE348" i="9"/>
  <c r="M348" i="9"/>
  <c r="AD348" i="9"/>
  <c r="T349" i="11"/>
  <c r="AE346" i="9"/>
  <c r="M346" i="9"/>
  <c r="AD346" i="9"/>
  <c r="T347" i="11"/>
  <c r="AE362" i="9"/>
  <c r="M362" i="9"/>
  <c r="AD362" i="9"/>
  <c r="T363" i="11"/>
  <c r="AE368" i="9"/>
  <c r="M368" i="9"/>
  <c r="AD368" i="9"/>
  <c r="T369" i="11"/>
  <c r="AE351" i="9"/>
  <c r="M351" i="9"/>
  <c r="AD351" i="9"/>
  <c r="T352" i="11"/>
  <c r="AE367" i="9"/>
  <c r="M367" i="9"/>
  <c r="AD367" i="9"/>
  <c r="T368" i="11"/>
  <c r="N448" i="7"/>
  <c r="N455" i="7"/>
  <c r="N438" i="7"/>
  <c r="Q449" i="7"/>
  <c r="Q433" i="7"/>
  <c r="N460" i="7"/>
  <c r="Q454" i="7"/>
  <c r="N436" i="7"/>
  <c r="N431" i="7"/>
  <c r="Q430" i="7"/>
  <c r="N456" i="7"/>
  <c r="Q458" i="7"/>
  <c r="N446" i="7"/>
  <c r="N450" i="7"/>
  <c r="N432" i="7"/>
  <c r="Q440" i="7"/>
  <c r="H429" i="7"/>
  <c r="H425" i="7"/>
  <c r="H421" i="7"/>
  <c r="H417" i="7"/>
  <c r="H411" i="7"/>
  <c r="Q411" i="7"/>
  <c r="H407" i="7"/>
  <c r="Q407" i="7"/>
  <c r="N407" i="7"/>
  <c r="H403" i="7"/>
  <c r="Q403" i="7"/>
  <c r="N403" i="7"/>
  <c r="I400" i="7"/>
  <c r="I396" i="7"/>
  <c r="I392" i="7"/>
  <c r="I388" i="7"/>
  <c r="I384" i="7"/>
  <c r="I380" i="7"/>
  <c r="I376" i="7"/>
  <c r="I372" i="7"/>
  <c r="H428" i="7"/>
  <c r="H424" i="7"/>
  <c r="H420" i="7"/>
  <c r="H416" i="7"/>
  <c r="H412" i="7"/>
  <c r="Q412" i="7"/>
  <c r="H408" i="7"/>
  <c r="Q408" i="7"/>
  <c r="N408" i="7"/>
  <c r="H404" i="7"/>
  <c r="Q404" i="7"/>
  <c r="N404" i="7"/>
  <c r="I397" i="7"/>
  <c r="I393" i="7"/>
  <c r="I389" i="7"/>
  <c r="I385" i="7"/>
  <c r="I381" i="7"/>
  <c r="I377" i="7"/>
  <c r="I373" i="7"/>
  <c r="H427" i="7"/>
  <c r="H423" i="7"/>
  <c r="H419" i="7"/>
  <c r="H413" i="7"/>
  <c r="Q413" i="7"/>
  <c r="H409" i="7"/>
  <c r="Q409" i="7"/>
  <c r="H405" i="7"/>
  <c r="Q405" i="7"/>
  <c r="N405" i="7"/>
  <c r="H401" i="7"/>
  <c r="Q401" i="7"/>
  <c r="N401" i="7"/>
  <c r="I398" i="7"/>
  <c r="I394" i="7"/>
  <c r="I390" i="7"/>
  <c r="I386" i="7"/>
  <c r="I382" i="7"/>
  <c r="I378" i="7"/>
  <c r="I374" i="7"/>
  <c r="I370" i="7"/>
  <c r="H426" i="7"/>
  <c r="H422" i="7"/>
  <c r="H418" i="7"/>
  <c r="H415" i="7"/>
  <c r="Q415" i="7"/>
  <c r="H414" i="7"/>
  <c r="Q414" i="7"/>
  <c r="H410" i="7"/>
  <c r="Q410" i="7"/>
  <c r="H406" i="7"/>
  <c r="Q406" i="7"/>
  <c r="N406" i="7"/>
  <c r="H402" i="7"/>
  <c r="Q402" i="7"/>
  <c r="N402" i="7"/>
  <c r="I399" i="7"/>
  <c r="I395" i="7"/>
  <c r="I391" i="7"/>
  <c r="I387" i="7"/>
  <c r="I383" i="7"/>
  <c r="I379" i="7"/>
  <c r="I375" i="7"/>
  <c r="I371" i="7"/>
  <c r="K16" i="8"/>
  <c r="Q447" i="7"/>
  <c r="Q459" i="7"/>
  <c r="Q442" i="7"/>
  <c r="Z195" i="25"/>
  <c r="Z201" i="25"/>
  <c r="M248" i="25"/>
  <c r="N248" i="25"/>
  <c r="Q266" i="25"/>
  <c r="Q267" i="25"/>
  <c r="Q268" i="25"/>
  <c r="Q269" i="25"/>
  <c r="Q270" i="25"/>
  <c r="Q271" i="25"/>
  <c r="Q272" i="25"/>
  <c r="Q273" i="25"/>
  <c r="Q274" i="25"/>
  <c r="Q275" i="25"/>
  <c r="Q276" i="25"/>
  <c r="Q277" i="25"/>
  <c r="Q278" i="25"/>
  <c r="Q279" i="25"/>
  <c r="Q280" i="25"/>
  <c r="Q281" i="25"/>
  <c r="Q282" i="25"/>
  <c r="Q283" i="25"/>
  <c r="Q284" i="25"/>
  <c r="Q285" i="25"/>
  <c r="Q286" i="25"/>
  <c r="Q287" i="25"/>
  <c r="Q288" i="25"/>
  <c r="Q289" i="25"/>
  <c r="Q290" i="25"/>
  <c r="Q291" i="25"/>
  <c r="Q292" i="25"/>
  <c r="Q293" i="25"/>
  <c r="Q294" i="25"/>
  <c r="Q295" i="25"/>
  <c r="Q296" i="25"/>
  <c r="Q297" i="25"/>
  <c r="Q298" i="25"/>
  <c r="Q299" i="25"/>
  <c r="Q300" i="25"/>
  <c r="Q301" i="25"/>
  <c r="Q302" i="25"/>
  <c r="Q303" i="25"/>
  <c r="Q304" i="25"/>
  <c r="Q305" i="25"/>
  <c r="Q306" i="25"/>
  <c r="Q307" i="25"/>
  <c r="Q308" i="25"/>
  <c r="Q309" i="25"/>
  <c r="Q310" i="25"/>
  <c r="Q311" i="25"/>
  <c r="Q312" i="25"/>
  <c r="Q313" i="25"/>
  <c r="Q314" i="25"/>
  <c r="Q315" i="25"/>
  <c r="Q316" i="25"/>
  <c r="Q317" i="25"/>
  <c r="Q318" i="25"/>
  <c r="Q319" i="25"/>
  <c r="Q320" i="25"/>
  <c r="Q321" i="25"/>
  <c r="Q322" i="25"/>
  <c r="Q323" i="25"/>
  <c r="Q324" i="25"/>
  <c r="Q325" i="25"/>
  <c r="Q326" i="25"/>
  <c r="Q327" i="25"/>
  <c r="Q328" i="25"/>
  <c r="Q329" i="25"/>
  <c r="Q330" i="25"/>
  <c r="Q331" i="25"/>
  <c r="Q332" i="25"/>
  <c r="Q333" i="25"/>
  <c r="Q334" i="25"/>
  <c r="Q335" i="25"/>
  <c r="Q336" i="25"/>
  <c r="Q337" i="25"/>
  <c r="Q338" i="25"/>
  <c r="Q339" i="25"/>
  <c r="Q340" i="25"/>
  <c r="Q341" i="25"/>
  <c r="Q342" i="25"/>
  <c r="Q343" i="25"/>
  <c r="Q344" i="25"/>
  <c r="Q345" i="25"/>
  <c r="Q346" i="25"/>
  <c r="Q347" i="25"/>
  <c r="Q348" i="25"/>
  <c r="Q349" i="25"/>
  <c r="Q350" i="25"/>
  <c r="Q351" i="25"/>
  <c r="Q352" i="25"/>
  <c r="Q353" i="25"/>
  <c r="Q354" i="25"/>
  <c r="Q355" i="25"/>
  <c r="Q356" i="25"/>
  <c r="Q357" i="25"/>
  <c r="Q358" i="25"/>
  <c r="Q359" i="25"/>
  <c r="Q360" i="25"/>
  <c r="Q361" i="25"/>
  <c r="Q362" i="25"/>
  <c r="Q363" i="25"/>
  <c r="Q364" i="25"/>
  <c r="Q365" i="25"/>
  <c r="Q366" i="25"/>
  <c r="Q367" i="25"/>
  <c r="Q368" i="25"/>
  <c r="Q369" i="25"/>
  <c r="Q370" i="25"/>
  <c r="Q371" i="25"/>
  <c r="Q372" i="25"/>
  <c r="Q373" i="25"/>
  <c r="Q374" i="25"/>
  <c r="Q375" i="25"/>
  <c r="Q376" i="25"/>
  <c r="Q377" i="25"/>
  <c r="Q378" i="25"/>
  <c r="Q379" i="25"/>
  <c r="Q380" i="25"/>
  <c r="Q381" i="25"/>
  <c r="Q382" i="25"/>
  <c r="Q383" i="25"/>
  <c r="Q384" i="25"/>
  <c r="Q385" i="25"/>
  <c r="Q386" i="25"/>
  <c r="Q387" i="25"/>
  <c r="Q388" i="25"/>
  <c r="Q389" i="25"/>
  <c r="Q390" i="25"/>
  <c r="Q391" i="25"/>
  <c r="Q392" i="25"/>
  <c r="Q393" i="25"/>
  <c r="Q394" i="25"/>
  <c r="Q395" i="25"/>
  <c r="Q396" i="25"/>
  <c r="Q397" i="25"/>
  <c r="Q398" i="25"/>
  <c r="Q399" i="25"/>
  <c r="Q400" i="25"/>
  <c r="Q401" i="25"/>
  <c r="Q402" i="25"/>
  <c r="Q403" i="25"/>
  <c r="Q404" i="25"/>
  <c r="Q405" i="25"/>
  <c r="Q406" i="25"/>
  <c r="Q407" i="25"/>
  <c r="Q408" i="25"/>
  <c r="Q409" i="25"/>
  <c r="Q410" i="25"/>
  <c r="Q411" i="25"/>
  <c r="Q412" i="25"/>
  <c r="Q413" i="25"/>
  <c r="Q414" i="25"/>
  <c r="Q415" i="25"/>
  <c r="Q416" i="25"/>
  <c r="Q417" i="25"/>
  <c r="Q418" i="25"/>
  <c r="Q419" i="25"/>
  <c r="Q420" i="25"/>
  <c r="Q421" i="25"/>
  <c r="Q422" i="25"/>
  <c r="Q423" i="25"/>
  <c r="Q424" i="25"/>
  <c r="Q425" i="25"/>
  <c r="Q426" i="25"/>
  <c r="Q427" i="25"/>
  <c r="Q428" i="25"/>
  <c r="Q429" i="25"/>
  <c r="Q430" i="25"/>
  <c r="Q431" i="25"/>
  <c r="Q432" i="25"/>
  <c r="Q433" i="25"/>
  <c r="Q434" i="25"/>
  <c r="Q435" i="25"/>
  <c r="Q436" i="25"/>
  <c r="Q437" i="25"/>
  <c r="Q438" i="25"/>
  <c r="Q439" i="25"/>
  <c r="Q440" i="25"/>
  <c r="Q441" i="25"/>
  <c r="Q442" i="25"/>
  <c r="Q443" i="25"/>
  <c r="Q444" i="25"/>
  <c r="Q445" i="25"/>
  <c r="Q446" i="25"/>
  <c r="Q447" i="25"/>
  <c r="Q448" i="25"/>
  <c r="Q449" i="25"/>
  <c r="Q450" i="25"/>
  <c r="Q451" i="25"/>
  <c r="Q452" i="25"/>
  <c r="Q453" i="25"/>
  <c r="Q454" i="25"/>
  <c r="Q455" i="25"/>
  <c r="Q456" i="25"/>
  <c r="Q457" i="25"/>
  <c r="Q458" i="25"/>
  <c r="Q459" i="25"/>
  <c r="Q460" i="25"/>
  <c r="Q461" i="25"/>
  <c r="Q462" i="25"/>
  <c r="Q463" i="25"/>
  <c r="Q464" i="25"/>
  <c r="Q465" i="25"/>
  <c r="Q466" i="25"/>
  <c r="Q467" i="25"/>
  <c r="Q468" i="25"/>
  <c r="Q469" i="25"/>
  <c r="Q470" i="25"/>
  <c r="Q471" i="25"/>
  <c r="Q472" i="25"/>
  <c r="Q473" i="25"/>
  <c r="Q474" i="25"/>
  <c r="Q475" i="25"/>
  <c r="Q476" i="25"/>
  <c r="Q477" i="25"/>
  <c r="Q478" i="25"/>
  <c r="Q479" i="25"/>
  <c r="Q480" i="25"/>
  <c r="Q481" i="25"/>
  <c r="Q482" i="25"/>
  <c r="Q483" i="25"/>
  <c r="Q484" i="25"/>
  <c r="Q485" i="25"/>
  <c r="Q486" i="25"/>
  <c r="Q487" i="25"/>
  <c r="Q488" i="25"/>
  <c r="Q489" i="25"/>
  <c r="Q490" i="25"/>
  <c r="Q491" i="25"/>
  <c r="Q492" i="25"/>
  <c r="Q493" i="25"/>
  <c r="Q494" i="25"/>
  <c r="Q495" i="25"/>
  <c r="Q496" i="25"/>
  <c r="Q497" i="25"/>
  <c r="Q498" i="25"/>
  <c r="Q499" i="25"/>
  <c r="Q500" i="25"/>
  <c r="Q501" i="25"/>
  <c r="Q502" i="25"/>
  <c r="Q503" i="25"/>
  <c r="Q504" i="25"/>
  <c r="Q505" i="25"/>
  <c r="Q506" i="25"/>
  <c r="Q507" i="25"/>
  <c r="Q508" i="25"/>
  <c r="Q509" i="25"/>
  <c r="Q510" i="25"/>
  <c r="Q511" i="25"/>
  <c r="Q512" i="25"/>
  <c r="Q513" i="25"/>
  <c r="Q514" i="25"/>
  <c r="Q515" i="25"/>
  <c r="Q516" i="25"/>
  <c r="Q517" i="25"/>
  <c r="Q518" i="25"/>
  <c r="Q519" i="25"/>
  <c r="Q520" i="25"/>
  <c r="Q521" i="25"/>
  <c r="Q522" i="25"/>
  <c r="Q523" i="25"/>
  <c r="Q524" i="25"/>
  <c r="Q525" i="25"/>
  <c r="Q526" i="25"/>
  <c r="Q527" i="25"/>
  <c r="Q528" i="25"/>
  <c r="Q529" i="25"/>
  <c r="Q530" i="25"/>
  <c r="Q531" i="25"/>
  <c r="Q532" i="25"/>
  <c r="Q533" i="25"/>
  <c r="Q534" i="25"/>
  <c r="Q535" i="25"/>
  <c r="Q536" i="25"/>
  <c r="Q537" i="25"/>
  <c r="Q538" i="25"/>
  <c r="Q539" i="25"/>
  <c r="Q540" i="25"/>
  <c r="Q541" i="25"/>
  <c r="Q542" i="25"/>
  <c r="Q543" i="25"/>
  <c r="Q544" i="25"/>
  <c r="Q545" i="25"/>
  <c r="Q546" i="25"/>
  <c r="Q547" i="25"/>
  <c r="Q548" i="25"/>
  <c r="Q549" i="25"/>
  <c r="Q550" i="25"/>
  <c r="Q551" i="25"/>
  <c r="Q552" i="25"/>
  <c r="Q553" i="25"/>
  <c r="Q554" i="25"/>
  <c r="Q555" i="25"/>
  <c r="Q556" i="25"/>
  <c r="Q557" i="25"/>
  <c r="Q558" i="25"/>
  <c r="Q559" i="25"/>
  <c r="Q560" i="25"/>
  <c r="Q561" i="25"/>
  <c r="Q562" i="25"/>
  <c r="Q563" i="25"/>
  <c r="Q564" i="25"/>
  <c r="Q565" i="25"/>
  <c r="Q566" i="25"/>
  <c r="Q567" i="25"/>
  <c r="Q568" i="25"/>
  <c r="Q569" i="25"/>
  <c r="Q570" i="25"/>
  <c r="Q571" i="25"/>
  <c r="Q572" i="25"/>
  <c r="Q573" i="25"/>
  <c r="Q574" i="25"/>
  <c r="Q575" i="25"/>
  <c r="Q576" i="25"/>
  <c r="Q577" i="25"/>
  <c r="Q578" i="25"/>
  <c r="Q579" i="25"/>
  <c r="Q580" i="25"/>
  <c r="Q581" i="25"/>
  <c r="Q582" i="25"/>
  <c r="Q583" i="25"/>
  <c r="Q584" i="25"/>
  <c r="Q585" i="25"/>
  <c r="Q586" i="25"/>
  <c r="Q587" i="25"/>
  <c r="Q588" i="25"/>
  <c r="Q589" i="25"/>
  <c r="Q590" i="25"/>
  <c r="Q591" i="25"/>
  <c r="Q592" i="25"/>
  <c r="L265" i="25"/>
  <c r="M265" i="25"/>
  <c r="N265" i="25"/>
  <c r="O265" i="25"/>
  <c r="Q56" i="9"/>
  <c r="S57" i="9"/>
  <c r="N57" i="9"/>
  <c r="E20" i="29"/>
  <c r="D20" i="29"/>
  <c r="AC20" i="29"/>
  <c r="I23" i="25"/>
  <c r="W23" i="25"/>
  <c r="E23" i="25"/>
  <c r="G23" i="25"/>
  <c r="V23" i="25"/>
  <c r="F23" i="25"/>
  <c r="U23" i="25"/>
  <c r="K23" i="25"/>
  <c r="H23" i="25"/>
  <c r="T23" i="25"/>
  <c r="A24" i="25"/>
  <c r="D24" i="25"/>
  <c r="B21" i="29"/>
  <c r="C58" i="9"/>
  <c r="B58" i="9"/>
  <c r="P57" i="9"/>
  <c r="U57" i="9"/>
  <c r="X57" i="9"/>
  <c r="W57" i="9"/>
  <c r="AE309" i="9"/>
  <c r="M309" i="9"/>
  <c r="AD309" i="9"/>
  <c r="T310" i="11"/>
  <c r="AE325" i="9"/>
  <c r="M325" i="9"/>
  <c r="AD325" i="9"/>
  <c r="T326" i="11"/>
  <c r="AE308" i="9"/>
  <c r="M308" i="9"/>
  <c r="AD308" i="9"/>
  <c r="T309" i="11"/>
  <c r="AE322" i="9"/>
  <c r="M322" i="9"/>
  <c r="AD322" i="9"/>
  <c r="T323" i="11"/>
  <c r="AE338" i="9"/>
  <c r="M338" i="9"/>
  <c r="AD338" i="9"/>
  <c r="T339" i="11"/>
  <c r="AE320" i="9"/>
  <c r="M320" i="9"/>
  <c r="AD320" i="9"/>
  <c r="T321" i="11"/>
  <c r="AE319" i="9"/>
  <c r="M319" i="9"/>
  <c r="AD319" i="9"/>
  <c r="T320" i="11"/>
  <c r="AE335" i="9"/>
  <c r="M335" i="9"/>
  <c r="AD335" i="9"/>
  <c r="T336" i="11"/>
  <c r="AE310" i="9"/>
  <c r="M310" i="9"/>
  <c r="AD310" i="9"/>
  <c r="T311" i="11"/>
  <c r="AE326" i="9"/>
  <c r="M326" i="9"/>
  <c r="AD326" i="9"/>
  <c r="T327" i="11"/>
  <c r="AE316" i="9"/>
  <c r="M316" i="9"/>
  <c r="AD316" i="9"/>
  <c r="T317" i="11"/>
  <c r="AE313" i="9"/>
  <c r="M313" i="9"/>
  <c r="AD313" i="9"/>
  <c r="T314" i="11"/>
  <c r="AE329" i="9"/>
  <c r="M329" i="9"/>
  <c r="AD329" i="9"/>
  <c r="T330" i="11"/>
  <c r="AE328" i="9"/>
  <c r="M328" i="9"/>
  <c r="AD328" i="9"/>
  <c r="T329" i="11"/>
  <c r="AE323" i="9"/>
  <c r="M323" i="9"/>
  <c r="AD323" i="9"/>
  <c r="T324" i="11"/>
  <c r="AE317" i="9"/>
  <c r="M317" i="9"/>
  <c r="AD317" i="9"/>
  <c r="T318" i="11"/>
  <c r="AE333" i="9"/>
  <c r="M333" i="9"/>
  <c r="AD333" i="9"/>
  <c r="T334" i="11"/>
  <c r="AE324" i="9"/>
  <c r="M324" i="9"/>
  <c r="AD324" i="9"/>
  <c r="T325" i="11"/>
  <c r="AE314" i="9"/>
  <c r="M314" i="9"/>
  <c r="AD314" i="9"/>
  <c r="T315" i="11"/>
  <c r="AE330" i="9"/>
  <c r="M330" i="9"/>
  <c r="AD330" i="9"/>
  <c r="T331" i="11"/>
  <c r="AE336" i="9"/>
  <c r="M336" i="9"/>
  <c r="AD336" i="9"/>
  <c r="T337" i="11"/>
  <c r="AE311" i="9"/>
  <c r="M311" i="9"/>
  <c r="AD311" i="9"/>
  <c r="T312" i="11"/>
  <c r="AE327" i="9"/>
  <c r="M327" i="9"/>
  <c r="AD327" i="9"/>
  <c r="T328" i="11"/>
  <c r="H308" i="11"/>
  <c r="Q308" i="11"/>
  <c r="N308" i="11"/>
  <c r="H304" i="11"/>
  <c r="Q304" i="11"/>
  <c r="N304" i="11"/>
  <c r="H300" i="11"/>
  <c r="Q300" i="11"/>
  <c r="N300" i="11"/>
  <c r="H296" i="11"/>
  <c r="Q296" i="11"/>
  <c r="N296" i="11"/>
  <c r="H307" i="11"/>
  <c r="Q307" i="11"/>
  <c r="N307" i="11"/>
  <c r="H306" i="11"/>
  <c r="Q306" i="11"/>
  <c r="N306" i="11"/>
  <c r="H299" i="11"/>
  <c r="Q299" i="11"/>
  <c r="N299" i="11"/>
  <c r="H298" i="11"/>
  <c r="Q298" i="11"/>
  <c r="N298" i="11"/>
  <c r="H303" i="11"/>
  <c r="Q303" i="11"/>
  <c r="N303" i="11"/>
  <c r="H302" i="11"/>
  <c r="Q302" i="11"/>
  <c r="N302" i="11"/>
  <c r="H295" i="11"/>
  <c r="Q295" i="11"/>
  <c r="N295" i="11"/>
  <c r="H294" i="11"/>
  <c r="Q294" i="11"/>
  <c r="N294" i="11"/>
  <c r="H292" i="11"/>
  <c r="Q292" i="11"/>
  <c r="N292" i="11"/>
  <c r="H288" i="11"/>
  <c r="Q288" i="11"/>
  <c r="N288" i="11"/>
  <c r="H284" i="11"/>
  <c r="Q284" i="11"/>
  <c r="N284" i="11"/>
  <c r="H280" i="11"/>
  <c r="Q280" i="11"/>
  <c r="N280" i="11"/>
  <c r="I277" i="11"/>
  <c r="I273" i="11"/>
  <c r="I269" i="11"/>
  <c r="I265" i="11"/>
  <c r="I261" i="11"/>
  <c r="I257" i="11"/>
  <c r="I253" i="11"/>
  <c r="I249" i="11"/>
  <c r="H293" i="11"/>
  <c r="Q293" i="11"/>
  <c r="N293" i="11"/>
  <c r="H285" i="11"/>
  <c r="Q285" i="11"/>
  <c r="N285" i="11"/>
  <c r="I278" i="11"/>
  <c r="I271" i="11"/>
  <c r="I270" i="11"/>
  <c r="I263" i="11"/>
  <c r="I262" i="11"/>
  <c r="I255" i="11"/>
  <c r="I254" i="11"/>
  <c r="H301" i="11"/>
  <c r="Q301" i="11"/>
  <c r="N301" i="11"/>
  <c r="H297" i="11"/>
  <c r="Q297" i="11"/>
  <c r="N297" i="11"/>
  <c r="H287" i="11"/>
  <c r="Q287" i="11"/>
  <c r="N287" i="11"/>
  <c r="H286" i="11"/>
  <c r="Q286" i="11"/>
  <c r="N286" i="11"/>
  <c r="H279" i="11"/>
  <c r="Q279" i="11"/>
  <c r="N279" i="11"/>
  <c r="I276" i="11"/>
  <c r="I268" i="11"/>
  <c r="I260" i="11"/>
  <c r="I252" i="11"/>
  <c r="H305" i="11"/>
  <c r="Q305" i="11"/>
  <c r="N305" i="11"/>
  <c r="H289" i="11"/>
  <c r="Q289" i="11"/>
  <c r="N289" i="11"/>
  <c r="H281" i="11"/>
  <c r="Q281" i="11"/>
  <c r="N281" i="11"/>
  <c r="I275" i="11"/>
  <c r="I274" i="11"/>
  <c r="I267" i="11"/>
  <c r="I266" i="11"/>
  <c r="I259" i="11"/>
  <c r="I258" i="11"/>
  <c r="I251" i="11"/>
  <c r="I250" i="11"/>
  <c r="H291" i="11"/>
  <c r="Q291" i="11"/>
  <c r="N291" i="11"/>
  <c r="H290" i="11"/>
  <c r="Q290" i="11"/>
  <c r="N290" i="11"/>
  <c r="H283" i="11"/>
  <c r="Q283" i="11"/>
  <c r="N283" i="11"/>
  <c r="H282" i="11"/>
  <c r="Q282" i="11"/>
  <c r="N282" i="11"/>
  <c r="I272" i="11"/>
  <c r="I264" i="11"/>
  <c r="I256" i="11"/>
  <c r="I248" i="11"/>
  <c r="M12" i="10"/>
  <c r="AE318" i="9"/>
  <c r="M318" i="9"/>
  <c r="AD318" i="9"/>
  <c r="T319" i="11"/>
  <c r="AE334" i="9"/>
  <c r="M334" i="9"/>
  <c r="AD334" i="9"/>
  <c r="T335" i="11"/>
  <c r="AE332" i="9"/>
  <c r="M332" i="9"/>
  <c r="AD332" i="9"/>
  <c r="T333" i="11"/>
  <c r="AE321" i="9"/>
  <c r="M321" i="9"/>
  <c r="AD321" i="9"/>
  <c r="T322" i="11"/>
  <c r="AE337" i="9"/>
  <c r="M337" i="9"/>
  <c r="AD337" i="9"/>
  <c r="T338" i="11"/>
  <c r="AE312" i="9"/>
  <c r="M312" i="9"/>
  <c r="AD312" i="9"/>
  <c r="T313" i="11"/>
  <c r="AE315" i="9"/>
  <c r="M315" i="9"/>
  <c r="AD315" i="9"/>
  <c r="T316" i="11"/>
  <c r="AE331" i="9"/>
  <c r="M331" i="9"/>
  <c r="AD331" i="9"/>
  <c r="T332" i="11"/>
  <c r="AC401" i="9"/>
  <c r="D401" i="9"/>
  <c r="AB401" i="9"/>
  <c r="T402" i="7"/>
  <c r="AC400" i="9"/>
  <c r="D400" i="9"/>
  <c r="AB400" i="9"/>
  <c r="T401" i="7"/>
  <c r="Q419" i="7"/>
  <c r="N419" i="7"/>
  <c r="N428" i="7"/>
  <c r="Q428" i="7"/>
  <c r="Q417" i="7"/>
  <c r="N417" i="7"/>
  <c r="AC405" i="9"/>
  <c r="D405" i="9"/>
  <c r="AB405" i="9"/>
  <c r="T406" i="7"/>
  <c r="Q418" i="7"/>
  <c r="N418" i="7"/>
  <c r="AC404" i="9"/>
  <c r="D404" i="9"/>
  <c r="AB404" i="9"/>
  <c r="T405" i="7"/>
  <c r="N423" i="7"/>
  <c r="Q423" i="7"/>
  <c r="N416" i="7"/>
  <c r="Q416" i="7"/>
  <c r="AC402" i="9"/>
  <c r="D402" i="9"/>
  <c r="AB402" i="9"/>
  <c r="T403" i="7"/>
  <c r="Q421" i="7"/>
  <c r="N421" i="7"/>
  <c r="N422" i="7"/>
  <c r="Q422" i="7"/>
  <c r="N427" i="7"/>
  <c r="Q427" i="7"/>
  <c r="AB403" i="9"/>
  <c r="AC403" i="9"/>
  <c r="D403" i="9"/>
  <c r="T404" i="7"/>
  <c r="Q420" i="7"/>
  <c r="N420" i="7"/>
  <c r="AC406" i="9"/>
  <c r="D406" i="9"/>
  <c r="AB406" i="9"/>
  <c r="T407" i="7"/>
  <c r="Q425" i="7"/>
  <c r="N425" i="7"/>
  <c r="H399" i="7"/>
  <c r="Q399" i="7"/>
  <c r="N399" i="7"/>
  <c r="H395" i="7"/>
  <c r="Q395" i="7"/>
  <c r="N395" i="7"/>
  <c r="H391" i="7"/>
  <c r="Q391" i="7"/>
  <c r="N391" i="7"/>
  <c r="H387" i="7"/>
  <c r="Q387" i="7"/>
  <c r="N387" i="7"/>
  <c r="H383" i="7"/>
  <c r="Q383" i="7"/>
  <c r="N383" i="7"/>
  <c r="H379" i="7"/>
  <c r="Q379" i="7"/>
  <c r="N379" i="7"/>
  <c r="H375" i="7"/>
  <c r="Q375" i="7"/>
  <c r="N375" i="7"/>
  <c r="H371" i="7"/>
  <c r="Q371" i="7"/>
  <c r="N371" i="7"/>
  <c r="H400" i="7"/>
  <c r="Q400" i="7"/>
  <c r="N400" i="7"/>
  <c r="H396" i="7"/>
  <c r="Q396" i="7"/>
  <c r="N396" i="7"/>
  <c r="H392" i="7"/>
  <c r="Q392" i="7"/>
  <c r="N392" i="7"/>
  <c r="H388" i="7"/>
  <c r="Q388" i="7"/>
  <c r="N388" i="7"/>
  <c r="H384" i="7"/>
  <c r="Q384" i="7"/>
  <c r="N384" i="7"/>
  <c r="H380" i="7"/>
  <c r="Q380" i="7"/>
  <c r="N380" i="7"/>
  <c r="H376" i="7"/>
  <c r="Q376" i="7"/>
  <c r="N376" i="7"/>
  <c r="H372" i="7"/>
  <c r="Q372" i="7"/>
  <c r="N372" i="7"/>
  <c r="I369" i="7"/>
  <c r="I365" i="7"/>
  <c r="I361" i="7"/>
  <c r="I357" i="7"/>
  <c r="I353" i="7"/>
  <c r="H397" i="7"/>
  <c r="Q397" i="7"/>
  <c r="N397" i="7"/>
  <c r="H393" i="7"/>
  <c r="Q393" i="7"/>
  <c r="N393" i="7"/>
  <c r="H389" i="7"/>
  <c r="Q389" i="7"/>
  <c r="N389" i="7"/>
  <c r="H385" i="7"/>
  <c r="Q385" i="7"/>
  <c r="N385" i="7"/>
  <c r="H381" i="7"/>
  <c r="Q381" i="7"/>
  <c r="N381" i="7"/>
  <c r="H377" i="7"/>
  <c r="Q377" i="7"/>
  <c r="N377" i="7"/>
  <c r="H373" i="7"/>
  <c r="Q373" i="7"/>
  <c r="N373" i="7"/>
  <c r="I366" i="7"/>
  <c r="I362" i="7"/>
  <c r="I358" i="7"/>
  <c r="I354" i="7"/>
  <c r="H398" i="7"/>
  <c r="Q398" i="7"/>
  <c r="N398" i="7"/>
  <c r="H394" i="7"/>
  <c r="Q394" i="7"/>
  <c r="N394" i="7"/>
  <c r="H390" i="7"/>
  <c r="Q390" i="7"/>
  <c r="N390" i="7"/>
  <c r="H386" i="7"/>
  <c r="Q386" i="7"/>
  <c r="N386" i="7"/>
  <c r="H382" i="7"/>
  <c r="Q382" i="7"/>
  <c r="N382" i="7"/>
  <c r="H378" i="7"/>
  <c r="Q378" i="7"/>
  <c r="N378" i="7"/>
  <c r="H374" i="7"/>
  <c r="Q374" i="7"/>
  <c r="N374" i="7"/>
  <c r="H370" i="7"/>
  <c r="Q370" i="7"/>
  <c r="N370" i="7"/>
  <c r="I367" i="7"/>
  <c r="I363" i="7"/>
  <c r="I359" i="7"/>
  <c r="I355" i="7"/>
  <c r="I351" i="7"/>
  <c r="I347" i="7"/>
  <c r="I343" i="7"/>
  <c r="I364" i="7"/>
  <c r="I356" i="7"/>
  <c r="I350" i="7"/>
  <c r="I349" i="7"/>
  <c r="I348" i="7"/>
  <c r="I341" i="7"/>
  <c r="I340" i="7"/>
  <c r="I346" i="7"/>
  <c r="I368" i="7"/>
  <c r="I360" i="7"/>
  <c r="I352" i="7"/>
  <c r="I345" i="7"/>
  <c r="I344" i="7"/>
  <c r="I342" i="7"/>
  <c r="K15" i="8"/>
  <c r="N426" i="7"/>
  <c r="Q426" i="7"/>
  <c r="AB407" i="9"/>
  <c r="AC407" i="9"/>
  <c r="D407" i="9"/>
  <c r="T408" i="7"/>
  <c r="N424" i="7"/>
  <c r="Q424" i="7"/>
  <c r="N429" i="7"/>
  <c r="Q429" i="7"/>
  <c r="Y204" i="25"/>
  <c r="Z203" i="25"/>
  <c r="O248" i="25"/>
  <c r="AF234" i="25" a="1"/>
  <c r="AF234" i="25"/>
  <c r="AF349" i="25" a="1"/>
  <c r="AF349" i="25"/>
  <c r="I349" i="30"/>
  <c r="J349" i="30"/>
  <c r="AF335" i="25" a="1"/>
  <c r="AF335" i="25"/>
  <c r="I335" i="30"/>
  <c r="J335" i="30"/>
  <c r="AF97" i="25" a="1"/>
  <c r="AF97" i="25"/>
  <c r="AF217" i="25" a="1"/>
  <c r="AF217" i="25"/>
  <c r="AF317" i="25" a="1"/>
  <c r="AF317" i="25"/>
  <c r="I317" i="30"/>
  <c r="J317" i="30"/>
  <c r="AF254" i="25" a="1"/>
  <c r="AF254" i="25"/>
  <c r="AF259" i="25" a="1"/>
  <c r="AF259" i="25"/>
  <c r="AF378" i="25" a="1"/>
  <c r="AF378" i="25"/>
  <c r="I378" i="30"/>
  <c r="J378" i="30"/>
  <c r="AF231" i="25" a="1"/>
  <c r="AF231" i="25"/>
  <c r="AF175" i="25" a="1"/>
  <c r="AF175" i="25"/>
  <c r="AF256" i="25" a="1"/>
  <c r="AF256" i="25"/>
  <c r="AF137" i="25" a="1"/>
  <c r="AF137" i="25"/>
  <c r="AF290" i="25" a="1"/>
  <c r="AF290" i="25"/>
  <c r="AF118" i="25" a="1"/>
  <c r="AF118" i="25"/>
  <c r="AF113" i="25" a="1"/>
  <c r="AF113" i="25"/>
  <c r="AF245" i="25" a="1"/>
  <c r="AF245" i="25"/>
  <c r="AF229" i="25" a="1"/>
  <c r="AF229" i="25"/>
  <c r="AF177" i="25" a="1"/>
  <c r="AF177" i="25"/>
  <c r="AF42" i="25" a="1"/>
  <c r="AF42" i="25"/>
  <c r="AF192" i="25" a="1"/>
  <c r="AF192" i="25"/>
  <c r="AF69" i="25" a="1"/>
  <c r="AF69" i="25"/>
  <c r="AF52" i="25" a="1"/>
  <c r="AF52" i="25"/>
  <c r="AF292" i="25" a="1"/>
  <c r="AF292" i="25"/>
  <c r="AF244" i="25" a="1"/>
  <c r="AF244" i="25"/>
  <c r="AF82" i="25" a="1"/>
  <c r="AF82" i="25"/>
  <c r="AF279" i="25" a="1"/>
  <c r="AF279" i="25"/>
  <c r="AF273" i="25" a="1"/>
  <c r="AF273" i="25"/>
  <c r="AF121" i="25" a="1"/>
  <c r="AF121" i="25"/>
  <c r="AF96" i="25" a="1"/>
  <c r="AF96" i="25"/>
  <c r="AF71" i="25" a="1"/>
  <c r="AF71" i="25"/>
  <c r="AF199" i="25" a="1"/>
  <c r="AF199" i="25"/>
  <c r="AF156" i="25" a="1"/>
  <c r="AF156" i="25"/>
  <c r="AF282" i="25" a="1"/>
  <c r="AF282" i="25"/>
  <c r="AF247" i="25" a="1"/>
  <c r="AF247" i="25"/>
  <c r="AF250" i="25" a="1"/>
  <c r="AF250" i="25"/>
  <c r="AF72" i="25" a="1"/>
  <c r="AF72" i="25"/>
  <c r="AF268" i="25" a="1"/>
  <c r="AF268" i="25"/>
  <c r="AF109" i="25" a="1"/>
  <c r="AF109" i="25"/>
  <c r="AF83" i="25" a="1"/>
  <c r="AF83" i="25"/>
  <c r="AF75" i="25" a="1"/>
  <c r="AF75" i="25"/>
  <c r="AF37" i="25" a="1"/>
  <c r="AF37" i="25"/>
  <c r="AF265" i="25" a="1"/>
  <c r="AF265" i="25"/>
  <c r="AF178" i="25" a="1"/>
  <c r="AF178" i="25"/>
  <c r="AF160" i="25" a="1"/>
  <c r="AF160" i="25"/>
  <c r="AF182" i="25" a="1"/>
  <c r="AF182" i="25"/>
  <c r="AF252" i="25" a="1"/>
  <c r="AF252" i="25"/>
  <c r="AF193" i="25" a="1"/>
  <c r="AF193" i="25"/>
  <c r="AF38" i="25" a="1"/>
  <c r="AF38" i="25"/>
  <c r="AF108" i="25" a="1"/>
  <c r="AF108" i="25"/>
  <c r="AF318" i="25" a="1"/>
  <c r="AF318" i="25"/>
  <c r="I318" i="30"/>
  <c r="J318" i="30"/>
  <c r="AF274" i="25" a="1"/>
  <c r="AF274" i="25"/>
  <c r="AF242" i="25" a="1"/>
  <c r="AF242" i="25"/>
  <c r="AF181" i="25" a="1"/>
  <c r="AF181" i="25"/>
  <c r="AF63" i="25" a="1"/>
  <c r="AF63" i="25"/>
  <c r="AF373" i="25" a="1"/>
  <c r="AF373" i="25"/>
  <c r="I373" i="30"/>
  <c r="J373" i="30"/>
  <c r="AF67" i="25" a="1"/>
  <c r="AF67" i="25"/>
  <c r="AF110" i="25" a="1"/>
  <c r="AF110" i="25"/>
  <c r="AF47" i="25" a="1"/>
  <c r="AF47" i="25"/>
  <c r="AF90" i="25" a="1"/>
  <c r="AF90" i="25"/>
  <c r="AF311" i="25" a="1"/>
  <c r="AF311" i="25"/>
  <c r="I311" i="30"/>
  <c r="J311" i="30"/>
  <c r="AF68" i="25" a="1"/>
  <c r="AF68" i="25"/>
  <c r="AF20" i="25" a="1"/>
  <c r="AF20" i="25"/>
  <c r="AF205" i="25" a="1"/>
  <c r="AF205" i="25"/>
  <c r="AF304" i="25" a="1"/>
  <c r="AF304" i="25"/>
  <c r="I304" i="30"/>
  <c r="J304" i="30"/>
  <c r="AF51" i="25" a="1"/>
  <c r="AF51" i="25"/>
  <c r="AF344" i="25" a="1"/>
  <c r="AF344" i="25"/>
  <c r="I344" i="30"/>
  <c r="J344" i="30"/>
  <c r="AF39" i="25" a="1"/>
  <c r="AF39" i="25"/>
  <c r="AF278" i="25" a="1"/>
  <c r="AF278" i="25"/>
  <c r="AF246" i="25" a="1"/>
  <c r="AF246" i="25"/>
  <c r="AF237" i="25" a="1"/>
  <c r="AF237" i="25"/>
  <c r="AF35" i="25" a="1"/>
  <c r="AF35" i="25"/>
  <c r="AF239" i="25" a="1"/>
  <c r="AF239" i="25"/>
  <c r="AF80" i="25" a="1"/>
  <c r="AF80" i="25"/>
  <c r="AF91" i="25" a="1"/>
  <c r="AF91" i="25"/>
  <c r="AF115" i="25" a="1"/>
  <c r="AF115" i="25"/>
  <c r="AF84" i="25" a="1"/>
  <c r="AF84" i="25"/>
  <c r="AF171" i="25" a="1"/>
  <c r="AF171" i="25"/>
  <c r="AF372" i="25" a="1"/>
  <c r="AF372" i="25"/>
  <c r="I372" i="30"/>
  <c r="J372" i="30"/>
  <c r="AF313" i="25" a="1"/>
  <c r="AF313" i="25"/>
  <c r="I313" i="30"/>
  <c r="J313" i="30"/>
  <c r="AF221" i="25" a="1"/>
  <c r="AF221" i="25"/>
  <c r="AF260" i="25" a="1"/>
  <c r="AF260" i="25"/>
  <c r="AF29" i="25" a="1"/>
  <c r="AF29" i="25"/>
  <c r="AF180" i="25" a="1"/>
  <c r="AF180" i="25"/>
  <c r="AF276" i="25" a="1"/>
  <c r="AF276" i="25"/>
  <c r="AF135" i="25" a="1"/>
  <c r="AF135" i="25"/>
  <c r="AF125" i="25" a="1"/>
  <c r="AF125" i="25"/>
  <c r="AF76" i="25" a="1"/>
  <c r="AF76" i="25"/>
  <c r="AF291" i="25" a="1"/>
  <c r="AF291" i="25"/>
  <c r="AF215" i="25" a="1"/>
  <c r="AF215" i="25"/>
  <c r="AF212" i="25" a="1"/>
  <c r="AF212" i="25"/>
  <c r="AF343" i="25" a="1"/>
  <c r="AF343" i="25"/>
  <c r="I343" i="30"/>
  <c r="J343" i="30"/>
  <c r="AF323" i="25" a="1"/>
  <c r="AF323" i="25"/>
  <c r="I323" i="30"/>
  <c r="J323" i="30"/>
  <c r="AF361" i="25" a="1"/>
  <c r="AF361" i="25"/>
  <c r="I361" i="30"/>
  <c r="J361" i="30"/>
  <c r="AF148" i="25" a="1"/>
  <c r="AF148" i="25"/>
  <c r="AF30" i="25" a="1"/>
  <c r="AF30" i="25"/>
  <c r="AF176" i="25" a="1"/>
  <c r="AF176" i="25"/>
  <c r="AF43" i="25" a="1"/>
  <c r="AF43" i="25"/>
  <c r="AF116" i="25" a="1"/>
  <c r="AF116" i="25"/>
  <c r="AF153" i="25" a="1"/>
  <c r="AF153" i="25"/>
  <c r="AF162" i="25" a="1"/>
  <c r="AF162" i="25"/>
  <c r="AF32" i="25" a="1"/>
  <c r="AF32" i="25"/>
  <c r="AF366" i="25" a="1"/>
  <c r="AF366" i="25"/>
  <c r="I366" i="30"/>
  <c r="J366" i="30"/>
  <c r="AF303" i="25" a="1"/>
  <c r="AF303" i="25"/>
  <c r="I303" i="30"/>
  <c r="J303" i="30"/>
  <c r="AF359" i="25" a="1"/>
  <c r="AF359" i="25"/>
  <c r="I359" i="30"/>
  <c r="J359" i="30"/>
  <c r="AF210" i="25" a="1"/>
  <c r="AF210" i="25"/>
  <c r="AF131" i="25" a="1"/>
  <c r="AF131" i="25"/>
  <c r="AF87" i="25" a="1"/>
  <c r="AF87" i="25"/>
  <c r="AF322" i="25" a="1"/>
  <c r="AF322" i="25"/>
  <c r="I322" i="30"/>
  <c r="J322" i="30"/>
  <c r="AF27" i="25" a="1"/>
  <c r="AF27" i="25"/>
  <c r="AF81" i="25" a="1"/>
  <c r="AF81" i="25"/>
  <c r="AF367" i="25" a="1"/>
  <c r="AF367" i="25"/>
  <c r="I367" i="30"/>
  <c r="J367" i="30"/>
  <c r="AF326" i="25" a="1"/>
  <c r="AF326" i="25"/>
  <c r="I326" i="30"/>
  <c r="J326" i="30"/>
  <c r="AF144" i="25" a="1"/>
  <c r="AF144" i="25"/>
  <c r="AF88" i="25" a="1"/>
  <c r="AF88" i="25"/>
  <c r="AF200" i="25" a="1"/>
  <c r="AF200" i="25"/>
  <c r="AF59" i="25" a="1"/>
  <c r="AF59" i="25"/>
  <c r="AF214" i="25" a="1"/>
  <c r="AF214" i="25"/>
  <c r="AF201" i="25" a="1"/>
  <c r="AF201" i="25"/>
  <c r="AF112" i="25" a="1"/>
  <c r="AF112" i="25"/>
  <c r="AF21" i="25" a="1"/>
  <c r="AF21" i="25"/>
  <c r="AF298" i="25" a="1"/>
  <c r="AF298" i="25"/>
  <c r="AF289" i="25" a="1"/>
  <c r="AF289" i="25"/>
  <c r="AF65" i="25" a="1"/>
  <c r="AF65" i="25"/>
  <c r="AF328" i="25" a="1"/>
  <c r="AF328" i="25"/>
  <c r="I328" i="30"/>
  <c r="J328" i="30"/>
  <c r="AF58" i="25" a="1"/>
  <c r="AF58" i="25"/>
  <c r="AF56" i="25" a="1"/>
  <c r="AF56" i="25"/>
  <c r="AF49" i="25" a="1"/>
  <c r="AF49" i="25"/>
  <c r="AF166" i="25" a="1"/>
  <c r="AF166" i="25"/>
  <c r="AF184" i="25" a="1"/>
  <c r="AF184" i="25"/>
  <c r="AF139" i="25" a="1"/>
  <c r="AF139" i="25"/>
  <c r="AF348" i="25" a="1"/>
  <c r="AF348" i="25"/>
  <c r="I348" i="30"/>
  <c r="J348" i="30"/>
  <c r="AF24" i="25" a="1"/>
  <c r="AF24" i="25"/>
  <c r="AF222" i="25" a="1"/>
  <c r="AF222" i="25"/>
  <c r="AF119" i="25" a="1"/>
  <c r="AF119" i="25"/>
  <c r="AF73" i="25" a="1"/>
  <c r="AF73" i="25"/>
  <c r="AF140" i="25" a="1"/>
  <c r="AF140" i="25"/>
  <c r="AF364" i="25" a="1"/>
  <c r="AF364" i="25"/>
  <c r="I364" i="30"/>
  <c r="J364" i="30"/>
  <c r="AF301" i="25" a="1"/>
  <c r="AF301" i="25"/>
  <c r="I301" i="30"/>
  <c r="J301" i="30"/>
  <c r="AF357" i="25" a="1"/>
  <c r="AF357" i="25"/>
  <c r="I357" i="30"/>
  <c r="J357" i="30"/>
  <c r="AF299" i="25" a="1"/>
  <c r="AF299" i="25"/>
  <c r="AF122" i="25" a="1"/>
  <c r="AF122" i="25"/>
  <c r="AF213" i="25" a="1"/>
  <c r="AF213" i="25"/>
  <c r="AF157" i="25" a="1"/>
  <c r="AF157" i="25"/>
  <c r="AF370" i="25" a="1"/>
  <c r="AF370" i="25"/>
  <c r="I370" i="30"/>
  <c r="J370" i="30"/>
  <c r="AF149" i="25" a="1"/>
  <c r="AF149" i="25"/>
  <c r="AF339" i="25" a="1"/>
  <c r="AF339" i="25"/>
  <c r="I339" i="30"/>
  <c r="J339" i="30"/>
  <c r="AF111" i="25" a="1"/>
  <c r="AF111" i="25"/>
  <c r="AF272" i="25" a="1"/>
  <c r="AF272" i="25"/>
  <c r="AF351" i="25" a="1"/>
  <c r="AF351" i="25"/>
  <c r="I351" i="30"/>
  <c r="J351" i="30"/>
  <c r="AF307" i="25" a="1"/>
  <c r="AF307" i="25"/>
  <c r="I307" i="30"/>
  <c r="J307" i="30"/>
  <c r="AF132" i="25" a="1"/>
  <c r="AF132" i="25"/>
  <c r="AF54" i="25" a="1"/>
  <c r="AF54" i="25"/>
  <c r="AF315" i="25" a="1"/>
  <c r="AF315" i="25"/>
  <c r="I315" i="30"/>
  <c r="J315" i="30"/>
  <c r="AF241" i="25" a="1"/>
  <c r="AF241" i="25"/>
  <c r="AF258" i="25" a="1"/>
  <c r="AF258" i="25"/>
  <c r="AF338" i="25" a="1"/>
  <c r="AF338" i="25"/>
  <c r="I338" i="30"/>
  <c r="J338" i="30"/>
  <c r="AF102" i="25" a="1"/>
  <c r="AF102" i="25"/>
  <c r="AF44" i="25" a="1"/>
  <c r="AF44" i="25"/>
  <c r="AF188" i="25" a="1"/>
  <c r="AF188" i="25"/>
  <c r="AF98" i="25" a="1"/>
  <c r="AF98" i="25"/>
  <c r="AF55" i="25" a="1"/>
  <c r="AF55" i="25"/>
  <c r="AF48" i="25" a="1"/>
  <c r="AF48" i="25"/>
  <c r="AF195" i="25" a="1"/>
  <c r="AF195" i="25"/>
  <c r="AF45" i="25" a="1"/>
  <c r="AF45" i="25"/>
  <c r="AF232" i="25" a="1"/>
  <c r="AF232" i="25"/>
  <c r="AF350" i="25" a="1"/>
  <c r="AF350" i="25"/>
  <c r="I350" i="30"/>
  <c r="J350" i="30"/>
  <c r="AF25" i="25" a="1"/>
  <c r="AF25" i="25"/>
  <c r="AF285" i="25" a="1"/>
  <c r="AF285" i="25"/>
  <c r="AF202" i="25" a="1"/>
  <c r="AF202" i="25"/>
  <c r="AF53" i="25" a="1"/>
  <c r="AF53" i="25"/>
  <c r="AF296" i="25" a="1"/>
  <c r="AF296" i="25"/>
  <c r="AF86" i="25" a="1"/>
  <c r="AF86" i="25"/>
  <c r="AF183" i="25" a="1"/>
  <c r="AF183" i="25"/>
  <c r="AF211" i="25" a="1"/>
  <c r="AF211" i="25"/>
  <c r="AF340" i="25" a="1"/>
  <c r="AF340" i="25"/>
  <c r="I340" i="30"/>
  <c r="J340" i="30"/>
  <c r="AF203" i="25" a="1"/>
  <c r="AF203" i="25"/>
  <c r="AF95" i="25" a="1"/>
  <c r="AF95" i="25"/>
  <c r="AF16" i="25" a="1"/>
  <c r="AF16" i="25"/>
  <c r="AF92" i="25" a="1"/>
  <c r="AF92" i="25"/>
  <c r="AF358" i="25" a="1"/>
  <c r="AF358" i="25"/>
  <c r="I358" i="30"/>
  <c r="J358" i="30"/>
  <c r="AF33" i="25" a="1"/>
  <c r="AF33" i="25"/>
  <c r="AF126" i="25" a="1"/>
  <c r="AF126" i="25"/>
  <c r="AF300" i="25" a="1"/>
  <c r="AF300" i="25"/>
  <c r="AF31" i="25" a="1"/>
  <c r="AF31" i="25"/>
  <c r="AF46" i="25" a="1"/>
  <c r="AF46" i="25"/>
  <c r="AF206" i="25" a="1"/>
  <c r="AF206" i="25"/>
  <c r="AF354" i="25" a="1"/>
  <c r="AF354" i="25"/>
  <c r="I354" i="30"/>
  <c r="J354" i="30"/>
  <c r="AF107" i="25" a="1"/>
  <c r="AF107" i="25"/>
  <c r="AF129" i="25" a="1"/>
  <c r="AF129" i="25"/>
  <c r="AF380" i="25" a="1"/>
  <c r="AF380" i="25"/>
  <c r="I380" i="30"/>
  <c r="J380" i="30"/>
  <c r="AF261" i="25" a="1"/>
  <c r="AF261" i="25"/>
  <c r="AF198" i="25" a="1"/>
  <c r="AF198" i="25"/>
  <c r="AF314" i="25" a="1"/>
  <c r="AF314" i="25"/>
  <c r="I314" i="30"/>
  <c r="J314" i="30"/>
  <c r="AF218" i="25" a="1"/>
  <c r="AF218" i="25"/>
  <c r="AF159" i="25" a="1"/>
  <c r="AF159" i="25"/>
  <c r="AF312" i="25" a="1"/>
  <c r="AF312" i="25"/>
  <c r="I312" i="30"/>
  <c r="J312" i="30"/>
  <c r="AF164" i="25" a="1"/>
  <c r="AF164" i="25"/>
  <c r="AF342" i="25" a="1"/>
  <c r="AF342" i="25"/>
  <c r="I342" i="30"/>
  <c r="J342" i="30"/>
  <c r="AF99" i="25" a="1"/>
  <c r="AF99" i="25"/>
  <c r="AF66" i="25" a="1"/>
  <c r="AF66" i="25"/>
  <c r="AF151" i="25" a="1"/>
  <c r="AF151" i="25"/>
  <c r="AF194" i="25" a="1"/>
  <c r="AF194" i="25"/>
  <c r="AF34" i="25" a="1"/>
  <c r="AF34" i="25"/>
  <c r="AF141" i="25" a="1"/>
  <c r="AF141" i="25"/>
  <c r="AF368" i="25" a="1"/>
  <c r="AF368" i="25"/>
  <c r="I368" i="30"/>
  <c r="J368" i="30"/>
  <c r="AF324" i="25" a="1"/>
  <c r="AF324" i="25"/>
  <c r="I324" i="30"/>
  <c r="J324" i="30"/>
  <c r="AF331" i="25" a="1"/>
  <c r="AF331" i="25"/>
  <c r="I331" i="30"/>
  <c r="J331" i="30"/>
  <c r="AF308" i="25" a="1"/>
  <c r="AF308" i="25"/>
  <c r="I308" i="30"/>
  <c r="J308" i="30"/>
  <c r="AF224" i="25" a="1"/>
  <c r="AF224" i="25"/>
  <c r="AF130" i="25" a="1"/>
  <c r="AF130" i="25"/>
  <c r="AF165" i="25" a="1"/>
  <c r="AF165" i="25"/>
  <c r="AF369" i="25" a="1"/>
  <c r="AF369" i="25"/>
  <c r="I369" i="30"/>
  <c r="J369" i="30"/>
  <c r="AF18" i="25" a="1"/>
  <c r="AF18" i="25"/>
  <c r="AF334" i="25" a="1"/>
  <c r="AF334" i="25"/>
  <c r="I334" i="30"/>
  <c r="J334" i="30"/>
  <c r="AF223" i="25" a="1"/>
  <c r="AF223" i="25"/>
  <c r="AF248" i="25" a="1"/>
  <c r="AF248" i="25"/>
  <c r="AF288" i="25" a="1"/>
  <c r="AF288" i="25"/>
  <c r="AF302" i="25" a="1"/>
  <c r="AF302" i="25"/>
  <c r="I302" i="30"/>
  <c r="J302" i="30"/>
  <c r="AF136" i="25" a="1"/>
  <c r="AF136" i="25"/>
  <c r="AF106" i="25" a="1"/>
  <c r="AF106" i="25"/>
  <c r="AF319" i="25" a="1"/>
  <c r="AF319" i="25"/>
  <c r="I319" i="30"/>
  <c r="J319" i="30"/>
  <c r="AF255" i="25" a="1"/>
  <c r="AF255" i="25"/>
  <c r="AF263" i="25" a="1"/>
  <c r="AF263" i="25"/>
  <c r="AF337" i="25" a="1"/>
  <c r="AF337" i="25"/>
  <c r="I337" i="30"/>
  <c r="J337" i="30"/>
  <c r="AF146" i="25" a="1"/>
  <c r="AF146" i="25"/>
  <c r="AF374" i="25" a="1"/>
  <c r="AF374" i="25"/>
  <c r="I374" i="30"/>
  <c r="J374" i="30"/>
  <c r="AF89" i="25" a="1"/>
  <c r="AF89" i="25"/>
  <c r="AF286" i="25" a="1"/>
  <c r="AF286" i="25"/>
  <c r="AF190" i="25" a="1"/>
  <c r="AF190" i="25"/>
  <c r="AF155" i="25" a="1"/>
  <c r="AF155" i="25"/>
  <c r="AF158" i="25" a="1"/>
  <c r="AF158" i="25"/>
  <c r="AF264" i="25" a="1"/>
  <c r="AF264" i="25"/>
  <c r="AF227" i="25" a="1"/>
  <c r="AF227" i="25"/>
  <c r="AF134" i="25" a="1"/>
  <c r="AF134" i="25"/>
  <c r="AF124" i="25" a="1"/>
  <c r="AF124" i="25"/>
  <c r="AF123" i="25" a="1"/>
  <c r="AF123" i="25"/>
  <c r="AF207" i="25" a="1"/>
  <c r="AF207" i="25"/>
  <c r="AF257" i="25" a="1"/>
  <c r="AF257" i="25"/>
  <c r="AF325" i="25" a="1"/>
  <c r="AF325" i="25"/>
  <c r="I325" i="30"/>
  <c r="J325" i="30"/>
  <c r="AF321" i="25" a="1"/>
  <c r="AF321" i="25"/>
  <c r="I321" i="30"/>
  <c r="J321" i="30"/>
  <c r="AF293" i="25" a="1"/>
  <c r="AF293" i="25"/>
  <c r="AF79" i="25" a="1"/>
  <c r="AF79" i="25"/>
  <c r="AF238" i="25" a="1"/>
  <c r="AF238" i="25"/>
  <c r="AF284" i="25" a="1"/>
  <c r="AF284" i="25"/>
  <c r="AF172" i="25" a="1"/>
  <c r="AF172" i="25"/>
  <c r="AF152" i="25" a="1"/>
  <c r="AF152" i="25"/>
  <c r="AF191" i="25" a="1"/>
  <c r="AF191" i="25"/>
  <c r="AF266" i="25" a="1"/>
  <c r="AF266" i="25"/>
  <c r="AF375" i="25" a="1"/>
  <c r="AF375" i="25"/>
  <c r="I375" i="30"/>
  <c r="J375" i="30"/>
  <c r="AF179" i="25" a="1"/>
  <c r="AF179" i="25"/>
  <c r="AF168" i="25" a="1"/>
  <c r="AF168" i="25"/>
  <c r="AF251" i="25" a="1"/>
  <c r="AF251" i="25"/>
  <c r="AF309" i="25" a="1"/>
  <c r="AF309" i="25"/>
  <c r="I309" i="30"/>
  <c r="J309" i="30"/>
  <c r="AF133" i="25" a="1"/>
  <c r="AF133" i="25"/>
  <c r="AF85" i="25" a="1"/>
  <c r="AF85" i="25"/>
  <c r="AF295" i="25" a="1"/>
  <c r="AF295" i="25"/>
  <c r="AF243" i="25" a="1"/>
  <c r="AF243" i="25"/>
  <c r="AF173" i="25" a="1"/>
  <c r="AF173" i="25"/>
  <c r="AF310" i="25" a="1"/>
  <c r="AF310" i="25"/>
  <c r="I310" i="30"/>
  <c r="J310" i="30"/>
  <c r="AF143" i="25" a="1"/>
  <c r="AF143" i="25"/>
  <c r="AF150" i="25" a="1"/>
  <c r="AF150" i="25"/>
  <c r="AF204" i="25" a="1"/>
  <c r="AF204" i="25"/>
  <c r="AF60" i="25" a="1"/>
  <c r="AF60" i="25"/>
  <c r="AF145" i="25" a="1"/>
  <c r="AF145" i="25"/>
  <c r="AF209" i="25" a="1"/>
  <c r="AF209" i="25"/>
  <c r="AF226" i="25" a="1"/>
  <c r="AF226" i="25"/>
  <c r="AF189" i="25" a="1"/>
  <c r="AF189" i="25"/>
  <c r="AF267" i="25" a="1"/>
  <c r="AF267" i="25"/>
  <c r="AF262" i="25" a="1"/>
  <c r="AF262" i="25"/>
  <c r="AF64" i="25" a="1"/>
  <c r="AF64" i="25"/>
  <c r="AF197" i="25" a="1"/>
  <c r="AF197" i="25"/>
  <c r="AF186" i="25" a="1"/>
  <c r="AF186" i="25"/>
  <c r="AF185" i="25" a="1"/>
  <c r="AF185" i="25"/>
  <c r="AF208" i="25" a="1"/>
  <c r="AF208" i="25"/>
  <c r="AF61" i="25" a="1"/>
  <c r="AF61" i="25"/>
  <c r="AF104" i="25" a="1"/>
  <c r="AF104" i="25"/>
  <c r="AF346" i="25" a="1"/>
  <c r="AF346" i="25"/>
  <c r="I346" i="30"/>
  <c r="J346" i="30"/>
  <c r="AF320" i="25" a="1"/>
  <c r="AF320" i="25"/>
  <c r="I320" i="30"/>
  <c r="J320" i="30"/>
  <c r="AF19" i="25" a="1"/>
  <c r="AF19" i="25"/>
  <c r="AF269" i="25" a="1"/>
  <c r="AF269" i="25"/>
  <c r="AF169" i="25" a="1"/>
  <c r="AF169" i="25"/>
  <c r="AF93" i="25" a="1"/>
  <c r="AF93" i="25"/>
  <c r="AF100" i="25" a="1"/>
  <c r="AF100" i="25"/>
  <c r="AF70" i="25" a="1"/>
  <c r="AF70" i="25"/>
  <c r="AF62" i="25" a="1"/>
  <c r="AF62" i="25"/>
  <c r="AF36" i="25" a="1"/>
  <c r="AF36" i="25"/>
  <c r="AF275" i="25" a="1"/>
  <c r="AF275" i="25"/>
  <c r="AF78" i="25" a="1"/>
  <c r="AF78" i="25"/>
  <c r="AF236" i="25" a="1"/>
  <c r="AF236" i="25"/>
  <c r="AF352" i="25" a="1"/>
  <c r="AF352" i="25"/>
  <c r="I352" i="30"/>
  <c r="J352" i="30"/>
  <c r="AF26" i="25" a="1"/>
  <c r="AF26" i="25"/>
  <c r="AF167" i="25" a="1"/>
  <c r="AF167" i="25"/>
  <c r="AF196" i="25" a="1"/>
  <c r="AF196" i="25"/>
  <c r="AF345" i="25" a="1"/>
  <c r="AF345" i="25"/>
  <c r="I345" i="30"/>
  <c r="J345" i="30"/>
  <c r="AF277" i="25" a="1"/>
  <c r="AF277" i="25"/>
  <c r="AF353" i="25" a="1"/>
  <c r="AF353" i="25"/>
  <c r="I353" i="30"/>
  <c r="J353" i="30"/>
  <c r="AF219" i="25" a="1"/>
  <c r="AF219" i="25"/>
  <c r="AF163" i="25" a="1"/>
  <c r="AF163" i="25"/>
  <c r="AF28" i="25" a="1"/>
  <c r="AF28" i="25"/>
  <c r="AF305" i="25" a="1"/>
  <c r="AF305" i="25"/>
  <c r="I305" i="30"/>
  <c r="J305" i="30"/>
  <c r="AF280" i="25" a="1"/>
  <c r="AF280" i="25"/>
  <c r="AF138" i="25" a="1"/>
  <c r="AF138" i="25"/>
  <c r="AF128" i="25" a="1"/>
  <c r="AF128" i="25"/>
  <c r="AF50" i="25" a="1"/>
  <c r="AF50" i="25"/>
  <c r="AF270" i="25" a="1"/>
  <c r="AF270" i="25"/>
  <c r="AF101" i="25" a="1"/>
  <c r="AF101" i="25"/>
  <c r="AF379" i="25" a="1"/>
  <c r="AF379" i="25"/>
  <c r="I379" i="30"/>
  <c r="J379" i="30"/>
  <c r="AF355" i="25" a="1"/>
  <c r="AF355" i="25"/>
  <c r="I355" i="30"/>
  <c r="J355" i="30"/>
  <c r="AF329" i="25" a="1"/>
  <c r="AF329" i="25"/>
  <c r="I329" i="30"/>
  <c r="J329" i="30"/>
  <c r="AF94" i="25" a="1"/>
  <c r="AF94" i="25"/>
  <c r="AF281" i="25" a="1"/>
  <c r="AF281" i="25"/>
  <c r="AF23" i="25" a="1"/>
  <c r="AF23" i="25"/>
  <c r="AF117" i="25" a="1"/>
  <c r="AF117" i="25"/>
  <c r="AF154" i="25" a="1"/>
  <c r="AF154" i="25"/>
  <c r="AF363" i="25" a="1"/>
  <c r="AF363" i="25"/>
  <c r="I363" i="30"/>
  <c r="J363" i="30"/>
  <c r="AF306" i="25" a="1"/>
  <c r="AF306" i="25"/>
  <c r="I306" i="30"/>
  <c r="J306" i="30"/>
  <c r="AF230" i="25" a="1"/>
  <c r="AF230" i="25"/>
  <c r="AF187" i="25" a="1"/>
  <c r="AF187" i="25"/>
  <c r="AF228" i="25" a="1"/>
  <c r="AF228" i="25"/>
  <c r="AF57" i="25" a="1"/>
  <c r="AF57" i="25"/>
  <c r="AF216" i="25" a="1"/>
  <c r="AF216" i="25"/>
  <c r="AF271" i="25" a="1"/>
  <c r="AF271" i="25"/>
  <c r="AF294" i="25" a="1"/>
  <c r="AF294" i="25"/>
  <c r="AF240" i="25" a="1"/>
  <c r="AF240" i="25"/>
  <c r="AF77" i="25" a="1"/>
  <c r="AF77" i="25"/>
  <c r="AF17" i="25" a="1"/>
  <c r="AF17" i="25"/>
  <c r="AF40" i="25" a="1"/>
  <c r="AF40" i="25"/>
  <c r="AF360" i="25" a="1"/>
  <c r="AF360" i="25"/>
  <c r="I360" i="30"/>
  <c r="J360" i="30"/>
  <c r="AF225" i="25" a="1"/>
  <c r="AF225" i="25"/>
  <c r="AF233" i="25" a="1"/>
  <c r="AF233" i="25"/>
  <c r="AF235" i="25" a="1"/>
  <c r="AF235" i="25"/>
  <c r="AF105" i="25" a="1"/>
  <c r="AF105" i="25"/>
  <c r="AF336" i="25" a="1"/>
  <c r="AF336" i="25"/>
  <c r="I336" i="30"/>
  <c r="J336" i="30"/>
  <c r="AF376" i="25" a="1"/>
  <c r="AF376" i="25"/>
  <c r="I376" i="30"/>
  <c r="J376" i="30"/>
  <c r="AF147" i="25" a="1"/>
  <c r="AF147" i="25"/>
  <c r="AF103" i="25" a="1"/>
  <c r="AF103" i="25"/>
  <c r="AF356" i="25" a="1"/>
  <c r="AF356" i="25"/>
  <c r="I356" i="30"/>
  <c r="J356" i="30"/>
  <c r="AF253" i="25" a="1"/>
  <c r="AF253" i="25"/>
  <c r="AF114" i="25" a="1"/>
  <c r="AF114" i="25"/>
  <c r="AF371" i="25" a="1"/>
  <c r="AF371" i="25"/>
  <c r="I371" i="30"/>
  <c r="J371" i="30"/>
  <c r="AF316" i="25" a="1"/>
  <c r="AF316" i="25"/>
  <c r="I316" i="30"/>
  <c r="J316" i="30"/>
  <c r="AF327" i="25" a="1"/>
  <c r="AF327" i="25"/>
  <c r="I327" i="30"/>
  <c r="J327" i="30"/>
  <c r="AF283" i="25" a="1"/>
  <c r="AF283" i="25"/>
  <c r="AF287" i="25" a="1"/>
  <c r="AF287" i="25"/>
  <c r="AF332" i="25" a="1"/>
  <c r="AF332" i="25"/>
  <c r="I332" i="30"/>
  <c r="J332" i="30"/>
  <c r="AF127" i="25" a="1"/>
  <c r="AF127" i="25"/>
  <c r="AF362" i="25" a="1"/>
  <c r="AF362" i="25"/>
  <c r="I362" i="30"/>
  <c r="J362" i="30"/>
  <c r="AF120" i="25" a="1"/>
  <c r="AF120" i="25"/>
  <c r="AF142" i="25" a="1"/>
  <c r="AF142" i="25"/>
  <c r="AF365" i="25" a="1"/>
  <c r="AF365" i="25"/>
  <c r="I365" i="30"/>
  <c r="J365" i="30"/>
  <c r="AF249" i="25" a="1"/>
  <c r="AF249" i="25"/>
  <c r="AF170" i="25" a="1"/>
  <c r="AF170" i="25"/>
  <c r="AF347" i="25" a="1"/>
  <c r="AF347" i="25"/>
  <c r="I347" i="30"/>
  <c r="J347" i="30"/>
  <c r="AF333" i="25" a="1"/>
  <c r="AF333" i="25"/>
  <c r="I333" i="30"/>
  <c r="J333" i="30"/>
  <c r="AF41" i="25" a="1"/>
  <c r="AF41" i="25"/>
  <c r="AF220" i="25" a="1"/>
  <c r="AF220" i="25"/>
  <c r="AF174" i="25" a="1"/>
  <c r="AF174" i="25"/>
  <c r="AF161" i="25" a="1"/>
  <c r="AF161" i="25"/>
  <c r="AF330" i="25" a="1"/>
  <c r="AF330" i="25"/>
  <c r="I330" i="30"/>
  <c r="J330" i="30"/>
  <c r="AF297" i="25" a="1"/>
  <c r="AF297" i="25"/>
  <c r="AF341" i="25" a="1"/>
  <c r="AF341" i="25"/>
  <c r="I341" i="30"/>
  <c r="J341" i="30"/>
  <c r="AF377" i="25" a="1"/>
  <c r="AF377" i="25"/>
  <c r="I377" i="30"/>
  <c r="J377" i="30"/>
  <c r="AF74" i="25" a="1"/>
  <c r="AF74" i="25"/>
  <c r="AE209" i="25" a="1"/>
  <c r="AE209" i="25"/>
  <c r="AE183" i="25" a="1"/>
  <c r="AE183" i="25"/>
  <c r="AE303" i="25" a="1"/>
  <c r="AE303" i="25"/>
  <c r="AE58" i="25" a="1"/>
  <c r="AE58" i="25"/>
  <c r="AE148" i="25" a="1"/>
  <c r="AE148" i="25"/>
  <c r="AE161" i="25" a="1"/>
  <c r="AE161" i="25"/>
  <c r="AE88" i="25" a="1"/>
  <c r="AE88" i="25"/>
  <c r="AE173" i="25" a="1"/>
  <c r="AE173" i="25"/>
  <c r="AE379" i="25" a="1"/>
  <c r="AE379" i="25"/>
  <c r="AE163" i="25" a="1"/>
  <c r="AE163" i="25"/>
  <c r="AE192" i="25" a="1"/>
  <c r="AE192" i="25"/>
  <c r="AE120" i="25" a="1"/>
  <c r="AE120" i="25"/>
  <c r="AE115" i="25" a="1"/>
  <c r="AE115" i="25"/>
  <c r="AE42" i="25" a="1"/>
  <c r="AE42" i="25"/>
  <c r="AE190" i="25" a="1"/>
  <c r="AE190" i="25"/>
  <c r="AE325" i="25" a="1"/>
  <c r="AE325" i="25"/>
  <c r="AE65" i="25" a="1"/>
  <c r="AE65" i="25"/>
  <c r="AE95" i="25" a="1"/>
  <c r="AE95" i="25"/>
  <c r="AE366" i="25" a="1"/>
  <c r="AE366" i="25"/>
  <c r="AE242" i="25" a="1"/>
  <c r="AE242" i="25"/>
  <c r="AE76" i="25" a="1"/>
  <c r="AE76" i="25"/>
  <c r="AE37" i="25" a="1"/>
  <c r="AE37" i="25"/>
  <c r="AE166" i="25" a="1"/>
  <c r="AE166" i="25"/>
  <c r="AE257" i="25" a="1"/>
  <c r="AE257" i="25"/>
  <c r="AE319" i="25" a="1"/>
  <c r="AE319" i="25"/>
  <c r="AE294" i="25" a="1"/>
  <c r="AE294" i="25"/>
  <c r="AE107" i="25" a="1"/>
  <c r="AE107" i="25"/>
  <c r="AE293" i="25" a="1"/>
  <c r="AE293" i="25"/>
  <c r="AE235" i="25" a="1"/>
  <c r="AE235" i="25"/>
  <c r="AE143" i="25" a="1"/>
  <c r="AE143" i="25"/>
  <c r="AE17" i="25" a="1"/>
  <c r="AE17" i="25"/>
  <c r="AE126" i="25" a="1"/>
  <c r="AE126" i="25"/>
  <c r="AE48" i="25" a="1"/>
  <c r="AE48" i="25"/>
  <c r="AE34" i="25" a="1"/>
  <c r="AE34" i="25"/>
  <c r="AE101" i="25" a="1"/>
  <c r="AE101" i="25"/>
  <c r="AE160" i="25" a="1"/>
  <c r="AE160" i="25"/>
  <c r="AE335" i="25" a="1"/>
  <c r="AE335" i="25"/>
  <c r="AE352" i="25" a="1"/>
  <c r="AE352" i="25"/>
  <c r="AE378" i="25" a="1"/>
  <c r="AE378" i="25"/>
  <c r="AE156" i="25" a="1"/>
  <c r="AE156" i="25"/>
  <c r="AE315" i="25" a="1"/>
  <c r="AE315" i="25"/>
  <c r="AE116" i="25" a="1"/>
  <c r="AE116" i="25"/>
  <c r="AE93" i="25" a="1"/>
  <c r="AE93" i="25"/>
  <c r="AE110" i="25" a="1"/>
  <c r="AE110" i="25"/>
  <c r="AE40" i="25" a="1"/>
  <c r="AE40" i="25"/>
  <c r="AE354" i="25" a="1"/>
  <c r="AE354" i="25"/>
  <c r="AE223" i="25" a="1"/>
  <c r="AE223" i="25"/>
  <c r="AE304" i="25" a="1"/>
  <c r="AE304" i="25"/>
  <c r="AE167" i="25" a="1"/>
  <c r="AE167" i="25"/>
  <c r="AE146" i="25" a="1"/>
  <c r="AE146" i="25"/>
  <c r="AE299" i="25" a="1"/>
  <c r="AE299" i="25"/>
  <c r="AE105" i="25" a="1"/>
  <c r="AE105" i="25"/>
  <c r="AE56" i="25" a="1"/>
  <c r="AE56" i="25"/>
  <c r="AE351" i="25" a="1"/>
  <c r="AE351" i="25"/>
  <c r="AE170" i="25" a="1"/>
  <c r="AE170" i="25"/>
  <c r="AE196" i="25" a="1"/>
  <c r="AE196" i="25"/>
  <c r="AE329" i="25" a="1"/>
  <c r="AE329" i="25"/>
  <c r="AE215" i="25" a="1"/>
  <c r="AE215" i="25"/>
  <c r="AE372" i="25" a="1"/>
  <c r="AE372" i="25"/>
  <c r="AE194" i="25" a="1"/>
  <c r="AE194" i="25"/>
  <c r="AE252" i="25" a="1"/>
  <c r="AE252" i="25"/>
  <c r="AE155" i="25" a="1"/>
  <c r="AE155" i="25"/>
  <c r="AE129" i="25" a="1"/>
  <c r="AE129" i="25"/>
  <c r="AE84" i="25" a="1"/>
  <c r="AE84" i="25"/>
  <c r="AE103" i="25" a="1"/>
  <c r="AE103" i="25"/>
  <c r="AE348" i="25" a="1"/>
  <c r="AE348" i="25"/>
  <c r="AE211" i="25" a="1"/>
  <c r="AE211" i="25"/>
  <c r="AE277" i="25" a="1"/>
  <c r="AE277" i="25"/>
  <c r="AE239" i="25" a="1"/>
  <c r="AE239" i="25"/>
  <c r="AE254" i="25" a="1"/>
  <c r="AE254" i="25"/>
  <c r="AE320" i="25" a="1"/>
  <c r="AE320" i="25"/>
  <c r="AE43" i="25" a="1"/>
  <c r="AE43" i="25"/>
  <c r="AE230" i="25" a="1"/>
  <c r="AE230" i="25"/>
  <c r="AE345" i="25" a="1"/>
  <c r="AE345" i="25"/>
  <c r="AE158" i="25" a="1"/>
  <c r="AE158" i="25"/>
  <c r="AE182" i="25" a="1"/>
  <c r="AE182" i="25"/>
  <c r="AE339" i="25" a="1"/>
  <c r="AE339" i="25"/>
  <c r="AE245" i="25" a="1"/>
  <c r="AE245" i="25"/>
  <c r="AE302" i="25" a="1"/>
  <c r="AE302" i="25"/>
  <c r="AE68" i="25" a="1"/>
  <c r="AE68" i="25"/>
  <c r="AE278" i="25" a="1"/>
  <c r="AE278" i="25"/>
  <c r="AE57" i="25" a="1"/>
  <c r="AE57" i="25"/>
  <c r="AE253" i="25" a="1"/>
  <c r="AE253" i="25"/>
  <c r="AE153" i="25" a="1"/>
  <c r="AE153" i="25"/>
  <c r="AE90" i="25" a="1"/>
  <c r="AE90" i="25"/>
  <c r="AE225" i="25" a="1"/>
  <c r="AE225" i="25"/>
  <c r="AE104" i="25" a="1"/>
  <c r="AE104" i="25"/>
  <c r="AE280" i="25" a="1"/>
  <c r="AE280" i="25"/>
  <c r="AE330" i="25" a="1"/>
  <c r="AE330" i="25"/>
  <c r="AE289" i="25" a="1"/>
  <c r="AE289" i="25"/>
  <c r="AE332" i="25" a="1"/>
  <c r="AE332" i="25"/>
  <c r="AE365" i="25" a="1"/>
  <c r="AE365" i="25"/>
  <c r="AE92" i="25" a="1"/>
  <c r="AE92" i="25"/>
  <c r="AE258" i="25" a="1"/>
  <c r="AE258" i="25"/>
  <c r="AE347" i="25" a="1"/>
  <c r="AE347" i="25"/>
  <c r="AE124" i="25" a="1"/>
  <c r="AE124" i="25"/>
  <c r="AE222" i="25" a="1"/>
  <c r="AE222" i="25"/>
  <c r="AE337" i="25" a="1"/>
  <c r="AE337" i="25"/>
  <c r="AE370" i="25" a="1"/>
  <c r="AE370" i="25"/>
  <c r="AE202" i="25" a="1"/>
  <c r="AE202" i="25"/>
  <c r="AE145" i="25" a="1"/>
  <c r="AE145" i="25"/>
  <c r="AE311" i="25" a="1"/>
  <c r="AE311" i="25"/>
  <c r="AE31" i="25" a="1"/>
  <c r="AE31" i="25"/>
  <c r="AE152" i="25" a="1"/>
  <c r="AE152" i="25"/>
  <c r="AE147" i="25" a="1"/>
  <c r="AE147" i="25"/>
  <c r="AE288" i="25" a="1"/>
  <c r="AE288" i="25"/>
  <c r="AE206" i="25" a="1"/>
  <c r="AE206" i="25"/>
  <c r="AE157" i="25" a="1"/>
  <c r="AE157" i="25"/>
  <c r="AE316" i="25" a="1"/>
  <c r="AE316" i="25"/>
  <c r="AE135" i="25" a="1"/>
  <c r="AE135" i="25"/>
  <c r="AE199" i="25" a="1"/>
  <c r="AE199" i="25"/>
  <c r="AE35" i="25" a="1"/>
  <c r="AE35" i="25"/>
  <c r="AE109" i="25" a="1"/>
  <c r="AE109" i="25"/>
  <c r="AE53" i="25" a="1"/>
  <c r="AE53" i="25"/>
  <c r="AE184" i="25" a="1"/>
  <c r="AE184" i="25"/>
  <c r="AE259" i="25" a="1"/>
  <c r="AE259" i="25"/>
  <c r="AE327" i="25" a="1"/>
  <c r="AE327" i="25"/>
  <c r="AE21" i="25" a="1"/>
  <c r="AE21" i="25"/>
  <c r="AE305" i="25" a="1"/>
  <c r="AE305" i="25"/>
  <c r="AE369" i="25" a="1"/>
  <c r="AE369" i="25"/>
  <c r="AE246" i="25" a="1"/>
  <c r="AE246" i="25"/>
  <c r="AE159" i="25" a="1"/>
  <c r="AE159" i="25"/>
  <c r="AE149" i="25" a="1"/>
  <c r="AE149" i="25"/>
  <c r="AE71" i="25" a="1"/>
  <c r="AE71" i="25"/>
  <c r="AE80" i="25" a="1"/>
  <c r="AE80" i="25"/>
  <c r="AE66" i="25" a="1"/>
  <c r="AE66" i="25"/>
  <c r="AE189" i="25" a="1"/>
  <c r="AE189" i="25"/>
  <c r="AE22" i="25" a="1"/>
  <c r="AE22" i="25"/>
  <c r="AE67" i="25" a="1"/>
  <c r="AE67" i="25"/>
  <c r="AE344" i="25" a="1"/>
  <c r="AE344" i="25"/>
  <c r="AE128" i="25" a="1"/>
  <c r="AE128" i="25"/>
  <c r="AE276" i="25" a="1"/>
  <c r="AE276" i="25"/>
  <c r="AE285" i="25" a="1"/>
  <c r="AE285" i="25"/>
  <c r="AE349" i="25" a="1"/>
  <c r="AE349" i="25"/>
  <c r="AE197" i="25" a="1"/>
  <c r="AE197" i="25"/>
  <c r="AE114" i="25" a="1"/>
  <c r="AE114" i="25"/>
  <c r="AE81" i="25" a="1"/>
  <c r="AE81" i="25"/>
  <c r="AE111" i="25" a="1"/>
  <c r="AE111" i="25"/>
  <c r="AE23" i="25" a="1"/>
  <c r="AE23" i="25"/>
  <c r="AE241" i="25" a="1"/>
  <c r="AE241" i="25"/>
  <c r="AE205" i="25" a="1"/>
  <c r="AE205" i="25"/>
  <c r="AE251" i="25" a="1"/>
  <c r="AE251" i="25"/>
  <c r="AE310" i="25" a="1"/>
  <c r="AE310" i="25"/>
  <c r="AE248" i="25" a="1"/>
  <c r="AE248" i="25"/>
  <c r="AE227" i="25" a="1"/>
  <c r="AE227" i="25"/>
  <c r="AE359" i="25" a="1"/>
  <c r="AE359" i="25"/>
  <c r="AE174" i="25" a="1"/>
  <c r="AE174" i="25"/>
  <c r="AE364" i="25" a="1"/>
  <c r="AE364" i="25"/>
  <c r="AE20" i="25" a="1"/>
  <c r="AE20" i="25"/>
  <c r="AE362" i="25" a="1"/>
  <c r="AE362" i="25"/>
  <c r="AE96" i="25" a="1"/>
  <c r="AE96" i="25"/>
  <c r="AE28" i="25" a="1"/>
  <c r="AE28" i="25"/>
  <c r="AE275" i="25" a="1"/>
  <c r="AE275" i="25"/>
  <c r="AE322" i="25" a="1"/>
  <c r="AE322" i="25"/>
  <c r="AE232" i="25" a="1"/>
  <c r="AE232" i="25"/>
  <c r="AE133" i="25" a="1"/>
  <c r="AE133" i="25"/>
  <c r="AE119" i="25" a="1"/>
  <c r="AE119" i="25"/>
  <c r="AE220" i="25" a="1"/>
  <c r="AE220" i="25"/>
  <c r="AE62" i="25" a="1"/>
  <c r="AE62" i="25"/>
  <c r="AE262" i="25" a="1"/>
  <c r="AE262" i="25"/>
  <c r="AE181" i="25" a="1"/>
  <c r="AE181" i="25"/>
  <c r="AE268" i="25" a="1"/>
  <c r="AE268" i="25"/>
  <c r="AE328" i="25" a="1"/>
  <c r="AE328" i="25"/>
  <c r="AE295" i="25" a="1"/>
  <c r="AE295" i="25"/>
  <c r="AE244" i="25" a="1"/>
  <c r="AE244" i="25"/>
  <c r="AE353" i="25" a="1"/>
  <c r="AE353" i="25"/>
  <c r="AE333" i="25" a="1"/>
  <c r="AE333" i="25"/>
  <c r="AE29" i="25" a="1"/>
  <c r="AE29" i="25"/>
  <c r="AE59" i="25" a="1"/>
  <c r="AE59" i="25"/>
  <c r="AE356" i="25" a="1"/>
  <c r="AE356" i="25"/>
  <c r="AE112" i="25" a="1"/>
  <c r="AE112" i="25"/>
  <c r="AE102" i="25" a="1"/>
  <c r="AE102" i="25"/>
  <c r="AE292" i="25" a="1"/>
  <c r="AE292" i="25"/>
  <c r="AE314" i="25" a="1"/>
  <c r="AE314" i="25"/>
  <c r="AE271" i="25" a="1"/>
  <c r="AE271" i="25"/>
  <c r="AE376" i="25" a="1"/>
  <c r="AE376" i="25"/>
  <c r="AE106" i="25" a="1"/>
  <c r="AE106" i="25"/>
  <c r="AE193" i="25" a="1"/>
  <c r="AE193" i="25"/>
  <c r="AE136" i="25" a="1"/>
  <c r="AE136" i="25"/>
  <c r="AE298" i="25" a="1"/>
  <c r="AE298" i="25"/>
  <c r="AE217" i="25" a="1"/>
  <c r="AE217" i="25"/>
  <c r="AE377" i="25" a="1"/>
  <c r="AE377" i="25"/>
  <c r="AE100" i="25" a="1"/>
  <c r="AE100" i="25"/>
  <c r="AE357" i="25" a="1"/>
  <c r="AE357" i="25"/>
  <c r="AE204" i="25" a="1"/>
  <c r="AE204" i="25"/>
  <c r="AE240" i="25" a="1"/>
  <c r="AE240" i="25"/>
  <c r="AE334" i="25" a="1"/>
  <c r="AE334" i="25"/>
  <c r="AE99" i="25" a="1"/>
  <c r="AE99" i="25"/>
  <c r="AE269" i="25" a="1"/>
  <c r="AE269" i="25"/>
  <c r="AE324" i="25" a="1"/>
  <c r="AE324" i="25"/>
  <c r="AE32" i="25" a="1"/>
  <c r="AE32" i="25"/>
  <c r="AE287" i="25" a="1"/>
  <c r="AE287" i="25"/>
  <c r="AE284" i="25" a="1"/>
  <c r="AE284" i="25"/>
  <c r="AE121" i="25" a="1"/>
  <c r="AE121" i="25"/>
  <c r="AE256" i="25" a="1"/>
  <c r="AE256" i="25"/>
  <c r="AE51" i="25" a="1"/>
  <c r="AE51" i="25"/>
  <c r="AE296" i="25" a="1"/>
  <c r="AE296" i="25"/>
  <c r="AE26" i="25" a="1"/>
  <c r="AE26" i="25"/>
  <c r="AE117" i="25" a="1"/>
  <c r="AE117" i="25"/>
  <c r="AE83" i="25" a="1"/>
  <c r="AE83" i="25"/>
  <c r="AE317" i="25" a="1"/>
  <c r="AE317" i="25"/>
  <c r="AE360" i="25" a="1"/>
  <c r="AE360" i="25"/>
  <c r="AE137" i="25" a="1"/>
  <c r="AE137" i="25"/>
  <c r="AE118" i="25" a="1"/>
  <c r="AE118" i="25"/>
  <c r="AE218" i="25" a="1"/>
  <c r="AE218" i="25"/>
  <c r="AE142" i="25" a="1"/>
  <c r="AE142" i="25"/>
  <c r="AE73" i="25" a="1"/>
  <c r="AE73" i="25"/>
  <c r="AE38" i="25" a="1"/>
  <c r="AE38" i="25"/>
  <c r="AE208" i="25" a="1"/>
  <c r="AE208" i="25"/>
  <c r="AE336" i="25" a="1"/>
  <c r="AE336" i="25"/>
  <c r="AE185" i="25" a="1"/>
  <c r="AE185" i="25"/>
  <c r="AE363" i="25" a="1"/>
  <c r="AE363" i="25"/>
  <c r="AE75" i="25" a="1"/>
  <c r="AE75" i="25"/>
  <c r="AE261" i="25" a="1"/>
  <c r="AE261" i="25"/>
  <c r="AE380" i="25" a="1"/>
  <c r="AE380" i="25"/>
  <c r="AE338" i="25" a="1"/>
  <c r="AE338" i="25"/>
  <c r="AE237" i="25" a="1"/>
  <c r="AE237" i="25"/>
  <c r="AE341" i="25" a="1"/>
  <c r="AE341" i="25"/>
  <c r="AE373" i="25" a="1"/>
  <c r="AE373" i="25"/>
  <c r="AE77" i="25" a="1"/>
  <c r="AE77" i="25"/>
  <c r="AE82" i="25" a="1"/>
  <c r="AE82" i="25"/>
  <c r="AE219" i="25" a="1"/>
  <c r="AE219" i="25"/>
  <c r="AE39" i="25" a="1"/>
  <c r="AE39" i="25"/>
  <c r="AE263" i="25" a="1"/>
  <c r="AE263" i="25"/>
  <c r="AE25" i="25" a="1"/>
  <c r="AE25" i="25"/>
  <c r="AE150" i="25" a="1"/>
  <c r="AE150" i="25"/>
  <c r="AE212" i="25" a="1"/>
  <c r="AE212" i="25"/>
  <c r="AE313" i="25" a="1"/>
  <c r="AE313" i="25"/>
  <c r="AE266" i="25" a="1"/>
  <c r="AE266" i="25"/>
  <c r="AE91" i="25" a="1"/>
  <c r="AE91" i="25"/>
  <c r="AE283" i="25" a="1"/>
  <c r="AE283" i="25"/>
  <c r="AE213" i="25" a="1"/>
  <c r="AE213" i="25"/>
  <c r="AE210" i="25" a="1"/>
  <c r="AE210" i="25"/>
  <c r="AE140" i="25" a="1"/>
  <c r="AE140" i="25"/>
  <c r="AE300" i="25" a="1"/>
  <c r="AE300" i="25"/>
  <c r="AE134" i="25" a="1"/>
  <c r="AE134" i="25"/>
  <c r="AE36" i="25" a="1"/>
  <c r="AE36" i="25"/>
  <c r="AE198" i="25" a="1"/>
  <c r="AE198" i="25"/>
  <c r="AE151" i="25" a="1"/>
  <c r="AE151" i="25"/>
  <c r="AE61" i="25" a="1"/>
  <c r="AE61" i="25"/>
  <c r="AE125" i="25" a="1"/>
  <c r="AE125" i="25"/>
  <c r="AE191" i="25" a="1"/>
  <c r="AE191" i="25"/>
  <c r="AE188" i="25" a="1"/>
  <c r="AE188" i="25"/>
  <c r="AE98" i="25" a="1"/>
  <c r="AE98" i="25"/>
  <c r="AE350" i="25" a="1"/>
  <c r="AE350" i="25"/>
  <c r="AE64" i="25" a="1"/>
  <c r="AE64" i="25"/>
  <c r="AE342" i="25" a="1"/>
  <c r="AE342" i="25"/>
  <c r="AE371" i="25" a="1"/>
  <c r="AE371" i="25"/>
  <c r="AE16" i="25" a="1"/>
  <c r="AE16" i="25"/>
  <c r="AE247" i="25" a="1"/>
  <c r="AE247" i="25"/>
  <c r="AE236" i="25" a="1"/>
  <c r="AE236" i="25"/>
  <c r="AE186" i="25" a="1"/>
  <c r="AE186" i="25"/>
  <c r="AE267" i="25" a="1"/>
  <c r="AE267" i="25"/>
  <c r="AE172" i="25" a="1"/>
  <c r="AE172" i="25"/>
  <c r="AE74" i="25" a="1"/>
  <c r="AE74" i="25"/>
  <c r="AE108" i="25" a="1"/>
  <c r="AE108" i="25"/>
  <c r="AE86" i="25" a="1"/>
  <c r="AE86" i="25"/>
  <c r="AE187" i="25" a="1"/>
  <c r="AE187" i="25"/>
  <c r="AE138" i="25" a="1"/>
  <c r="AE138" i="25"/>
  <c r="AE367" i="25" a="1"/>
  <c r="AE367" i="25"/>
  <c r="AE97" i="25" a="1"/>
  <c r="AE97" i="25"/>
  <c r="AE178" i="25" a="1"/>
  <c r="AE178" i="25"/>
  <c r="AE47" i="25" a="1"/>
  <c r="AE47" i="25"/>
  <c r="AE216" i="25" a="1"/>
  <c r="AE216" i="25"/>
  <c r="AE19" i="25" a="1"/>
  <c r="AE19" i="25"/>
  <c r="AE131" i="25" a="1"/>
  <c r="AE131" i="25"/>
  <c r="AE273" i="25" a="1"/>
  <c r="AE273" i="25"/>
  <c r="AE309" i="25" a="1"/>
  <c r="AE309" i="25"/>
  <c r="AE291" i="25" a="1"/>
  <c r="AE291" i="25"/>
  <c r="AE229" i="25" a="1"/>
  <c r="AE229" i="25"/>
  <c r="AE272" i="25" a="1"/>
  <c r="AE272" i="25"/>
  <c r="AE221" i="25" a="1"/>
  <c r="AE221" i="25"/>
  <c r="AE201" i="25" a="1"/>
  <c r="AE201" i="25"/>
  <c r="AE231" i="25" a="1"/>
  <c r="AE231" i="25"/>
  <c r="AE312" i="25" a="1"/>
  <c r="AE312" i="25"/>
  <c r="AE18" i="25" a="1"/>
  <c r="AE18" i="25"/>
  <c r="AE176" i="25" a="1"/>
  <c r="AE176" i="25"/>
  <c r="AE326" i="25" a="1"/>
  <c r="AE326" i="25"/>
  <c r="AE72" i="25" a="1"/>
  <c r="AE72" i="25"/>
  <c r="AE238" i="25" a="1"/>
  <c r="AE238" i="25"/>
  <c r="AE224" i="25" a="1"/>
  <c r="AE224" i="25"/>
  <c r="AE307" i="25" a="1"/>
  <c r="AE307" i="25"/>
  <c r="AE168" i="25" a="1"/>
  <c r="AE168" i="25"/>
  <c r="AE154" i="25" a="1"/>
  <c r="AE154" i="25"/>
  <c r="AE226" i="25" a="1"/>
  <c r="AE226" i="25"/>
  <c r="AE306" i="25" a="1"/>
  <c r="AE306" i="25"/>
  <c r="AE27" i="25" a="1"/>
  <c r="AE27" i="25"/>
  <c r="AE203" i="25" a="1"/>
  <c r="AE203" i="25"/>
  <c r="AE323" i="25" a="1"/>
  <c r="AE323" i="25"/>
  <c r="AE270" i="25" a="1"/>
  <c r="AE270" i="25"/>
  <c r="AE49" i="25" a="1"/>
  <c r="AE49" i="25"/>
  <c r="AE79" i="25" a="1"/>
  <c r="AE79" i="25"/>
  <c r="AE358" i="25" a="1"/>
  <c r="AE358" i="25"/>
  <c r="AE286" i="25" a="1"/>
  <c r="AE286" i="25"/>
  <c r="AE44" i="25" a="1"/>
  <c r="AE44" i="25"/>
  <c r="AE250" i="25" a="1"/>
  <c r="AE250" i="25"/>
  <c r="AE281" i="25" a="1"/>
  <c r="AE281" i="25"/>
  <c r="AE243" i="25" a="1"/>
  <c r="AE243" i="25"/>
  <c r="AE127" i="25" a="1"/>
  <c r="AE127" i="25"/>
  <c r="AE45" i="25" a="1"/>
  <c r="AE45" i="25"/>
  <c r="AE375" i="25" a="1"/>
  <c r="AE375" i="25"/>
  <c r="AE46" i="25" a="1"/>
  <c r="AE46" i="25"/>
  <c r="AE255" i="25" a="1"/>
  <c r="AE255" i="25"/>
  <c r="AE177" i="25" a="1"/>
  <c r="AE177" i="25"/>
  <c r="AE164" i="25" a="1"/>
  <c r="AE164" i="25"/>
  <c r="AE94" i="25" a="1"/>
  <c r="AE94" i="25"/>
  <c r="AE60" i="25" a="1"/>
  <c r="AE60" i="25"/>
  <c r="AE368" i="25" a="1"/>
  <c r="AE368" i="25"/>
  <c r="AE162" i="25" a="1"/>
  <c r="AE162" i="25"/>
  <c r="AE301" i="25" a="1"/>
  <c r="AE301" i="25"/>
  <c r="AE308" i="25" a="1"/>
  <c r="AE308" i="25"/>
  <c r="AE122" i="25" a="1"/>
  <c r="AE122" i="25"/>
  <c r="AE234" i="25" a="1"/>
  <c r="AE234" i="25"/>
  <c r="AE55" i="25" a="1"/>
  <c r="AE55" i="25"/>
  <c r="AE175" i="25" a="1"/>
  <c r="AE175" i="25"/>
  <c r="AE41" i="25" a="1"/>
  <c r="AE41" i="25"/>
  <c r="AE171" i="25" a="1"/>
  <c r="AE171" i="25"/>
  <c r="AE78" i="25" a="1"/>
  <c r="AE78" i="25"/>
  <c r="AE321" i="25" a="1"/>
  <c r="AE321" i="25"/>
  <c r="AE346" i="25" a="1"/>
  <c r="AE346" i="25"/>
  <c r="AE207" i="25" a="1"/>
  <c r="AE207" i="25"/>
  <c r="AE297" i="25" a="1"/>
  <c r="AE297" i="25"/>
  <c r="AE228" i="25" a="1"/>
  <c r="AE228" i="25"/>
  <c r="AE130" i="25" a="1"/>
  <c r="AE130" i="25"/>
  <c r="AE33" i="25" a="1"/>
  <c r="AE33" i="25"/>
  <c r="AE89" i="25" a="1"/>
  <c r="AE89" i="25"/>
  <c r="AE24" i="25" a="1"/>
  <c r="AE24" i="25"/>
  <c r="AE290" i="25" a="1"/>
  <c r="AE290" i="25"/>
  <c r="AE282" i="25" a="1"/>
  <c r="AE282" i="25"/>
  <c r="AE179" i="25" a="1"/>
  <c r="AE179" i="25"/>
  <c r="AE249" i="25" a="1"/>
  <c r="AE249" i="25"/>
  <c r="AE141" i="25" a="1"/>
  <c r="AE141" i="25"/>
  <c r="AE274" i="25" a="1"/>
  <c r="AE274" i="25"/>
  <c r="AE180" i="25" a="1"/>
  <c r="AE180" i="25"/>
  <c r="AE165" i="25" a="1"/>
  <c r="AE165" i="25"/>
  <c r="AE123" i="25" a="1"/>
  <c r="AE123" i="25"/>
  <c r="AE113" i="25" a="1"/>
  <c r="AE113" i="25"/>
  <c r="AE54" i="25" a="1"/>
  <c r="AE54" i="25"/>
  <c r="AE265" i="25" a="1"/>
  <c r="AE265" i="25"/>
  <c r="AE340" i="25" a="1"/>
  <c r="AE340" i="25"/>
  <c r="AE195" i="25" a="1"/>
  <c r="AE195" i="25"/>
  <c r="AE69" i="25" a="1"/>
  <c r="AE69" i="25"/>
  <c r="AE139" i="25" a="1"/>
  <c r="AE139" i="25"/>
  <c r="AE85" i="25" a="1"/>
  <c r="AE85" i="25"/>
  <c r="AE361" i="25" a="1"/>
  <c r="AE361" i="25"/>
  <c r="AE63" i="25" a="1"/>
  <c r="AE63" i="25"/>
  <c r="AE260" i="25" a="1"/>
  <c r="AE260" i="25"/>
  <c r="AE50" i="25" a="1"/>
  <c r="AE50" i="25"/>
  <c r="AE264" i="25" a="1"/>
  <c r="AE264" i="25"/>
  <c r="AE169" i="25" a="1"/>
  <c r="AE169" i="25"/>
  <c r="AE331" i="25" a="1"/>
  <c r="AE331" i="25"/>
  <c r="AE200" i="25" a="1"/>
  <c r="AE200" i="25"/>
  <c r="AE374" i="25" a="1"/>
  <c r="AE374" i="25"/>
  <c r="AE144" i="25" a="1"/>
  <c r="AE144" i="25"/>
  <c r="AE233" i="25" a="1"/>
  <c r="AE233" i="25"/>
  <c r="AE70" i="25" a="1"/>
  <c r="AE70" i="25"/>
  <c r="AE87" i="25" a="1"/>
  <c r="AE87" i="25"/>
  <c r="AE355" i="25" a="1"/>
  <c r="AE355" i="25"/>
  <c r="AE52" i="25" a="1"/>
  <c r="AE52" i="25"/>
  <c r="AE318" i="25" a="1"/>
  <c r="AE318" i="25"/>
  <c r="AE132" i="25" a="1"/>
  <c r="AE132" i="25"/>
  <c r="AE30" i="25" a="1"/>
  <c r="AE30" i="25"/>
  <c r="AE343" i="25" a="1"/>
  <c r="AE343" i="25"/>
  <c r="AE279" i="25" a="1"/>
  <c r="AE279" i="25"/>
  <c r="AE214" i="25" a="1"/>
  <c r="AE214" i="25"/>
  <c r="N598" i="25"/>
  <c r="L595" i="25"/>
  <c r="O598" i="25"/>
  <c r="O599" i="25"/>
  <c r="Q57" i="9"/>
  <c r="A25" i="25"/>
  <c r="D25" i="25"/>
  <c r="B22" i="29"/>
  <c r="B59" i="9"/>
  <c r="C59" i="9"/>
  <c r="P58" i="9"/>
  <c r="U58" i="9"/>
  <c r="X58" i="9"/>
  <c r="W58" i="9"/>
  <c r="F20" i="29"/>
  <c r="AE20" i="29"/>
  <c r="AD20" i="29"/>
  <c r="S58" i="9"/>
  <c r="N58" i="9"/>
  <c r="E21" i="29"/>
  <c r="D21" i="29"/>
  <c r="AC21" i="29"/>
  <c r="E24" i="25"/>
  <c r="F24" i="25"/>
  <c r="I24" i="25"/>
  <c r="W24" i="25"/>
  <c r="U24" i="25"/>
  <c r="K24" i="25"/>
  <c r="G24" i="25"/>
  <c r="V24" i="25"/>
  <c r="H24" i="25"/>
  <c r="T24" i="25"/>
  <c r="Y205" i="25"/>
  <c r="Y206" i="25"/>
  <c r="Y207" i="25"/>
  <c r="Y208" i="25"/>
  <c r="Y209" i="25"/>
  <c r="Y210" i="25"/>
  <c r="Y211" i="25"/>
  <c r="Y212" i="25"/>
  <c r="Z204" i="25"/>
  <c r="AE289" i="9"/>
  <c r="M289" i="9"/>
  <c r="AD289" i="9"/>
  <c r="T290" i="11"/>
  <c r="AE296" i="9"/>
  <c r="M296" i="9"/>
  <c r="AD296" i="9"/>
  <c r="T297" i="11"/>
  <c r="AD283" i="9"/>
  <c r="AE283" i="9"/>
  <c r="M283" i="9"/>
  <c r="T284" i="11"/>
  <c r="AE298" i="9"/>
  <c r="M298" i="9"/>
  <c r="AD298" i="9"/>
  <c r="T299" i="11"/>
  <c r="H276" i="11"/>
  <c r="Q276" i="11"/>
  <c r="N276" i="11"/>
  <c r="H272" i="11"/>
  <c r="Q272" i="11"/>
  <c r="N272" i="11"/>
  <c r="H268" i="11"/>
  <c r="Q268" i="11"/>
  <c r="N268" i="11"/>
  <c r="H264" i="11"/>
  <c r="Q264" i="11"/>
  <c r="N264" i="11"/>
  <c r="H260" i="11"/>
  <c r="Q260" i="11"/>
  <c r="N260" i="11"/>
  <c r="H256" i="11"/>
  <c r="Q256" i="11"/>
  <c r="N256" i="11"/>
  <c r="H252" i="11"/>
  <c r="Q252" i="11"/>
  <c r="N252" i="11"/>
  <c r="H248" i="11"/>
  <c r="Q248" i="11"/>
  <c r="N248" i="11"/>
  <c r="I245" i="11"/>
  <c r="I241" i="11"/>
  <c r="I237" i="11"/>
  <c r="I233" i="11"/>
  <c r="I229" i="11"/>
  <c r="H277" i="11"/>
  <c r="Q277" i="11"/>
  <c r="N277" i="11"/>
  <c r="H269" i="11"/>
  <c r="Q269" i="11"/>
  <c r="N269" i="11"/>
  <c r="H261" i="11"/>
  <c r="Q261" i="11"/>
  <c r="N261" i="11"/>
  <c r="H253" i="11"/>
  <c r="Q253" i="11"/>
  <c r="N253" i="11"/>
  <c r="I247" i="11"/>
  <c r="I246" i="11"/>
  <c r="I239" i="11"/>
  <c r="I238" i="11"/>
  <c r="I231" i="11"/>
  <c r="I230" i="11"/>
  <c r="I226" i="11"/>
  <c r="I222" i="11"/>
  <c r="I218" i="11"/>
  <c r="H278" i="11"/>
  <c r="Q278" i="11"/>
  <c r="N278" i="11"/>
  <c r="H271" i="11"/>
  <c r="Q271" i="11"/>
  <c r="N271" i="11"/>
  <c r="H270" i="11"/>
  <c r="Q270" i="11"/>
  <c r="N270" i="11"/>
  <c r="H263" i="11"/>
  <c r="Q263" i="11"/>
  <c r="N263" i="11"/>
  <c r="H262" i="11"/>
  <c r="Q262" i="11"/>
  <c r="N262" i="11"/>
  <c r="H255" i="11"/>
  <c r="Q255" i="11"/>
  <c r="N255" i="11"/>
  <c r="H254" i="11"/>
  <c r="Q254" i="11"/>
  <c r="N254" i="11"/>
  <c r="I244" i="11"/>
  <c r="I236" i="11"/>
  <c r="I228" i="11"/>
  <c r="I223" i="11"/>
  <c r="I219" i="11"/>
  <c r="H273" i="11"/>
  <c r="Q273" i="11"/>
  <c r="N273" i="11"/>
  <c r="H265" i="11"/>
  <c r="Q265" i="11"/>
  <c r="N265" i="11"/>
  <c r="H257" i="11"/>
  <c r="Q257" i="11"/>
  <c r="N257" i="11"/>
  <c r="H249" i="11"/>
  <c r="Q249" i="11"/>
  <c r="N249" i="11"/>
  <c r="I243" i="11"/>
  <c r="I242" i="11"/>
  <c r="I235" i="11"/>
  <c r="I234" i="11"/>
  <c r="I227" i="11"/>
  <c r="I224" i="11"/>
  <c r="I220" i="11"/>
  <c r="H275" i="11"/>
  <c r="Q275" i="11"/>
  <c r="N275" i="11"/>
  <c r="H274" i="11"/>
  <c r="Q274" i="11"/>
  <c r="N274" i="11"/>
  <c r="H267" i="11"/>
  <c r="Q267" i="11"/>
  <c r="N267" i="11"/>
  <c r="H266" i="11"/>
  <c r="Q266" i="11"/>
  <c r="N266" i="11"/>
  <c r="H259" i="11"/>
  <c r="Q259" i="11"/>
  <c r="N259" i="11"/>
  <c r="H258" i="11"/>
  <c r="Q258" i="11"/>
  <c r="N258" i="11"/>
  <c r="H251" i="11"/>
  <c r="Q251" i="11"/>
  <c r="N251" i="11"/>
  <c r="H250" i="11"/>
  <c r="Q250" i="11"/>
  <c r="N250" i="11"/>
  <c r="I240" i="11"/>
  <c r="I232" i="11"/>
  <c r="I225" i="11"/>
  <c r="I221" i="11"/>
  <c r="M11" i="10"/>
  <c r="AE290" i="9"/>
  <c r="M290" i="9"/>
  <c r="AD290" i="9"/>
  <c r="T291" i="11"/>
  <c r="AE278" i="9"/>
  <c r="M278" i="9"/>
  <c r="AD278" i="9"/>
  <c r="T279" i="11"/>
  <c r="AE300" i="9"/>
  <c r="M300" i="9"/>
  <c r="AD300" i="9"/>
  <c r="T301" i="11"/>
  <c r="AE284" i="9"/>
  <c r="M284" i="9"/>
  <c r="AD284" i="9"/>
  <c r="T285" i="11"/>
  <c r="AE287" i="9"/>
  <c r="M287" i="9"/>
  <c r="AD287" i="9"/>
  <c r="T288" i="11"/>
  <c r="AE301" i="9"/>
  <c r="M301" i="9"/>
  <c r="AD301" i="9"/>
  <c r="T302" i="11"/>
  <c r="AE305" i="9"/>
  <c r="M305" i="9"/>
  <c r="AD305" i="9"/>
  <c r="T306" i="11"/>
  <c r="AE303" i="9"/>
  <c r="M303" i="9"/>
  <c r="AD303" i="9"/>
  <c r="T304" i="11"/>
  <c r="AD281" i="9"/>
  <c r="AE281" i="9"/>
  <c r="M281" i="9"/>
  <c r="T282" i="11"/>
  <c r="AE280" i="9"/>
  <c r="M280" i="9"/>
  <c r="AD280" i="9"/>
  <c r="T281" i="11"/>
  <c r="AE285" i="9"/>
  <c r="M285" i="9"/>
  <c r="AD285" i="9"/>
  <c r="T286" i="11"/>
  <c r="AE292" i="9"/>
  <c r="M292" i="9"/>
  <c r="AD292" i="9"/>
  <c r="T293" i="11"/>
  <c r="AE291" i="9"/>
  <c r="M291" i="9"/>
  <c r="AD291" i="9"/>
  <c r="T292" i="11"/>
  <c r="AE302" i="9"/>
  <c r="M302" i="9"/>
  <c r="AD302" i="9"/>
  <c r="T303" i="11"/>
  <c r="AE306" i="9"/>
  <c r="M306" i="9"/>
  <c r="AD306" i="9"/>
  <c r="T307" i="11"/>
  <c r="AE307" i="9"/>
  <c r="M307" i="9"/>
  <c r="AD307" i="9"/>
  <c r="T308" i="11"/>
  <c r="AE282" i="9"/>
  <c r="M282" i="9"/>
  <c r="AD282" i="9"/>
  <c r="T283" i="11"/>
  <c r="AE288" i="9"/>
  <c r="M288" i="9"/>
  <c r="AD288" i="9"/>
  <c r="T289" i="11"/>
  <c r="AE286" i="9"/>
  <c r="M286" i="9"/>
  <c r="AD286" i="9"/>
  <c r="T287" i="11"/>
  <c r="AD279" i="9"/>
  <c r="AE279" i="9"/>
  <c r="M279" i="9"/>
  <c r="T280" i="11"/>
  <c r="AE293" i="9"/>
  <c r="M293" i="9"/>
  <c r="AD293" i="9"/>
  <c r="T294" i="11"/>
  <c r="AE297" i="9"/>
  <c r="M297" i="9"/>
  <c r="AD297" i="9"/>
  <c r="T298" i="11"/>
  <c r="AE295" i="9"/>
  <c r="M295" i="9"/>
  <c r="AD295" i="9"/>
  <c r="T296" i="11"/>
  <c r="AE304" i="9"/>
  <c r="M304" i="9"/>
  <c r="AD304" i="9"/>
  <c r="T305" i="11"/>
  <c r="AE294" i="9"/>
  <c r="M294" i="9"/>
  <c r="AD294" i="9"/>
  <c r="T295" i="11"/>
  <c r="AE299" i="9"/>
  <c r="M299" i="9"/>
  <c r="AD299" i="9"/>
  <c r="T300" i="11"/>
  <c r="AC381" i="9"/>
  <c r="D381" i="9"/>
  <c r="AB381" i="9"/>
  <c r="T382" i="7"/>
  <c r="AC369" i="9"/>
  <c r="D369" i="9"/>
  <c r="AB369" i="9"/>
  <c r="T370" i="7"/>
  <c r="AC385" i="9"/>
  <c r="D385" i="9"/>
  <c r="AB385" i="9"/>
  <c r="T386" i="7"/>
  <c r="AC372" i="9"/>
  <c r="D372" i="9"/>
  <c r="AB372" i="9"/>
  <c r="T373" i="7"/>
  <c r="AC388" i="9"/>
  <c r="D388" i="9"/>
  <c r="AB388" i="9"/>
  <c r="T389" i="7"/>
  <c r="AC371" i="9"/>
  <c r="D371" i="9"/>
  <c r="AB371" i="9"/>
  <c r="T372" i="7"/>
  <c r="AC387" i="9"/>
  <c r="D387" i="9"/>
  <c r="AB387" i="9"/>
  <c r="T388" i="7"/>
  <c r="AB370" i="9"/>
  <c r="AC370" i="9"/>
  <c r="D370" i="9"/>
  <c r="T371" i="7"/>
  <c r="AB386" i="9"/>
  <c r="AC386" i="9"/>
  <c r="D386" i="9"/>
  <c r="T387" i="7"/>
  <c r="K406" i="9"/>
  <c r="AN406" i="9"/>
  <c r="AO406" i="9"/>
  <c r="AP406" i="9"/>
  <c r="O406" i="9"/>
  <c r="L406" i="9"/>
  <c r="L403" i="9"/>
  <c r="K403" i="9"/>
  <c r="AN403" i="9"/>
  <c r="AO403" i="9"/>
  <c r="AP403" i="9"/>
  <c r="O403" i="9"/>
  <c r="AC373" i="9"/>
  <c r="D373" i="9"/>
  <c r="AB373" i="9"/>
  <c r="T374" i="7"/>
  <c r="AC389" i="9"/>
  <c r="D389" i="9"/>
  <c r="AB389" i="9"/>
  <c r="T390" i="7"/>
  <c r="AC376" i="9"/>
  <c r="D376" i="9"/>
  <c r="AB376" i="9"/>
  <c r="T377" i="7"/>
  <c r="AC392" i="9"/>
  <c r="D392" i="9"/>
  <c r="AB392" i="9"/>
  <c r="T393" i="7"/>
  <c r="AC375" i="9"/>
  <c r="D375" i="9"/>
  <c r="AB375" i="9"/>
  <c r="T376" i="7"/>
  <c r="AC391" i="9"/>
  <c r="D391" i="9"/>
  <c r="AB391" i="9"/>
  <c r="T392" i="7"/>
  <c r="AB374" i="9"/>
  <c r="AC374" i="9"/>
  <c r="D374" i="9"/>
  <c r="T375" i="7"/>
  <c r="AB390" i="9"/>
  <c r="AC390" i="9"/>
  <c r="D390" i="9"/>
  <c r="T391" i="7"/>
  <c r="L404" i="9"/>
  <c r="K404" i="9"/>
  <c r="AN404" i="9"/>
  <c r="AO404" i="9"/>
  <c r="AP404" i="9"/>
  <c r="O404" i="9"/>
  <c r="L407" i="9"/>
  <c r="K407" i="9"/>
  <c r="AN407" i="9"/>
  <c r="AO407" i="9"/>
  <c r="AP407" i="9"/>
  <c r="O407" i="9"/>
  <c r="H368" i="7"/>
  <c r="Q368" i="7"/>
  <c r="N368" i="7"/>
  <c r="H364" i="7"/>
  <c r="Q364" i="7"/>
  <c r="N364" i="7"/>
  <c r="H360" i="7"/>
  <c r="Q360" i="7"/>
  <c r="N360" i="7"/>
  <c r="H356" i="7"/>
  <c r="Q356" i="7"/>
  <c r="N356" i="7"/>
  <c r="H352" i="7"/>
  <c r="Q352" i="7"/>
  <c r="N352" i="7"/>
  <c r="H369" i="7"/>
  <c r="Q369" i="7"/>
  <c r="N369" i="7"/>
  <c r="H365" i="7"/>
  <c r="Q365" i="7"/>
  <c r="N365" i="7"/>
  <c r="H361" i="7"/>
  <c r="Q361" i="7"/>
  <c r="N361" i="7"/>
  <c r="H357" i="7"/>
  <c r="Q357" i="7"/>
  <c r="N357" i="7"/>
  <c r="H353" i="7"/>
  <c r="Q353" i="7"/>
  <c r="N353" i="7"/>
  <c r="H366" i="7"/>
  <c r="Q366" i="7"/>
  <c r="N366" i="7"/>
  <c r="H362" i="7"/>
  <c r="Q362" i="7"/>
  <c r="N362" i="7"/>
  <c r="H358" i="7"/>
  <c r="Q358" i="7"/>
  <c r="N358" i="7"/>
  <c r="H354" i="7"/>
  <c r="Q354" i="7"/>
  <c r="N354" i="7"/>
  <c r="H350" i="7"/>
  <c r="Q350" i="7"/>
  <c r="N350" i="7"/>
  <c r="H346" i="7"/>
  <c r="Q346" i="7"/>
  <c r="N346" i="7"/>
  <c r="H342" i="7"/>
  <c r="Q342" i="7"/>
  <c r="N342" i="7"/>
  <c r="I339" i="7"/>
  <c r="I335" i="7"/>
  <c r="I331" i="7"/>
  <c r="I327" i="7"/>
  <c r="I323" i="7"/>
  <c r="I319" i="7"/>
  <c r="H347" i="7"/>
  <c r="Q347" i="7"/>
  <c r="N347" i="7"/>
  <c r="I333" i="7"/>
  <c r="I332" i="7"/>
  <c r="I325" i="7"/>
  <c r="I324" i="7"/>
  <c r="I317" i="7"/>
  <c r="I316" i="7"/>
  <c r="I315" i="7"/>
  <c r="I311" i="7"/>
  <c r="H367" i="7"/>
  <c r="Q367" i="7"/>
  <c r="N367" i="7"/>
  <c r="H359" i="7"/>
  <c r="Q359" i="7"/>
  <c r="N359" i="7"/>
  <c r="H351" i="7"/>
  <c r="Q351" i="7"/>
  <c r="N351" i="7"/>
  <c r="H349" i="7"/>
  <c r="Q349" i="7"/>
  <c r="N349" i="7"/>
  <c r="H348" i="7"/>
  <c r="Q348" i="7"/>
  <c r="N348" i="7"/>
  <c r="H341" i="7"/>
  <c r="Q341" i="7"/>
  <c r="N341" i="7"/>
  <c r="H340" i="7"/>
  <c r="Q340" i="7"/>
  <c r="N340" i="7"/>
  <c r="I338" i="7"/>
  <c r="I330" i="7"/>
  <c r="I322" i="7"/>
  <c r="I312" i="7"/>
  <c r="H343" i="7"/>
  <c r="Q343" i="7"/>
  <c r="N343" i="7"/>
  <c r="I337" i="7"/>
  <c r="I336" i="7"/>
  <c r="I329" i="7"/>
  <c r="I328" i="7"/>
  <c r="I321" i="7"/>
  <c r="I320" i="7"/>
  <c r="I313" i="7"/>
  <c r="I309" i="7"/>
  <c r="H363" i="7"/>
  <c r="Q363" i="7"/>
  <c r="N363" i="7"/>
  <c r="H355" i="7"/>
  <c r="Q355" i="7"/>
  <c r="N355" i="7"/>
  <c r="H345" i="7"/>
  <c r="Q345" i="7"/>
  <c r="N345" i="7"/>
  <c r="H344" i="7"/>
  <c r="Q344" i="7"/>
  <c r="N344" i="7"/>
  <c r="I334" i="7"/>
  <c r="I326" i="7"/>
  <c r="I318" i="7"/>
  <c r="I314" i="7"/>
  <c r="I310" i="7"/>
  <c r="K14" i="8"/>
  <c r="AC377" i="9"/>
  <c r="D377" i="9"/>
  <c r="AB377" i="9"/>
  <c r="T378" i="7"/>
  <c r="AC393" i="9"/>
  <c r="D393" i="9"/>
  <c r="AB393" i="9"/>
  <c r="T394" i="7"/>
  <c r="AC380" i="9"/>
  <c r="D380" i="9"/>
  <c r="AB380" i="9"/>
  <c r="T381" i="7"/>
  <c r="AC396" i="9"/>
  <c r="D396" i="9"/>
  <c r="AB396" i="9"/>
  <c r="T397" i="7"/>
  <c r="AC379" i="9"/>
  <c r="D379" i="9"/>
  <c r="AB379" i="9"/>
  <c r="T380" i="7"/>
  <c r="AC395" i="9"/>
  <c r="D395" i="9"/>
  <c r="AB395" i="9"/>
  <c r="T396" i="7"/>
  <c r="AB378" i="9"/>
  <c r="AC378" i="9"/>
  <c r="D378" i="9"/>
  <c r="T379" i="7"/>
  <c r="AB394" i="9"/>
  <c r="AC394" i="9"/>
  <c r="D394" i="9"/>
  <c r="T395" i="7"/>
  <c r="K402" i="9"/>
  <c r="AN402" i="9"/>
  <c r="AO402" i="9"/>
  <c r="AP402" i="9"/>
  <c r="O402" i="9"/>
  <c r="L402" i="9"/>
  <c r="L405" i="9"/>
  <c r="K405" i="9"/>
  <c r="AN405" i="9"/>
  <c r="AO405" i="9"/>
  <c r="AP405" i="9"/>
  <c r="O405" i="9"/>
  <c r="L401" i="9"/>
  <c r="K401" i="9"/>
  <c r="AN401" i="9"/>
  <c r="AO401" i="9"/>
  <c r="AP401" i="9"/>
  <c r="O401" i="9"/>
  <c r="AC397" i="9"/>
  <c r="D397" i="9"/>
  <c r="AB397" i="9"/>
  <c r="T398" i="7"/>
  <c r="AC384" i="9"/>
  <c r="D384" i="9"/>
  <c r="AB384" i="9"/>
  <c r="T385" i="7"/>
  <c r="AC383" i="9"/>
  <c r="D383" i="9"/>
  <c r="AB383" i="9"/>
  <c r="T384" i="7"/>
  <c r="AB399" i="9"/>
  <c r="AC399" i="9"/>
  <c r="D399" i="9"/>
  <c r="T400" i="7"/>
  <c r="AB382" i="9"/>
  <c r="AC382" i="9"/>
  <c r="D382" i="9"/>
  <c r="T383" i="7"/>
  <c r="AB398" i="9"/>
  <c r="AC398" i="9"/>
  <c r="D398" i="9"/>
  <c r="T399" i="7"/>
  <c r="L400" i="9"/>
  <c r="K400" i="9"/>
  <c r="AN400" i="9"/>
  <c r="AO400" i="9"/>
  <c r="AP400" i="9"/>
  <c r="O400" i="9"/>
  <c r="Y213" i="25"/>
  <c r="Y214" i="25"/>
  <c r="Y215" i="25"/>
  <c r="Y216" i="25"/>
  <c r="Y217" i="25"/>
  <c r="Y218" i="25"/>
  <c r="Y219" i="25"/>
  <c r="Y220" i="25"/>
  <c r="Z212" i="25"/>
  <c r="AG372" i="25" a="1"/>
  <c r="AG372" i="25"/>
  <c r="AG37" i="25" a="1"/>
  <c r="AG37" i="25"/>
  <c r="AG254" i="25" a="1"/>
  <c r="AG254" i="25"/>
  <c r="AG143" i="25" a="1"/>
  <c r="AG143" i="25"/>
  <c r="AG326" i="25" a="1"/>
  <c r="AG326" i="25"/>
  <c r="AG91" i="25" a="1"/>
  <c r="AG91" i="25"/>
  <c r="AG51" i="25" a="1"/>
  <c r="AG51" i="25"/>
  <c r="AG301" i="25" a="1"/>
  <c r="AG301" i="25"/>
  <c r="AG352" i="25" a="1"/>
  <c r="AG352" i="25"/>
  <c r="AG120" i="25" a="1"/>
  <c r="AG120" i="25"/>
  <c r="AG64" i="25" a="1"/>
  <c r="AG64" i="25"/>
  <c r="AG319" i="25" a="1"/>
  <c r="AG319" i="25"/>
  <c r="AG370" i="25" a="1"/>
  <c r="AG370" i="25"/>
  <c r="AG137" i="25" a="1"/>
  <c r="AG137" i="25"/>
  <c r="AG87" i="25" a="1"/>
  <c r="AG87" i="25"/>
  <c r="AG179" i="25" a="1"/>
  <c r="AG179" i="25"/>
  <c r="AG252" i="25" a="1"/>
  <c r="AG252" i="25"/>
  <c r="AG209" i="25" a="1"/>
  <c r="AG209" i="25"/>
  <c r="AG184" i="25" a="1"/>
  <c r="AG184" i="25"/>
  <c r="AG257" i="25" a="1"/>
  <c r="AG257" i="25"/>
  <c r="AG223" i="25" a="1"/>
  <c r="AG223" i="25"/>
  <c r="AG294" i="25" a="1"/>
  <c r="AG294" i="25"/>
  <c r="AG265" i="25" a="1"/>
  <c r="AG265" i="25"/>
  <c r="AG183" i="25" a="1"/>
  <c r="AG183" i="25"/>
  <c r="AG109" i="25" a="1"/>
  <c r="AG109" i="25"/>
  <c r="AG368" i="25" a="1"/>
  <c r="AG368" i="25"/>
  <c r="AG335" i="25" a="1"/>
  <c r="AG335" i="25"/>
  <c r="AG110" i="25" a="1"/>
  <c r="AG110" i="25"/>
  <c r="AG244" i="25" a="1"/>
  <c r="AG244" i="25"/>
  <c r="AG261" i="25" a="1"/>
  <c r="AG261" i="25"/>
  <c r="AG345" i="25" a="1"/>
  <c r="AG345" i="25"/>
  <c r="AG25" i="25" a="1"/>
  <c r="AG25" i="25"/>
  <c r="AG206" i="25" a="1"/>
  <c r="AG206" i="25"/>
  <c r="AG119" i="25" a="1"/>
  <c r="AG119" i="25"/>
  <c r="AG302" i="25" a="1"/>
  <c r="AG302" i="25"/>
  <c r="AG21" i="25" a="1"/>
  <c r="AG21" i="25"/>
  <c r="AG88" i="25" a="1"/>
  <c r="AG88" i="25"/>
  <c r="AG151" i="25" a="1"/>
  <c r="AG151" i="25"/>
  <c r="AG328" i="25" a="1"/>
  <c r="AG328" i="25"/>
  <c r="AG92" i="25" a="1"/>
  <c r="AG92" i="25"/>
  <c r="AG52" i="25" a="1"/>
  <c r="AG52" i="25"/>
  <c r="AG375" i="25" a="1"/>
  <c r="AG375" i="25"/>
  <c r="AG346" i="25" a="1"/>
  <c r="AG346" i="25"/>
  <c r="AG113" i="25" a="1"/>
  <c r="AG113" i="25"/>
  <c r="AG61" i="25" a="1"/>
  <c r="AG61" i="25"/>
  <c r="AG167" i="25" a="1"/>
  <c r="AG167" i="25"/>
  <c r="AG295" i="25" a="1"/>
  <c r="AG295" i="25"/>
  <c r="AG176" i="25" a="1"/>
  <c r="AG176" i="25"/>
  <c r="AG236" i="25" a="1"/>
  <c r="AG236" i="25"/>
  <c r="AG197" i="25" a="1"/>
  <c r="AG197" i="25"/>
  <c r="AG280" i="25" a="1"/>
  <c r="AG280" i="25"/>
  <c r="AG241" i="25" a="1"/>
  <c r="AG241" i="25"/>
  <c r="AG207" i="25" a="1"/>
  <c r="AG207" i="25"/>
  <c r="AG222" i="25" a="1"/>
  <c r="AG222" i="25"/>
  <c r="AG17" i="25" a="1"/>
  <c r="AG17" i="25"/>
  <c r="AG336" i="25" a="1"/>
  <c r="AG336" i="25"/>
  <c r="AG303" i="25" a="1"/>
  <c r="AG303" i="25"/>
  <c r="AG65" i="25" a="1"/>
  <c r="AG65" i="25"/>
  <c r="AG180" i="25" a="1"/>
  <c r="AG180" i="25"/>
  <c r="AG188" i="25" a="1"/>
  <c r="AG188" i="25"/>
  <c r="AG377" i="25" a="1"/>
  <c r="AG377" i="25"/>
  <c r="AG348" i="25" a="1"/>
  <c r="AG348" i="25"/>
  <c r="AG116" i="25" a="1"/>
  <c r="AG116" i="25"/>
  <c r="AG62" i="25" a="1"/>
  <c r="AG62" i="25"/>
  <c r="AG331" i="25" a="1"/>
  <c r="AG331" i="25"/>
  <c r="AG86" i="25" a="1"/>
  <c r="AG86" i="25"/>
  <c r="AG149" i="25" a="1"/>
  <c r="AG149" i="25"/>
  <c r="AG106" i="25" a="1"/>
  <c r="AG106" i="25"/>
  <c r="AG357" i="25" a="1"/>
  <c r="AG357" i="25"/>
  <c r="AG31" i="25" a="1"/>
  <c r="AG31" i="25"/>
  <c r="AG230" i="25" a="1"/>
  <c r="AG230" i="25"/>
  <c r="AG131" i="25" a="1"/>
  <c r="AG131" i="25"/>
  <c r="AG378" i="25" a="1"/>
  <c r="AG378" i="25"/>
  <c r="AG40" i="25" a="1"/>
  <c r="AG40" i="25"/>
  <c r="AG72" i="25" a="1"/>
  <c r="AG72" i="25"/>
  <c r="AG150" i="25" a="1"/>
  <c r="AG150" i="25"/>
  <c r="AG298" i="25" a="1"/>
  <c r="AG298" i="25"/>
  <c r="AG269" i="25" a="1"/>
  <c r="AG269" i="25"/>
  <c r="AG229" i="25" a="1"/>
  <c r="AG229" i="25"/>
  <c r="AG159" i="25" a="1"/>
  <c r="AG159" i="25"/>
  <c r="AG271" i="25" a="1"/>
  <c r="AG271" i="25"/>
  <c r="AG170" i="25" a="1"/>
  <c r="AG170" i="25"/>
  <c r="AG300" i="25" a="1"/>
  <c r="AG300" i="25"/>
  <c r="AG308" i="25" a="1"/>
  <c r="AG308" i="25"/>
  <c r="AG371" i="25" a="1"/>
  <c r="AG371" i="25"/>
  <c r="AG59" i="25" a="1"/>
  <c r="AG59" i="25"/>
  <c r="AG136" i="25" a="1"/>
  <c r="AG136" i="25"/>
  <c r="AG94" i="25" a="1"/>
  <c r="AG94" i="25"/>
  <c r="AG205" i="25" a="1"/>
  <c r="AG205" i="25"/>
  <c r="AG221" i="25" a="1"/>
  <c r="AG221" i="25"/>
  <c r="AG215" i="25" a="1"/>
  <c r="AG215" i="25"/>
  <c r="AG224" i="25" a="1"/>
  <c r="AG224" i="25"/>
  <c r="AG324" i="25" a="1"/>
  <c r="AG324" i="25"/>
  <c r="AG84" i="25" a="1"/>
  <c r="AG84" i="25"/>
  <c r="AG50" i="25" a="1"/>
  <c r="AG50" i="25"/>
  <c r="AG307" i="25" a="1"/>
  <c r="AG307" i="25"/>
  <c r="AG358" i="25" a="1"/>
  <c r="AG358" i="25"/>
  <c r="AG125" i="25" a="1"/>
  <c r="AG125" i="25"/>
  <c r="AG71" i="25" a="1"/>
  <c r="AG71" i="25"/>
  <c r="AG333" i="25" a="1"/>
  <c r="AG333" i="25"/>
  <c r="AG93" i="25" a="1"/>
  <c r="AG93" i="25"/>
  <c r="AG182" i="25" a="1"/>
  <c r="AG182" i="25"/>
  <c r="AG107" i="25" a="1"/>
  <c r="AG107" i="25"/>
  <c r="AG351" i="25" a="1"/>
  <c r="AG351" i="25"/>
  <c r="AG28" i="25" a="1"/>
  <c r="AG28" i="25"/>
  <c r="AG218" i="25" a="1"/>
  <c r="AG218" i="25"/>
  <c r="AG126" i="25" a="1"/>
  <c r="AG126" i="25"/>
  <c r="AG243" i="25" a="1"/>
  <c r="AG243" i="25"/>
  <c r="AG208" i="25" a="1"/>
  <c r="AG208" i="25"/>
  <c r="AG286" i="25" a="1"/>
  <c r="AG286" i="25"/>
  <c r="AG256" i="25" a="1"/>
  <c r="AG256" i="25"/>
  <c r="AG213" i="25" a="1"/>
  <c r="AG213" i="25"/>
  <c r="AG293" i="25" a="1"/>
  <c r="AG293" i="25"/>
  <c r="AG259" i="25" a="1"/>
  <c r="AG259" i="25"/>
  <c r="AG353" i="25" a="1"/>
  <c r="AG353" i="25"/>
  <c r="AG127" i="25" a="1"/>
  <c r="AG127" i="25"/>
  <c r="AG187" i="25" a="1"/>
  <c r="AG187" i="25"/>
  <c r="AG103" i="25" a="1"/>
  <c r="AG103" i="25"/>
  <c r="AG354" i="25" a="1"/>
  <c r="AG354" i="25"/>
  <c r="AG171" i="25" a="1"/>
  <c r="AG171" i="25"/>
  <c r="AG260" i="25" a="1"/>
  <c r="AG260" i="25"/>
  <c r="AG262" i="25" a="1"/>
  <c r="AG262" i="25"/>
  <c r="AG380" i="25" a="1"/>
  <c r="AG380" i="25"/>
  <c r="AG369" i="25" a="1"/>
  <c r="AG369" i="25"/>
  <c r="AG80" i="25" a="1"/>
  <c r="AG80" i="25"/>
  <c r="AG44" i="25" a="1"/>
  <c r="AG44" i="25"/>
  <c r="AG334" i="25" a="1"/>
  <c r="AG334" i="25"/>
  <c r="AG43" i="25" a="1"/>
  <c r="AG43" i="25"/>
  <c r="AG55" i="25" a="1"/>
  <c r="AG55" i="25"/>
  <c r="AG309" i="25" a="1"/>
  <c r="AG309" i="25"/>
  <c r="AG360" i="25" a="1"/>
  <c r="AG360" i="25"/>
  <c r="AG128" i="25" a="1"/>
  <c r="AG128" i="25"/>
  <c r="AG73" i="25" a="1"/>
  <c r="AG73" i="25"/>
  <c r="AG327" i="25" a="1"/>
  <c r="AG327" i="25"/>
  <c r="AG78" i="25" a="1"/>
  <c r="AG78" i="25"/>
  <c r="AG145" i="25" a="1"/>
  <c r="AG145" i="25"/>
  <c r="AG97" i="25" a="1"/>
  <c r="AG97" i="25"/>
  <c r="AG189" i="25" a="1"/>
  <c r="AG189" i="25"/>
  <c r="AG272" i="25" a="1"/>
  <c r="AG272" i="25"/>
  <c r="AG227" i="25" a="1"/>
  <c r="AG227" i="25"/>
  <c r="AG203" i="25" a="1"/>
  <c r="AG203" i="25"/>
  <c r="AG274" i="25" a="1"/>
  <c r="AG274" i="25"/>
  <c r="AG240" i="25" a="1"/>
  <c r="AG240" i="25"/>
  <c r="AG192" i="25" a="1"/>
  <c r="AG192" i="25"/>
  <c r="AG321" i="25" a="1"/>
  <c r="AG321" i="25"/>
  <c r="AG89" i="25" a="1"/>
  <c r="AG89" i="25"/>
  <c r="AG226" i="25" a="1"/>
  <c r="AG226" i="25"/>
  <c r="AG20" i="25" a="1"/>
  <c r="AG20" i="25"/>
  <c r="AG322" i="25" a="1"/>
  <c r="AG322" i="25"/>
  <c r="AG161" i="25" a="1"/>
  <c r="AG161" i="25"/>
  <c r="AG283" i="25" a="1"/>
  <c r="AG283" i="25"/>
  <c r="AG185" i="25" a="1"/>
  <c r="AG185" i="25"/>
  <c r="AG329" i="25" a="1"/>
  <c r="AG329" i="25"/>
  <c r="AG85" i="25" a="1"/>
  <c r="AG85" i="25"/>
  <c r="AG148" i="25" a="1"/>
  <c r="AG148" i="25"/>
  <c r="AG98" i="25" a="1"/>
  <c r="AG98" i="25"/>
  <c r="AG363" i="25" a="1"/>
  <c r="AG363" i="25"/>
  <c r="AG34" i="25" a="1"/>
  <c r="AG34" i="25"/>
  <c r="AG242" i="25" a="1"/>
  <c r="AG242" i="25"/>
  <c r="AG138" i="25" a="1"/>
  <c r="AG138" i="25"/>
  <c r="AG312" i="25" a="1"/>
  <c r="AG312" i="25"/>
  <c r="AG16" i="25" a="1"/>
  <c r="AG16" i="25"/>
  <c r="AG41" i="25" a="1"/>
  <c r="AG41" i="25"/>
  <c r="AG156" i="25" a="1"/>
  <c r="AG156" i="25"/>
  <c r="AG330" i="25" a="1"/>
  <c r="AG330" i="25"/>
  <c r="AG99" i="25" a="1"/>
  <c r="AG99" i="25"/>
  <c r="AG53" i="25" a="1"/>
  <c r="AG53" i="25"/>
  <c r="AG154" i="25" a="1"/>
  <c r="AG154" i="25"/>
  <c r="AG263" i="25" a="1"/>
  <c r="AG263" i="25"/>
  <c r="AG168" i="25" a="1"/>
  <c r="AG168" i="25"/>
  <c r="AG299" i="25" a="1"/>
  <c r="AG299" i="25"/>
  <c r="AG177" i="25" a="1"/>
  <c r="AG177" i="25"/>
  <c r="AG249" i="25" a="1"/>
  <c r="AG249" i="25"/>
  <c r="AG201" i="25" a="1"/>
  <c r="AG201" i="25"/>
  <c r="AG284" i="25" a="1"/>
  <c r="AG284" i="25"/>
  <c r="AG29" i="25" a="1"/>
  <c r="AG29" i="25"/>
  <c r="AG310" i="25" a="1"/>
  <c r="AG310" i="25"/>
  <c r="AG155" i="25" a="1"/>
  <c r="AG155" i="25"/>
  <c r="AG56" i="25" a="1"/>
  <c r="AG56" i="25"/>
  <c r="AG121" i="25" a="1"/>
  <c r="AG121" i="25"/>
  <c r="AG217" i="25" a="1"/>
  <c r="AG217" i="25"/>
  <c r="AG211" i="25" a="1"/>
  <c r="AG211" i="25"/>
  <c r="AG305" i="25" a="1"/>
  <c r="AG305" i="25"/>
  <c r="AG356" i="25" a="1"/>
  <c r="AG356" i="25"/>
  <c r="AG124" i="25" a="1"/>
  <c r="AG124" i="25"/>
  <c r="AG66" i="25" a="1"/>
  <c r="AG66" i="25"/>
  <c r="AG339" i="25" a="1"/>
  <c r="AG339" i="25"/>
  <c r="AG102" i="25" a="1"/>
  <c r="AG102" i="25"/>
  <c r="AG194" i="25" a="1"/>
  <c r="AG194" i="25"/>
  <c r="AG114" i="25" a="1"/>
  <c r="AG114" i="25"/>
  <c r="AG365" i="25" a="1"/>
  <c r="AG365" i="25"/>
  <c r="AG35" i="25" a="1"/>
  <c r="AG35" i="25"/>
  <c r="AG246" i="25" a="1"/>
  <c r="AG246" i="25"/>
  <c r="AG139" i="25" a="1"/>
  <c r="AG139" i="25"/>
  <c r="AG306" i="25" a="1"/>
  <c r="AG306" i="25"/>
  <c r="AG19" i="25" a="1"/>
  <c r="AG19" i="25"/>
  <c r="AG105" i="25" a="1"/>
  <c r="AG105" i="25"/>
  <c r="AG153" i="25" a="1"/>
  <c r="AG153" i="25"/>
  <c r="AG199" i="25" a="1"/>
  <c r="AG199" i="25"/>
  <c r="AG285" i="25" a="1"/>
  <c r="AG285" i="25"/>
  <c r="AG247" i="25" a="1"/>
  <c r="AG247" i="25"/>
  <c r="AG165" i="25" a="1"/>
  <c r="AG165" i="25"/>
  <c r="AG287" i="25" a="1"/>
  <c r="AG287" i="25"/>
  <c r="AG174" i="25" a="1"/>
  <c r="AG174" i="25"/>
  <c r="AG233" i="25" a="1"/>
  <c r="AG233" i="25"/>
  <c r="AG69" i="25" a="1"/>
  <c r="AG69" i="25"/>
  <c r="AG355" i="25" a="1"/>
  <c r="AG355" i="25"/>
  <c r="AG130" i="25" a="1"/>
  <c r="AG130" i="25"/>
  <c r="AG96" i="25" a="1"/>
  <c r="AG96" i="25"/>
  <c r="AG83" i="25" a="1"/>
  <c r="AG83" i="25"/>
  <c r="AG245" i="25" a="1"/>
  <c r="AG245" i="25"/>
  <c r="AG173" i="25" a="1"/>
  <c r="AG173" i="25"/>
  <c r="AG268" i="25" a="1"/>
  <c r="AG268" i="25"/>
  <c r="AG332" i="25" a="1"/>
  <c r="AG332" i="25"/>
  <c r="AG100" i="25" a="1"/>
  <c r="AG100" i="25"/>
  <c r="AG54" i="25" a="1"/>
  <c r="AG54" i="25"/>
  <c r="AG315" i="25" a="1"/>
  <c r="AG315" i="25"/>
  <c r="AG366" i="25" a="1"/>
  <c r="AG366" i="25"/>
  <c r="AG133" i="25" a="1"/>
  <c r="AG133" i="25"/>
  <c r="AG81" i="25" a="1"/>
  <c r="AG81" i="25"/>
  <c r="AG341" i="25" a="1"/>
  <c r="AG341" i="25"/>
  <c r="AG23" i="25" a="1"/>
  <c r="AG23" i="25"/>
  <c r="AG198" i="25" a="1"/>
  <c r="AG198" i="25"/>
  <c r="AG115" i="25" a="1"/>
  <c r="AG115" i="25"/>
  <c r="AG359" i="25" a="1"/>
  <c r="AG359" i="25"/>
  <c r="AG32" i="25" a="1"/>
  <c r="AG32" i="25"/>
  <c r="AG234" i="25" a="1"/>
  <c r="AG234" i="25"/>
  <c r="AG134" i="25" a="1"/>
  <c r="AG134" i="25"/>
  <c r="AG266" i="25" a="1"/>
  <c r="AG266" i="25"/>
  <c r="AG237" i="25" a="1"/>
  <c r="AG237" i="25"/>
  <c r="AG296" i="25" a="1"/>
  <c r="AG296" i="25"/>
  <c r="AG273" i="25" a="1"/>
  <c r="AG273" i="25"/>
  <c r="AG231" i="25" a="1"/>
  <c r="AG231" i="25"/>
  <c r="AG162" i="25" a="1"/>
  <c r="AG162" i="25"/>
  <c r="AG275" i="25" a="1"/>
  <c r="AG275" i="25"/>
  <c r="AG340" i="25" a="1"/>
  <c r="AG340" i="25"/>
  <c r="AG323" i="25" a="1"/>
  <c r="AG323" i="25"/>
  <c r="AG90" i="25" a="1"/>
  <c r="AG90" i="25"/>
  <c r="AG214" i="25" a="1"/>
  <c r="AG214" i="25"/>
  <c r="AG36" i="25" a="1"/>
  <c r="AG36" i="25"/>
  <c r="AG282" i="25" a="1"/>
  <c r="AG282" i="25"/>
  <c r="AG289" i="25" a="1"/>
  <c r="AG289" i="25"/>
  <c r="AG291" i="25" a="1"/>
  <c r="AG291" i="25"/>
  <c r="AG361" i="25" a="1"/>
  <c r="AG361" i="25"/>
  <c r="AG33" i="25" a="1"/>
  <c r="AG33" i="25"/>
  <c r="AG238" i="25" a="1"/>
  <c r="AG238" i="25"/>
  <c r="AG135" i="25" a="1"/>
  <c r="AG135" i="25"/>
  <c r="AG318" i="25" a="1"/>
  <c r="AG318" i="25"/>
  <c r="AG75" i="25" a="1"/>
  <c r="AG75" i="25"/>
  <c r="AG47" i="25" a="1"/>
  <c r="AG47" i="25"/>
  <c r="AG373" i="25" a="1"/>
  <c r="AG373" i="25"/>
  <c r="AG344" i="25" a="1"/>
  <c r="AG344" i="25"/>
  <c r="AG112" i="25" a="1"/>
  <c r="AG112" i="25"/>
  <c r="AG60" i="25" a="1"/>
  <c r="AG60" i="25"/>
  <c r="AG311" i="25" a="1"/>
  <c r="AG311" i="25"/>
  <c r="AG362" i="25" a="1"/>
  <c r="AG362" i="25"/>
  <c r="AG129" i="25" a="1"/>
  <c r="AG129" i="25"/>
  <c r="AG74" i="25" a="1"/>
  <c r="AG74" i="25"/>
  <c r="AG175" i="25" a="1"/>
  <c r="AG175" i="25"/>
  <c r="AG235" i="25" a="1"/>
  <c r="AG235" i="25"/>
  <c r="AG193" i="25" a="1"/>
  <c r="AG193" i="25"/>
  <c r="AG276" i="25" a="1"/>
  <c r="AG276" i="25"/>
  <c r="AG228" i="25" a="1"/>
  <c r="AG228" i="25"/>
  <c r="AG204" i="25" a="1"/>
  <c r="AG204" i="25"/>
  <c r="AG278" i="25" a="1"/>
  <c r="AG278" i="25"/>
  <c r="AG253" i="25" a="1"/>
  <c r="AG253" i="25"/>
  <c r="AG140" i="25" a="1"/>
  <c r="AG140" i="25"/>
  <c r="AG30" i="25" a="1"/>
  <c r="AG30" i="25"/>
  <c r="AG304" i="25" a="1"/>
  <c r="AG304" i="25"/>
  <c r="AG152" i="25" a="1"/>
  <c r="AG152" i="25"/>
  <c r="AG49" i="25" a="1"/>
  <c r="AG49" i="25"/>
  <c r="AG164" i="25" a="1"/>
  <c r="AG164" i="25"/>
  <c r="AG220" i="25" a="1"/>
  <c r="AG220" i="25"/>
  <c r="AG337" i="25" a="1"/>
  <c r="AG337" i="25"/>
  <c r="AG101" i="25" a="1"/>
  <c r="AG101" i="25"/>
  <c r="AG190" i="25" a="1"/>
  <c r="AG190" i="25"/>
  <c r="AG111" i="25" a="1"/>
  <c r="AG111" i="25"/>
  <c r="AG374" i="25" a="1"/>
  <c r="AG374" i="25"/>
  <c r="AG38" i="25" a="1"/>
  <c r="AG38" i="25"/>
  <c r="AG258" i="25" a="1"/>
  <c r="AG258" i="25"/>
  <c r="AG146" i="25" a="1"/>
  <c r="AG146" i="25"/>
  <c r="AG320" i="25" a="1"/>
  <c r="AG320" i="25"/>
  <c r="AG76" i="25" a="1"/>
  <c r="AG76" i="25"/>
  <c r="AG48" i="25" a="1"/>
  <c r="AG48" i="25"/>
  <c r="AG160" i="25" a="1"/>
  <c r="AG160" i="25"/>
  <c r="AG338" i="25" a="1"/>
  <c r="AG338" i="25"/>
  <c r="AG104" i="25" a="1"/>
  <c r="AG104" i="25"/>
  <c r="AG57" i="25" a="1"/>
  <c r="AG57" i="25"/>
  <c r="AG163" i="25" a="1"/>
  <c r="AG163" i="25"/>
  <c r="AG279" i="25" a="1"/>
  <c r="AG279" i="25"/>
  <c r="AG172" i="25" a="1"/>
  <c r="AG172" i="25"/>
  <c r="AG219" i="25" a="1"/>
  <c r="AG219" i="25"/>
  <c r="AG181" i="25" a="1"/>
  <c r="AG181" i="25"/>
  <c r="AG264" i="25" a="1"/>
  <c r="AG264" i="25"/>
  <c r="AG212" i="25" a="1"/>
  <c r="AG212" i="25"/>
  <c r="AG195" i="25" a="1"/>
  <c r="AG195" i="25"/>
  <c r="AG108" i="25" a="1"/>
  <c r="AG108" i="25"/>
  <c r="AG70" i="25" a="1"/>
  <c r="AG70" i="25"/>
  <c r="AG349" i="25" a="1"/>
  <c r="AG349" i="25"/>
  <c r="AG123" i="25" a="1"/>
  <c r="AG123" i="25"/>
  <c r="AG250" i="25" a="1"/>
  <c r="AG250" i="25"/>
  <c r="AG255" i="25" a="1"/>
  <c r="AG255" i="25"/>
  <c r="AG248" i="25" a="1"/>
  <c r="AG248" i="25"/>
  <c r="AG313" i="25" a="1"/>
  <c r="AG313" i="25"/>
  <c r="AG364" i="25" a="1"/>
  <c r="AG364" i="25"/>
  <c r="AG132" i="25" a="1"/>
  <c r="AG132" i="25"/>
  <c r="AG79" i="25" a="1"/>
  <c r="AG79" i="25"/>
  <c r="AG347" i="25" a="1"/>
  <c r="AG347" i="25"/>
  <c r="AG26" i="25" a="1"/>
  <c r="AG26" i="25"/>
  <c r="AG210" i="25" a="1"/>
  <c r="AG210" i="25"/>
  <c r="AG122" i="25" a="1"/>
  <c r="AG122" i="25"/>
  <c r="AG376" i="25" a="1"/>
  <c r="AG376" i="25"/>
  <c r="AG39" i="25" a="1"/>
  <c r="AG39" i="25"/>
  <c r="AG42" i="25" a="1"/>
  <c r="AG42" i="25"/>
  <c r="AG147" i="25" a="1"/>
  <c r="AG147" i="25"/>
  <c r="AG314" i="25" a="1"/>
  <c r="AG314" i="25"/>
  <c r="AG67" i="25" a="1"/>
  <c r="AG67" i="25"/>
  <c r="AG45" i="25" a="1"/>
  <c r="AG45" i="25"/>
  <c r="AG157" i="25" a="1"/>
  <c r="AG157" i="25"/>
  <c r="AG216" i="25" a="1"/>
  <c r="AG216" i="25"/>
  <c r="AG158" i="25" a="1"/>
  <c r="AG158" i="25"/>
  <c r="AG267" i="25" a="1"/>
  <c r="AG267" i="25"/>
  <c r="AG169" i="25" a="1"/>
  <c r="AG169" i="25"/>
  <c r="AG288" i="25" a="1"/>
  <c r="AG288" i="25"/>
  <c r="AG178" i="25" a="1"/>
  <c r="AG178" i="25"/>
  <c r="AG251" i="25" a="1"/>
  <c r="AG251" i="25"/>
  <c r="AG18" i="25" a="1"/>
  <c r="AG18" i="25"/>
  <c r="AG342" i="25" a="1"/>
  <c r="AG342" i="25"/>
  <c r="AG317" i="25" a="1"/>
  <c r="AG317" i="25"/>
  <c r="AG82" i="25" a="1"/>
  <c r="AG82" i="25"/>
  <c r="AG186" i="25" a="1"/>
  <c r="AG186" i="25"/>
  <c r="AG292" i="25" a="1"/>
  <c r="AG292" i="25"/>
  <c r="AG290" i="25" a="1"/>
  <c r="AG290" i="25"/>
  <c r="AG297" i="25" a="1"/>
  <c r="AG297" i="25"/>
  <c r="AG316" i="25" a="1"/>
  <c r="AG316" i="25"/>
  <c r="AG68" i="25" a="1"/>
  <c r="AG68" i="25"/>
  <c r="AG46" i="25" a="1"/>
  <c r="AG46" i="25"/>
  <c r="AG379" i="25" a="1"/>
  <c r="AG379" i="25"/>
  <c r="AG350" i="25" a="1"/>
  <c r="AG350" i="25"/>
  <c r="AG117" i="25" a="1"/>
  <c r="AG117" i="25"/>
  <c r="AG63" i="25" a="1"/>
  <c r="AG63" i="25"/>
  <c r="AG325" i="25" a="1"/>
  <c r="AG325" i="25"/>
  <c r="AG77" i="25" a="1"/>
  <c r="AG77" i="25"/>
  <c r="AG144" i="25" a="1"/>
  <c r="AG144" i="25"/>
  <c r="AG95" i="25" a="1"/>
  <c r="AG95" i="25"/>
  <c r="AG343" i="25" a="1"/>
  <c r="AG343" i="25"/>
  <c r="AG24" i="25" a="1"/>
  <c r="AG24" i="25"/>
  <c r="AG202" i="25" a="1"/>
  <c r="AG202" i="25"/>
  <c r="AG118" i="25" a="1"/>
  <c r="AG118" i="25"/>
  <c r="AG225" i="25" a="1"/>
  <c r="AG225" i="25"/>
  <c r="AG196" i="25" a="1"/>
  <c r="AG196" i="25"/>
  <c r="AG270" i="25" a="1"/>
  <c r="AG270" i="25"/>
  <c r="AG239" i="25" a="1"/>
  <c r="AG239" i="25"/>
  <c r="AG191" i="25" a="1"/>
  <c r="AG191" i="25"/>
  <c r="AG277" i="25" a="1"/>
  <c r="AG277" i="25"/>
  <c r="AG232" i="25" a="1"/>
  <c r="AG232" i="25"/>
  <c r="AG281" i="25" a="1"/>
  <c r="AG281" i="25"/>
  <c r="AG58" i="25" a="1"/>
  <c r="AG58" i="25"/>
  <c r="AG141" i="25" a="1"/>
  <c r="AG141" i="25"/>
  <c r="AG27" i="25" a="1"/>
  <c r="AG27" i="25"/>
  <c r="AG367" i="25" a="1"/>
  <c r="AG367" i="25"/>
  <c r="AG142" i="25" a="1"/>
  <c r="AG142" i="25"/>
  <c r="AG200" i="25" a="1"/>
  <c r="AG200" i="25"/>
  <c r="AG166" i="25" a="1"/>
  <c r="AG166" i="25"/>
  <c r="O600" i="25"/>
  <c r="N595" i="25"/>
  <c r="Q58" i="9"/>
  <c r="S59" i="9"/>
  <c r="N59" i="9"/>
  <c r="A26" i="25"/>
  <c r="D26" i="25"/>
  <c r="B23" i="29"/>
  <c r="C60" i="9"/>
  <c r="B60" i="9"/>
  <c r="X59" i="9"/>
  <c r="P59" i="9"/>
  <c r="U59" i="9"/>
  <c r="W59" i="9"/>
  <c r="E22" i="29"/>
  <c r="AD22" i="29"/>
  <c r="D22" i="29"/>
  <c r="AC22" i="29"/>
  <c r="F21" i="29"/>
  <c r="AE21" i="29"/>
  <c r="AD21" i="29"/>
  <c r="E25" i="25"/>
  <c r="H25" i="25"/>
  <c r="F25" i="25"/>
  <c r="G25" i="25"/>
  <c r="V25" i="25"/>
  <c r="I25" i="25"/>
  <c r="W25" i="25"/>
  <c r="U25" i="25"/>
  <c r="K25" i="25"/>
  <c r="T25" i="25"/>
  <c r="AE616" i="9"/>
  <c r="M616" i="9"/>
  <c r="AD615" i="9"/>
  <c r="AE250" i="9"/>
  <c r="M250" i="9"/>
  <c r="AD250" i="9"/>
  <c r="T251" i="11"/>
  <c r="AE266" i="9"/>
  <c r="M266" i="9"/>
  <c r="AD266" i="9"/>
  <c r="T267" i="11"/>
  <c r="AE264" i="9"/>
  <c r="M264" i="9"/>
  <c r="AD264" i="9"/>
  <c r="T265" i="11"/>
  <c r="AE620" i="9"/>
  <c r="M620" i="9"/>
  <c r="AD619" i="9"/>
  <c r="AE254" i="9"/>
  <c r="M254" i="9"/>
  <c r="AD254" i="9"/>
  <c r="T255" i="11"/>
  <c r="AE270" i="9"/>
  <c r="M270" i="9"/>
  <c r="AD270" i="9"/>
  <c r="T271" i="11"/>
  <c r="AD625" i="9"/>
  <c r="AE260" i="9"/>
  <c r="M260" i="9"/>
  <c r="AD260" i="9"/>
  <c r="T261" i="11"/>
  <c r="AD612" i="9"/>
  <c r="AE613" i="9"/>
  <c r="M613" i="9"/>
  <c r="AD247" i="9"/>
  <c r="AE247" i="9"/>
  <c r="M247" i="9"/>
  <c r="T248" i="11"/>
  <c r="AD263" i="9"/>
  <c r="AE263" i="9"/>
  <c r="M263" i="9"/>
  <c r="T264" i="11"/>
  <c r="AD622" i="9"/>
  <c r="AE623" i="9"/>
  <c r="M623" i="9"/>
  <c r="AD257" i="9"/>
  <c r="AE257" i="9"/>
  <c r="M257" i="9"/>
  <c r="T258" i="11"/>
  <c r="AD273" i="9"/>
  <c r="AE273" i="9"/>
  <c r="M273" i="9"/>
  <c r="T274" i="11"/>
  <c r="AE272" i="9"/>
  <c r="M272" i="9"/>
  <c r="AD272" i="9"/>
  <c r="T273" i="11"/>
  <c r="AD261" i="9"/>
  <c r="AE261" i="9"/>
  <c r="M261" i="9"/>
  <c r="T262" i="11"/>
  <c r="AD277" i="9"/>
  <c r="AE277" i="9"/>
  <c r="M277" i="9"/>
  <c r="T278" i="11"/>
  <c r="AE268" i="9"/>
  <c r="M268" i="9"/>
  <c r="AD268" i="9"/>
  <c r="T269" i="11"/>
  <c r="AD616" i="9"/>
  <c r="AE617" i="9"/>
  <c r="M617" i="9"/>
  <c r="AD251" i="9"/>
  <c r="AE251" i="9"/>
  <c r="M251" i="9"/>
  <c r="T252" i="11"/>
  <c r="AD267" i="9"/>
  <c r="AE267" i="9"/>
  <c r="M267" i="9"/>
  <c r="T268" i="11"/>
  <c r="H244" i="11"/>
  <c r="Q244" i="11"/>
  <c r="N244" i="11"/>
  <c r="H240" i="11"/>
  <c r="Q240" i="11"/>
  <c r="N240" i="11"/>
  <c r="H236" i="11"/>
  <c r="Q236" i="11"/>
  <c r="N236" i="11"/>
  <c r="H232" i="11"/>
  <c r="Q232" i="11"/>
  <c r="N232" i="11"/>
  <c r="H228" i="11"/>
  <c r="Q228" i="11"/>
  <c r="N228" i="11"/>
  <c r="H245" i="11"/>
  <c r="Q245" i="11"/>
  <c r="N245" i="11"/>
  <c r="H237" i="11"/>
  <c r="Q237" i="11"/>
  <c r="N237" i="11"/>
  <c r="H229" i="11"/>
  <c r="Q229" i="11"/>
  <c r="N229" i="11"/>
  <c r="H225" i="11"/>
  <c r="Q225" i="11"/>
  <c r="N225" i="11"/>
  <c r="H221" i="11"/>
  <c r="Q221" i="11"/>
  <c r="N221" i="11"/>
  <c r="I214" i="11"/>
  <c r="H247" i="11"/>
  <c r="Q247" i="11"/>
  <c r="N247" i="11"/>
  <c r="H246" i="11"/>
  <c r="Q246" i="11"/>
  <c r="N246" i="11"/>
  <c r="H239" i="11"/>
  <c r="Q239" i="11"/>
  <c r="N239" i="11"/>
  <c r="H238" i="11"/>
  <c r="Q238" i="11"/>
  <c r="N238" i="11"/>
  <c r="H231" i="11"/>
  <c r="Q231" i="11"/>
  <c r="N231" i="11"/>
  <c r="H230" i="11"/>
  <c r="Q230" i="11"/>
  <c r="N230" i="11"/>
  <c r="H226" i="11"/>
  <c r="Q226" i="11"/>
  <c r="N226" i="11"/>
  <c r="H222" i="11"/>
  <c r="Q222" i="11"/>
  <c r="N222" i="11"/>
  <c r="H218" i="11"/>
  <c r="Q218" i="11"/>
  <c r="N218" i="11"/>
  <c r="I215" i="11"/>
  <c r="H241" i="11"/>
  <c r="Q241" i="11"/>
  <c r="N241" i="11"/>
  <c r="H233" i="11"/>
  <c r="Q233" i="11"/>
  <c r="N233" i="11"/>
  <c r="H223" i="11"/>
  <c r="Q223" i="11"/>
  <c r="N223" i="11"/>
  <c r="H219" i="11"/>
  <c r="Q219" i="11"/>
  <c r="N219" i="11"/>
  <c r="I216" i="11"/>
  <c r="I212" i="11"/>
  <c r="H243" i="11"/>
  <c r="Q243" i="11"/>
  <c r="N243" i="11"/>
  <c r="H242" i="11"/>
  <c r="Q242" i="11"/>
  <c r="N242" i="11"/>
  <c r="H235" i="11"/>
  <c r="Q235" i="11"/>
  <c r="N235" i="11"/>
  <c r="H234" i="11"/>
  <c r="Q234" i="11"/>
  <c r="N234" i="11"/>
  <c r="H227" i="11"/>
  <c r="Q227" i="11"/>
  <c r="N227" i="11"/>
  <c r="H224" i="11"/>
  <c r="Q224" i="11"/>
  <c r="N224" i="11"/>
  <c r="H220" i="11"/>
  <c r="Q220" i="11"/>
  <c r="N220" i="11"/>
  <c r="I217" i="11"/>
  <c r="I213" i="11"/>
  <c r="I209" i="11"/>
  <c r="I205" i="11"/>
  <c r="I201" i="11"/>
  <c r="I197" i="11"/>
  <c r="I193" i="11"/>
  <c r="I189" i="11"/>
  <c r="I211" i="11"/>
  <c r="I210" i="11"/>
  <c r="I203" i="11"/>
  <c r="I202" i="11"/>
  <c r="I195" i="11"/>
  <c r="I194" i="11"/>
  <c r="I187" i="11"/>
  <c r="I208" i="11"/>
  <c r="I200" i="11"/>
  <c r="I192" i="11"/>
  <c r="I207" i="11"/>
  <c r="I206" i="11"/>
  <c r="I199" i="11"/>
  <c r="I198" i="11"/>
  <c r="I191" i="11"/>
  <c r="I190" i="11"/>
  <c r="I204" i="11"/>
  <c r="I196" i="11"/>
  <c r="I188" i="11"/>
  <c r="M10" i="10"/>
  <c r="AE624" i="9"/>
  <c r="M624" i="9"/>
  <c r="AD623" i="9"/>
  <c r="AE258" i="9"/>
  <c r="M258" i="9"/>
  <c r="AD258" i="9"/>
  <c r="T259" i="11"/>
  <c r="AE274" i="9"/>
  <c r="M274" i="9"/>
  <c r="AD274" i="9"/>
  <c r="T275" i="11"/>
  <c r="AE614" i="9"/>
  <c r="M614" i="9"/>
  <c r="AD613" i="9"/>
  <c r="AE248" i="9"/>
  <c r="M248" i="9"/>
  <c r="AD248" i="9"/>
  <c r="T249" i="11"/>
  <c r="AE262" i="9"/>
  <c r="M262" i="9"/>
  <c r="AD262" i="9"/>
  <c r="T263" i="11"/>
  <c r="AE276" i="9"/>
  <c r="M276" i="9"/>
  <c r="AD276" i="9"/>
  <c r="T277" i="11"/>
  <c r="AD620" i="9"/>
  <c r="AE621" i="9"/>
  <c r="M621" i="9"/>
  <c r="AD255" i="9"/>
  <c r="AE255" i="9"/>
  <c r="M255" i="9"/>
  <c r="T256" i="11"/>
  <c r="AD271" i="9"/>
  <c r="AE271" i="9"/>
  <c r="M271" i="9"/>
  <c r="T272" i="11"/>
  <c r="AD614" i="9"/>
  <c r="AE615" i="9"/>
  <c r="M615" i="9"/>
  <c r="AD249" i="9"/>
  <c r="AE249" i="9"/>
  <c r="M249" i="9"/>
  <c r="T250" i="11"/>
  <c r="AD265" i="9"/>
  <c r="AE265" i="9"/>
  <c r="M265" i="9"/>
  <c r="T266" i="11"/>
  <c r="AE622" i="9"/>
  <c r="M622" i="9"/>
  <c r="AD621" i="9"/>
  <c r="AE256" i="9"/>
  <c r="M256" i="9"/>
  <c r="AD256" i="9"/>
  <c r="T257" i="11"/>
  <c r="AD618" i="9"/>
  <c r="AE619" i="9"/>
  <c r="M619" i="9"/>
  <c r="AD253" i="9"/>
  <c r="AE253" i="9"/>
  <c r="M253" i="9"/>
  <c r="T254" i="11"/>
  <c r="AD269" i="9"/>
  <c r="AE269" i="9"/>
  <c r="M269" i="9"/>
  <c r="T270" i="11"/>
  <c r="AE618" i="9"/>
  <c r="M618" i="9"/>
  <c r="AD617" i="9"/>
  <c r="AE252" i="9"/>
  <c r="M252" i="9"/>
  <c r="AD252" i="9"/>
  <c r="T253" i="11"/>
  <c r="AD624" i="9"/>
  <c r="AE625" i="9"/>
  <c r="M625" i="9"/>
  <c r="AD259" i="9"/>
  <c r="AE259" i="9"/>
  <c r="M259" i="9"/>
  <c r="T260" i="11"/>
  <c r="AD275" i="9"/>
  <c r="AE275" i="9"/>
  <c r="M275" i="9"/>
  <c r="T276" i="11"/>
  <c r="L383" i="9"/>
  <c r="K383" i="9"/>
  <c r="AN383" i="9"/>
  <c r="AO383" i="9"/>
  <c r="AP383" i="9"/>
  <c r="O383" i="9"/>
  <c r="K398" i="9"/>
  <c r="AN398" i="9"/>
  <c r="AO398" i="9"/>
  <c r="AP398" i="9"/>
  <c r="O398" i="9"/>
  <c r="L398" i="9"/>
  <c r="L397" i="9"/>
  <c r="K397" i="9"/>
  <c r="AN397" i="9"/>
  <c r="AO397" i="9"/>
  <c r="AP397" i="9"/>
  <c r="O397" i="9"/>
  <c r="L384" i="9"/>
  <c r="K384" i="9"/>
  <c r="AN384" i="9"/>
  <c r="AO384" i="9"/>
  <c r="AP384" i="9"/>
  <c r="O384" i="9"/>
  <c r="L396" i="9"/>
  <c r="K396" i="9"/>
  <c r="AN396" i="9"/>
  <c r="AO396" i="9"/>
  <c r="AP396" i="9"/>
  <c r="O396" i="9"/>
  <c r="AB343" i="9"/>
  <c r="AC343" i="9"/>
  <c r="D343" i="9"/>
  <c r="T344" i="7"/>
  <c r="AC342" i="9"/>
  <c r="D342" i="9"/>
  <c r="AB342" i="9"/>
  <c r="T343" i="7"/>
  <c r="AB348" i="9"/>
  <c r="AC348" i="9"/>
  <c r="D348" i="9"/>
  <c r="T349" i="7"/>
  <c r="AC346" i="9"/>
  <c r="D346" i="9"/>
  <c r="AB346" i="9"/>
  <c r="T347" i="7"/>
  <c r="AB345" i="9"/>
  <c r="AC345" i="9"/>
  <c r="D345" i="9"/>
  <c r="T346" i="7"/>
  <c r="AB361" i="9"/>
  <c r="AC361" i="9"/>
  <c r="D361" i="9"/>
  <c r="T362" i="7"/>
  <c r="AC360" i="9"/>
  <c r="D360" i="9"/>
  <c r="AB360" i="9"/>
  <c r="T361" i="7"/>
  <c r="AC355" i="9"/>
  <c r="D355" i="9"/>
  <c r="AB355" i="9"/>
  <c r="T356" i="7"/>
  <c r="L374" i="9"/>
  <c r="K374" i="9"/>
  <c r="AN374" i="9"/>
  <c r="AO374" i="9"/>
  <c r="AP374" i="9"/>
  <c r="O374" i="9"/>
  <c r="L391" i="9"/>
  <c r="K391" i="9"/>
  <c r="AN391" i="9"/>
  <c r="AO391" i="9"/>
  <c r="AP391" i="9"/>
  <c r="O391" i="9"/>
  <c r="K389" i="9"/>
  <c r="AN389" i="9"/>
  <c r="AO389" i="9"/>
  <c r="AP389" i="9"/>
  <c r="O389" i="9"/>
  <c r="L389" i="9"/>
  <c r="L371" i="9"/>
  <c r="K371" i="9"/>
  <c r="AN371" i="9"/>
  <c r="AO371" i="9"/>
  <c r="AP371" i="9"/>
  <c r="O371" i="9"/>
  <c r="K369" i="9"/>
  <c r="AN369" i="9"/>
  <c r="AO369" i="9"/>
  <c r="AP369" i="9"/>
  <c r="O369" i="9"/>
  <c r="L369" i="9"/>
  <c r="L399" i="9"/>
  <c r="K399" i="9"/>
  <c r="AN399" i="9"/>
  <c r="AO399" i="9"/>
  <c r="AP399" i="9"/>
  <c r="O399" i="9"/>
  <c r="L379" i="9"/>
  <c r="K379" i="9"/>
  <c r="AN379" i="9"/>
  <c r="AO379" i="9"/>
  <c r="AP379" i="9"/>
  <c r="O379" i="9"/>
  <c r="K377" i="9"/>
  <c r="AN377" i="9"/>
  <c r="AO377" i="9"/>
  <c r="AP377" i="9"/>
  <c r="O377" i="9"/>
  <c r="L377" i="9"/>
  <c r="AC344" i="9"/>
  <c r="D344" i="9"/>
  <c r="AB344" i="9"/>
  <c r="T345" i="7"/>
  <c r="AC339" i="9"/>
  <c r="D339" i="9"/>
  <c r="AB339" i="9"/>
  <c r="T340" i="7"/>
  <c r="AC350" i="9"/>
  <c r="D350" i="9"/>
  <c r="AB350" i="9"/>
  <c r="T351" i="7"/>
  <c r="AB349" i="9"/>
  <c r="AC349" i="9"/>
  <c r="D349" i="9"/>
  <c r="T350" i="7"/>
  <c r="AB365" i="9"/>
  <c r="AC365" i="9"/>
  <c r="D365" i="9"/>
  <c r="T366" i="7"/>
  <c r="AB364" i="9"/>
  <c r="AC364" i="9"/>
  <c r="D364" i="9"/>
  <c r="T365" i="7"/>
  <c r="AB359" i="9"/>
  <c r="AC359" i="9"/>
  <c r="D359" i="9"/>
  <c r="T360" i="7"/>
  <c r="L390" i="9"/>
  <c r="K390" i="9"/>
  <c r="AN390" i="9"/>
  <c r="AO390" i="9"/>
  <c r="AP390" i="9"/>
  <c r="O390" i="9"/>
  <c r="L376" i="9"/>
  <c r="K376" i="9"/>
  <c r="AN376" i="9"/>
  <c r="AO376" i="9"/>
  <c r="AP376" i="9"/>
  <c r="O376" i="9"/>
  <c r="L370" i="9"/>
  <c r="K370" i="9"/>
  <c r="AN370" i="9"/>
  <c r="AO370" i="9"/>
  <c r="AP370" i="9"/>
  <c r="O370" i="9"/>
  <c r="L387" i="9"/>
  <c r="K387" i="9"/>
  <c r="AN387" i="9"/>
  <c r="AO387" i="9"/>
  <c r="AP387" i="9"/>
  <c r="O387" i="9"/>
  <c r="K385" i="9"/>
  <c r="AN385" i="9"/>
  <c r="AO385" i="9"/>
  <c r="AP385" i="9"/>
  <c r="O385" i="9"/>
  <c r="L385" i="9"/>
  <c r="L382" i="9"/>
  <c r="K382" i="9"/>
  <c r="AN382" i="9"/>
  <c r="AO382" i="9"/>
  <c r="AP382" i="9"/>
  <c r="O382" i="9"/>
  <c r="L378" i="9"/>
  <c r="K378" i="9"/>
  <c r="AN378" i="9"/>
  <c r="AO378" i="9"/>
  <c r="AP378" i="9"/>
  <c r="O378" i="9"/>
  <c r="L395" i="9"/>
  <c r="K395" i="9"/>
  <c r="AN395" i="9"/>
  <c r="AO395" i="9"/>
  <c r="AP395" i="9"/>
  <c r="O395" i="9"/>
  <c r="K393" i="9"/>
  <c r="AN393" i="9"/>
  <c r="AO393" i="9"/>
  <c r="AP393" i="9"/>
  <c r="O393" i="9"/>
  <c r="L393" i="9"/>
  <c r="H338" i="7"/>
  <c r="Q338" i="7"/>
  <c r="N338" i="7"/>
  <c r="H334" i="7"/>
  <c r="Q334" i="7"/>
  <c r="N334" i="7"/>
  <c r="H330" i="7"/>
  <c r="Q330" i="7"/>
  <c r="N330" i="7"/>
  <c r="H326" i="7"/>
  <c r="Q326" i="7"/>
  <c r="N326" i="7"/>
  <c r="H322" i="7"/>
  <c r="Q322" i="7"/>
  <c r="N322" i="7"/>
  <c r="H318" i="7"/>
  <c r="Q318" i="7"/>
  <c r="N318" i="7"/>
  <c r="H339" i="7"/>
  <c r="Q339" i="7"/>
  <c r="N339" i="7"/>
  <c r="H331" i="7"/>
  <c r="Q331" i="7"/>
  <c r="N331" i="7"/>
  <c r="H323" i="7"/>
  <c r="Q323" i="7"/>
  <c r="N323" i="7"/>
  <c r="H314" i="7"/>
  <c r="Q314" i="7"/>
  <c r="N314" i="7"/>
  <c r="H310" i="7"/>
  <c r="Q310" i="7"/>
  <c r="N310" i="7"/>
  <c r="I307" i="7"/>
  <c r="I303" i="7"/>
  <c r="I299" i="7"/>
  <c r="I295" i="7"/>
  <c r="I291" i="7"/>
  <c r="I287" i="7"/>
  <c r="I283" i="7"/>
  <c r="I279" i="7"/>
  <c r="H333" i="7"/>
  <c r="Q333" i="7"/>
  <c r="N333" i="7"/>
  <c r="H332" i="7"/>
  <c r="Q332" i="7"/>
  <c r="N332" i="7"/>
  <c r="H325" i="7"/>
  <c r="Q325" i="7"/>
  <c r="N325" i="7"/>
  <c r="H324" i="7"/>
  <c r="Q324" i="7"/>
  <c r="N324" i="7"/>
  <c r="H317" i="7"/>
  <c r="Q317" i="7"/>
  <c r="N317" i="7"/>
  <c r="H316" i="7"/>
  <c r="Q316" i="7"/>
  <c r="N316" i="7"/>
  <c r="H315" i="7"/>
  <c r="Q315" i="7"/>
  <c r="N315" i="7"/>
  <c r="H311" i="7"/>
  <c r="Q311" i="7"/>
  <c r="N311" i="7"/>
  <c r="I308" i="7"/>
  <c r="I304" i="7"/>
  <c r="I300" i="7"/>
  <c r="I296" i="7"/>
  <c r="I292" i="7"/>
  <c r="I288" i="7"/>
  <c r="I284" i="7"/>
  <c r="I280" i="7"/>
  <c r="H335" i="7"/>
  <c r="Q335" i="7"/>
  <c r="N335" i="7"/>
  <c r="H327" i="7"/>
  <c r="Q327" i="7"/>
  <c r="N327" i="7"/>
  <c r="H319" i="7"/>
  <c r="Q319" i="7"/>
  <c r="N319" i="7"/>
  <c r="H312" i="7"/>
  <c r="Q312" i="7"/>
  <c r="N312" i="7"/>
  <c r="I305" i="7"/>
  <c r="I301" i="7"/>
  <c r="I297" i="7"/>
  <c r="I293" i="7"/>
  <c r="I289" i="7"/>
  <c r="I285" i="7"/>
  <c r="I281" i="7"/>
  <c r="H337" i="7"/>
  <c r="Q337" i="7"/>
  <c r="N337" i="7"/>
  <c r="H336" i="7"/>
  <c r="Q336" i="7"/>
  <c r="N336" i="7"/>
  <c r="H329" i="7"/>
  <c r="Q329" i="7"/>
  <c r="N329" i="7"/>
  <c r="H328" i="7"/>
  <c r="Q328" i="7"/>
  <c r="N328" i="7"/>
  <c r="H321" i="7"/>
  <c r="Q321" i="7"/>
  <c r="N321" i="7"/>
  <c r="H320" i="7"/>
  <c r="Q320" i="7"/>
  <c r="N320" i="7"/>
  <c r="H313" i="7"/>
  <c r="Q313" i="7"/>
  <c r="N313" i="7"/>
  <c r="H309" i="7"/>
  <c r="Q309" i="7"/>
  <c r="N309" i="7"/>
  <c r="I306" i="7"/>
  <c r="I302" i="7"/>
  <c r="I298" i="7"/>
  <c r="I294" i="7"/>
  <c r="I290" i="7"/>
  <c r="I286" i="7"/>
  <c r="I282" i="7"/>
  <c r="K13" i="8"/>
  <c r="AC354" i="9"/>
  <c r="D354" i="9"/>
  <c r="AB354" i="9"/>
  <c r="T355" i="7"/>
  <c r="AC340" i="9"/>
  <c r="D340" i="9"/>
  <c r="AB340" i="9"/>
  <c r="T341" i="7"/>
  <c r="AC358" i="9"/>
  <c r="D358" i="9"/>
  <c r="AB358" i="9"/>
  <c r="T359" i="7"/>
  <c r="AB353" i="9"/>
  <c r="AC353" i="9"/>
  <c r="D353" i="9"/>
  <c r="T354" i="7"/>
  <c r="AC352" i="9"/>
  <c r="D352" i="9"/>
  <c r="AB352" i="9"/>
  <c r="T353" i="7"/>
  <c r="AC368" i="9"/>
  <c r="D368" i="9"/>
  <c r="AB368" i="9"/>
  <c r="T369" i="7"/>
  <c r="AC363" i="9"/>
  <c r="D363" i="9"/>
  <c r="AB363" i="9"/>
  <c r="T364" i="7"/>
  <c r="L392" i="9"/>
  <c r="K392" i="9"/>
  <c r="AN392" i="9"/>
  <c r="AO392" i="9"/>
  <c r="AP392" i="9"/>
  <c r="O392" i="9"/>
  <c r="L386" i="9"/>
  <c r="K386" i="9"/>
  <c r="AN386" i="9"/>
  <c r="AO386" i="9"/>
  <c r="AP386" i="9"/>
  <c r="O386" i="9"/>
  <c r="L372" i="9"/>
  <c r="K372" i="9"/>
  <c r="AN372" i="9"/>
  <c r="AO372" i="9"/>
  <c r="AP372" i="9"/>
  <c r="O372" i="9"/>
  <c r="L394" i="9"/>
  <c r="K394" i="9"/>
  <c r="AN394" i="9"/>
  <c r="AO394" i="9"/>
  <c r="AP394" i="9"/>
  <c r="O394" i="9"/>
  <c r="L380" i="9"/>
  <c r="K380" i="9"/>
  <c r="AN380" i="9"/>
  <c r="AO380" i="9"/>
  <c r="AP380" i="9"/>
  <c r="O380" i="9"/>
  <c r="AC362" i="9"/>
  <c r="D362" i="9"/>
  <c r="AB362" i="9"/>
  <c r="T363" i="7"/>
  <c r="AC347" i="9"/>
  <c r="D347" i="9"/>
  <c r="AB347" i="9"/>
  <c r="T348" i="7"/>
  <c r="AC366" i="9"/>
  <c r="D366" i="9"/>
  <c r="AB366" i="9"/>
  <c r="T367" i="7"/>
  <c r="AB341" i="9"/>
  <c r="AC341" i="9"/>
  <c r="D341" i="9"/>
  <c r="T342" i="7"/>
  <c r="AB357" i="9"/>
  <c r="AC357" i="9"/>
  <c r="D357" i="9"/>
  <c r="T358" i="7"/>
  <c r="AC356" i="9"/>
  <c r="D356" i="9"/>
  <c r="AB356" i="9"/>
  <c r="T357" i="7"/>
  <c r="AC351" i="9"/>
  <c r="D351" i="9"/>
  <c r="AB351" i="9"/>
  <c r="T352" i="7"/>
  <c r="AC367" i="9"/>
  <c r="D367" i="9"/>
  <c r="AB367" i="9"/>
  <c r="T368" i="7"/>
  <c r="L375" i="9"/>
  <c r="K375" i="9"/>
  <c r="AN375" i="9"/>
  <c r="AO375" i="9"/>
  <c r="AP375" i="9"/>
  <c r="O375" i="9"/>
  <c r="K373" i="9"/>
  <c r="AN373" i="9"/>
  <c r="AO373" i="9"/>
  <c r="AP373" i="9"/>
  <c r="O373" i="9"/>
  <c r="L373" i="9"/>
  <c r="L388" i="9"/>
  <c r="K388" i="9"/>
  <c r="AN388" i="9"/>
  <c r="AO388" i="9"/>
  <c r="AP388" i="9"/>
  <c r="O388" i="9"/>
  <c r="K381" i="9"/>
  <c r="AN381" i="9"/>
  <c r="AO381" i="9"/>
  <c r="AP381" i="9"/>
  <c r="O381" i="9"/>
  <c r="L381" i="9"/>
  <c r="Y221" i="25"/>
  <c r="Y222" i="25"/>
  <c r="Y223" i="25"/>
  <c r="Y224" i="25"/>
  <c r="Y225" i="25"/>
  <c r="Y226" i="25"/>
  <c r="Y227" i="25"/>
  <c r="Z220" i="25"/>
  <c r="O595" i="25"/>
  <c r="F26" i="25"/>
  <c r="I26" i="25"/>
  <c r="W26" i="25"/>
  <c r="E26" i="25"/>
  <c r="U26" i="25"/>
  <c r="K26" i="25"/>
  <c r="H26" i="25"/>
  <c r="G26" i="25"/>
  <c r="V26" i="25"/>
  <c r="T26" i="25"/>
  <c r="A27" i="25"/>
  <c r="D27" i="25"/>
  <c r="B24" i="29"/>
  <c r="C61" i="9"/>
  <c r="B61" i="9"/>
  <c r="P60" i="9"/>
  <c r="U60" i="9"/>
  <c r="X60" i="9"/>
  <c r="W60" i="9"/>
  <c r="S60" i="9"/>
  <c r="N60" i="9"/>
  <c r="Q59" i="9"/>
  <c r="E23" i="29"/>
  <c r="D23" i="29"/>
  <c r="AC23" i="29"/>
  <c r="AD588" i="9"/>
  <c r="AE589" i="9"/>
  <c r="M589" i="9"/>
  <c r="AD223" i="9"/>
  <c r="AE223" i="9"/>
  <c r="M223" i="9"/>
  <c r="T224" i="11"/>
  <c r="AD606" i="9"/>
  <c r="AE607" i="9"/>
  <c r="M607" i="9"/>
  <c r="AD241" i="9"/>
  <c r="AE241" i="9"/>
  <c r="M241" i="9"/>
  <c r="T242" i="11"/>
  <c r="AE584" i="9"/>
  <c r="M584" i="9"/>
  <c r="AD583" i="9"/>
  <c r="AE218" i="9"/>
  <c r="M218" i="9"/>
  <c r="AD218" i="9"/>
  <c r="T219" i="11"/>
  <c r="AD594" i="9"/>
  <c r="AE595" i="9"/>
  <c r="M595" i="9"/>
  <c r="AD229" i="9"/>
  <c r="AE229" i="9"/>
  <c r="M229" i="9"/>
  <c r="T230" i="11"/>
  <c r="AD610" i="9"/>
  <c r="AE611" i="9"/>
  <c r="M611" i="9"/>
  <c r="AD245" i="9"/>
  <c r="AE245" i="9"/>
  <c r="M245" i="9"/>
  <c r="T246" i="11"/>
  <c r="AE590" i="9"/>
  <c r="M590" i="9"/>
  <c r="AD589" i="9"/>
  <c r="AE224" i="9"/>
  <c r="M224" i="9"/>
  <c r="AD224" i="9"/>
  <c r="T225" i="11"/>
  <c r="AD592" i="9"/>
  <c r="AE593" i="9"/>
  <c r="M593" i="9"/>
  <c r="AD227" i="9"/>
  <c r="AE227" i="9"/>
  <c r="M227" i="9"/>
  <c r="T228" i="11"/>
  <c r="AD608" i="9"/>
  <c r="AE609" i="9"/>
  <c r="M609" i="9"/>
  <c r="AD243" i="9"/>
  <c r="AE243" i="9"/>
  <c r="M243" i="9"/>
  <c r="T244" i="11"/>
  <c r="AE592" i="9"/>
  <c r="M592" i="9"/>
  <c r="AD591" i="9"/>
  <c r="AE226" i="9"/>
  <c r="M226" i="9"/>
  <c r="AD226" i="9"/>
  <c r="T227" i="11"/>
  <c r="AE608" i="9"/>
  <c r="M608" i="9"/>
  <c r="AD607" i="9"/>
  <c r="AE242" i="9"/>
  <c r="M242" i="9"/>
  <c r="AD242" i="9"/>
  <c r="T243" i="11"/>
  <c r="AE588" i="9"/>
  <c r="M588" i="9"/>
  <c r="AD587" i="9"/>
  <c r="AE222" i="9"/>
  <c r="M222" i="9"/>
  <c r="AD222" i="9"/>
  <c r="T223" i="11"/>
  <c r="AD582" i="9"/>
  <c r="AE583" i="9"/>
  <c r="M583" i="9"/>
  <c r="AD217" i="9"/>
  <c r="AE217" i="9"/>
  <c r="M217" i="9"/>
  <c r="T218" i="11"/>
  <c r="AE596" i="9"/>
  <c r="M596" i="9"/>
  <c r="AD595" i="9"/>
  <c r="AE230" i="9"/>
  <c r="M230" i="9"/>
  <c r="AD230" i="9"/>
  <c r="T231" i="11"/>
  <c r="AE612" i="9"/>
  <c r="M612" i="9"/>
  <c r="AD611" i="9"/>
  <c r="AE246" i="9"/>
  <c r="M246" i="9"/>
  <c r="AD246" i="9"/>
  <c r="T247" i="11"/>
  <c r="AE594" i="9"/>
  <c r="M594" i="9"/>
  <c r="AD593" i="9"/>
  <c r="AE228" i="9"/>
  <c r="M228" i="9"/>
  <c r="AD228" i="9"/>
  <c r="T229" i="11"/>
  <c r="AD596" i="9"/>
  <c r="AE597" i="9"/>
  <c r="M597" i="9"/>
  <c r="AD231" i="9"/>
  <c r="AE231" i="9"/>
  <c r="M231" i="9"/>
  <c r="T232" i="11"/>
  <c r="AD598" i="9"/>
  <c r="AE599" i="9"/>
  <c r="M599" i="9"/>
  <c r="AD233" i="9"/>
  <c r="AE233" i="9"/>
  <c r="M233" i="9"/>
  <c r="T234" i="11"/>
  <c r="AE598" i="9"/>
  <c r="M598" i="9"/>
  <c r="AD597" i="9"/>
  <c r="AE232" i="9"/>
  <c r="M232" i="9"/>
  <c r="AD232" i="9"/>
  <c r="T233" i="11"/>
  <c r="AD586" i="9"/>
  <c r="AE587" i="9"/>
  <c r="M587" i="9"/>
  <c r="AD221" i="9"/>
  <c r="AE221" i="9"/>
  <c r="M221" i="9"/>
  <c r="T222" i="11"/>
  <c r="AD602" i="9"/>
  <c r="AE603" i="9"/>
  <c r="M603" i="9"/>
  <c r="AD237" i="9"/>
  <c r="AE237" i="9"/>
  <c r="M237" i="9"/>
  <c r="T238" i="11"/>
  <c r="AE602" i="9"/>
  <c r="M602" i="9"/>
  <c r="AD601" i="9"/>
  <c r="AE236" i="9"/>
  <c r="M236" i="9"/>
  <c r="AD236" i="9"/>
  <c r="T237" i="11"/>
  <c r="AD600" i="9"/>
  <c r="AE601" i="9"/>
  <c r="M601" i="9"/>
  <c r="AD235" i="9"/>
  <c r="AE235" i="9"/>
  <c r="M235" i="9"/>
  <c r="T236" i="11"/>
  <c r="H217" i="11"/>
  <c r="Q217" i="11"/>
  <c r="N217" i="11"/>
  <c r="H213" i="11"/>
  <c r="Q213" i="11"/>
  <c r="N213" i="11"/>
  <c r="H214" i="11"/>
  <c r="Q214" i="11"/>
  <c r="N214" i="11"/>
  <c r="H215" i="11"/>
  <c r="Q215" i="11"/>
  <c r="N215" i="11"/>
  <c r="H216" i="11"/>
  <c r="Q216" i="11"/>
  <c r="N216" i="11"/>
  <c r="H212" i="11"/>
  <c r="Q212" i="11"/>
  <c r="N212" i="11"/>
  <c r="H208" i="11"/>
  <c r="Q208" i="11"/>
  <c r="N208" i="11"/>
  <c r="H204" i="11"/>
  <c r="Q204" i="11"/>
  <c r="N204" i="11"/>
  <c r="H200" i="11"/>
  <c r="Q200" i="11"/>
  <c r="N200" i="11"/>
  <c r="H196" i="11"/>
  <c r="Q196" i="11"/>
  <c r="N196" i="11"/>
  <c r="H192" i="11"/>
  <c r="Q192" i="11"/>
  <c r="N192" i="11"/>
  <c r="H188" i="11"/>
  <c r="Q188" i="11"/>
  <c r="N188" i="11"/>
  <c r="I185" i="11"/>
  <c r="I181" i="11"/>
  <c r="I177" i="11"/>
  <c r="I173" i="11"/>
  <c r="I169" i="11"/>
  <c r="I165" i="11"/>
  <c r="I161" i="11"/>
  <c r="I157" i="11"/>
  <c r="H209" i="11"/>
  <c r="Q209" i="11"/>
  <c r="N209" i="11"/>
  <c r="H201" i="11"/>
  <c r="Q201" i="11"/>
  <c r="N201" i="11"/>
  <c r="H193" i="11"/>
  <c r="Q193" i="11"/>
  <c r="N193" i="11"/>
  <c r="I186" i="11"/>
  <c r="I179" i="11"/>
  <c r="I178" i="11"/>
  <c r="I171" i="11"/>
  <c r="I170" i="11"/>
  <c r="I163" i="11"/>
  <c r="I162" i="11"/>
  <c r="H211" i="11"/>
  <c r="Q211" i="11"/>
  <c r="N211" i="11"/>
  <c r="H210" i="11"/>
  <c r="Q210" i="11"/>
  <c r="N210" i="11"/>
  <c r="H203" i="11"/>
  <c r="Q203" i="11"/>
  <c r="N203" i="11"/>
  <c r="H202" i="11"/>
  <c r="Q202" i="11"/>
  <c r="N202" i="11"/>
  <c r="H195" i="11"/>
  <c r="Q195" i="11"/>
  <c r="N195" i="11"/>
  <c r="H194" i="11"/>
  <c r="Q194" i="11"/>
  <c r="N194" i="11"/>
  <c r="H187" i="11"/>
  <c r="Q187" i="11"/>
  <c r="N187" i="11"/>
  <c r="I184" i="11"/>
  <c r="I176" i="11"/>
  <c r="I168" i="11"/>
  <c r="I160" i="11"/>
  <c r="H205" i="11"/>
  <c r="Q205" i="11"/>
  <c r="N205" i="11"/>
  <c r="H197" i="11"/>
  <c r="Q197" i="11"/>
  <c r="N197" i="11"/>
  <c r="H189" i="11"/>
  <c r="Q189" i="11"/>
  <c r="N189" i="11"/>
  <c r="I183" i="11"/>
  <c r="I182" i="11"/>
  <c r="I175" i="11"/>
  <c r="I174" i="11"/>
  <c r="I167" i="11"/>
  <c r="I166" i="11"/>
  <c r="I159" i="11"/>
  <c r="I158" i="11"/>
  <c r="H207" i="11"/>
  <c r="Q207" i="11"/>
  <c r="N207" i="11"/>
  <c r="H206" i="11"/>
  <c r="Q206" i="11"/>
  <c r="N206" i="11"/>
  <c r="H199" i="11"/>
  <c r="Q199" i="11"/>
  <c r="N199" i="11"/>
  <c r="H198" i="11"/>
  <c r="Q198" i="11"/>
  <c r="N198" i="11"/>
  <c r="H191" i="11"/>
  <c r="Q191" i="11"/>
  <c r="N191" i="11"/>
  <c r="H190" i="11"/>
  <c r="Q190" i="11"/>
  <c r="N190" i="11"/>
  <c r="I180" i="11"/>
  <c r="I172" i="11"/>
  <c r="I164" i="11"/>
  <c r="M9" i="10"/>
  <c r="AD584" i="9"/>
  <c r="AE585" i="9"/>
  <c r="M585" i="9"/>
  <c r="AD219" i="9"/>
  <c r="AE219" i="9"/>
  <c r="M219" i="9"/>
  <c r="T220" i="11"/>
  <c r="AE600" i="9"/>
  <c r="M600" i="9"/>
  <c r="AD599" i="9"/>
  <c r="AE234" i="9"/>
  <c r="M234" i="9"/>
  <c r="AD234" i="9"/>
  <c r="T235" i="11"/>
  <c r="AE606" i="9"/>
  <c r="M606" i="9"/>
  <c r="AD605" i="9"/>
  <c r="AE240" i="9"/>
  <c r="M240" i="9"/>
  <c r="AD240" i="9"/>
  <c r="T241" i="11"/>
  <c r="AD590" i="9"/>
  <c r="AE591" i="9"/>
  <c r="M591" i="9"/>
  <c r="AD225" i="9"/>
  <c r="AE225" i="9"/>
  <c r="M225" i="9"/>
  <c r="T226" i="11"/>
  <c r="AE604" i="9"/>
  <c r="M604" i="9"/>
  <c r="AD603" i="9"/>
  <c r="AE238" i="9"/>
  <c r="M238" i="9"/>
  <c r="AD238" i="9"/>
  <c r="T239" i="11"/>
  <c r="AE586" i="9"/>
  <c r="M586" i="9"/>
  <c r="AD585" i="9"/>
  <c r="AE220" i="9"/>
  <c r="M220" i="9"/>
  <c r="AD220" i="9"/>
  <c r="T221" i="11"/>
  <c r="AE610" i="9"/>
  <c r="M610" i="9"/>
  <c r="AD609" i="9"/>
  <c r="AE244" i="9"/>
  <c r="M244" i="9"/>
  <c r="AD244" i="9"/>
  <c r="T245" i="11"/>
  <c r="AD604" i="9"/>
  <c r="AE605" i="9"/>
  <c r="M605" i="9"/>
  <c r="AD239" i="9"/>
  <c r="AE239" i="9"/>
  <c r="M239" i="9"/>
  <c r="T240" i="11"/>
  <c r="K356" i="9"/>
  <c r="AN356" i="9"/>
  <c r="AO356" i="9"/>
  <c r="AP356" i="9"/>
  <c r="O356" i="9"/>
  <c r="L356" i="9"/>
  <c r="L347" i="9"/>
  <c r="K347" i="9"/>
  <c r="AN347" i="9"/>
  <c r="AO347" i="9"/>
  <c r="AP347" i="9"/>
  <c r="O347" i="9"/>
  <c r="L351" i="9"/>
  <c r="K351" i="9"/>
  <c r="AN351" i="9"/>
  <c r="AO351" i="9"/>
  <c r="AP351" i="9"/>
  <c r="O351" i="9"/>
  <c r="L366" i="9"/>
  <c r="K366" i="9"/>
  <c r="AN366" i="9"/>
  <c r="AO366" i="9"/>
  <c r="AP366" i="9"/>
  <c r="O366" i="9"/>
  <c r="K367" i="9"/>
  <c r="AN367" i="9"/>
  <c r="AO367" i="9"/>
  <c r="AP367" i="9"/>
  <c r="O367" i="9"/>
  <c r="L367" i="9"/>
  <c r="L357" i="9"/>
  <c r="K357" i="9"/>
  <c r="AN357" i="9"/>
  <c r="AO357" i="9"/>
  <c r="AP357" i="9"/>
  <c r="O357" i="9"/>
  <c r="K352" i="9"/>
  <c r="AN352" i="9"/>
  <c r="AO352" i="9"/>
  <c r="AP352" i="9"/>
  <c r="O352" i="9"/>
  <c r="L352" i="9"/>
  <c r="L354" i="9"/>
  <c r="K354" i="9"/>
  <c r="AN354" i="9"/>
  <c r="AO354" i="9"/>
  <c r="AP354" i="9"/>
  <c r="O354" i="9"/>
  <c r="AC320" i="9"/>
  <c r="D320" i="9"/>
  <c r="AB320" i="9"/>
  <c r="T321" i="7"/>
  <c r="AC336" i="9"/>
  <c r="D336" i="9"/>
  <c r="AB336" i="9"/>
  <c r="T337" i="7"/>
  <c r="AB311" i="9"/>
  <c r="AC311" i="9"/>
  <c r="D311" i="9"/>
  <c r="T312" i="7"/>
  <c r="AC310" i="9"/>
  <c r="D310" i="9"/>
  <c r="AB310" i="9"/>
  <c r="T311" i="7"/>
  <c r="AC323" i="9"/>
  <c r="D323" i="9"/>
  <c r="AB323" i="9"/>
  <c r="T324" i="7"/>
  <c r="AB309" i="9"/>
  <c r="AC309" i="9"/>
  <c r="D309" i="9"/>
  <c r="T310" i="7"/>
  <c r="AC338" i="9"/>
  <c r="D338" i="9"/>
  <c r="AB338" i="9"/>
  <c r="T339" i="7"/>
  <c r="AB329" i="9"/>
  <c r="AC329" i="9"/>
  <c r="D329" i="9"/>
  <c r="T330" i="7"/>
  <c r="L365" i="9"/>
  <c r="K365" i="9"/>
  <c r="AN365" i="9"/>
  <c r="AO365" i="9"/>
  <c r="AP365" i="9"/>
  <c r="O365" i="9"/>
  <c r="K348" i="9"/>
  <c r="AN348" i="9"/>
  <c r="AO348" i="9"/>
  <c r="AP348" i="9"/>
  <c r="O348" i="9"/>
  <c r="L348" i="9"/>
  <c r="K342" i="9"/>
  <c r="AN342" i="9"/>
  <c r="AO342" i="9"/>
  <c r="AP342" i="9"/>
  <c r="O342" i="9"/>
  <c r="L342" i="9"/>
  <c r="L362" i="9"/>
  <c r="K362" i="9"/>
  <c r="AN362" i="9"/>
  <c r="AO362" i="9"/>
  <c r="AP362" i="9"/>
  <c r="O362" i="9"/>
  <c r="L368" i="9"/>
  <c r="K368" i="9"/>
  <c r="AN368" i="9"/>
  <c r="AO368" i="9"/>
  <c r="AP368" i="9"/>
  <c r="O368" i="9"/>
  <c r="K340" i="9"/>
  <c r="AN340" i="9"/>
  <c r="AO340" i="9"/>
  <c r="AP340" i="9"/>
  <c r="O340" i="9"/>
  <c r="L340" i="9"/>
  <c r="H306" i="7"/>
  <c r="Q306" i="7"/>
  <c r="N306" i="7"/>
  <c r="H302" i="7"/>
  <c r="Q302" i="7"/>
  <c r="N302" i="7"/>
  <c r="H298" i="7"/>
  <c r="Q298" i="7"/>
  <c r="N298" i="7"/>
  <c r="H294" i="7"/>
  <c r="Q294" i="7"/>
  <c r="N294" i="7"/>
  <c r="H290" i="7"/>
  <c r="Q290" i="7"/>
  <c r="N290" i="7"/>
  <c r="H286" i="7"/>
  <c r="Q286" i="7"/>
  <c r="N286" i="7"/>
  <c r="H282" i="7"/>
  <c r="Q282" i="7"/>
  <c r="N282" i="7"/>
  <c r="I275" i="7"/>
  <c r="I271" i="7"/>
  <c r="I267" i="7"/>
  <c r="I263" i="7"/>
  <c r="I259" i="7"/>
  <c r="I255" i="7"/>
  <c r="I251" i="7"/>
  <c r="H307" i="7"/>
  <c r="Q307" i="7"/>
  <c r="N307" i="7"/>
  <c r="H303" i="7"/>
  <c r="Q303" i="7"/>
  <c r="N303" i="7"/>
  <c r="H299" i="7"/>
  <c r="Q299" i="7"/>
  <c r="N299" i="7"/>
  <c r="H295" i="7"/>
  <c r="Q295" i="7"/>
  <c r="N295" i="7"/>
  <c r="H291" i="7"/>
  <c r="Q291" i="7"/>
  <c r="N291" i="7"/>
  <c r="H287" i="7"/>
  <c r="Q287" i="7"/>
  <c r="N287" i="7"/>
  <c r="H283" i="7"/>
  <c r="Q283" i="7"/>
  <c r="N283" i="7"/>
  <c r="H279" i="7"/>
  <c r="Q279" i="7"/>
  <c r="N279" i="7"/>
  <c r="I276" i="7"/>
  <c r="I272" i="7"/>
  <c r="I268" i="7"/>
  <c r="I264" i="7"/>
  <c r="I260" i="7"/>
  <c r="I256" i="7"/>
  <c r="I252" i="7"/>
  <c r="I248" i="7"/>
  <c r="H308" i="7"/>
  <c r="Q308" i="7"/>
  <c r="N308" i="7"/>
  <c r="H304" i="7"/>
  <c r="Q304" i="7"/>
  <c r="N304" i="7"/>
  <c r="H300" i="7"/>
  <c r="Q300" i="7"/>
  <c r="N300" i="7"/>
  <c r="H296" i="7"/>
  <c r="Q296" i="7"/>
  <c r="N296" i="7"/>
  <c r="H292" i="7"/>
  <c r="Q292" i="7"/>
  <c r="N292" i="7"/>
  <c r="H288" i="7"/>
  <c r="Q288" i="7"/>
  <c r="N288" i="7"/>
  <c r="H284" i="7"/>
  <c r="Q284" i="7"/>
  <c r="N284" i="7"/>
  <c r="H280" i="7"/>
  <c r="Q280" i="7"/>
  <c r="N280" i="7"/>
  <c r="I277" i="7"/>
  <c r="I273" i="7"/>
  <c r="I269" i="7"/>
  <c r="I265" i="7"/>
  <c r="I261" i="7"/>
  <c r="I257" i="7"/>
  <c r="I253" i="7"/>
  <c r="I249" i="7"/>
  <c r="H305" i="7"/>
  <c r="Q305" i="7"/>
  <c r="N305" i="7"/>
  <c r="H301" i="7"/>
  <c r="Q301" i="7"/>
  <c r="N301" i="7"/>
  <c r="H297" i="7"/>
  <c r="Q297" i="7"/>
  <c r="N297" i="7"/>
  <c r="H293" i="7"/>
  <c r="Q293" i="7"/>
  <c r="N293" i="7"/>
  <c r="H289" i="7"/>
  <c r="Q289" i="7"/>
  <c r="N289" i="7"/>
  <c r="H285" i="7"/>
  <c r="Q285" i="7"/>
  <c r="N285" i="7"/>
  <c r="H281" i="7"/>
  <c r="Q281" i="7"/>
  <c r="N281" i="7"/>
  <c r="I278" i="7"/>
  <c r="I274" i="7"/>
  <c r="I270" i="7"/>
  <c r="I266" i="7"/>
  <c r="I262" i="7"/>
  <c r="I258" i="7"/>
  <c r="I254" i="7"/>
  <c r="I250" i="7"/>
  <c r="K12" i="8"/>
  <c r="AC308" i="9"/>
  <c r="D308" i="9"/>
  <c r="AB308" i="9"/>
  <c r="T309" i="7"/>
  <c r="AB327" i="9"/>
  <c r="AC327" i="9"/>
  <c r="D327" i="9"/>
  <c r="T328" i="7"/>
  <c r="AC318" i="9"/>
  <c r="D318" i="9"/>
  <c r="AB318" i="9"/>
  <c r="T319" i="7"/>
  <c r="AC314" i="9"/>
  <c r="D314" i="9"/>
  <c r="AB314" i="9"/>
  <c r="T315" i="7"/>
  <c r="AC324" i="9"/>
  <c r="D324" i="9"/>
  <c r="AB324" i="9"/>
  <c r="T325" i="7"/>
  <c r="AB313" i="9"/>
  <c r="AC313" i="9"/>
  <c r="D313" i="9"/>
  <c r="T314" i="7"/>
  <c r="AB317" i="9"/>
  <c r="AC317" i="9"/>
  <c r="D317" i="9"/>
  <c r="T318" i="7"/>
  <c r="AB333" i="9"/>
  <c r="AC333" i="9"/>
  <c r="D333" i="9"/>
  <c r="T334" i="7"/>
  <c r="K364" i="9"/>
  <c r="AN364" i="9"/>
  <c r="AO364" i="9"/>
  <c r="AP364" i="9"/>
  <c r="O364" i="9"/>
  <c r="L364" i="9"/>
  <c r="K344" i="9"/>
  <c r="AN344" i="9"/>
  <c r="AO344" i="9"/>
  <c r="AP344" i="9"/>
  <c r="O344" i="9"/>
  <c r="L344" i="9"/>
  <c r="K360" i="9"/>
  <c r="AN360" i="9"/>
  <c r="AO360" i="9"/>
  <c r="AP360" i="9"/>
  <c r="O360" i="9"/>
  <c r="L360" i="9"/>
  <c r="L363" i="9"/>
  <c r="K363" i="9"/>
  <c r="AN363" i="9"/>
  <c r="AO363" i="9"/>
  <c r="AP363" i="9"/>
  <c r="O363" i="9"/>
  <c r="L353" i="9"/>
  <c r="K353" i="9"/>
  <c r="AN353" i="9"/>
  <c r="AO353" i="9"/>
  <c r="AP353" i="9"/>
  <c r="O353" i="9"/>
  <c r="K358" i="9"/>
  <c r="AN358" i="9"/>
  <c r="AO358" i="9"/>
  <c r="AP358" i="9"/>
  <c r="O358" i="9"/>
  <c r="L358" i="9"/>
  <c r="AC312" i="9"/>
  <c r="D312" i="9"/>
  <c r="AB312" i="9"/>
  <c r="T313" i="7"/>
  <c r="AC328" i="9"/>
  <c r="D328" i="9"/>
  <c r="AB328" i="9"/>
  <c r="T329" i="7"/>
  <c r="AC326" i="9"/>
  <c r="D326" i="9"/>
  <c r="AB326" i="9"/>
  <c r="T327" i="7"/>
  <c r="AC315" i="9"/>
  <c r="D315" i="9"/>
  <c r="AB315" i="9"/>
  <c r="T316" i="7"/>
  <c r="AC331" i="9"/>
  <c r="D331" i="9"/>
  <c r="AB331" i="9"/>
  <c r="T332" i="7"/>
  <c r="AC322" i="9"/>
  <c r="D322" i="9"/>
  <c r="AB322" i="9"/>
  <c r="T323" i="7"/>
  <c r="AB321" i="9"/>
  <c r="AC321" i="9"/>
  <c r="D321" i="9"/>
  <c r="T322" i="7"/>
  <c r="AB337" i="9"/>
  <c r="AC337" i="9"/>
  <c r="D337" i="9"/>
  <c r="T338" i="7"/>
  <c r="K359" i="9"/>
  <c r="AN359" i="9"/>
  <c r="AO359" i="9"/>
  <c r="AP359" i="9"/>
  <c r="O359" i="9"/>
  <c r="L359" i="9"/>
  <c r="L339" i="9"/>
  <c r="K339" i="9"/>
  <c r="AN339" i="9"/>
  <c r="AO339" i="9"/>
  <c r="AP339" i="9"/>
  <c r="O339" i="9"/>
  <c r="L355" i="9"/>
  <c r="K355" i="9"/>
  <c r="AN355" i="9"/>
  <c r="AO355" i="9"/>
  <c r="AP355" i="9"/>
  <c r="O355" i="9"/>
  <c r="L345" i="9"/>
  <c r="K345" i="9"/>
  <c r="AN345" i="9"/>
  <c r="AO345" i="9"/>
  <c r="AP345" i="9"/>
  <c r="O345" i="9"/>
  <c r="L346" i="9"/>
  <c r="K346" i="9"/>
  <c r="AN346" i="9"/>
  <c r="AO346" i="9"/>
  <c r="AP346" i="9"/>
  <c r="O346" i="9"/>
  <c r="K343" i="9"/>
  <c r="AN343" i="9"/>
  <c r="AO343" i="9"/>
  <c r="AP343" i="9"/>
  <c r="O343" i="9"/>
  <c r="L343" i="9"/>
  <c r="L341" i="9"/>
  <c r="K341" i="9"/>
  <c r="AN341" i="9"/>
  <c r="AO341" i="9"/>
  <c r="AP341" i="9"/>
  <c r="O341" i="9"/>
  <c r="AC319" i="9"/>
  <c r="D319" i="9"/>
  <c r="AB319" i="9"/>
  <c r="T320" i="7"/>
  <c r="AC335" i="9"/>
  <c r="D335" i="9"/>
  <c r="AB335" i="9"/>
  <c r="T336" i="7"/>
  <c r="AC334" i="9"/>
  <c r="D334" i="9"/>
  <c r="AB334" i="9"/>
  <c r="T335" i="7"/>
  <c r="AB316" i="9"/>
  <c r="AC316" i="9"/>
  <c r="D316" i="9"/>
  <c r="T317" i="7"/>
  <c r="AB332" i="9"/>
  <c r="AC332" i="9"/>
  <c r="D332" i="9"/>
  <c r="T333" i="7"/>
  <c r="AC330" i="9"/>
  <c r="D330" i="9"/>
  <c r="AB330" i="9"/>
  <c r="T331" i="7"/>
  <c r="AB325" i="9"/>
  <c r="AC325" i="9"/>
  <c r="D325" i="9"/>
  <c r="T326" i="7"/>
  <c r="L349" i="9"/>
  <c r="K349" i="9"/>
  <c r="AN349" i="9"/>
  <c r="AO349" i="9"/>
  <c r="AP349" i="9"/>
  <c r="O349" i="9"/>
  <c r="L350" i="9"/>
  <c r="K350" i="9"/>
  <c r="AN350" i="9"/>
  <c r="AO350" i="9"/>
  <c r="AP350" i="9"/>
  <c r="O350" i="9"/>
  <c r="L361" i="9"/>
  <c r="K361" i="9"/>
  <c r="AN361" i="9"/>
  <c r="AO361" i="9"/>
  <c r="AP361" i="9"/>
  <c r="O361" i="9"/>
  <c r="Y228" i="25"/>
  <c r="Y229" i="25"/>
  <c r="Y230" i="25"/>
  <c r="Y231" i="25"/>
  <c r="Y232" i="25"/>
  <c r="Y233" i="25"/>
  <c r="Z227" i="25"/>
  <c r="Q60" i="9"/>
  <c r="A28" i="25"/>
  <c r="D28" i="25"/>
  <c r="B25" i="29"/>
  <c r="C62" i="9"/>
  <c r="B62" i="9"/>
  <c r="P61" i="9"/>
  <c r="U61" i="9"/>
  <c r="X61" i="9"/>
  <c r="W61" i="9"/>
  <c r="S61" i="9"/>
  <c r="Q61" i="9"/>
  <c r="N61" i="9"/>
  <c r="AD23" i="29"/>
  <c r="F23" i="29"/>
  <c r="AE23" i="29"/>
  <c r="E24" i="29"/>
  <c r="D24" i="29"/>
  <c r="AC24" i="29"/>
  <c r="F27" i="25"/>
  <c r="H27" i="25"/>
  <c r="U27" i="25"/>
  <c r="K27" i="25"/>
  <c r="E27" i="25"/>
  <c r="I27" i="25"/>
  <c r="W27" i="25"/>
  <c r="G27" i="25"/>
  <c r="V27" i="25"/>
  <c r="T27" i="25"/>
  <c r="AE556" i="9"/>
  <c r="M556" i="9"/>
  <c r="AD555" i="9"/>
  <c r="AE190" i="9"/>
  <c r="M190" i="9"/>
  <c r="AD190" i="9"/>
  <c r="T191" i="11"/>
  <c r="AE572" i="9"/>
  <c r="M572" i="9"/>
  <c r="AD571" i="9"/>
  <c r="AE206" i="9"/>
  <c r="M206" i="9"/>
  <c r="AD206" i="9"/>
  <c r="T207" i="11"/>
  <c r="AE552" i="9"/>
  <c r="M552" i="9"/>
  <c r="AD551" i="9"/>
  <c r="AE186" i="9"/>
  <c r="M186" i="9"/>
  <c r="AD186" i="9"/>
  <c r="T187" i="11"/>
  <c r="AE568" i="9"/>
  <c r="M568" i="9"/>
  <c r="AD567" i="9"/>
  <c r="AE202" i="9"/>
  <c r="M202" i="9"/>
  <c r="AD202" i="9"/>
  <c r="T203" i="11"/>
  <c r="AE574" i="9"/>
  <c r="M574" i="9"/>
  <c r="AD573" i="9"/>
  <c r="AE208" i="9"/>
  <c r="M208" i="9"/>
  <c r="AD208" i="9"/>
  <c r="T209" i="11"/>
  <c r="AD564" i="9"/>
  <c r="AE565" i="9"/>
  <c r="M565" i="9"/>
  <c r="AE199" i="9"/>
  <c r="M199" i="9"/>
  <c r="AD199" i="9"/>
  <c r="T200" i="11"/>
  <c r="AD580" i="9"/>
  <c r="AE581" i="9"/>
  <c r="M581" i="9"/>
  <c r="AD215" i="9"/>
  <c r="AE215" i="9"/>
  <c r="M215" i="9"/>
  <c r="T216" i="11"/>
  <c r="AE582" i="9"/>
  <c r="M582" i="9"/>
  <c r="AD581" i="9"/>
  <c r="AE216" i="9"/>
  <c r="M216" i="9"/>
  <c r="AD216" i="9"/>
  <c r="T217" i="11"/>
  <c r="AD562" i="9"/>
  <c r="AE563" i="9"/>
  <c r="M563" i="9"/>
  <c r="AE197" i="9"/>
  <c r="M197" i="9"/>
  <c r="AD197" i="9"/>
  <c r="T198" i="11"/>
  <c r="AE554" i="9"/>
  <c r="M554" i="9"/>
  <c r="AD553" i="9"/>
  <c r="AE188" i="9"/>
  <c r="M188" i="9"/>
  <c r="AD188" i="9"/>
  <c r="T189" i="11"/>
  <c r="AD558" i="9"/>
  <c r="AE559" i="9"/>
  <c r="M559" i="9"/>
  <c r="AE193" i="9"/>
  <c r="M193" i="9"/>
  <c r="AD193" i="9"/>
  <c r="T194" i="11"/>
  <c r="AD574" i="9"/>
  <c r="AE575" i="9"/>
  <c r="M575" i="9"/>
  <c r="AE209" i="9"/>
  <c r="M209" i="9"/>
  <c r="AD209" i="9"/>
  <c r="T210" i="11"/>
  <c r="AD552" i="9"/>
  <c r="AE553" i="9"/>
  <c r="M553" i="9"/>
  <c r="AE187" i="9"/>
  <c r="M187" i="9"/>
  <c r="AD187" i="9"/>
  <c r="T188" i="11"/>
  <c r="AD568" i="9"/>
  <c r="AE569" i="9"/>
  <c r="M569" i="9"/>
  <c r="AE203" i="9"/>
  <c r="M203" i="9"/>
  <c r="AD203" i="9"/>
  <c r="T204" i="11"/>
  <c r="AE580" i="9"/>
  <c r="M580" i="9"/>
  <c r="AD579" i="9"/>
  <c r="AE214" i="9"/>
  <c r="M214" i="9"/>
  <c r="AD214" i="9"/>
  <c r="T215" i="11"/>
  <c r="AE564" i="9"/>
  <c r="M564" i="9"/>
  <c r="AD563" i="9"/>
  <c r="AE198" i="9"/>
  <c r="M198" i="9"/>
  <c r="AD198" i="9"/>
  <c r="T199" i="11"/>
  <c r="AE562" i="9"/>
  <c r="M562" i="9"/>
  <c r="AD561" i="9"/>
  <c r="AE196" i="9"/>
  <c r="M196" i="9"/>
  <c r="AD196" i="9"/>
  <c r="T197" i="11"/>
  <c r="AE560" i="9"/>
  <c r="M560" i="9"/>
  <c r="AD559" i="9"/>
  <c r="AE194" i="9"/>
  <c r="M194" i="9"/>
  <c r="AD194" i="9"/>
  <c r="T195" i="11"/>
  <c r="AE576" i="9"/>
  <c r="M576" i="9"/>
  <c r="AD575" i="9"/>
  <c r="AE210" i="9"/>
  <c r="M210" i="9"/>
  <c r="AD210" i="9"/>
  <c r="T211" i="11"/>
  <c r="AE558" i="9"/>
  <c r="M558" i="9"/>
  <c r="AD557" i="9"/>
  <c r="AE192" i="9"/>
  <c r="M192" i="9"/>
  <c r="AD192" i="9"/>
  <c r="T193" i="11"/>
  <c r="AD556" i="9"/>
  <c r="AE557" i="9"/>
  <c r="M557" i="9"/>
  <c r="AE191" i="9"/>
  <c r="M191" i="9"/>
  <c r="AD191" i="9"/>
  <c r="T192" i="11"/>
  <c r="AD572" i="9"/>
  <c r="AE573" i="9"/>
  <c r="M573" i="9"/>
  <c r="AE207" i="9"/>
  <c r="M207" i="9"/>
  <c r="AD207" i="9"/>
  <c r="T208" i="11"/>
  <c r="AD578" i="9"/>
  <c r="AE579" i="9"/>
  <c r="M579" i="9"/>
  <c r="AE213" i="9"/>
  <c r="M213" i="9"/>
  <c r="AD213" i="9"/>
  <c r="T214" i="11"/>
  <c r="H184" i="11"/>
  <c r="Q184" i="11"/>
  <c r="N184" i="11"/>
  <c r="H180" i="11"/>
  <c r="Q180" i="11"/>
  <c r="N180" i="11"/>
  <c r="H176" i="11"/>
  <c r="Q176" i="11"/>
  <c r="N176" i="11"/>
  <c r="H172" i="11"/>
  <c r="Q172" i="11"/>
  <c r="N172" i="11"/>
  <c r="H168" i="11"/>
  <c r="Q168" i="11"/>
  <c r="N168" i="11"/>
  <c r="H164" i="11"/>
  <c r="Q164" i="11"/>
  <c r="N164" i="11"/>
  <c r="H160" i="11"/>
  <c r="Q160" i="11"/>
  <c r="N160" i="11"/>
  <c r="I153" i="11"/>
  <c r="I149" i="11"/>
  <c r="I145" i="11"/>
  <c r="I141" i="11"/>
  <c r="H185" i="11"/>
  <c r="Q185" i="11"/>
  <c r="N185" i="11"/>
  <c r="H177" i="11"/>
  <c r="Q177" i="11"/>
  <c r="N177" i="11"/>
  <c r="H169" i="11"/>
  <c r="Q169" i="11"/>
  <c r="N169" i="11"/>
  <c r="H161" i="11"/>
  <c r="Q161" i="11"/>
  <c r="N161" i="11"/>
  <c r="I155" i="11"/>
  <c r="I154" i="11"/>
  <c r="I147" i="11"/>
  <c r="I146" i="11"/>
  <c r="I139" i="11"/>
  <c r="I135" i="11"/>
  <c r="I131" i="11"/>
  <c r="I127" i="11"/>
  <c r="H186" i="11"/>
  <c r="Q186" i="11"/>
  <c r="N186" i="11"/>
  <c r="H179" i="11"/>
  <c r="Q179" i="11"/>
  <c r="N179" i="11"/>
  <c r="H178" i="11"/>
  <c r="Q178" i="11"/>
  <c r="N178" i="11"/>
  <c r="H171" i="11"/>
  <c r="Q171" i="11"/>
  <c r="N171" i="11"/>
  <c r="H170" i="11"/>
  <c r="Q170" i="11"/>
  <c r="N170" i="11"/>
  <c r="H163" i="11"/>
  <c r="Q163" i="11"/>
  <c r="N163" i="11"/>
  <c r="H162" i="11"/>
  <c r="Q162" i="11"/>
  <c r="N162" i="11"/>
  <c r="I152" i="11"/>
  <c r="I144" i="11"/>
  <c r="I136" i="11"/>
  <c r="I132" i="11"/>
  <c r="I128" i="11"/>
  <c r="H181" i="11"/>
  <c r="Q181" i="11"/>
  <c r="N181" i="11"/>
  <c r="H173" i="11"/>
  <c r="Q173" i="11"/>
  <c r="N173" i="11"/>
  <c r="H165" i="11"/>
  <c r="Q165" i="11"/>
  <c r="N165" i="11"/>
  <c r="H157" i="11"/>
  <c r="Q157" i="11"/>
  <c r="N157" i="11"/>
  <c r="I151" i="11"/>
  <c r="I150" i="11"/>
  <c r="I143" i="11"/>
  <c r="I142" i="11"/>
  <c r="I137" i="11"/>
  <c r="I133" i="11"/>
  <c r="I129" i="11"/>
  <c r="H183" i="11"/>
  <c r="Q183" i="11"/>
  <c r="N183" i="11"/>
  <c r="H182" i="11"/>
  <c r="Q182" i="11"/>
  <c r="N182" i="11"/>
  <c r="H175" i="11"/>
  <c r="Q175" i="11"/>
  <c r="N175" i="11"/>
  <c r="H174" i="11"/>
  <c r="Q174" i="11"/>
  <c r="N174" i="11"/>
  <c r="H167" i="11"/>
  <c r="Q167" i="11"/>
  <c r="N167" i="11"/>
  <c r="H166" i="11"/>
  <c r="Q166" i="11"/>
  <c r="N166" i="11"/>
  <c r="H159" i="11"/>
  <c r="Q159" i="11"/>
  <c r="N159" i="11"/>
  <c r="H158" i="11"/>
  <c r="Q158" i="11"/>
  <c r="N158" i="11"/>
  <c r="I156" i="11"/>
  <c r="I148" i="11"/>
  <c r="I140" i="11"/>
  <c r="I138" i="11"/>
  <c r="I134" i="11"/>
  <c r="I130" i="11"/>
  <c r="I126" i="11"/>
  <c r="M8" i="10"/>
  <c r="AD554" i="9"/>
  <c r="AE555" i="9"/>
  <c r="M555" i="9"/>
  <c r="AE189" i="9"/>
  <c r="M189" i="9"/>
  <c r="AD189" i="9"/>
  <c r="T190" i="11"/>
  <c r="AD570" i="9"/>
  <c r="AE571" i="9"/>
  <c r="M571" i="9"/>
  <c r="AE205" i="9"/>
  <c r="M205" i="9"/>
  <c r="AD205" i="9"/>
  <c r="T206" i="11"/>
  <c r="AE570" i="9"/>
  <c r="M570" i="9"/>
  <c r="AD569" i="9"/>
  <c r="AE204" i="9"/>
  <c r="M204" i="9"/>
  <c r="AD204" i="9"/>
  <c r="T205" i="11"/>
  <c r="AD566" i="9"/>
  <c r="AE567" i="9"/>
  <c r="M567" i="9"/>
  <c r="AE201" i="9"/>
  <c r="M201" i="9"/>
  <c r="AD201" i="9"/>
  <c r="T202" i="11"/>
  <c r="AE566" i="9"/>
  <c r="M566" i="9"/>
  <c r="AD565" i="9"/>
  <c r="AE200" i="9"/>
  <c r="M200" i="9"/>
  <c r="AD200" i="9"/>
  <c r="T201" i="11"/>
  <c r="AD560" i="9"/>
  <c r="AE561" i="9"/>
  <c r="M561" i="9"/>
  <c r="AE195" i="9"/>
  <c r="M195" i="9"/>
  <c r="AD195" i="9"/>
  <c r="T196" i="11"/>
  <c r="AD576" i="9"/>
  <c r="AE577" i="9"/>
  <c r="M577" i="9"/>
  <c r="AE211" i="9"/>
  <c r="M211" i="9"/>
  <c r="AD211" i="9"/>
  <c r="T212" i="11"/>
  <c r="AE578" i="9"/>
  <c r="M578" i="9"/>
  <c r="AD577" i="9"/>
  <c r="AE212" i="9"/>
  <c r="M212" i="9"/>
  <c r="AD212" i="9"/>
  <c r="T213" i="11"/>
  <c r="L325" i="9"/>
  <c r="K325" i="9"/>
  <c r="L335" i="9"/>
  <c r="K335" i="9"/>
  <c r="L337" i="9"/>
  <c r="K337" i="9"/>
  <c r="AN337" i="9"/>
  <c r="AO337" i="9"/>
  <c r="AP337" i="9"/>
  <c r="O337" i="9"/>
  <c r="K326" i="9"/>
  <c r="L326" i="9"/>
  <c r="K316" i="9"/>
  <c r="L316" i="9"/>
  <c r="L334" i="9"/>
  <c r="K334" i="9"/>
  <c r="L315" i="9"/>
  <c r="K315" i="9"/>
  <c r="L313" i="9"/>
  <c r="K313" i="9"/>
  <c r="K324" i="9"/>
  <c r="L324" i="9"/>
  <c r="K327" i="9"/>
  <c r="L327" i="9"/>
  <c r="K308" i="9"/>
  <c r="L308" i="9"/>
  <c r="AC288" i="9"/>
  <c r="D288" i="9"/>
  <c r="AB288" i="9"/>
  <c r="T289" i="7"/>
  <c r="AC304" i="9"/>
  <c r="D304" i="9"/>
  <c r="AB304" i="9"/>
  <c r="T305" i="7"/>
  <c r="AC291" i="9"/>
  <c r="D291" i="9"/>
  <c r="AB291" i="9"/>
  <c r="T292" i="7"/>
  <c r="AC307" i="9"/>
  <c r="D307" i="9"/>
  <c r="AB307" i="9"/>
  <c r="T308" i="7"/>
  <c r="AC290" i="9"/>
  <c r="D290" i="9"/>
  <c r="AB290" i="9"/>
  <c r="T291" i="7"/>
  <c r="AC306" i="9"/>
  <c r="D306" i="9"/>
  <c r="AB306" i="9"/>
  <c r="T307" i="7"/>
  <c r="AB281" i="9"/>
  <c r="AC281" i="9"/>
  <c r="D281" i="9"/>
  <c r="T282" i="7"/>
  <c r="AB297" i="9"/>
  <c r="AC297" i="9"/>
  <c r="D297" i="9"/>
  <c r="T298" i="7"/>
  <c r="L329" i="9"/>
  <c r="K329" i="9"/>
  <c r="L338" i="9"/>
  <c r="K338" i="9"/>
  <c r="AN338" i="9"/>
  <c r="AO338" i="9"/>
  <c r="AP338" i="9"/>
  <c r="O338" i="9"/>
  <c r="K332" i="9"/>
  <c r="L332" i="9"/>
  <c r="L331" i="9"/>
  <c r="K331" i="9"/>
  <c r="K312" i="9"/>
  <c r="L312" i="9"/>
  <c r="L317" i="9"/>
  <c r="K317" i="9"/>
  <c r="H278" i="7"/>
  <c r="Q278" i="7"/>
  <c r="N278" i="7"/>
  <c r="H274" i="7"/>
  <c r="Q274" i="7"/>
  <c r="N274" i="7"/>
  <c r="H270" i="7"/>
  <c r="Q270" i="7"/>
  <c r="N270" i="7"/>
  <c r="H266" i="7"/>
  <c r="Q266" i="7"/>
  <c r="N266" i="7"/>
  <c r="H262" i="7"/>
  <c r="Q262" i="7"/>
  <c r="N262" i="7"/>
  <c r="H258" i="7"/>
  <c r="Q258" i="7"/>
  <c r="N258" i="7"/>
  <c r="H254" i="7"/>
  <c r="Q254" i="7"/>
  <c r="N254" i="7"/>
  <c r="H250" i="7"/>
  <c r="Q250" i="7"/>
  <c r="N250" i="7"/>
  <c r="I247" i="7"/>
  <c r="I243" i="7"/>
  <c r="I239" i="7"/>
  <c r="I235" i="7"/>
  <c r="I231" i="7"/>
  <c r="I227" i="7"/>
  <c r="I223" i="7"/>
  <c r="I219" i="7"/>
  <c r="H275" i="7"/>
  <c r="Q275" i="7"/>
  <c r="N275" i="7"/>
  <c r="H271" i="7"/>
  <c r="Q271" i="7"/>
  <c r="N271" i="7"/>
  <c r="H267" i="7"/>
  <c r="Q267" i="7"/>
  <c r="N267" i="7"/>
  <c r="H263" i="7"/>
  <c r="Q263" i="7"/>
  <c r="N263" i="7"/>
  <c r="H259" i="7"/>
  <c r="Q259" i="7"/>
  <c r="N259" i="7"/>
  <c r="H255" i="7"/>
  <c r="Q255" i="7"/>
  <c r="N255" i="7"/>
  <c r="H251" i="7"/>
  <c r="Q251" i="7"/>
  <c r="N251" i="7"/>
  <c r="I244" i="7"/>
  <c r="I240" i="7"/>
  <c r="I236" i="7"/>
  <c r="I232" i="7"/>
  <c r="I228" i="7"/>
  <c r="I224" i="7"/>
  <c r="I220" i="7"/>
  <c r="H276" i="7"/>
  <c r="Q276" i="7"/>
  <c r="N276" i="7"/>
  <c r="H272" i="7"/>
  <c r="Q272" i="7"/>
  <c r="N272" i="7"/>
  <c r="H268" i="7"/>
  <c r="Q268" i="7"/>
  <c r="N268" i="7"/>
  <c r="H264" i="7"/>
  <c r="Q264" i="7"/>
  <c r="N264" i="7"/>
  <c r="H260" i="7"/>
  <c r="Q260" i="7"/>
  <c r="N260" i="7"/>
  <c r="H256" i="7"/>
  <c r="Q256" i="7"/>
  <c r="N256" i="7"/>
  <c r="H252" i="7"/>
  <c r="Q252" i="7"/>
  <c r="N252" i="7"/>
  <c r="H248" i="7"/>
  <c r="Q248" i="7"/>
  <c r="N248" i="7"/>
  <c r="I245" i="7"/>
  <c r="I241" i="7"/>
  <c r="I237" i="7"/>
  <c r="I233" i="7"/>
  <c r="I229" i="7"/>
  <c r="I225" i="7"/>
  <c r="I221" i="7"/>
  <c r="H277" i="7"/>
  <c r="Q277" i="7"/>
  <c r="N277" i="7"/>
  <c r="H273" i="7"/>
  <c r="Q273" i="7"/>
  <c r="N273" i="7"/>
  <c r="H269" i="7"/>
  <c r="Q269" i="7"/>
  <c r="N269" i="7"/>
  <c r="H265" i="7"/>
  <c r="Q265" i="7"/>
  <c r="N265" i="7"/>
  <c r="H261" i="7"/>
  <c r="Q261" i="7"/>
  <c r="N261" i="7"/>
  <c r="H257" i="7"/>
  <c r="Q257" i="7"/>
  <c r="N257" i="7"/>
  <c r="H253" i="7"/>
  <c r="Q253" i="7"/>
  <c r="N253" i="7"/>
  <c r="H249" i="7"/>
  <c r="Q249" i="7"/>
  <c r="N249" i="7"/>
  <c r="I246" i="7"/>
  <c r="I242" i="7"/>
  <c r="I238" i="7"/>
  <c r="I234" i="7"/>
  <c r="I230" i="7"/>
  <c r="I226" i="7"/>
  <c r="I222" i="7"/>
  <c r="I218" i="7"/>
  <c r="K11" i="8"/>
  <c r="AC292" i="9"/>
  <c r="D292" i="9"/>
  <c r="AB292" i="9"/>
  <c r="T293" i="7"/>
  <c r="AC279" i="9"/>
  <c r="D279" i="9"/>
  <c r="AB279" i="9"/>
  <c r="T280" i="7"/>
  <c r="AC295" i="9"/>
  <c r="D295" i="9"/>
  <c r="AB295" i="9"/>
  <c r="T296" i="7"/>
  <c r="AC278" i="9"/>
  <c r="D278" i="9"/>
  <c r="AB278" i="9"/>
  <c r="T279" i="7"/>
  <c r="AC294" i="9"/>
  <c r="D294" i="9"/>
  <c r="AB294" i="9"/>
  <c r="T295" i="7"/>
  <c r="AB285" i="9"/>
  <c r="AC285" i="9"/>
  <c r="D285" i="9"/>
  <c r="T286" i="7"/>
  <c r="AB301" i="9"/>
  <c r="AC301" i="9"/>
  <c r="D301" i="9"/>
  <c r="T302" i="7"/>
  <c r="L310" i="9"/>
  <c r="K310" i="9"/>
  <c r="L319" i="9"/>
  <c r="K319" i="9"/>
  <c r="L321" i="9"/>
  <c r="K321" i="9"/>
  <c r="L322" i="9"/>
  <c r="K322" i="9"/>
  <c r="K328" i="9"/>
  <c r="L328" i="9"/>
  <c r="L333" i="9"/>
  <c r="K333" i="9"/>
  <c r="L318" i="9"/>
  <c r="K318" i="9"/>
  <c r="AC280" i="9"/>
  <c r="D280" i="9"/>
  <c r="AB280" i="9"/>
  <c r="T281" i="7"/>
  <c r="AC296" i="9"/>
  <c r="D296" i="9"/>
  <c r="AB296" i="9"/>
  <c r="T297" i="7"/>
  <c r="AC283" i="9"/>
  <c r="D283" i="9"/>
  <c r="AB283" i="9"/>
  <c r="T284" i="7"/>
  <c r="AC299" i="9"/>
  <c r="D299" i="9"/>
  <c r="AB299" i="9"/>
  <c r="T300" i="7"/>
  <c r="AC282" i="9"/>
  <c r="D282" i="9"/>
  <c r="AB282" i="9"/>
  <c r="T283" i="7"/>
  <c r="AC298" i="9"/>
  <c r="D298" i="9"/>
  <c r="AB298" i="9"/>
  <c r="T299" i="7"/>
  <c r="AB289" i="9"/>
  <c r="AC289" i="9"/>
  <c r="D289" i="9"/>
  <c r="T290" i="7"/>
  <c r="AB305" i="9"/>
  <c r="AC305" i="9"/>
  <c r="D305" i="9"/>
  <c r="T306" i="7"/>
  <c r="L309" i="9"/>
  <c r="K309" i="9"/>
  <c r="L323" i="9"/>
  <c r="K323" i="9"/>
  <c r="K320" i="9"/>
  <c r="L320" i="9"/>
  <c r="L330" i="9"/>
  <c r="K330" i="9"/>
  <c r="L314" i="9"/>
  <c r="K314" i="9"/>
  <c r="AC284" i="9"/>
  <c r="D284" i="9"/>
  <c r="AB284" i="9"/>
  <c r="T285" i="7"/>
  <c r="AC300" i="9"/>
  <c r="D300" i="9"/>
  <c r="AB300" i="9"/>
  <c r="T301" i="7"/>
  <c r="AC287" i="9"/>
  <c r="D287" i="9"/>
  <c r="AB287" i="9"/>
  <c r="T288" i="7"/>
  <c r="AC303" i="9"/>
  <c r="D303" i="9"/>
  <c r="AB303" i="9"/>
  <c r="T304" i="7"/>
  <c r="AC286" i="9"/>
  <c r="D286" i="9"/>
  <c r="AB286" i="9"/>
  <c r="T287" i="7"/>
  <c r="AC302" i="9"/>
  <c r="D302" i="9"/>
  <c r="AB302" i="9"/>
  <c r="T303" i="7"/>
  <c r="AB293" i="9"/>
  <c r="AC293" i="9"/>
  <c r="D293" i="9"/>
  <c r="T294" i="7"/>
  <c r="K311" i="9"/>
  <c r="L311" i="9"/>
  <c r="K336" i="9"/>
  <c r="AN336" i="9"/>
  <c r="AO336" i="9"/>
  <c r="AP336" i="9"/>
  <c r="O336" i="9"/>
  <c r="L336" i="9"/>
  <c r="Y234" i="25"/>
  <c r="Z233" i="25"/>
  <c r="A29" i="25"/>
  <c r="D29" i="25"/>
  <c r="B26" i="29"/>
  <c r="B63" i="9"/>
  <c r="C63" i="9"/>
  <c r="P62" i="9"/>
  <c r="U62" i="9"/>
  <c r="X62" i="9"/>
  <c r="W62" i="9"/>
  <c r="S62" i="9"/>
  <c r="Q62" i="9"/>
  <c r="N62" i="9"/>
  <c r="E25" i="29"/>
  <c r="D25" i="29"/>
  <c r="AC25" i="29"/>
  <c r="AD24" i="29"/>
  <c r="F24" i="29"/>
  <c r="AE24" i="29"/>
  <c r="H28" i="25"/>
  <c r="G28" i="25"/>
  <c r="V28" i="25"/>
  <c r="I28" i="25"/>
  <c r="W28" i="25"/>
  <c r="U28" i="25"/>
  <c r="K28" i="25"/>
  <c r="E28" i="25"/>
  <c r="F28" i="25"/>
  <c r="T28" i="25"/>
  <c r="Y235" i="25"/>
  <c r="Y236" i="25"/>
  <c r="Y237" i="25"/>
  <c r="Y238" i="25"/>
  <c r="Y239" i="25"/>
  <c r="Y240" i="25"/>
  <c r="Z234" i="25"/>
  <c r="AD530" i="9"/>
  <c r="AE531" i="9"/>
  <c r="M531" i="9"/>
  <c r="AE165" i="9"/>
  <c r="M165" i="9"/>
  <c r="AD165" i="9"/>
  <c r="T166" i="11"/>
  <c r="AD546" i="9"/>
  <c r="AE547" i="9"/>
  <c r="M547" i="9"/>
  <c r="AE181" i="9"/>
  <c r="M181" i="9"/>
  <c r="AD181" i="9"/>
  <c r="T182" i="11"/>
  <c r="AE546" i="9"/>
  <c r="M546" i="9"/>
  <c r="AD545" i="9"/>
  <c r="AE180" i="9"/>
  <c r="M180" i="9"/>
  <c r="AD180" i="9"/>
  <c r="T181" i="11"/>
  <c r="AD534" i="9"/>
  <c r="AE535" i="9"/>
  <c r="M535" i="9"/>
  <c r="AE169" i="9"/>
  <c r="M169" i="9"/>
  <c r="AD169" i="9"/>
  <c r="T170" i="11"/>
  <c r="AD550" i="9"/>
  <c r="AE551" i="9"/>
  <c r="M551" i="9"/>
  <c r="AE185" i="9"/>
  <c r="M185" i="9"/>
  <c r="AD185" i="9"/>
  <c r="T186" i="11"/>
  <c r="AE550" i="9"/>
  <c r="M550" i="9"/>
  <c r="AD549" i="9"/>
  <c r="AE184" i="9"/>
  <c r="M184" i="9"/>
  <c r="AD184" i="9"/>
  <c r="T185" i="11"/>
  <c r="AD536" i="9"/>
  <c r="AE537" i="9"/>
  <c r="M537" i="9"/>
  <c r="AE171" i="9"/>
  <c r="M171" i="9"/>
  <c r="AD171" i="9"/>
  <c r="T172" i="11"/>
  <c r="AE532" i="9"/>
  <c r="M532" i="9"/>
  <c r="AD531" i="9"/>
  <c r="AE166" i="9"/>
  <c r="M166" i="9"/>
  <c r="AD166" i="9"/>
  <c r="T167" i="11"/>
  <c r="AE548" i="9"/>
  <c r="M548" i="9"/>
  <c r="AD547" i="9"/>
  <c r="AE182" i="9"/>
  <c r="M182" i="9"/>
  <c r="AD182" i="9"/>
  <c r="T183" i="11"/>
  <c r="AE522" i="9"/>
  <c r="M522" i="9"/>
  <c r="AD521" i="9"/>
  <c r="AE156" i="9"/>
  <c r="M156" i="9"/>
  <c r="AD156" i="9"/>
  <c r="T157" i="11"/>
  <c r="AE536" i="9"/>
  <c r="M536" i="9"/>
  <c r="AD535" i="9"/>
  <c r="AE170" i="9"/>
  <c r="M170" i="9"/>
  <c r="AD170" i="9"/>
  <c r="T171" i="11"/>
  <c r="AE526" i="9"/>
  <c r="M526" i="9"/>
  <c r="AD525" i="9"/>
  <c r="AE160" i="9"/>
  <c r="M160" i="9"/>
  <c r="AD160" i="9"/>
  <c r="T161" i="11"/>
  <c r="AD524" i="9"/>
  <c r="AE525" i="9"/>
  <c r="M525" i="9"/>
  <c r="AE159" i="9"/>
  <c r="M159" i="9"/>
  <c r="AD159" i="9"/>
  <c r="T160" i="11"/>
  <c r="AE541" i="9"/>
  <c r="M541" i="9"/>
  <c r="AD540" i="9"/>
  <c r="AE175" i="9"/>
  <c r="M175" i="9"/>
  <c r="AD175" i="9"/>
  <c r="T176" i="11"/>
  <c r="H156" i="11"/>
  <c r="Q156" i="11"/>
  <c r="N156" i="11"/>
  <c r="H152" i="11"/>
  <c r="Q152" i="11"/>
  <c r="N152" i="11"/>
  <c r="H148" i="11"/>
  <c r="Q148" i="11"/>
  <c r="N148" i="11"/>
  <c r="H144" i="11"/>
  <c r="Q144" i="11"/>
  <c r="N144" i="11"/>
  <c r="H140" i="11"/>
  <c r="Q140" i="11"/>
  <c r="N140" i="11"/>
  <c r="H153" i="11"/>
  <c r="Q153" i="11"/>
  <c r="N153" i="11"/>
  <c r="H145" i="11"/>
  <c r="Q145" i="11"/>
  <c r="N145" i="11"/>
  <c r="H138" i="11"/>
  <c r="Q138" i="11"/>
  <c r="N138" i="11"/>
  <c r="H134" i="11"/>
  <c r="Q134" i="11"/>
  <c r="N134" i="11"/>
  <c r="H130" i="11"/>
  <c r="Q130" i="11"/>
  <c r="N130" i="11"/>
  <c r="H126" i="11"/>
  <c r="Q126" i="11"/>
  <c r="N126" i="11"/>
  <c r="I123" i="11"/>
  <c r="I119" i="11"/>
  <c r="I115" i="11"/>
  <c r="I111" i="11"/>
  <c r="I107" i="11"/>
  <c r="I103" i="11"/>
  <c r="I99" i="11"/>
  <c r="H155" i="11"/>
  <c r="Q155" i="11"/>
  <c r="N155" i="11"/>
  <c r="H154" i="11"/>
  <c r="Q154" i="11"/>
  <c r="N154" i="11"/>
  <c r="H147" i="11"/>
  <c r="Q147" i="11"/>
  <c r="N147" i="11"/>
  <c r="H146" i="11"/>
  <c r="Q146" i="11"/>
  <c r="N146" i="11"/>
  <c r="H139" i="11"/>
  <c r="Q139" i="11"/>
  <c r="N139" i="11"/>
  <c r="H135" i="11"/>
  <c r="Q135" i="11"/>
  <c r="N135" i="11"/>
  <c r="H131" i="11"/>
  <c r="Q131" i="11"/>
  <c r="N131" i="11"/>
  <c r="H127" i="11"/>
  <c r="Q127" i="11"/>
  <c r="N127" i="11"/>
  <c r="I124" i="11"/>
  <c r="I120" i="11"/>
  <c r="I116" i="11"/>
  <c r="I112" i="11"/>
  <c r="I108" i="11"/>
  <c r="I104" i="11"/>
  <c r="I100" i="11"/>
  <c r="I96" i="11"/>
  <c r="H149" i="11"/>
  <c r="Q149" i="11"/>
  <c r="N149" i="11"/>
  <c r="H141" i="11"/>
  <c r="Q141" i="11"/>
  <c r="N141" i="11"/>
  <c r="H136" i="11"/>
  <c r="Q136" i="11"/>
  <c r="N136" i="11"/>
  <c r="H132" i="11"/>
  <c r="Q132" i="11"/>
  <c r="N132" i="11"/>
  <c r="H128" i="11"/>
  <c r="Q128" i="11"/>
  <c r="N128" i="11"/>
  <c r="I125" i="11"/>
  <c r="I121" i="11"/>
  <c r="I117" i="11"/>
  <c r="I113" i="11"/>
  <c r="I109" i="11"/>
  <c r="I105" i="11"/>
  <c r="I101" i="11"/>
  <c r="I97" i="11"/>
  <c r="H151" i="11"/>
  <c r="Q151" i="11"/>
  <c r="N151" i="11"/>
  <c r="H150" i="11"/>
  <c r="Q150" i="11"/>
  <c r="N150" i="11"/>
  <c r="H143" i="11"/>
  <c r="Q143" i="11"/>
  <c r="N143" i="11"/>
  <c r="H142" i="11"/>
  <c r="Q142" i="11"/>
  <c r="N142" i="11"/>
  <c r="H137" i="11"/>
  <c r="Q137" i="11"/>
  <c r="N137" i="11"/>
  <c r="H133" i="11"/>
  <c r="Q133" i="11"/>
  <c r="N133" i="11"/>
  <c r="H129" i="11"/>
  <c r="Q129" i="11"/>
  <c r="N129" i="11"/>
  <c r="I122" i="11"/>
  <c r="I118" i="11"/>
  <c r="I114" i="11"/>
  <c r="I110" i="11"/>
  <c r="I106" i="11"/>
  <c r="I102" i="11"/>
  <c r="I98" i="11"/>
  <c r="M7" i="10"/>
  <c r="AD522" i="9"/>
  <c r="AE523" i="9"/>
  <c r="M523" i="9"/>
  <c r="AE157" i="9"/>
  <c r="M157" i="9"/>
  <c r="AD157" i="9"/>
  <c r="T158" i="11"/>
  <c r="AE539" i="9"/>
  <c r="M539" i="9"/>
  <c r="AD538" i="9"/>
  <c r="AE173" i="9"/>
  <c r="M173" i="9"/>
  <c r="AD173" i="9"/>
  <c r="T174" i="11"/>
  <c r="AE530" i="9"/>
  <c r="M530" i="9"/>
  <c r="AD529" i="9"/>
  <c r="AE164" i="9"/>
  <c r="M164" i="9"/>
  <c r="AD164" i="9"/>
  <c r="T165" i="11"/>
  <c r="AD526" i="9"/>
  <c r="AE527" i="9"/>
  <c r="M527" i="9"/>
  <c r="AE161" i="9"/>
  <c r="M161" i="9"/>
  <c r="AD161" i="9"/>
  <c r="T162" i="11"/>
  <c r="AD542" i="9"/>
  <c r="AE543" i="9"/>
  <c r="M543" i="9"/>
  <c r="AE177" i="9"/>
  <c r="M177" i="9"/>
  <c r="AD177" i="9"/>
  <c r="T178" i="11"/>
  <c r="AE534" i="9"/>
  <c r="M534" i="9"/>
  <c r="AD533" i="9"/>
  <c r="AE168" i="9"/>
  <c r="M168" i="9"/>
  <c r="AD168" i="9"/>
  <c r="T169" i="11"/>
  <c r="AD528" i="9"/>
  <c r="AE529" i="9"/>
  <c r="M529" i="9"/>
  <c r="AE163" i="9"/>
  <c r="M163" i="9"/>
  <c r="AD163" i="9"/>
  <c r="T164" i="11"/>
  <c r="AD544" i="9"/>
  <c r="AE545" i="9"/>
  <c r="M545" i="9"/>
  <c r="AE179" i="9"/>
  <c r="M179" i="9"/>
  <c r="AD179" i="9"/>
  <c r="T180" i="11"/>
  <c r="AE524" i="9"/>
  <c r="M524" i="9"/>
  <c r="AD523" i="9"/>
  <c r="AE158" i="9"/>
  <c r="M158" i="9"/>
  <c r="AD158" i="9"/>
  <c r="T159" i="11"/>
  <c r="AE540" i="9"/>
  <c r="M540" i="9"/>
  <c r="AD539" i="9"/>
  <c r="AE174" i="9"/>
  <c r="M174" i="9"/>
  <c r="AD174" i="9"/>
  <c r="T175" i="11"/>
  <c r="AE538" i="9"/>
  <c r="M538" i="9"/>
  <c r="AD537" i="9"/>
  <c r="AE172" i="9"/>
  <c r="M172" i="9"/>
  <c r="AD172" i="9"/>
  <c r="T173" i="11"/>
  <c r="AE528" i="9"/>
  <c r="M528" i="9"/>
  <c r="AD527" i="9"/>
  <c r="AE162" i="9"/>
  <c r="M162" i="9"/>
  <c r="AD162" i="9"/>
  <c r="T163" i="11"/>
  <c r="AE544" i="9"/>
  <c r="M544" i="9"/>
  <c r="AD543" i="9"/>
  <c r="AE178" i="9"/>
  <c r="M178" i="9"/>
  <c r="AD178" i="9"/>
  <c r="T179" i="11"/>
  <c r="AE542" i="9"/>
  <c r="M542" i="9"/>
  <c r="AD541" i="9"/>
  <c r="AE176" i="9"/>
  <c r="M176" i="9"/>
  <c r="AD176" i="9"/>
  <c r="T177" i="11"/>
  <c r="AD532" i="9"/>
  <c r="AE533" i="9"/>
  <c r="M533" i="9"/>
  <c r="AE167" i="9"/>
  <c r="M167" i="9"/>
  <c r="AD167" i="9"/>
  <c r="T168" i="11"/>
  <c r="AD548" i="9"/>
  <c r="AE549" i="9"/>
  <c r="M549" i="9"/>
  <c r="AE183" i="9"/>
  <c r="M183" i="9"/>
  <c r="AD183" i="9"/>
  <c r="T184" i="11"/>
  <c r="L286" i="9"/>
  <c r="K286" i="9"/>
  <c r="L302" i="9"/>
  <c r="K302" i="9"/>
  <c r="L287" i="9"/>
  <c r="K287" i="9"/>
  <c r="AN309" i="9"/>
  <c r="AO309" i="9"/>
  <c r="AP309" i="9"/>
  <c r="O309" i="9"/>
  <c r="L299" i="9"/>
  <c r="K299" i="9"/>
  <c r="AN333" i="9"/>
  <c r="AO333" i="9"/>
  <c r="AP333" i="9"/>
  <c r="O333" i="9"/>
  <c r="AN321" i="9"/>
  <c r="AO321" i="9"/>
  <c r="AP321" i="9"/>
  <c r="O321" i="9"/>
  <c r="L301" i="9"/>
  <c r="K301" i="9"/>
  <c r="L279" i="9"/>
  <c r="K279" i="9"/>
  <c r="AB625" i="9"/>
  <c r="AB260" i="9"/>
  <c r="AC260" i="9"/>
  <c r="D260" i="9"/>
  <c r="T261" i="7"/>
  <c r="AC613" i="9"/>
  <c r="D613" i="9"/>
  <c r="AB612" i="9"/>
  <c r="AC247" i="9"/>
  <c r="D247" i="9"/>
  <c r="AB247" i="9"/>
  <c r="T248" i="7"/>
  <c r="AN311" i="9"/>
  <c r="AO311" i="9"/>
  <c r="AP311" i="9"/>
  <c r="O311" i="9"/>
  <c r="L303" i="9"/>
  <c r="K303" i="9"/>
  <c r="AN330" i="9"/>
  <c r="AO330" i="9"/>
  <c r="AP330" i="9"/>
  <c r="O330" i="9"/>
  <c r="AN320" i="9"/>
  <c r="AO320" i="9"/>
  <c r="AP320" i="9"/>
  <c r="O320" i="9"/>
  <c r="L282" i="9"/>
  <c r="K282" i="9"/>
  <c r="K280" i="9"/>
  <c r="L280" i="9"/>
  <c r="AN328" i="9"/>
  <c r="AO328" i="9"/>
  <c r="AP328" i="9"/>
  <c r="O328" i="9"/>
  <c r="AN310" i="9"/>
  <c r="AO310" i="9"/>
  <c r="AP310" i="9"/>
  <c r="O310" i="9"/>
  <c r="L295" i="9"/>
  <c r="K295" i="9"/>
  <c r="AC614" i="9"/>
  <c r="D614" i="9"/>
  <c r="AB613" i="9"/>
  <c r="AB248" i="9"/>
  <c r="AC248" i="9"/>
  <c r="D248" i="9"/>
  <c r="T249" i="7"/>
  <c r="AB264" i="9"/>
  <c r="AC264" i="9"/>
  <c r="D264" i="9"/>
  <c r="T265" i="7"/>
  <c r="AC617" i="9"/>
  <c r="D617" i="9"/>
  <c r="AB616" i="9"/>
  <c r="AB251" i="9"/>
  <c r="AC251" i="9"/>
  <c r="D251" i="9"/>
  <c r="T252" i="7"/>
  <c r="AB267" i="9"/>
  <c r="AC267" i="9"/>
  <c r="D267" i="9"/>
  <c r="T268" i="7"/>
  <c r="AC624" i="9"/>
  <c r="D624" i="9"/>
  <c r="AB623" i="9"/>
  <c r="AC258" i="9"/>
  <c r="D258" i="9"/>
  <c r="AB258" i="9"/>
  <c r="T259" i="7"/>
  <c r="AC274" i="9"/>
  <c r="D274" i="9"/>
  <c r="AB274" i="9"/>
  <c r="T275" i="7"/>
  <c r="AC261" i="9"/>
  <c r="D261" i="9"/>
  <c r="AB261" i="9"/>
  <c r="T262" i="7"/>
  <c r="AC277" i="9"/>
  <c r="D277" i="9"/>
  <c r="AB277" i="9"/>
  <c r="T278" i="7"/>
  <c r="AN312" i="9"/>
  <c r="AO312" i="9"/>
  <c r="AP312" i="9"/>
  <c r="O312" i="9"/>
  <c r="AN332" i="9"/>
  <c r="AO332" i="9"/>
  <c r="AP332" i="9"/>
  <c r="O332" i="9"/>
  <c r="L281" i="9"/>
  <c r="K281" i="9"/>
  <c r="L306" i="9"/>
  <c r="K306" i="9"/>
  <c r="K304" i="9"/>
  <c r="L304" i="9"/>
  <c r="AN326" i="9"/>
  <c r="AO326" i="9"/>
  <c r="AP326" i="9"/>
  <c r="O326" i="9"/>
  <c r="AN335" i="9"/>
  <c r="AO335" i="9"/>
  <c r="AP335" i="9"/>
  <c r="O335" i="9"/>
  <c r="K284" i="9"/>
  <c r="L284" i="9"/>
  <c r="AN323" i="9"/>
  <c r="AO323" i="9"/>
  <c r="AP323" i="9"/>
  <c r="O323" i="9"/>
  <c r="L289" i="9"/>
  <c r="K289" i="9"/>
  <c r="L298" i="9"/>
  <c r="K298" i="9"/>
  <c r="K296" i="9"/>
  <c r="L296" i="9"/>
  <c r="AN318" i="9"/>
  <c r="AO318" i="9"/>
  <c r="AP318" i="9"/>
  <c r="O318" i="9"/>
  <c r="AN322" i="9"/>
  <c r="AO322" i="9"/>
  <c r="AP322" i="9"/>
  <c r="O322" i="9"/>
  <c r="L278" i="9"/>
  <c r="K278" i="9"/>
  <c r="AC618" i="9"/>
  <c r="D618" i="9"/>
  <c r="AB617" i="9"/>
  <c r="AB252" i="9"/>
  <c r="AC252" i="9"/>
  <c r="D252" i="9"/>
  <c r="T253" i="7"/>
  <c r="AB268" i="9"/>
  <c r="AC268" i="9"/>
  <c r="D268" i="9"/>
  <c r="T269" i="7"/>
  <c r="AC621" i="9"/>
  <c r="D621" i="9"/>
  <c r="AB620" i="9"/>
  <c r="AC255" i="9"/>
  <c r="D255" i="9"/>
  <c r="AB255" i="9"/>
  <c r="T256" i="7"/>
  <c r="AC271" i="9"/>
  <c r="D271" i="9"/>
  <c r="AB271" i="9"/>
  <c r="T272" i="7"/>
  <c r="AB262" i="9"/>
  <c r="AC262" i="9"/>
  <c r="D262" i="9"/>
  <c r="T263" i="7"/>
  <c r="AC615" i="9"/>
  <c r="D615" i="9"/>
  <c r="AB614" i="9"/>
  <c r="AC249" i="9"/>
  <c r="D249" i="9"/>
  <c r="AB249" i="9"/>
  <c r="T250" i="7"/>
  <c r="AC265" i="9"/>
  <c r="D265" i="9"/>
  <c r="AB265" i="9"/>
  <c r="T266" i="7"/>
  <c r="AN317" i="9"/>
  <c r="AO317" i="9"/>
  <c r="AP317" i="9"/>
  <c r="O317" i="9"/>
  <c r="AN331" i="9"/>
  <c r="AO331" i="9"/>
  <c r="AP331" i="9"/>
  <c r="O331" i="9"/>
  <c r="AN329" i="9"/>
  <c r="AO329" i="9"/>
  <c r="AP329" i="9"/>
  <c r="O329" i="9"/>
  <c r="L297" i="9"/>
  <c r="K297" i="9"/>
  <c r="L291" i="9"/>
  <c r="K291" i="9"/>
  <c r="AN308" i="9"/>
  <c r="AO308" i="9"/>
  <c r="AP308" i="9"/>
  <c r="O308" i="9"/>
  <c r="AN324" i="9"/>
  <c r="AO324" i="9"/>
  <c r="AP324" i="9"/>
  <c r="O324" i="9"/>
  <c r="AN316" i="9"/>
  <c r="AO316" i="9"/>
  <c r="AP316" i="9"/>
  <c r="O316" i="9"/>
  <c r="AN314" i="9"/>
  <c r="AO314" i="9"/>
  <c r="AP314" i="9"/>
  <c r="O314" i="9"/>
  <c r="L305" i="9"/>
  <c r="K305" i="9"/>
  <c r="L283" i="9"/>
  <c r="K283" i="9"/>
  <c r="AN319" i="9"/>
  <c r="AO319" i="9"/>
  <c r="AP319" i="9"/>
  <c r="O319" i="9"/>
  <c r="L285" i="9"/>
  <c r="K285" i="9"/>
  <c r="L294" i="9"/>
  <c r="K294" i="9"/>
  <c r="K292" i="9"/>
  <c r="L292" i="9"/>
  <c r="AC622" i="9"/>
  <c r="D622" i="9"/>
  <c r="AB621" i="9"/>
  <c r="AB256" i="9"/>
  <c r="AC256" i="9"/>
  <c r="D256" i="9"/>
  <c r="T257" i="7"/>
  <c r="AB272" i="9"/>
  <c r="AC272" i="9"/>
  <c r="D272" i="9"/>
  <c r="T273" i="7"/>
  <c r="AC625" i="9"/>
  <c r="D625" i="9"/>
  <c r="AB624" i="9"/>
  <c r="AC259" i="9"/>
  <c r="D259" i="9"/>
  <c r="AB259" i="9"/>
  <c r="T260" i="7"/>
  <c r="AC275" i="9"/>
  <c r="D275" i="9"/>
  <c r="AB275" i="9"/>
  <c r="T276" i="7"/>
  <c r="AC616" i="9"/>
  <c r="D616" i="9"/>
  <c r="AB615" i="9"/>
  <c r="AC250" i="9"/>
  <c r="D250" i="9"/>
  <c r="AB250" i="9"/>
  <c r="T251" i="7"/>
  <c r="AC266" i="9"/>
  <c r="D266" i="9"/>
  <c r="AB266" i="9"/>
  <c r="T267" i="7"/>
  <c r="AC619" i="9"/>
  <c r="D619" i="9"/>
  <c r="AB618" i="9"/>
  <c r="AC253" i="9"/>
  <c r="D253" i="9"/>
  <c r="AB253" i="9"/>
  <c r="T254" i="7"/>
  <c r="AC269" i="9"/>
  <c r="D269" i="9"/>
  <c r="AB269" i="9"/>
  <c r="T270" i="7"/>
  <c r="L307" i="9"/>
  <c r="K307" i="9"/>
  <c r="AN313" i="9"/>
  <c r="AO313" i="9"/>
  <c r="AP313" i="9"/>
  <c r="O313" i="9"/>
  <c r="AN315" i="9"/>
  <c r="AO315" i="9"/>
  <c r="AP315" i="9"/>
  <c r="O315" i="9"/>
  <c r="AN334" i="9"/>
  <c r="AO334" i="9"/>
  <c r="AP334" i="9"/>
  <c r="O334" i="9"/>
  <c r="AN325" i="9"/>
  <c r="AO325" i="9"/>
  <c r="AP325" i="9"/>
  <c r="O325" i="9"/>
  <c r="L293" i="9"/>
  <c r="K293" i="9"/>
  <c r="K300" i="9"/>
  <c r="L300" i="9"/>
  <c r="H246" i="7"/>
  <c r="Q246" i="7"/>
  <c r="N246" i="7"/>
  <c r="H242" i="7"/>
  <c r="Q242" i="7"/>
  <c r="N242" i="7"/>
  <c r="H238" i="7"/>
  <c r="Q238" i="7"/>
  <c r="N238" i="7"/>
  <c r="H234" i="7"/>
  <c r="Q234" i="7"/>
  <c r="N234" i="7"/>
  <c r="H230" i="7"/>
  <c r="Q230" i="7"/>
  <c r="N230" i="7"/>
  <c r="H226" i="7"/>
  <c r="Q226" i="7"/>
  <c r="N226" i="7"/>
  <c r="H222" i="7"/>
  <c r="Q222" i="7"/>
  <c r="N222" i="7"/>
  <c r="H218" i="7"/>
  <c r="Q218" i="7"/>
  <c r="N218" i="7"/>
  <c r="I215" i="7"/>
  <c r="H247" i="7"/>
  <c r="Q247" i="7"/>
  <c r="N247" i="7"/>
  <c r="H243" i="7"/>
  <c r="Q243" i="7"/>
  <c r="N243" i="7"/>
  <c r="H239" i="7"/>
  <c r="Q239" i="7"/>
  <c r="N239" i="7"/>
  <c r="H235" i="7"/>
  <c r="Q235" i="7"/>
  <c r="N235" i="7"/>
  <c r="H231" i="7"/>
  <c r="Q231" i="7"/>
  <c r="N231" i="7"/>
  <c r="H227" i="7"/>
  <c r="Q227" i="7"/>
  <c r="N227" i="7"/>
  <c r="H223" i="7"/>
  <c r="Q223" i="7"/>
  <c r="N223" i="7"/>
  <c r="H219" i="7"/>
  <c r="Q219" i="7"/>
  <c r="N219" i="7"/>
  <c r="I216" i="7"/>
  <c r="I212" i="7"/>
  <c r="H244" i="7"/>
  <c r="Q244" i="7"/>
  <c r="N244" i="7"/>
  <c r="H240" i="7"/>
  <c r="Q240" i="7"/>
  <c r="N240" i="7"/>
  <c r="H236" i="7"/>
  <c r="Q236" i="7"/>
  <c r="N236" i="7"/>
  <c r="H232" i="7"/>
  <c r="Q232" i="7"/>
  <c r="N232" i="7"/>
  <c r="H228" i="7"/>
  <c r="Q228" i="7"/>
  <c r="N228" i="7"/>
  <c r="H224" i="7"/>
  <c r="Q224" i="7"/>
  <c r="N224" i="7"/>
  <c r="H220" i="7"/>
  <c r="Q220" i="7"/>
  <c r="N220" i="7"/>
  <c r="H245" i="7"/>
  <c r="Q245" i="7"/>
  <c r="N245" i="7"/>
  <c r="H241" i="7"/>
  <c r="Q241" i="7"/>
  <c r="N241" i="7"/>
  <c r="H237" i="7"/>
  <c r="Q237" i="7"/>
  <c r="N237" i="7"/>
  <c r="H233" i="7"/>
  <c r="Q233" i="7"/>
  <c r="N233" i="7"/>
  <c r="H229" i="7"/>
  <c r="Q229" i="7"/>
  <c r="N229" i="7"/>
  <c r="H225" i="7"/>
  <c r="Q225" i="7"/>
  <c r="N225" i="7"/>
  <c r="H221" i="7"/>
  <c r="Q221" i="7"/>
  <c r="N221" i="7"/>
  <c r="I214" i="7"/>
  <c r="I210" i="7"/>
  <c r="I206" i="7"/>
  <c r="I202" i="7"/>
  <c r="I198" i="7"/>
  <c r="I194" i="7"/>
  <c r="I190" i="7"/>
  <c r="I211" i="7"/>
  <c r="I204" i="7"/>
  <c r="I203" i="7"/>
  <c r="I196" i="7"/>
  <c r="I195" i="7"/>
  <c r="I188" i="7"/>
  <c r="I187" i="7"/>
  <c r="I217" i="7"/>
  <c r="I209" i="7"/>
  <c r="I201" i="7"/>
  <c r="I193" i="7"/>
  <c r="I208" i="7"/>
  <c r="I207" i="7"/>
  <c r="I200" i="7"/>
  <c r="I199" i="7"/>
  <c r="I192" i="7"/>
  <c r="I191" i="7"/>
  <c r="I213" i="7"/>
  <c r="I205" i="7"/>
  <c r="I197" i="7"/>
  <c r="I189" i="7"/>
  <c r="K10" i="8"/>
  <c r="AB276" i="9"/>
  <c r="AC276" i="9"/>
  <c r="D276" i="9"/>
  <c r="T277" i="7"/>
  <c r="AC263" i="9"/>
  <c r="D263" i="9"/>
  <c r="AB263" i="9"/>
  <c r="T264" i="7"/>
  <c r="AC620" i="9"/>
  <c r="D620" i="9"/>
  <c r="AB619" i="9"/>
  <c r="AC254" i="9"/>
  <c r="D254" i="9"/>
  <c r="AB254" i="9"/>
  <c r="T255" i="7"/>
  <c r="AC270" i="9"/>
  <c r="D270" i="9"/>
  <c r="AB270" i="9"/>
  <c r="T271" i="7"/>
  <c r="AC623" i="9"/>
  <c r="D623" i="9"/>
  <c r="AB622" i="9"/>
  <c r="AC257" i="9"/>
  <c r="D257" i="9"/>
  <c r="AB257" i="9"/>
  <c r="T258" i="7"/>
  <c r="AC273" i="9"/>
  <c r="D273" i="9"/>
  <c r="AB273" i="9"/>
  <c r="T274" i="7"/>
  <c r="L290" i="9"/>
  <c r="K290" i="9"/>
  <c r="K288" i="9"/>
  <c r="L288" i="9"/>
  <c r="AN327" i="9"/>
  <c r="AO327" i="9"/>
  <c r="AP327" i="9"/>
  <c r="O327" i="9"/>
  <c r="Y241" i="25"/>
  <c r="Y242" i="25"/>
  <c r="Y243" i="25"/>
  <c r="Y244" i="25"/>
  <c r="Y245" i="25"/>
  <c r="Y246" i="25"/>
  <c r="Y247" i="25"/>
  <c r="Z240" i="25"/>
  <c r="AD25" i="29"/>
  <c r="F25" i="29"/>
  <c r="AE25" i="29"/>
  <c r="S63" i="9"/>
  <c r="N63" i="9"/>
  <c r="A30" i="25"/>
  <c r="D30" i="25"/>
  <c r="B27" i="29"/>
  <c r="C64" i="9"/>
  <c r="B64" i="9"/>
  <c r="P63" i="9"/>
  <c r="U63" i="9"/>
  <c r="X63" i="9"/>
  <c r="W63" i="9"/>
  <c r="E26" i="29"/>
  <c r="D26" i="29"/>
  <c r="AC26" i="29"/>
  <c r="I29" i="25"/>
  <c r="W29" i="25"/>
  <c r="G29" i="25"/>
  <c r="V29" i="25"/>
  <c r="H29" i="25"/>
  <c r="E29" i="25"/>
  <c r="F29" i="25"/>
  <c r="U29" i="25"/>
  <c r="K29" i="25"/>
  <c r="T29" i="25"/>
  <c r="AE498" i="9"/>
  <c r="M498" i="9"/>
  <c r="AD497" i="9"/>
  <c r="AE132" i="9"/>
  <c r="M132" i="9"/>
  <c r="AD132" i="9"/>
  <c r="T133" i="11"/>
  <c r="AD514" i="9"/>
  <c r="AE515" i="9"/>
  <c r="M515" i="9"/>
  <c r="AE149" i="9"/>
  <c r="M149" i="9"/>
  <c r="AD149" i="9"/>
  <c r="T150" i="11"/>
  <c r="AD500" i="9"/>
  <c r="AE501" i="9"/>
  <c r="M501" i="9"/>
  <c r="AE135" i="9"/>
  <c r="M135" i="9"/>
  <c r="AD135" i="9"/>
  <c r="T136" i="11"/>
  <c r="AE496" i="9"/>
  <c r="M496" i="9"/>
  <c r="AD495" i="9"/>
  <c r="AE130" i="9"/>
  <c r="M130" i="9"/>
  <c r="AD130" i="9"/>
  <c r="T131" i="11"/>
  <c r="AE512" i="9"/>
  <c r="M512" i="9"/>
  <c r="AD511" i="9"/>
  <c r="AE146" i="9"/>
  <c r="M146" i="9"/>
  <c r="AD146" i="9"/>
  <c r="T147" i="11"/>
  <c r="AD498" i="9"/>
  <c r="AE499" i="9"/>
  <c r="M499" i="9"/>
  <c r="AE133" i="9"/>
  <c r="M133" i="9"/>
  <c r="AD133" i="9"/>
  <c r="T134" i="11"/>
  <c r="AD504" i="9"/>
  <c r="AE505" i="9"/>
  <c r="M505" i="9"/>
  <c r="AE139" i="9"/>
  <c r="M139" i="9"/>
  <c r="AD139" i="9"/>
  <c r="T140" i="11"/>
  <c r="AD520" i="9"/>
  <c r="AE521" i="9"/>
  <c r="M521" i="9"/>
  <c r="AE155" i="9"/>
  <c r="M155" i="9"/>
  <c r="AD155" i="9"/>
  <c r="T156" i="11"/>
  <c r="AE502" i="9"/>
  <c r="M502" i="9"/>
  <c r="AD501" i="9"/>
  <c r="AD136" i="9"/>
  <c r="AE136" i="9"/>
  <c r="M136" i="9"/>
  <c r="T137" i="11"/>
  <c r="AE516" i="9"/>
  <c r="M516" i="9"/>
  <c r="AD515" i="9"/>
  <c r="AE150" i="9"/>
  <c r="M150" i="9"/>
  <c r="AD150" i="9"/>
  <c r="T151" i="11"/>
  <c r="AE506" i="9"/>
  <c r="M506" i="9"/>
  <c r="AD505" i="9"/>
  <c r="AE140" i="9"/>
  <c r="M140" i="9"/>
  <c r="AD140" i="9"/>
  <c r="T141" i="11"/>
  <c r="AE500" i="9"/>
  <c r="M500" i="9"/>
  <c r="AD499" i="9"/>
  <c r="AE134" i="9"/>
  <c r="M134" i="9"/>
  <c r="AD134" i="9"/>
  <c r="T135" i="11"/>
  <c r="AD518" i="9"/>
  <c r="AE519" i="9"/>
  <c r="M519" i="9"/>
  <c r="AE153" i="9"/>
  <c r="M153" i="9"/>
  <c r="AD153" i="9"/>
  <c r="T154" i="11"/>
  <c r="AD502" i="9"/>
  <c r="AE503" i="9"/>
  <c r="M503" i="9"/>
  <c r="AE137" i="9"/>
  <c r="M137" i="9"/>
  <c r="AD137" i="9"/>
  <c r="T138" i="11"/>
  <c r="AD508" i="9"/>
  <c r="AE509" i="9"/>
  <c r="M509" i="9"/>
  <c r="AE143" i="9"/>
  <c r="M143" i="9"/>
  <c r="AD143" i="9"/>
  <c r="T144" i="11"/>
  <c r="AD506" i="9"/>
  <c r="AE507" i="9"/>
  <c r="M507" i="9"/>
  <c r="AE141" i="9"/>
  <c r="M141" i="9"/>
  <c r="AD141" i="9"/>
  <c r="T142" i="11"/>
  <c r="AD492" i="9"/>
  <c r="AE493" i="9"/>
  <c r="M493" i="9"/>
  <c r="AE127" i="9"/>
  <c r="M127" i="9"/>
  <c r="AD127" i="9"/>
  <c r="T128" i="11"/>
  <c r="AE514" i="9"/>
  <c r="M514" i="9"/>
  <c r="AD513" i="9"/>
  <c r="AE148" i="9"/>
  <c r="M148" i="9"/>
  <c r="AD148" i="9"/>
  <c r="T149" i="11"/>
  <c r="AE504" i="9"/>
  <c r="M504" i="9"/>
  <c r="AD503" i="9"/>
  <c r="AE138" i="9"/>
  <c r="M138" i="9"/>
  <c r="AD138" i="9"/>
  <c r="T139" i="11"/>
  <c r="AE520" i="9"/>
  <c r="M520" i="9"/>
  <c r="AD519" i="9"/>
  <c r="AE154" i="9"/>
  <c r="M154" i="9"/>
  <c r="AD154" i="9"/>
  <c r="T155" i="11"/>
  <c r="AD490" i="9"/>
  <c r="AE491" i="9"/>
  <c r="M491" i="9"/>
  <c r="AE125" i="9"/>
  <c r="M125" i="9"/>
  <c r="AD125" i="9"/>
  <c r="T126" i="11"/>
  <c r="AE510" i="9"/>
  <c r="M510" i="9"/>
  <c r="AD509" i="9"/>
  <c r="AE144" i="9"/>
  <c r="M144" i="9"/>
  <c r="AD144" i="9"/>
  <c r="T145" i="11"/>
  <c r="AD512" i="9"/>
  <c r="AE513" i="9"/>
  <c r="M513" i="9"/>
  <c r="AE147" i="9"/>
  <c r="M147" i="9"/>
  <c r="AD147" i="9"/>
  <c r="T148" i="11"/>
  <c r="H122" i="11"/>
  <c r="Q122" i="11"/>
  <c r="N122" i="11"/>
  <c r="H118" i="11"/>
  <c r="Q118" i="11"/>
  <c r="N118" i="11"/>
  <c r="H114" i="11"/>
  <c r="Q114" i="11"/>
  <c r="N114" i="11"/>
  <c r="H110" i="11"/>
  <c r="Q110" i="11"/>
  <c r="N110" i="11"/>
  <c r="H106" i="11"/>
  <c r="Q106" i="11"/>
  <c r="N106" i="11"/>
  <c r="H102" i="11"/>
  <c r="Q102" i="11"/>
  <c r="N102" i="11"/>
  <c r="H98" i="11"/>
  <c r="Q98" i="11"/>
  <c r="N98" i="11"/>
  <c r="I95" i="11"/>
  <c r="I91" i="11"/>
  <c r="I87" i="11"/>
  <c r="I83" i="11"/>
  <c r="I79" i="11"/>
  <c r="I75" i="11"/>
  <c r="I71" i="11"/>
  <c r="I67" i="11"/>
  <c r="H123" i="11"/>
  <c r="Q123" i="11"/>
  <c r="N123" i="11"/>
  <c r="H119" i="11"/>
  <c r="Q119" i="11"/>
  <c r="N119" i="11"/>
  <c r="H115" i="11"/>
  <c r="Q115" i="11"/>
  <c r="N115" i="11"/>
  <c r="H111" i="11"/>
  <c r="Q111" i="11"/>
  <c r="N111" i="11"/>
  <c r="H107" i="11"/>
  <c r="Q107" i="11"/>
  <c r="N107" i="11"/>
  <c r="H103" i="11"/>
  <c r="Q103" i="11"/>
  <c r="N103" i="11"/>
  <c r="H99" i="11"/>
  <c r="Q99" i="11"/>
  <c r="N99" i="11"/>
  <c r="I92" i="11"/>
  <c r="I88" i="11"/>
  <c r="I84" i="11"/>
  <c r="I80" i="11"/>
  <c r="I76" i="11"/>
  <c r="I72" i="11"/>
  <c r="I68" i="11"/>
  <c r="H124" i="11"/>
  <c r="Q124" i="11"/>
  <c r="N124" i="11"/>
  <c r="H120" i="11"/>
  <c r="Q120" i="11"/>
  <c r="N120" i="11"/>
  <c r="H116" i="11"/>
  <c r="Q116" i="11"/>
  <c r="N116" i="11"/>
  <c r="H112" i="11"/>
  <c r="Q112" i="11"/>
  <c r="N112" i="11"/>
  <c r="H108" i="11"/>
  <c r="Q108" i="11"/>
  <c r="N108" i="11"/>
  <c r="H104" i="11"/>
  <c r="Q104" i="11"/>
  <c r="N104" i="11"/>
  <c r="H100" i="11"/>
  <c r="Q100" i="11"/>
  <c r="N100" i="11"/>
  <c r="H96" i="11"/>
  <c r="Q96" i="11"/>
  <c r="N96" i="11"/>
  <c r="I93" i="11"/>
  <c r="I89" i="11"/>
  <c r="I85" i="11"/>
  <c r="I81" i="11"/>
  <c r="I77" i="11"/>
  <c r="I73" i="11"/>
  <c r="I69" i="11"/>
  <c r="I65" i="11"/>
  <c r="H125" i="11"/>
  <c r="Q125" i="11"/>
  <c r="N125" i="11"/>
  <c r="H121" i="11"/>
  <c r="Q121" i="11"/>
  <c r="N121" i="11"/>
  <c r="H117" i="11"/>
  <c r="Q117" i="11"/>
  <c r="N117" i="11"/>
  <c r="H113" i="11"/>
  <c r="Q113" i="11"/>
  <c r="N113" i="11"/>
  <c r="H109" i="11"/>
  <c r="Q109" i="11"/>
  <c r="N109" i="11"/>
  <c r="H105" i="11"/>
  <c r="Q105" i="11"/>
  <c r="N105" i="11"/>
  <c r="H101" i="11"/>
  <c r="Q101" i="11"/>
  <c r="N101" i="11"/>
  <c r="H97" i="11"/>
  <c r="Q97" i="11"/>
  <c r="N97" i="11"/>
  <c r="I94" i="11"/>
  <c r="I90" i="11"/>
  <c r="I86" i="11"/>
  <c r="I82" i="11"/>
  <c r="I78" i="11"/>
  <c r="I74" i="11"/>
  <c r="I70" i="11"/>
  <c r="I66" i="11"/>
  <c r="M6" i="10"/>
  <c r="AE494" i="9"/>
  <c r="M494" i="9"/>
  <c r="AD493" i="9"/>
  <c r="AD128" i="9"/>
  <c r="AE128" i="9"/>
  <c r="M128" i="9"/>
  <c r="T129" i="11"/>
  <c r="AE508" i="9"/>
  <c r="M508" i="9"/>
  <c r="AD507" i="9"/>
  <c r="AE142" i="9"/>
  <c r="M142" i="9"/>
  <c r="AD142" i="9"/>
  <c r="T143" i="11"/>
  <c r="AD496" i="9"/>
  <c r="AE497" i="9"/>
  <c r="M497" i="9"/>
  <c r="AE131" i="9"/>
  <c r="M131" i="9"/>
  <c r="AD131" i="9"/>
  <c r="T132" i="11"/>
  <c r="AE492" i="9"/>
  <c r="M492" i="9"/>
  <c r="AD491" i="9"/>
  <c r="AE126" i="9"/>
  <c r="M126" i="9"/>
  <c r="AD126" i="9"/>
  <c r="T127" i="11"/>
  <c r="AD510" i="9"/>
  <c r="AE511" i="9"/>
  <c r="M511" i="9"/>
  <c r="AE145" i="9"/>
  <c r="M145" i="9"/>
  <c r="AD145" i="9"/>
  <c r="T146" i="11"/>
  <c r="AD494" i="9"/>
  <c r="AE495" i="9"/>
  <c r="M495" i="9"/>
  <c r="AE129" i="9"/>
  <c r="M129" i="9"/>
  <c r="AD129" i="9"/>
  <c r="T130" i="11"/>
  <c r="AE518" i="9"/>
  <c r="M518" i="9"/>
  <c r="AD517" i="9"/>
  <c r="AE152" i="9"/>
  <c r="M152" i="9"/>
  <c r="AD152" i="9"/>
  <c r="T153" i="11"/>
  <c r="AD516" i="9"/>
  <c r="AE517" i="9"/>
  <c r="M517" i="9"/>
  <c r="AE151" i="9"/>
  <c r="M151" i="9"/>
  <c r="AD151" i="9"/>
  <c r="T152" i="11"/>
  <c r="L276" i="9"/>
  <c r="K276" i="9"/>
  <c r="AC590" i="9"/>
  <c r="D590" i="9"/>
  <c r="AB589" i="9"/>
  <c r="AC224" i="9"/>
  <c r="D224" i="9"/>
  <c r="AB224" i="9"/>
  <c r="T225" i="7"/>
  <c r="AC606" i="9"/>
  <c r="D606" i="9"/>
  <c r="AB605" i="9"/>
  <c r="AB240" i="9"/>
  <c r="AC240" i="9"/>
  <c r="D240" i="9"/>
  <c r="T241" i="7"/>
  <c r="AC593" i="9"/>
  <c r="D593" i="9"/>
  <c r="AB592" i="9"/>
  <c r="AC227" i="9"/>
  <c r="D227" i="9"/>
  <c r="AB227" i="9"/>
  <c r="T228" i="7"/>
  <c r="AC609" i="9"/>
  <c r="D609" i="9"/>
  <c r="AB608" i="9"/>
  <c r="AC243" i="9"/>
  <c r="D243" i="9"/>
  <c r="AB243" i="9"/>
  <c r="T244" i="7"/>
  <c r="AC588" i="9"/>
  <c r="D588" i="9"/>
  <c r="AB587" i="9"/>
  <c r="AC222" i="9"/>
  <c r="D222" i="9"/>
  <c r="AB222" i="9"/>
  <c r="T223" i="7"/>
  <c r="AC604" i="9"/>
  <c r="D604" i="9"/>
  <c r="AB603" i="9"/>
  <c r="AC238" i="9"/>
  <c r="D238" i="9"/>
  <c r="AB238" i="9"/>
  <c r="T239" i="7"/>
  <c r="AC583" i="9"/>
  <c r="D583" i="9"/>
  <c r="AB582" i="9"/>
  <c r="AB217" i="9"/>
  <c r="AC217" i="9"/>
  <c r="D217" i="9"/>
  <c r="T218" i="7"/>
  <c r="AC599" i="9"/>
  <c r="D599" i="9"/>
  <c r="AB598" i="9"/>
  <c r="AC233" i="9"/>
  <c r="D233" i="9"/>
  <c r="AB233" i="9"/>
  <c r="T234" i="7"/>
  <c r="AN307" i="9"/>
  <c r="AO307" i="9"/>
  <c r="AP307" i="9"/>
  <c r="O307" i="9"/>
  <c r="L269" i="9"/>
  <c r="K269" i="9"/>
  <c r="L266" i="9"/>
  <c r="K266" i="9"/>
  <c r="K275" i="9"/>
  <c r="L275" i="9"/>
  <c r="AN294" i="9"/>
  <c r="AO294" i="9"/>
  <c r="AP294" i="9"/>
  <c r="O294" i="9"/>
  <c r="AN305" i="9"/>
  <c r="AO305" i="9"/>
  <c r="AP305" i="9"/>
  <c r="O305" i="9"/>
  <c r="AN297" i="9"/>
  <c r="AO297" i="9"/>
  <c r="AP297" i="9"/>
  <c r="O297" i="9"/>
  <c r="K255" i="9"/>
  <c r="L255" i="9"/>
  <c r="L268" i="9"/>
  <c r="K268" i="9"/>
  <c r="AN304" i="9"/>
  <c r="AO304" i="9"/>
  <c r="AP304" i="9"/>
  <c r="O304" i="9"/>
  <c r="L258" i="9"/>
  <c r="K258" i="9"/>
  <c r="K267" i="9"/>
  <c r="L267" i="9"/>
  <c r="L264" i="9"/>
  <c r="K264" i="9"/>
  <c r="AN301" i="9"/>
  <c r="AO301" i="9"/>
  <c r="AP301" i="9"/>
  <c r="O301" i="9"/>
  <c r="AN302" i="9"/>
  <c r="AO302" i="9"/>
  <c r="AP302" i="9"/>
  <c r="O302" i="9"/>
  <c r="AN288" i="9"/>
  <c r="AO288" i="9"/>
  <c r="AP288" i="9"/>
  <c r="O288" i="9"/>
  <c r="L254" i="9"/>
  <c r="K254" i="9"/>
  <c r="AC594" i="9"/>
  <c r="D594" i="9"/>
  <c r="AB593" i="9"/>
  <c r="AB228" i="9"/>
  <c r="AC228" i="9"/>
  <c r="D228" i="9"/>
  <c r="T229" i="7"/>
  <c r="AC610" i="9"/>
  <c r="D610" i="9"/>
  <c r="AB609" i="9"/>
  <c r="AB244" i="9"/>
  <c r="AC244" i="9"/>
  <c r="D244" i="9"/>
  <c r="T245" i="7"/>
  <c r="AC597" i="9"/>
  <c r="D597" i="9"/>
  <c r="AB596" i="9"/>
  <c r="AC231" i="9"/>
  <c r="D231" i="9"/>
  <c r="AB231" i="9"/>
  <c r="T232" i="7"/>
  <c r="AC592" i="9"/>
  <c r="D592" i="9"/>
  <c r="AB591" i="9"/>
  <c r="AC226" i="9"/>
  <c r="D226" i="9"/>
  <c r="AB226" i="9"/>
  <c r="T227" i="7"/>
  <c r="AC608" i="9"/>
  <c r="D608" i="9"/>
  <c r="AB607" i="9"/>
  <c r="AC242" i="9"/>
  <c r="D242" i="9"/>
  <c r="AB242" i="9"/>
  <c r="T243" i="7"/>
  <c r="AC587" i="9"/>
  <c r="D587" i="9"/>
  <c r="AB586" i="9"/>
  <c r="AB221" i="9"/>
  <c r="AC221" i="9"/>
  <c r="D221" i="9"/>
  <c r="T222" i="7"/>
  <c r="AC603" i="9"/>
  <c r="D603" i="9"/>
  <c r="AB602" i="9"/>
  <c r="AC237" i="9"/>
  <c r="D237" i="9"/>
  <c r="AB237" i="9"/>
  <c r="T238" i="7"/>
  <c r="AN300" i="9"/>
  <c r="AO300" i="9"/>
  <c r="AP300" i="9"/>
  <c r="O300" i="9"/>
  <c r="L619" i="9"/>
  <c r="K619" i="9"/>
  <c r="AN619" i="9"/>
  <c r="AO619" i="9"/>
  <c r="AP619" i="9"/>
  <c r="O619" i="9"/>
  <c r="K616" i="9"/>
  <c r="AN616" i="9"/>
  <c r="AO616" i="9"/>
  <c r="AP616" i="9"/>
  <c r="O616" i="9"/>
  <c r="L616" i="9"/>
  <c r="L625" i="9"/>
  <c r="K625" i="9"/>
  <c r="AN625" i="9"/>
  <c r="AO625" i="9"/>
  <c r="AP625" i="9"/>
  <c r="O625" i="9"/>
  <c r="L622" i="9"/>
  <c r="K622" i="9"/>
  <c r="AN622" i="9"/>
  <c r="AO622" i="9"/>
  <c r="AP622" i="9"/>
  <c r="O622" i="9"/>
  <c r="L249" i="9"/>
  <c r="K249" i="9"/>
  <c r="K262" i="9"/>
  <c r="L262" i="9"/>
  <c r="K271" i="9"/>
  <c r="L271" i="9"/>
  <c r="AN289" i="9"/>
  <c r="AO289" i="9"/>
  <c r="AP289" i="9"/>
  <c r="O289" i="9"/>
  <c r="AN306" i="9"/>
  <c r="AO306" i="9"/>
  <c r="AP306" i="9"/>
  <c r="O306" i="9"/>
  <c r="L274" i="9"/>
  <c r="K274" i="9"/>
  <c r="AN303" i="9"/>
  <c r="AO303" i="9"/>
  <c r="AP303" i="9"/>
  <c r="O303" i="9"/>
  <c r="L613" i="9"/>
  <c r="K613" i="9"/>
  <c r="AN613" i="9"/>
  <c r="AO613" i="9"/>
  <c r="AP613" i="9"/>
  <c r="O613" i="9"/>
  <c r="L257" i="9"/>
  <c r="K257" i="9"/>
  <c r="AN290" i="9"/>
  <c r="AO290" i="9"/>
  <c r="AP290" i="9"/>
  <c r="O290" i="9"/>
  <c r="L273" i="9"/>
  <c r="K273" i="9"/>
  <c r="L270" i="9"/>
  <c r="K270" i="9"/>
  <c r="K263" i="9"/>
  <c r="L263" i="9"/>
  <c r="H214" i="7"/>
  <c r="Q214" i="7"/>
  <c r="N214" i="7"/>
  <c r="H215" i="7"/>
  <c r="Q215" i="7"/>
  <c r="N215" i="7"/>
  <c r="H217" i="7"/>
  <c r="Q217" i="7"/>
  <c r="N217" i="7"/>
  <c r="H213" i="7"/>
  <c r="Q213" i="7"/>
  <c r="N213" i="7"/>
  <c r="H209" i="7"/>
  <c r="Q209" i="7"/>
  <c r="N209" i="7"/>
  <c r="H205" i="7"/>
  <c r="Q205" i="7"/>
  <c r="N205" i="7"/>
  <c r="H201" i="7"/>
  <c r="Q201" i="7"/>
  <c r="N201" i="7"/>
  <c r="H197" i="7"/>
  <c r="Q197" i="7"/>
  <c r="N197" i="7"/>
  <c r="H193" i="7"/>
  <c r="Q193" i="7"/>
  <c r="N193" i="7"/>
  <c r="H189" i="7"/>
  <c r="Q189" i="7"/>
  <c r="N189" i="7"/>
  <c r="I186" i="7"/>
  <c r="I182" i="7"/>
  <c r="H216" i="7"/>
  <c r="Q216" i="7"/>
  <c r="N216" i="7"/>
  <c r="H210" i="7"/>
  <c r="Q210" i="7"/>
  <c r="N210" i="7"/>
  <c r="H202" i="7"/>
  <c r="Q202" i="7"/>
  <c r="N202" i="7"/>
  <c r="H194" i="7"/>
  <c r="Q194" i="7"/>
  <c r="N194" i="7"/>
  <c r="I180" i="7"/>
  <c r="I179" i="7"/>
  <c r="I175" i="7"/>
  <c r="I171" i="7"/>
  <c r="I167" i="7"/>
  <c r="I163" i="7"/>
  <c r="I159" i="7"/>
  <c r="H211" i="7"/>
  <c r="Q211" i="7"/>
  <c r="N211" i="7"/>
  <c r="H204" i="7"/>
  <c r="Q204" i="7"/>
  <c r="N204" i="7"/>
  <c r="H203" i="7"/>
  <c r="Q203" i="7"/>
  <c r="N203" i="7"/>
  <c r="H196" i="7"/>
  <c r="Q196" i="7"/>
  <c r="N196" i="7"/>
  <c r="H195" i="7"/>
  <c r="Q195" i="7"/>
  <c r="N195" i="7"/>
  <c r="H188" i="7"/>
  <c r="Q188" i="7"/>
  <c r="N188" i="7"/>
  <c r="H187" i="7"/>
  <c r="Q187" i="7"/>
  <c r="N187" i="7"/>
  <c r="I185" i="7"/>
  <c r="I176" i="7"/>
  <c r="I172" i="7"/>
  <c r="I168" i="7"/>
  <c r="I164" i="7"/>
  <c r="I160" i="7"/>
  <c r="H212" i="7"/>
  <c r="Q212" i="7"/>
  <c r="N212" i="7"/>
  <c r="H206" i="7"/>
  <c r="Q206" i="7"/>
  <c r="N206" i="7"/>
  <c r="H198" i="7"/>
  <c r="Q198" i="7"/>
  <c r="N198" i="7"/>
  <c r="H190" i="7"/>
  <c r="Q190" i="7"/>
  <c r="N190" i="7"/>
  <c r="I184" i="7"/>
  <c r="I183" i="7"/>
  <c r="I177" i="7"/>
  <c r="I173" i="7"/>
  <c r="I169" i="7"/>
  <c r="I165" i="7"/>
  <c r="I161" i="7"/>
  <c r="I157" i="7"/>
  <c r="H208" i="7"/>
  <c r="Q208" i="7"/>
  <c r="N208" i="7"/>
  <c r="H207" i="7"/>
  <c r="Q207" i="7"/>
  <c r="N207" i="7"/>
  <c r="H200" i="7"/>
  <c r="Q200" i="7"/>
  <c r="N200" i="7"/>
  <c r="H199" i="7"/>
  <c r="Q199" i="7"/>
  <c r="N199" i="7"/>
  <c r="H192" i="7"/>
  <c r="Q192" i="7"/>
  <c r="N192" i="7"/>
  <c r="H191" i="7"/>
  <c r="Q191" i="7"/>
  <c r="N191" i="7"/>
  <c r="I181" i="7"/>
  <c r="I178" i="7"/>
  <c r="I174" i="7"/>
  <c r="I170" i="7"/>
  <c r="I166" i="7"/>
  <c r="I162" i="7"/>
  <c r="I158" i="7"/>
  <c r="K9" i="8"/>
  <c r="AC598" i="9"/>
  <c r="D598" i="9"/>
  <c r="AB597" i="9"/>
  <c r="AB232" i="9"/>
  <c r="AC232" i="9"/>
  <c r="D232" i="9"/>
  <c r="T233" i="7"/>
  <c r="AB584" i="9"/>
  <c r="AC585" i="9"/>
  <c r="D585" i="9"/>
  <c r="AC219" i="9"/>
  <c r="D219" i="9"/>
  <c r="AB219" i="9"/>
  <c r="T220" i="7"/>
  <c r="AC601" i="9"/>
  <c r="D601" i="9"/>
  <c r="AB600" i="9"/>
  <c r="AB235" i="9"/>
  <c r="AC235" i="9"/>
  <c r="D235" i="9"/>
  <c r="T236" i="7"/>
  <c r="AC596" i="9"/>
  <c r="D596" i="9"/>
  <c r="AB595" i="9"/>
  <c r="AB230" i="9"/>
  <c r="AC230" i="9"/>
  <c r="D230" i="9"/>
  <c r="T231" i="7"/>
  <c r="AC612" i="9"/>
  <c r="D612" i="9"/>
  <c r="AB611" i="9"/>
  <c r="AB246" i="9"/>
  <c r="AC246" i="9"/>
  <c r="D246" i="9"/>
  <c r="T247" i="7"/>
  <c r="AC591" i="9"/>
  <c r="D591" i="9"/>
  <c r="AB590" i="9"/>
  <c r="AB225" i="9"/>
  <c r="AC225" i="9"/>
  <c r="D225" i="9"/>
  <c r="T226" i="7"/>
  <c r="AC607" i="9"/>
  <c r="D607" i="9"/>
  <c r="AB606" i="9"/>
  <c r="AC241" i="9"/>
  <c r="D241" i="9"/>
  <c r="AB241" i="9"/>
  <c r="T242" i="7"/>
  <c r="AN293" i="9"/>
  <c r="AO293" i="9"/>
  <c r="AP293" i="9"/>
  <c r="O293" i="9"/>
  <c r="L256" i="9"/>
  <c r="K256" i="9"/>
  <c r="AN285" i="9"/>
  <c r="AO285" i="9"/>
  <c r="AP285" i="9"/>
  <c r="O285" i="9"/>
  <c r="AN283" i="9"/>
  <c r="AO283" i="9"/>
  <c r="AP283" i="9"/>
  <c r="O283" i="9"/>
  <c r="AN291" i="9"/>
  <c r="AO291" i="9"/>
  <c r="AP291" i="9"/>
  <c r="O291" i="9"/>
  <c r="L265" i="9"/>
  <c r="K265" i="9"/>
  <c r="L621" i="9"/>
  <c r="K621" i="9"/>
  <c r="AN621" i="9"/>
  <c r="AO621" i="9"/>
  <c r="AP621" i="9"/>
  <c r="O621" i="9"/>
  <c r="L618" i="9"/>
  <c r="K618" i="9"/>
  <c r="AN618" i="9"/>
  <c r="AO618" i="9"/>
  <c r="AP618" i="9"/>
  <c r="O618" i="9"/>
  <c r="AN296" i="9"/>
  <c r="AO296" i="9"/>
  <c r="AP296" i="9"/>
  <c r="O296" i="9"/>
  <c r="AN284" i="9"/>
  <c r="AO284" i="9"/>
  <c r="AP284" i="9"/>
  <c r="O284" i="9"/>
  <c r="K261" i="9"/>
  <c r="L261" i="9"/>
  <c r="K624" i="9"/>
  <c r="AN624" i="9"/>
  <c r="AO624" i="9"/>
  <c r="AP624" i="9"/>
  <c r="O624" i="9"/>
  <c r="L624" i="9"/>
  <c r="L617" i="9"/>
  <c r="K617" i="9"/>
  <c r="AN617" i="9"/>
  <c r="AO617" i="9"/>
  <c r="AP617" i="9"/>
  <c r="O617" i="9"/>
  <c r="L614" i="9"/>
  <c r="K614" i="9"/>
  <c r="AN614" i="9"/>
  <c r="AO614" i="9"/>
  <c r="AP614" i="9"/>
  <c r="O614" i="9"/>
  <c r="AN280" i="9"/>
  <c r="AO280" i="9"/>
  <c r="AP280" i="9"/>
  <c r="O280" i="9"/>
  <c r="AN279" i="9"/>
  <c r="AO279" i="9"/>
  <c r="AP279" i="9"/>
  <c r="O279" i="9"/>
  <c r="AN299" i="9"/>
  <c r="AO299" i="9"/>
  <c r="AP299" i="9"/>
  <c r="O299" i="9"/>
  <c r="AN287" i="9"/>
  <c r="AO287" i="9"/>
  <c r="AP287" i="9"/>
  <c r="O287" i="9"/>
  <c r="AN286" i="9"/>
  <c r="AO286" i="9"/>
  <c r="AP286" i="9"/>
  <c r="O286" i="9"/>
  <c r="L623" i="9"/>
  <c r="K623" i="9"/>
  <c r="AN623" i="9"/>
  <c r="AO623" i="9"/>
  <c r="AP623" i="9"/>
  <c r="O623" i="9"/>
  <c r="K620" i="9"/>
  <c r="AN620" i="9"/>
  <c r="AO620" i="9"/>
  <c r="AP620" i="9"/>
  <c r="O620" i="9"/>
  <c r="L620" i="9"/>
  <c r="AC586" i="9"/>
  <c r="D586" i="9"/>
  <c r="AB585" i="9"/>
  <c r="AC220" i="9"/>
  <c r="D220" i="9"/>
  <c r="AB220" i="9"/>
  <c r="T221" i="7"/>
  <c r="AC602" i="9"/>
  <c r="D602" i="9"/>
  <c r="AB601" i="9"/>
  <c r="AB236" i="9"/>
  <c r="AC236" i="9"/>
  <c r="D236" i="9"/>
  <c r="T237" i="7"/>
  <c r="AC589" i="9"/>
  <c r="D589" i="9"/>
  <c r="AB588" i="9"/>
  <c r="AC223" i="9"/>
  <c r="D223" i="9"/>
  <c r="AB223" i="9"/>
  <c r="T224" i="7"/>
  <c r="AC605" i="9"/>
  <c r="D605" i="9"/>
  <c r="AB604" i="9"/>
  <c r="AC239" i="9"/>
  <c r="D239" i="9"/>
  <c r="AB239" i="9"/>
  <c r="T240" i="7"/>
  <c r="AC584" i="9"/>
  <c r="D584" i="9"/>
  <c r="AB583" i="9"/>
  <c r="AC218" i="9"/>
  <c r="D218" i="9"/>
  <c r="AB218" i="9"/>
  <c r="T219" i="7"/>
  <c r="AC600" i="9"/>
  <c r="D600" i="9"/>
  <c r="AB599" i="9"/>
  <c r="AC234" i="9"/>
  <c r="D234" i="9"/>
  <c r="AB234" i="9"/>
  <c r="T235" i="7"/>
  <c r="AC595" i="9"/>
  <c r="D595" i="9"/>
  <c r="AB594" i="9"/>
  <c r="AC229" i="9"/>
  <c r="D229" i="9"/>
  <c r="AB229" i="9"/>
  <c r="T230" i="7"/>
  <c r="AC611" i="9"/>
  <c r="D611" i="9"/>
  <c r="AB610" i="9"/>
  <c r="AC245" i="9"/>
  <c r="D245" i="9"/>
  <c r="AB245" i="9"/>
  <c r="T246" i="7"/>
  <c r="L253" i="9"/>
  <c r="K253" i="9"/>
  <c r="L250" i="9"/>
  <c r="K250" i="9"/>
  <c r="K259" i="9"/>
  <c r="L259" i="9"/>
  <c r="L272" i="9"/>
  <c r="K272" i="9"/>
  <c r="AN292" i="9"/>
  <c r="AO292" i="9"/>
  <c r="AP292" i="9"/>
  <c r="O292" i="9"/>
  <c r="L615" i="9"/>
  <c r="K615" i="9"/>
  <c r="AN615" i="9"/>
  <c r="AO615" i="9"/>
  <c r="AP615" i="9"/>
  <c r="O615" i="9"/>
  <c r="L252" i="9"/>
  <c r="K252" i="9"/>
  <c r="AN278" i="9"/>
  <c r="AO278" i="9"/>
  <c r="AP278" i="9"/>
  <c r="O278" i="9"/>
  <c r="AN298" i="9"/>
  <c r="AO298" i="9"/>
  <c r="AP298" i="9"/>
  <c r="O298" i="9"/>
  <c r="AN281" i="9"/>
  <c r="AO281" i="9"/>
  <c r="AP281" i="9"/>
  <c r="O281" i="9"/>
  <c r="K277" i="9"/>
  <c r="L277" i="9"/>
  <c r="K251" i="9"/>
  <c r="L251" i="9"/>
  <c r="L248" i="9"/>
  <c r="K248" i="9"/>
  <c r="AN295" i="9"/>
  <c r="AO295" i="9"/>
  <c r="AP295" i="9"/>
  <c r="O295" i="9"/>
  <c r="AN282" i="9"/>
  <c r="AO282" i="9"/>
  <c r="AP282" i="9"/>
  <c r="O282" i="9"/>
  <c r="K247" i="9"/>
  <c r="L247" i="9"/>
  <c r="L260" i="9"/>
  <c r="K260" i="9"/>
  <c r="Y248" i="25"/>
  <c r="Z247" i="25"/>
  <c r="S64" i="9"/>
  <c r="N64" i="9"/>
  <c r="Q63" i="9"/>
  <c r="E27" i="29"/>
  <c r="D27" i="29"/>
  <c r="AC27" i="29"/>
  <c r="H30" i="25"/>
  <c r="G30" i="25"/>
  <c r="V30" i="25"/>
  <c r="E30" i="25"/>
  <c r="U30" i="25"/>
  <c r="K30" i="25"/>
  <c r="I30" i="25"/>
  <c r="W30" i="25"/>
  <c r="F30" i="25"/>
  <c r="T30" i="25"/>
  <c r="F26" i="29"/>
  <c r="AE26" i="29"/>
  <c r="AD26" i="29"/>
  <c r="A31" i="25"/>
  <c r="D31" i="25"/>
  <c r="B28" i="29"/>
  <c r="C65" i="9"/>
  <c r="B65" i="9"/>
  <c r="X64" i="9"/>
  <c r="P64" i="9"/>
  <c r="U64" i="9"/>
  <c r="W64" i="9"/>
  <c r="Y249" i="25"/>
  <c r="Y250" i="25"/>
  <c r="Y251" i="25"/>
  <c r="Y252" i="25"/>
  <c r="Y253" i="25"/>
  <c r="Y254" i="25"/>
  <c r="Z248" i="25"/>
  <c r="AE462" i="9"/>
  <c r="M462" i="9"/>
  <c r="AD461" i="9"/>
  <c r="AD96" i="9"/>
  <c r="AE96" i="9"/>
  <c r="M96" i="9"/>
  <c r="T97" i="11"/>
  <c r="AE478" i="9"/>
  <c r="M478" i="9"/>
  <c r="AD477" i="9"/>
  <c r="AD112" i="9"/>
  <c r="AE112" i="9"/>
  <c r="M112" i="9"/>
  <c r="T113" i="11"/>
  <c r="AD460" i="9"/>
  <c r="AE461" i="9"/>
  <c r="M461" i="9"/>
  <c r="AE95" i="9"/>
  <c r="M95" i="9"/>
  <c r="AD95" i="9"/>
  <c r="T96" i="11"/>
  <c r="AD476" i="9"/>
  <c r="AE477" i="9"/>
  <c r="M477" i="9"/>
  <c r="AE111" i="9"/>
  <c r="M111" i="9"/>
  <c r="AD111" i="9"/>
  <c r="T112" i="11"/>
  <c r="AE468" i="9"/>
  <c r="M468" i="9"/>
  <c r="AD467" i="9"/>
  <c r="AD102" i="9"/>
  <c r="AE102" i="9"/>
  <c r="M102" i="9"/>
  <c r="T103" i="11"/>
  <c r="AE484" i="9"/>
  <c r="M484" i="9"/>
  <c r="AD483" i="9"/>
  <c r="AE118" i="9"/>
  <c r="M118" i="9"/>
  <c r="AD118" i="9"/>
  <c r="T119" i="11"/>
  <c r="AD470" i="9"/>
  <c r="AE471" i="9"/>
  <c r="M471" i="9"/>
  <c r="AE105" i="9"/>
  <c r="M105" i="9"/>
  <c r="AD105" i="9"/>
  <c r="T106" i="11"/>
  <c r="AD486" i="9"/>
  <c r="AE487" i="9"/>
  <c r="M487" i="9"/>
  <c r="AE121" i="9"/>
  <c r="M121" i="9"/>
  <c r="AD121" i="9"/>
  <c r="T122" i="11"/>
  <c r="AE466" i="9"/>
  <c r="M466" i="9"/>
  <c r="AD465" i="9"/>
  <c r="AD100" i="9"/>
  <c r="AE100" i="9"/>
  <c r="M100" i="9"/>
  <c r="T101" i="11"/>
  <c r="AE482" i="9"/>
  <c r="M482" i="9"/>
  <c r="AD481" i="9"/>
  <c r="AE116" i="9"/>
  <c r="M116" i="9"/>
  <c r="AD116" i="9"/>
  <c r="T117" i="11"/>
  <c r="AD464" i="9"/>
  <c r="AE465" i="9"/>
  <c r="M465" i="9"/>
  <c r="AE99" i="9"/>
  <c r="M99" i="9"/>
  <c r="AD99" i="9"/>
  <c r="T100" i="11"/>
  <c r="AD480" i="9"/>
  <c r="AE481" i="9"/>
  <c r="M481" i="9"/>
  <c r="AE115" i="9"/>
  <c r="M115" i="9"/>
  <c r="AD115" i="9"/>
  <c r="T116" i="11"/>
  <c r="AE472" i="9"/>
  <c r="M472" i="9"/>
  <c r="AD471" i="9"/>
  <c r="AD106" i="9"/>
  <c r="AE106" i="9"/>
  <c r="M106" i="9"/>
  <c r="T107" i="11"/>
  <c r="AE488" i="9"/>
  <c r="M488" i="9"/>
  <c r="AD487" i="9"/>
  <c r="AE122" i="9"/>
  <c r="M122" i="9"/>
  <c r="AD122" i="9"/>
  <c r="T123" i="11"/>
  <c r="AD474" i="9"/>
  <c r="AE475" i="9"/>
  <c r="M475" i="9"/>
  <c r="AE109" i="9"/>
  <c r="M109" i="9"/>
  <c r="AD109" i="9"/>
  <c r="T110" i="11"/>
  <c r="AE470" i="9"/>
  <c r="M470" i="9"/>
  <c r="AD469" i="9"/>
  <c r="AD104" i="9"/>
  <c r="AE104" i="9"/>
  <c r="M104" i="9"/>
  <c r="T105" i="11"/>
  <c r="AE486" i="9"/>
  <c r="M486" i="9"/>
  <c r="AD485" i="9"/>
  <c r="AD120" i="9"/>
  <c r="AE120" i="9"/>
  <c r="M120" i="9"/>
  <c r="T121" i="11"/>
  <c r="AD468" i="9"/>
  <c r="AE469" i="9"/>
  <c r="M469" i="9"/>
  <c r="AE103" i="9"/>
  <c r="M103" i="9"/>
  <c r="AD103" i="9"/>
  <c r="T104" i="11"/>
  <c r="AD484" i="9"/>
  <c r="AE485" i="9"/>
  <c r="M485" i="9"/>
  <c r="AE119" i="9"/>
  <c r="M119" i="9"/>
  <c r="AD119" i="9"/>
  <c r="T120" i="11"/>
  <c r="AE476" i="9"/>
  <c r="M476" i="9"/>
  <c r="AD475" i="9"/>
  <c r="AD110" i="9"/>
  <c r="AE110" i="9"/>
  <c r="M110" i="9"/>
  <c r="T111" i="11"/>
  <c r="AD462" i="9"/>
  <c r="AE463" i="9"/>
  <c r="M463" i="9"/>
  <c r="AE97" i="9"/>
  <c r="M97" i="9"/>
  <c r="AD97" i="9"/>
  <c r="T98" i="11"/>
  <c r="AD478" i="9"/>
  <c r="AE479" i="9"/>
  <c r="M479" i="9"/>
  <c r="AE113" i="9"/>
  <c r="M113" i="9"/>
  <c r="AD113" i="9"/>
  <c r="T114" i="11"/>
  <c r="H94" i="11"/>
  <c r="Q94" i="11"/>
  <c r="N94" i="11"/>
  <c r="H90" i="11"/>
  <c r="Q90" i="11"/>
  <c r="N90" i="11"/>
  <c r="H86" i="11"/>
  <c r="Q86" i="11"/>
  <c r="N86" i="11"/>
  <c r="H82" i="11"/>
  <c r="Q82" i="11"/>
  <c r="N82" i="11"/>
  <c r="H78" i="11"/>
  <c r="Q78" i="11"/>
  <c r="N78" i="11"/>
  <c r="H74" i="11"/>
  <c r="Q74" i="11"/>
  <c r="N74" i="11"/>
  <c r="H70" i="11"/>
  <c r="Q70" i="11"/>
  <c r="N70" i="11"/>
  <c r="H66" i="11"/>
  <c r="Q66" i="11"/>
  <c r="N66" i="11"/>
  <c r="I63" i="11"/>
  <c r="H95" i="11"/>
  <c r="Q95" i="11"/>
  <c r="N95" i="11"/>
  <c r="H91" i="11"/>
  <c r="Q91" i="11"/>
  <c r="N91" i="11"/>
  <c r="H87" i="11"/>
  <c r="Q87" i="11"/>
  <c r="N87" i="11"/>
  <c r="H83" i="11"/>
  <c r="Q83" i="11"/>
  <c r="N83" i="11"/>
  <c r="H79" i="11"/>
  <c r="Q79" i="11"/>
  <c r="N79" i="11"/>
  <c r="H75" i="11"/>
  <c r="Q75" i="11"/>
  <c r="N75" i="11"/>
  <c r="H71" i="11"/>
  <c r="Q71" i="11"/>
  <c r="N71" i="11"/>
  <c r="H67" i="11"/>
  <c r="Q67" i="11"/>
  <c r="N67" i="11"/>
  <c r="I64" i="11"/>
  <c r="H92" i="11"/>
  <c r="Q92" i="11"/>
  <c r="N92" i="11"/>
  <c r="H88" i="11"/>
  <c r="Q88" i="11"/>
  <c r="N88" i="11"/>
  <c r="H84" i="11"/>
  <c r="Q84" i="11"/>
  <c r="N84" i="11"/>
  <c r="H80" i="11"/>
  <c r="Q80" i="11"/>
  <c r="N80" i="11"/>
  <c r="H76" i="11"/>
  <c r="Q76" i="11"/>
  <c r="N76" i="11"/>
  <c r="H72" i="11"/>
  <c r="Q72" i="11"/>
  <c r="N72" i="11"/>
  <c r="H68" i="11"/>
  <c r="Q68" i="11"/>
  <c r="N68" i="11"/>
  <c r="H93" i="11"/>
  <c r="Q93" i="11"/>
  <c r="N93" i="11"/>
  <c r="H89" i="11"/>
  <c r="Q89" i="11"/>
  <c r="N89" i="11"/>
  <c r="H85" i="11"/>
  <c r="Q85" i="11"/>
  <c r="N85" i="11"/>
  <c r="H81" i="11"/>
  <c r="Q81" i="11"/>
  <c r="N81" i="11"/>
  <c r="H77" i="11"/>
  <c r="Q77" i="11"/>
  <c r="N77" i="11"/>
  <c r="H73" i="11"/>
  <c r="Q73" i="11"/>
  <c r="N73" i="11"/>
  <c r="H69" i="11"/>
  <c r="Q69" i="11"/>
  <c r="N69" i="11"/>
  <c r="H65" i="11"/>
  <c r="Q65" i="11"/>
  <c r="N65" i="11"/>
  <c r="I62" i="11"/>
  <c r="I58" i="11"/>
  <c r="I54" i="11"/>
  <c r="I60" i="11"/>
  <c r="I59" i="11"/>
  <c r="I52" i="11"/>
  <c r="I51" i="11"/>
  <c r="I61" i="11"/>
  <c r="I57" i="11"/>
  <c r="I50" i="11"/>
  <c r="I49" i="11"/>
  <c r="I48" i="11"/>
  <c r="I47" i="11"/>
  <c r="I46" i="11"/>
  <c r="I45" i="11"/>
  <c r="I44" i="11"/>
  <c r="I43" i="11"/>
  <c r="I42" i="11"/>
  <c r="I41" i="11"/>
  <c r="I40" i="11"/>
  <c r="I39" i="11"/>
  <c r="I38" i="11"/>
  <c r="I37" i="11"/>
  <c r="I36" i="11"/>
  <c r="M5" i="10"/>
  <c r="I56" i="11"/>
  <c r="I55" i="11"/>
  <c r="I53" i="11"/>
  <c r="AE474" i="9"/>
  <c r="M474" i="9"/>
  <c r="AD473" i="9"/>
  <c r="AD108" i="9"/>
  <c r="AE108" i="9"/>
  <c r="M108" i="9"/>
  <c r="T109" i="11"/>
  <c r="AE490" i="9"/>
  <c r="M490" i="9"/>
  <c r="AD489" i="9"/>
  <c r="AE124" i="9"/>
  <c r="M124" i="9"/>
  <c r="AD124" i="9"/>
  <c r="T125" i="11"/>
  <c r="AD472" i="9"/>
  <c r="AE473" i="9"/>
  <c r="M473" i="9"/>
  <c r="AE107" i="9"/>
  <c r="M107" i="9"/>
  <c r="AD107" i="9"/>
  <c r="T108" i="11"/>
  <c r="AD488" i="9"/>
  <c r="AE489" i="9"/>
  <c r="M489" i="9"/>
  <c r="AE123" i="9"/>
  <c r="M123" i="9"/>
  <c r="AD123" i="9"/>
  <c r="T124" i="11"/>
  <c r="AE464" i="9"/>
  <c r="M464" i="9"/>
  <c r="AD463" i="9"/>
  <c r="AD98" i="9"/>
  <c r="AE98" i="9"/>
  <c r="M98" i="9"/>
  <c r="T99" i="11"/>
  <c r="AE480" i="9"/>
  <c r="M480" i="9"/>
  <c r="AD479" i="9"/>
  <c r="AE114" i="9"/>
  <c r="M114" i="9"/>
  <c r="AD114" i="9"/>
  <c r="T115" i="11"/>
  <c r="AD466" i="9"/>
  <c r="AE467" i="9"/>
  <c r="M467" i="9"/>
  <c r="AE101" i="9"/>
  <c r="M101" i="9"/>
  <c r="AD101" i="9"/>
  <c r="T102" i="11"/>
  <c r="AD482" i="9"/>
  <c r="AE483" i="9"/>
  <c r="M483" i="9"/>
  <c r="AE117" i="9"/>
  <c r="M117" i="9"/>
  <c r="AD117" i="9"/>
  <c r="T118" i="11"/>
  <c r="AN260" i="9"/>
  <c r="AO260" i="9"/>
  <c r="AP260" i="9"/>
  <c r="O260" i="9"/>
  <c r="AN248" i="9"/>
  <c r="AO248" i="9"/>
  <c r="AP248" i="9"/>
  <c r="O248" i="9"/>
  <c r="AN252" i="9"/>
  <c r="AO252" i="9"/>
  <c r="AP252" i="9"/>
  <c r="O252" i="9"/>
  <c r="AN253" i="9"/>
  <c r="AO253" i="9"/>
  <c r="AP253" i="9"/>
  <c r="O253" i="9"/>
  <c r="K245" i="9"/>
  <c r="L245" i="9"/>
  <c r="K600" i="9"/>
  <c r="AN600" i="9"/>
  <c r="AO600" i="9"/>
  <c r="AP600" i="9"/>
  <c r="O600" i="9"/>
  <c r="L600" i="9"/>
  <c r="K239" i="9"/>
  <c r="L239" i="9"/>
  <c r="L602" i="9"/>
  <c r="K602" i="9"/>
  <c r="AN602" i="9"/>
  <c r="AO602" i="9"/>
  <c r="AP602" i="9"/>
  <c r="O602" i="9"/>
  <c r="AN265" i="9"/>
  <c r="AO265" i="9"/>
  <c r="AP265" i="9"/>
  <c r="O265" i="9"/>
  <c r="AN256" i="9"/>
  <c r="AO256" i="9"/>
  <c r="AP256" i="9"/>
  <c r="O256" i="9"/>
  <c r="L607" i="9"/>
  <c r="K607" i="9"/>
  <c r="AN607" i="9"/>
  <c r="AO607" i="9"/>
  <c r="AP607" i="9"/>
  <c r="O607" i="9"/>
  <c r="K230" i="9"/>
  <c r="L230" i="9"/>
  <c r="L601" i="9"/>
  <c r="K601" i="9"/>
  <c r="AN601" i="9"/>
  <c r="AO601" i="9"/>
  <c r="AP601" i="9"/>
  <c r="O601" i="9"/>
  <c r="L585" i="9"/>
  <c r="K585" i="9"/>
  <c r="AN585" i="9"/>
  <c r="AO585" i="9"/>
  <c r="AP585" i="9"/>
  <c r="O585" i="9"/>
  <c r="AC557" i="9"/>
  <c r="D557" i="9"/>
  <c r="AB556" i="9"/>
  <c r="AC191" i="9"/>
  <c r="D191" i="9"/>
  <c r="AB191" i="9"/>
  <c r="T192" i="7"/>
  <c r="AC573" i="9"/>
  <c r="D573" i="9"/>
  <c r="AB572" i="9"/>
  <c r="AC207" i="9"/>
  <c r="D207" i="9"/>
  <c r="AB207" i="9"/>
  <c r="T208" i="7"/>
  <c r="AC577" i="9"/>
  <c r="D577" i="9"/>
  <c r="AB576" i="9"/>
  <c r="AC211" i="9"/>
  <c r="D211" i="9"/>
  <c r="AB211" i="9"/>
  <c r="T212" i="7"/>
  <c r="AB552" i="9"/>
  <c r="AC553" i="9"/>
  <c r="D553" i="9"/>
  <c r="AC187" i="9"/>
  <c r="D187" i="9"/>
  <c r="AB187" i="9"/>
  <c r="T188" i="7"/>
  <c r="AB568" i="9"/>
  <c r="AC569" i="9"/>
  <c r="D569" i="9"/>
  <c r="AC203" i="9"/>
  <c r="D203" i="9"/>
  <c r="AB203" i="9"/>
  <c r="T204" i="7"/>
  <c r="AB580" i="9"/>
  <c r="AC581" i="9"/>
  <c r="D581" i="9"/>
  <c r="AC215" i="9"/>
  <c r="D215" i="9"/>
  <c r="AB215" i="9"/>
  <c r="T216" i="7"/>
  <c r="AC558" i="9"/>
  <c r="D558" i="9"/>
  <c r="AB557" i="9"/>
  <c r="AC192" i="9"/>
  <c r="D192" i="9"/>
  <c r="AB192" i="9"/>
  <c r="T193" i="7"/>
  <c r="AC574" i="9"/>
  <c r="D574" i="9"/>
  <c r="AB573" i="9"/>
  <c r="AC208" i="9"/>
  <c r="D208" i="9"/>
  <c r="AB208" i="9"/>
  <c r="T209" i="7"/>
  <c r="AC579" i="9"/>
  <c r="D579" i="9"/>
  <c r="AB578" i="9"/>
  <c r="AB213" i="9"/>
  <c r="AC213" i="9"/>
  <c r="D213" i="9"/>
  <c r="T214" i="7"/>
  <c r="AN262" i="9"/>
  <c r="AO262" i="9"/>
  <c r="AP262" i="9"/>
  <c r="O262" i="9"/>
  <c r="K592" i="9"/>
  <c r="AN592" i="9"/>
  <c r="AO592" i="9"/>
  <c r="AP592" i="9"/>
  <c r="O592" i="9"/>
  <c r="L592" i="9"/>
  <c r="L228" i="9"/>
  <c r="K228" i="9"/>
  <c r="AN254" i="9"/>
  <c r="AO254" i="9"/>
  <c r="AP254" i="9"/>
  <c r="O254" i="9"/>
  <c r="AN264" i="9"/>
  <c r="AO264" i="9"/>
  <c r="AP264" i="9"/>
  <c r="O264" i="9"/>
  <c r="AN258" i="9"/>
  <c r="AO258" i="9"/>
  <c r="AP258" i="9"/>
  <c r="O258" i="9"/>
  <c r="AN268" i="9"/>
  <c r="AO268" i="9"/>
  <c r="AP268" i="9"/>
  <c r="O268" i="9"/>
  <c r="AN266" i="9"/>
  <c r="AO266" i="9"/>
  <c r="AP266" i="9"/>
  <c r="O266" i="9"/>
  <c r="L233" i="9"/>
  <c r="K233" i="9"/>
  <c r="L217" i="9"/>
  <c r="K217" i="9"/>
  <c r="K604" i="9"/>
  <c r="AN604" i="9"/>
  <c r="AO604" i="9"/>
  <c r="AP604" i="9"/>
  <c r="O604" i="9"/>
  <c r="L604" i="9"/>
  <c r="K243" i="9"/>
  <c r="L243" i="9"/>
  <c r="L606" i="9"/>
  <c r="K606" i="9"/>
  <c r="AN606" i="9"/>
  <c r="AO606" i="9"/>
  <c r="AP606" i="9"/>
  <c r="O606" i="9"/>
  <c r="AN259" i="9"/>
  <c r="AO259" i="9"/>
  <c r="AP259" i="9"/>
  <c r="O259" i="9"/>
  <c r="K229" i="9"/>
  <c r="L229" i="9"/>
  <c r="L223" i="9"/>
  <c r="K223" i="9"/>
  <c r="L236" i="9"/>
  <c r="K236" i="9"/>
  <c r="L591" i="9"/>
  <c r="K591" i="9"/>
  <c r="AN591" i="9"/>
  <c r="AO591" i="9"/>
  <c r="AP591" i="9"/>
  <c r="O591" i="9"/>
  <c r="K235" i="9"/>
  <c r="L235" i="9"/>
  <c r="AB563" i="9"/>
  <c r="AC564" i="9"/>
  <c r="D564" i="9"/>
  <c r="AC198" i="9"/>
  <c r="D198" i="9"/>
  <c r="AB198" i="9"/>
  <c r="T199" i="7"/>
  <c r="AC555" i="9"/>
  <c r="D555" i="9"/>
  <c r="AB554" i="9"/>
  <c r="AC189" i="9"/>
  <c r="D189" i="9"/>
  <c r="AB189" i="9"/>
  <c r="T190" i="7"/>
  <c r="AB559" i="9"/>
  <c r="AC560" i="9"/>
  <c r="D560" i="9"/>
  <c r="AC194" i="9"/>
  <c r="D194" i="9"/>
  <c r="AB194" i="9"/>
  <c r="T195" i="7"/>
  <c r="AB575" i="9"/>
  <c r="AC576" i="9"/>
  <c r="D576" i="9"/>
  <c r="AC210" i="9"/>
  <c r="D210" i="9"/>
  <c r="AB210" i="9"/>
  <c r="T211" i="7"/>
  <c r="AC559" i="9"/>
  <c r="D559" i="9"/>
  <c r="AB558" i="9"/>
  <c r="AB193" i="9"/>
  <c r="AC193" i="9"/>
  <c r="D193" i="9"/>
  <c r="T194" i="7"/>
  <c r="AC562" i="9"/>
  <c r="D562" i="9"/>
  <c r="AB561" i="9"/>
  <c r="AC196" i="9"/>
  <c r="D196" i="9"/>
  <c r="AB196" i="9"/>
  <c r="T197" i="7"/>
  <c r="AC578" i="9"/>
  <c r="D578" i="9"/>
  <c r="AB577" i="9"/>
  <c r="AC212" i="9"/>
  <c r="D212" i="9"/>
  <c r="AB212" i="9"/>
  <c r="T213" i="7"/>
  <c r="AN273" i="9"/>
  <c r="AO273" i="9"/>
  <c r="AP273" i="9"/>
  <c r="O273" i="9"/>
  <c r="AN257" i="9"/>
  <c r="AO257" i="9"/>
  <c r="AP257" i="9"/>
  <c r="O257" i="9"/>
  <c r="AN249" i="9"/>
  <c r="AO249" i="9"/>
  <c r="AP249" i="9"/>
  <c r="O249" i="9"/>
  <c r="L603" i="9"/>
  <c r="K603" i="9"/>
  <c r="AN603" i="9"/>
  <c r="AO603" i="9"/>
  <c r="AP603" i="9"/>
  <c r="O603" i="9"/>
  <c r="L242" i="9"/>
  <c r="K242" i="9"/>
  <c r="L597" i="9"/>
  <c r="K597" i="9"/>
  <c r="AN597" i="9"/>
  <c r="AO597" i="9"/>
  <c r="AP597" i="9"/>
  <c r="O597" i="9"/>
  <c r="K588" i="9"/>
  <c r="AN588" i="9"/>
  <c r="AO588" i="9"/>
  <c r="AP588" i="9"/>
  <c r="O588" i="9"/>
  <c r="L588" i="9"/>
  <c r="L227" i="9"/>
  <c r="K227" i="9"/>
  <c r="L240" i="9"/>
  <c r="K240" i="9"/>
  <c r="L590" i="9"/>
  <c r="K590" i="9"/>
  <c r="AN590" i="9"/>
  <c r="AO590" i="9"/>
  <c r="AP590" i="9"/>
  <c r="O590" i="9"/>
  <c r="AN277" i="9"/>
  <c r="AO277" i="9"/>
  <c r="AP277" i="9"/>
  <c r="O277" i="9"/>
  <c r="K584" i="9"/>
  <c r="AN584" i="9"/>
  <c r="AO584" i="9"/>
  <c r="AP584" i="9"/>
  <c r="O584" i="9"/>
  <c r="L584" i="9"/>
  <c r="L586" i="9"/>
  <c r="K586" i="9"/>
  <c r="AN586" i="9"/>
  <c r="AO586" i="9"/>
  <c r="AP586" i="9"/>
  <c r="O586" i="9"/>
  <c r="AN272" i="9"/>
  <c r="AO272" i="9"/>
  <c r="AP272" i="9"/>
  <c r="O272" i="9"/>
  <c r="AN250" i="9"/>
  <c r="AO250" i="9"/>
  <c r="AP250" i="9"/>
  <c r="O250" i="9"/>
  <c r="L611" i="9"/>
  <c r="K611" i="9"/>
  <c r="AN611" i="9"/>
  <c r="AO611" i="9"/>
  <c r="AP611" i="9"/>
  <c r="O611" i="9"/>
  <c r="L234" i="9"/>
  <c r="K234" i="9"/>
  <c r="L605" i="9"/>
  <c r="K605" i="9"/>
  <c r="AN605" i="9"/>
  <c r="AO605" i="9"/>
  <c r="AP605" i="9"/>
  <c r="O605" i="9"/>
  <c r="L241" i="9"/>
  <c r="K241" i="9"/>
  <c r="L225" i="9"/>
  <c r="K225" i="9"/>
  <c r="K612" i="9"/>
  <c r="AN612" i="9"/>
  <c r="AO612" i="9"/>
  <c r="AP612" i="9"/>
  <c r="O612" i="9"/>
  <c r="L612" i="9"/>
  <c r="L598" i="9"/>
  <c r="K598" i="9"/>
  <c r="AN598" i="9"/>
  <c r="AO598" i="9"/>
  <c r="AP598" i="9"/>
  <c r="O598" i="9"/>
  <c r="AB564" i="9"/>
  <c r="AC565" i="9"/>
  <c r="D565" i="9"/>
  <c r="AC199" i="9"/>
  <c r="D199" i="9"/>
  <c r="AB199" i="9"/>
  <c r="T200" i="7"/>
  <c r="AC563" i="9"/>
  <c r="D563" i="9"/>
  <c r="AB562" i="9"/>
  <c r="AB197" i="9"/>
  <c r="AC197" i="9"/>
  <c r="D197" i="9"/>
  <c r="T198" i="7"/>
  <c r="AC561" i="9"/>
  <c r="D561" i="9"/>
  <c r="AB560" i="9"/>
  <c r="AC195" i="9"/>
  <c r="D195" i="9"/>
  <c r="AB195" i="9"/>
  <c r="T196" i="7"/>
  <c r="AC567" i="9"/>
  <c r="D567" i="9"/>
  <c r="AB566" i="9"/>
  <c r="AB201" i="9"/>
  <c r="AC201" i="9"/>
  <c r="D201" i="9"/>
  <c r="T202" i="7"/>
  <c r="AC566" i="9"/>
  <c r="D566" i="9"/>
  <c r="AB565" i="9"/>
  <c r="AC200" i="9"/>
  <c r="D200" i="9"/>
  <c r="AB200" i="9"/>
  <c r="T201" i="7"/>
  <c r="AC582" i="9"/>
  <c r="D582" i="9"/>
  <c r="AB581" i="9"/>
  <c r="AC216" i="9"/>
  <c r="D216" i="9"/>
  <c r="AB216" i="9"/>
  <c r="T217" i="7"/>
  <c r="AN263" i="9"/>
  <c r="AO263" i="9"/>
  <c r="AP263" i="9"/>
  <c r="O263" i="9"/>
  <c r="AN271" i="9"/>
  <c r="AO271" i="9"/>
  <c r="AP271" i="9"/>
  <c r="O271" i="9"/>
  <c r="L587" i="9"/>
  <c r="K587" i="9"/>
  <c r="AN587" i="9"/>
  <c r="AO587" i="9"/>
  <c r="AP587" i="9"/>
  <c r="O587" i="9"/>
  <c r="L226" i="9"/>
  <c r="K226" i="9"/>
  <c r="L610" i="9"/>
  <c r="K610" i="9"/>
  <c r="AN610" i="9"/>
  <c r="AO610" i="9"/>
  <c r="AP610" i="9"/>
  <c r="O610" i="9"/>
  <c r="AN269" i="9"/>
  <c r="AO269" i="9"/>
  <c r="AP269" i="9"/>
  <c r="O269" i="9"/>
  <c r="L599" i="9"/>
  <c r="K599" i="9"/>
  <c r="AN599" i="9"/>
  <c r="AO599" i="9"/>
  <c r="AP599" i="9"/>
  <c r="O599" i="9"/>
  <c r="L238" i="9"/>
  <c r="K238" i="9"/>
  <c r="L609" i="9"/>
  <c r="K609" i="9"/>
  <c r="AN609" i="9"/>
  <c r="AO609" i="9"/>
  <c r="AP609" i="9"/>
  <c r="O609" i="9"/>
  <c r="AN276" i="9"/>
  <c r="AO276" i="9"/>
  <c r="AP276" i="9"/>
  <c r="O276" i="9"/>
  <c r="AN247" i="9"/>
  <c r="AO247" i="9"/>
  <c r="AP247" i="9"/>
  <c r="O247" i="9"/>
  <c r="AN251" i="9"/>
  <c r="AO251" i="9"/>
  <c r="AP251" i="9"/>
  <c r="O251" i="9"/>
  <c r="L595" i="9"/>
  <c r="K595" i="9"/>
  <c r="AN595" i="9"/>
  <c r="AO595" i="9"/>
  <c r="AP595" i="9"/>
  <c r="O595" i="9"/>
  <c r="L218" i="9"/>
  <c r="K218" i="9"/>
  <c r="L589" i="9"/>
  <c r="K589" i="9"/>
  <c r="AN589" i="9"/>
  <c r="AO589" i="9"/>
  <c r="AP589" i="9"/>
  <c r="O589" i="9"/>
  <c r="K220" i="9"/>
  <c r="L220" i="9"/>
  <c r="AN261" i="9"/>
  <c r="AO261" i="9"/>
  <c r="AP261" i="9"/>
  <c r="O261" i="9"/>
  <c r="K246" i="9"/>
  <c r="L246" i="9"/>
  <c r="K596" i="9"/>
  <c r="AN596" i="9"/>
  <c r="AO596" i="9"/>
  <c r="AP596" i="9"/>
  <c r="O596" i="9"/>
  <c r="L596" i="9"/>
  <c r="L219" i="9"/>
  <c r="K219" i="9"/>
  <c r="L232" i="9"/>
  <c r="K232" i="9"/>
  <c r="H185" i="7"/>
  <c r="Q185" i="7"/>
  <c r="N185" i="7"/>
  <c r="H181" i="7"/>
  <c r="Q181" i="7"/>
  <c r="N181" i="7"/>
  <c r="H186" i="7"/>
  <c r="Q186" i="7"/>
  <c r="N186" i="7"/>
  <c r="H178" i="7"/>
  <c r="Q178" i="7"/>
  <c r="N178" i="7"/>
  <c r="H174" i="7"/>
  <c r="Q174" i="7"/>
  <c r="N174" i="7"/>
  <c r="H170" i="7"/>
  <c r="Q170" i="7"/>
  <c r="N170" i="7"/>
  <c r="H166" i="7"/>
  <c r="Q166" i="7"/>
  <c r="N166" i="7"/>
  <c r="H162" i="7"/>
  <c r="Q162" i="7"/>
  <c r="N162" i="7"/>
  <c r="H158" i="7"/>
  <c r="Q158" i="7"/>
  <c r="N158" i="7"/>
  <c r="I155" i="7"/>
  <c r="I151" i="7"/>
  <c r="I147" i="7"/>
  <c r="I143" i="7"/>
  <c r="I139" i="7"/>
  <c r="I135" i="7"/>
  <c r="I131" i="7"/>
  <c r="I127" i="7"/>
  <c r="H180" i="7"/>
  <c r="Q180" i="7"/>
  <c r="N180" i="7"/>
  <c r="H179" i="7"/>
  <c r="Q179" i="7"/>
  <c r="N179" i="7"/>
  <c r="H175" i="7"/>
  <c r="Q175" i="7"/>
  <c r="N175" i="7"/>
  <c r="H171" i="7"/>
  <c r="Q171" i="7"/>
  <c r="N171" i="7"/>
  <c r="H167" i="7"/>
  <c r="Q167" i="7"/>
  <c r="N167" i="7"/>
  <c r="H163" i="7"/>
  <c r="Q163" i="7"/>
  <c r="N163" i="7"/>
  <c r="H159" i="7"/>
  <c r="Q159" i="7"/>
  <c r="N159" i="7"/>
  <c r="I156" i="7"/>
  <c r="I152" i="7"/>
  <c r="I148" i="7"/>
  <c r="I144" i="7"/>
  <c r="I140" i="7"/>
  <c r="I136" i="7"/>
  <c r="I132" i="7"/>
  <c r="I128" i="7"/>
  <c r="H182" i="7"/>
  <c r="Q182" i="7"/>
  <c r="N182" i="7"/>
  <c r="H176" i="7"/>
  <c r="Q176" i="7"/>
  <c r="N176" i="7"/>
  <c r="H172" i="7"/>
  <c r="Q172" i="7"/>
  <c r="N172" i="7"/>
  <c r="H168" i="7"/>
  <c r="Q168" i="7"/>
  <c r="N168" i="7"/>
  <c r="H164" i="7"/>
  <c r="Q164" i="7"/>
  <c r="N164" i="7"/>
  <c r="H160" i="7"/>
  <c r="Q160" i="7"/>
  <c r="N160" i="7"/>
  <c r="I153" i="7"/>
  <c r="I149" i="7"/>
  <c r="I145" i="7"/>
  <c r="I141" i="7"/>
  <c r="I137" i="7"/>
  <c r="I133" i="7"/>
  <c r="I129" i="7"/>
  <c r="H184" i="7"/>
  <c r="Q184" i="7"/>
  <c r="N184" i="7"/>
  <c r="H183" i="7"/>
  <c r="Q183" i="7"/>
  <c r="N183" i="7"/>
  <c r="H177" i="7"/>
  <c r="Q177" i="7"/>
  <c r="N177" i="7"/>
  <c r="H173" i="7"/>
  <c r="Q173" i="7"/>
  <c r="N173" i="7"/>
  <c r="H169" i="7"/>
  <c r="Q169" i="7"/>
  <c r="N169" i="7"/>
  <c r="H165" i="7"/>
  <c r="Q165" i="7"/>
  <c r="N165" i="7"/>
  <c r="H161" i="7"/>
  <c r="Q161" i="7"/>
  <c r="N161" i="7"/>
  <c r="H157" i="7"/>
  <c r="Q157" i="7"/>
  <c r="N157" i="7"/>
  <c r="I154" i="7"/>
  <c r="I150" i="7"/>
  <c r="I146" i="7"/>
  <c r="I142" i="7"/>
  <c r="I138" i="7"/>
  <c r="I134" i="7"/>
  <c r="I130" i="7"/>
  <c r="I126" i="7"/>
  <c r="K8" i="8"/>
  <c r="AC556" i="9"/>
  <c r="D556" i="9"/>
  <c r="AB555" i="9"/>
  <c r="AB190" i="9"/>
  <c r="AC190" i="9"/>
  <c r="D190" i="9"/>
  <c r="T191" i="7"/>
  <c r="AC572" i="9"/>
  <c r="D572" i="9"/>
  <c r="AB571" i="9"/>
  <c r="AC206" i="9"/>
  <c r="D206" i="9"/>
  <c r="AB206" i="9"/>
  <c r="T207" i="7"/>
  <c r="AC571" i="9"/>
  <c r="D571" i="9"/>
  <c r="AB570" i="9"/>
  <c r="AB205" i="9"/>
  <c r="AC205" i="9"/>
  <c r="D205" i="9"/>
  <c r="T206" i="7"/>
  <c r="AC552" i="9"/>
  <c r="D552" i="9"/>
  <c r="AB551" i="9"/>
  <c r="AC186" i="9"/>
  <c r="D186" i="9"/>
  <c r="AB186" i="9"/>
  <c r="T187" i="7"/>
  <c r="AC568" i="9"/>
  <c r="D568" i="9"/>
  <c r="AB567" i="9"/>
  <c r="AC202" i="9"/>
  <c r="D202" i="9"/>
  <c r="AB202" i="9"/>
  <c r="T203" i="7"/>
  <c r="AC575" i="9"/>
  <c r="D575" i="9"/>
  <c r="AB574" i="9"/>
  <c r="AB209" i="9"/>
  <c r="AC209" i="9"/>
  <c r="D209" i="9"/>
  <c r="T210" i="7"/>
  <c r="AC554" i="9"/>
  <c r="D554" i="9"/>
  <c r="AB553" i="9"/>
  <c r="AB188" i="9"/>
  <c r="AC188" i="9"/>
  <c r="D188" i="9"/>
  <c r="T189" i="7"/>
  <c r="AC570" i="9"/>
  <c r="D570" i="9"/>
  <c r="AB569" i="9"/>
  <c r="AC204" i="9"/>
  <c r="D204" i="9"/>
  <c r="AB204" i="9"/>
  <c r="T205" i="7"/>
  <c r="AB579" i="9"/>
  <c r="AC580" i="9"/>
  <c r="D580" i="9"/>
  <c r="AC214" i="9"/>
  <c r="D214" i="9"/>
  <c r="AB214" i="9"/>
  <c r="T215" i="7"/>
  <c r="AN270" i="9"/>
  <c r="AO270" i="9"/>
  <c r="AP270" i="9"/>
  <c r="O270" i="9"/>
  <c r="AN274" i="9"/>
  <c r="AO274" i="9"/>
  <c r="AP274" i="9"/>
  <c r="O274" i="9"/>
  <c r="L237" i="9"/>
  <c r="K237" i="9"/>
  <c r="L221" i="9"/>
  <c r="K221" i="9"/>
  <c r="K608" i="9"/>
  <c r="AN608" i="9"/>
  <c r="AO608" i="9"/>
  <c r="AP608" i="9"/>
  <c r="O608" i="9"/>
  <c r="L608" i="9"/>
  <c r="K231" i="9"/>
  <c r="L231" i="9"/>
  <c r="L244" i="9"/>
  <c r="K244" i="9"/>
  <c r="L594" i="9"/>
  <c r="K594" i="9"/>
  <c r="AN594" i="9"/>
  <c r="AO594" i="9"/>
  <c r="AP594" i="9"/>
  <c r="O594" i="9"/>
  <c r="AN267" i="9"/>
  <c r="AO267" i="9"/>
  <c r="AP267" i="9"/>
  <c r="O267" i="9"/>
  <c r="AN255" i="9"/>
  <c r="AO255" i="9"/>
  <c r="AP255" i="9"/>
  <c r="O255" i="9"/>
  <c r="AN275" i="9"/>
  <c r="AO275" i="9"/>
  <c r="AP275" i="9"/>
  <c r="O275" i="9"/>
  <c r="L583" i="9"/>
  <c r="K583" i="9"/>
  <c r="AN583" i="9"/>
  <c r="AO583" i="9"/>
  <c r="AP583" i="9"/>
  <c r="O583" i="9"/>
  <c r="L222" i="9"/>
  <c r="K222" i="9"/>
  <c r="L593" i="9"/>
  <c r="K593" i="9"/>
  <c r="AN593" i="9"/>
  <c r="AO593" i="9"/>
  <c r="AP593" i="9"/>
  <c r="O593" i="9"/>
  <c r="K224" i="9"/>
  <c r="L224" i="9"/>
  <c r="Y255" i="25"/>
  <c r="Y256" i="25"/>
  <c r="Y257" i="25"/>
  <c r="Y258" i="25"/>
  <c r="Y259" i="25"/>
  <c r="Y260" i="25"/>
  <c r="Y261" i="25"/>
  <c r="Y262" i="25"/>
  <c r="Z254" i="25"/>
  <c r="A32" i="25"/>
  <c r="D32" i="25"/>
  <c r="B29" i="29"/>
  <c r="C66" i="9"/>
  <c r="B66" i="9"/>
  <c r="P65" i="9"/>
  <c r="U65" i="9"/>
  <c r="X65" i="9"/>
  <c r="W65" i="9"/>
  <c r="AD27" i="29"/>
  <c r="F27" i="29"/>
  <c r="AE27" i="29"/>
  <c r="S65" i="9"/>
  <c r="N65" i="9"/>
  <c r="E28" i="29"/>
  <c r="D28" i="29"/>
  <c r="AC28" i="29"/>
  <c r="Q64" i="9"/>
  <c r="E31" i="25"/>
  <c r="I31" i="25"/>
  <c r="W31" i="25"/>
  <c r="U31" i="25"/>
  <c r="K31" i="25"/>
  <c r="G31" i="25"/>
  <c r="V31" i="25"/>
  <c r="H31" i="25"/>
  <c r="F31" i="25"/>
  <c r="T31" i="25"/>
  <c r="AE434" i="9"/>
  <c r="M434" i="9"/>
  <c r="AD433" i="9"/>
  <c r="AE68" i="9"/>
  <c r="M68" i="9"/>
  <c r="AD68" i="9"/>
  <c r="T69" i="11"/>
  <c r="AE450" i="9"/>
  <c r="M450" i="9"/>
  <c r="AD449" i="9"/>
  <c r="AD84" i="9"/>
  <c r="AE84" i="9"/>
  <c r="M84" i="9"/>
  <c r="T85" i="11"/>
  <c r="AE437" i="9"/>
  <c r="M437" i="9"/>
  <c r="AD436" i="9"/>
  <c r="AE71" i="9"/>
  <c r="M71" i="9"/>
  <c r="AD71" i="9"/>
  <c r="T72" i="11"/>
  <c r="AE453" i="9"/>
  <c r="M453" i="9"/>
  <c r="AD452" i="9"/>
  <c r="AE87" i="9"/>
  <c r="M87" i="9"/>
  <c r="AD87" i="9"/>
  <c r="T88" i="11"/>
  <c r="AE436" i="9"/>
  <c r="M436" i="9"/>
  <c r="AD435" i="9"/>
  <c r="AE70" i="9"/>
  <c r="M70" i="9"/>
  <c r="AD70" i="9"/>
  <c r="T71" i="11"/>
  <c r="AE452" i="9"/>
  <c r="M452" i="9"/>
  <c r="AD451" i="9"/>
  <c r="AD86" i="9"/>
  <c r="AE86" i="9"/>
  <c r="M86" i="9"/>
  <c r="T87" i="11"/>
  <c r="AE431" i="9"/>
  <c r="M431" i="9"/>
  <c r="AD430" i="9"/>
  <c r="AE65" i="9"/>
  <c r="M65" i="9"/>
  <c r="AD65" i="9"/>
  <c r="T66" i="11"/>
  <c r="AE447" i="9"/>
  <c r="M447" i="9"/>
  <c r="AD446" i="9"/>
  <c r="AE81" i="9"/>
  <c r="M81" i="9"/>
  <c r="AD81" i="9"/>
  <c r="T82" i="11"/>
  <c r="AE438" i="9"/>
  <c r="M438" i="9"/>
  <c r="AD437" i="9"/>
  <c r="AE72" i="9"/>
  <c r="M72" i="9"/>
  <c r="AD72" i="9"/>
  <c r="T73" i="11"/>
  <c r="AE454" i="9"/>
  <c r="M454" i="9"/>
  <c r="AD453" i="9"/>
  <c r="AD88" i="9"/>
  <c r="AE88" i="9"/>
  <c r="M88" i="9"/>
  <c r="T89" i="11"/>
  <c r="AE441" i="9"/>
  <c r="M441" i="9"/>
  <c r="AD440" i="9"/>
  <c r="AE75" i="9"/>
  <c r="M75" i="9"/>
  <c r="AD75" i="9"/>
  <c r="T76" i="11"/>
  <c r="AD456" i="9"/>
  <c r="AE457" i="9"/>
  <c r="M457" i="9"/>
  <c r="AE91" i="9"/>
  <c r="M91" i="9"/>
  <c r="AD91" i="9"/>
  <c r="T92" i="11"/>
  <c r="AE440" i="9"/>
  <c r="M440" i="9"/>
  <c r="AD439" i="9"/>
  <c r="AE74" i="9"/>
  <c r="M74" i="9"/>
  <c r="AD74" i="9"/>
  <c r="T75" i="11"/>
  <c r="AE456" i="9"/>
  <c r="M456" i="9"/>
  <c r="AD455" i="9"/>
  <c r="AD90" i="9"/>
  <c r="AE90" i="9"/>
  <c r="M90" i="9"/>
  <c r="T91" i="11"/>
  <c r="AE435" i="9"/>
  <c r="M435" i="9"/>
  <c r="AD434" i="9"/>
  <c r="AE69" i="9"/>
  <c r="M69" i="9"/>
  <c r="AD69" i="9"/>
  <c r="T70" i="11"/>
  <c r="AE451" i="9"/>
  <c r="M451" i="9"/>
  <c r="AD450" i="9"/>
  <c r="AE85" i="9"/>
  <c r="M85" i="9"/>
  <c r="AD85" i="9"/>
  <c r="T86" i="11"/>
  <c r="H62" i="11"/>
  <c r="Q62" i="11"/>
  <c r="N62" i="11"/>
  <c r="H63" i="11"/>
  <c r="Q63" i="11"/>
  <c r="N63" i="11"/>
  <c r="H64" i="11"/>
  <c r="Q64" i="11"/>
  <c r="N64" i="11"/>
  <c r="H61" i="11"/>
  <c r="Q61" i="11"/>
  <c r="N61" i="11"/>
  <c r="H57" i="11"/>
  <c r="Q57" i="11"/>
  <c r="N57" i="11"/>
  <c r="H53" i="11"/>
  <c r="Q53" i="11"/>
  <c r="H49" i="11"/>
  <c r="H47" i="11"/>
  <c r="H45" i="11"/>
  <c r="H43" i="11"/>
  <c r="H41" i="11"/>
  <c r="H39" i="11"/>
  <c r="H37" i="11"/>
  <c r="H58" i="11"/>
  <c r="Q58" i="11"/>
  <c r="N58" i="11"/>
  <c r="M4" i="10"/>
  <c r="H60" i="11"/>
  <c r="Q60" i="11"/>
  <c r="N60" i="11"/>
  <c r="H59" i="11"/>
  <c r="Q59" i="11"/>
  <c r="N59" i="11"/>
  <c r="H52" i="11"/>
  <c r="Q52" i="11"/>
  <c r="H51" i="11"/>
  <c r="Q51" i="11"/>
  <c r="N415" i="11"/>
  <c r="I35" i="11"/>
  <c r="I34" i="11"/>
  <c r="I33" i="11"/>
  <c r="I32" i="11"/>
  <c r="I31" i="11"/>
  <c r="I30" i="11"/>
  <c r="I29" i="11"/>
  <c r="I28" i="11"/>
  <c r="I27" i="11"/>
  <c r="I26" i="11"/>
  <c r="I25" i="11"/>
  <c r="I24" i="11"/>
  <c r="I23" i="11"/>
  <c r="I22" i="11"/>
  <c r="I21" i="11"/>
  <c r="I20" i="11"/>
  <c r="I19" i="11"/>
  <c r="I18" i="11"/>
  <c r="I17" i="11"/>
  <c r="I16" i="11"/>
  <c r="I15" i="11"/>
  <c r="I14" i="11"/>
  <c r="I13" i="11"/>
  <c r="I12" i="11"/>
  <c r="I11" i="11"/>
  <c r="I10" i="11"/>
  <c r="I9" i="11"/>
  <c r="I8" i="11"/>
  <c r="I7" i="11"/>
  <c r="I6" i="11"/>
  <c r="I5" i="11"/>
  <c r="I4" i="11"/>
  <c r="H54" i="11"/>
  <c r="Q54" i="11"/>
  <c r="H50" i="11"/>
  <c r="Q50" i="11"/>
  <c r="H48" i="11"/>
  <c r="H46" i="11"/>
  <c r="H44" i="11"/>
  <c r="H42" i="11"/>
  <c r="H40" i="11"/>
  <c r="H38" i="11"/>
  <c r="H36" i="11"/>
  <c r="H56" i="11"/>
  <c r="Q56" i="11"/>
  <c r="N56" i="11"/>
  <c r="H55" i="11"/>
  <c r="Q55" i="11"/>
  <c r="N55" i="11"/>
  <c r="AE442" i="9"/>
  <c r="M442" i="9"/>
  <c r="AD441" i="9"/>
  <c r="AE76" i="9"/>
  <c r="M76" i="9"/>
  <c r="AD76" i="9"/>
  <c r="T77" i="11"/>
  <c r="AE458" i="9"/>
  <c r="M458" i="9"/>
  <c r="AD457" i="9"/>
  <c r="AD92" i="9"/>
  <c r="AE92" i="9"/>
  <c r="M92" i="9"/>
  <c r="T93" i="11"/>
  <c r="AE445" i="9"/>
  <c r="M445" i="9"/>
  <c r="AD444" i="9"/>
  <c r="AE79" i="9"/>
  <c r="M79" i="9"/>
  <c r="AD79" i="9"/>
  <c r="T80" i="11"/>
  <c r="AE444" i="9"/>
  <c r="M444" i="9"/>
  <c r="AD443" i="9"/>
  <c r="AE78" i="9"/>
  <c r="M78" i="9"/>
  <c r="AD78" i="9"/>
  <c r="T79" i="11"/>
  <c r="AE460" i="9"/>
  <c r="M460" i="9"/>
  <c r="AD459" i="9"/>
  <c r="AD94" i="9"/>
  <c r="AE94" i="9"/>
  <c r="M94" i="9"/>
  <c r="T95" i="11"/>
  <c r="AE439" i="9"/>
  <c r="M439" i="9"/>
  <c r="AD438" i="9"/>
  <c r="AE73" i="9"/>
  <c r="M73" i="9"/>
  <c r="AD73" i="9"/>
  <c r="T74" i="11"/>
  <c r="AE455" i="9"/>
  <c r="M455" i="9"/>
  <c r="AD454" i="9"/>
  <c r="AE89" i="9"/>
  <c r="M89" i="9"/>
  <c r="AD89" i="9"/>
  <c r="T90" i="11"/>
  <c r="AE430" i="9"/>
  <c r="M430" i="9"/>
  <c r="AD429" i="9"/>
  <c r="AE64" i="9"/>
  <c r="M64" i="9"/>
  <c r="AD64" i="9"/>
  <c r="T65" i="11"/>
  <c r="AE446" i="9"/>
  <c r="M446" i="9"/>
  <c r="AD445" i="9"/>
  <c r="AE80" i="9"/>
  <c r="M80" i="9"/>
  <c r="AD80" i="9"/>
  <c r="T81" i="11"/>
  <c r="AE433" i="9"/>
  <c r="M433" i="9"/>
  <c r="AD432" i="9"/>
  <c r="AE67" i="9"/>
  <c r="M67" i="9"/>
  <c r="AD67" i="9"/>
  <c r="T68" i="11"/>
  <c r="AE449" i="9"/>
  <c r="M449" i="9"/>
  <c r="AD448" i="9"/>
  <c r="AE83" i="9"/>
  <c r="M83" i="9"/>
  <c r="AD83" i="9"/>
  <c r="T84" i="11"/>
  <c r="AE432" i="9"/>
  <c r="M432" i="9"/>
  <c r="AD431" i="9"/>
  <c r="AE66" i="9"/>
  <c r="M66" i="9"/>
  <c r="AD66" i="9"/>
  <c r="T67" i="11"/>
  <c r="AE448" i="9"/>
  <c r="M448" i="9"/>
  <c r="AD447" i="9"/>
  <c r="AE82" i="9"/>
  <c r="M82" i="9"/>
  <c r="AD82" i="9"/>
  <c r="T83" i="11"/>
  <c r="AE443" i="9"/>
  <c r="M443" i="9"/>
  <c r="AD442" i="9"/>
  <c r="AE77" i="9"/>
  <c r="M77" i="9"/>
  <c r="AD77" i="9"/>
  <c r="T78" i="11"/>
  <c r="AD458" i="9"/>
  <c r="AE459" i="9"/>
  <c r="M459" i="9"/>
  <c r="AE93" i="9"/>
  <c r="M93" i="9"/>
  <c r="AD93" i="9"/>
  <c r="T94" i="11"/>
  <c r="AN221" i="9"/>
  <c r="AO221" i="9"/>
  <c r="AP221" i="9"/>
  <c r="O221" i="9"/>
  <c r="K580" i="9"/>
  <c r="AN580" i="9"/>
  <c r="AO580" i="9"/>
  <c r="AP580" i="9"/>
  <c r="O580" i="9"/>
  <c r="L580" i="9"/>
  <c r="K204" i="9"/>
  <c r="L204" i="9"/>
  <c r="L188" i="9"/>
  <c r="K188" i="9"/>
  <c r="AN188" i="9"/>
  <c r="AO188" i="9"/>
  <c r="AP188" i="9"/>
  <c r="O188" i="9"/>
  <c r="K575" i="9"/>
  <c r="AN575" i="9"/>
  <c r="AO575" i="9"/>
  <c r="AP575" i="9"/>
  <c r="O575" i="9"/>
  <c r="L575" i="9"/>
  <c r="L186" i="9"/>
  <c r="K186" i="9"/>
  <c r="AN186" i="9"/>
  <c r="AO186" i="9"/>
  <c r="AP186" i="9"/>
  <c r="O186" i="9"/>
  <c r="L205" i="9"/>
  <c r="K205" i="9"/>
  <c r="K572" i="9"/>
  <c r="AN572" i="9"/>
  <c r="AO572" i="9"/>
  <c r="AP572" i="9"/>
  <c r="O572" i="9"/>
  <c r="L572" i="9"/>
  <c r="AC526" i="9"/>
  <c r="D526" i="9"/>
  <c r="AB525" i="9"/>
  <c r="AB160" i="9"/>
  <c r="AC160" i="9"/>
  <c r="D160" i="9"/>
  <c r="T161" i="7"/>
  <c r="AC542" i="9"/>
  <c r="D542" i="9"/>
  <c r="AB541" i="9"/>
  <c r="AB176" i="9"/>
  <c r="AC176" i="9"/>
  <c r="D176" i="9"/>
  <c r="T177" i="7"/>
  <c r="AB532" i="9"/>
  <c r="AC533" i="9"/>
  <c r="D533" i="9"/>
  <c r="AB167" i="9"/>
  <c r="AC167" i="9"/>
  <c r="D167" i="9"/>
  <c r="T168" i="7"/>
  <c r="AC524" i="9"/>
  <c r="D524" i="9"/>
  <c r="AB523" i="9"/>
  <c r="AC158" i="9"/>
  <c r="D158" i="9"/>
  <c r="AB158" i="9"/>
  <c r="T159" i="7"/>
  <c r="AC540" i="9"/>
  <c r="D540" i="9"/>
  <c r="AB539" i="9"/>
  <c r="AC174" i="9"/>
  <c r="D174" i="9"/>
  <c r="AB174" i="9"/>
  <c r="T175" i="7"/>
  <c r="AC527" i="9"/>
  <c r="D527" i="9"/>
  <c r="AB526" i="9"/>
  <c r="AC161" i="9"/>
  <c r="D161" i="9"/>
  <c r="AB161" i="9"/>
  <c r="T162" i="7"/>
  <c r="AC543" i="9"/>
  <c r="D543" i="9"/>
  <c r="AB542" i="9"/>
  <c r="AC177" i="9"/>
  <c r="D177" i="9"/>
  <c r="AB177" i="9"/>
  <c r="T178" i="7"/>
  <c r="AN232" i="9"/>
  <c r="AO232" i="9"/>
  <c r="AP232" i="9"/>
  <c r="O232" i="9"/>
  <c r="K216" i="9"/>
  <c r="L216" i="9"/>
  <c r="L567" i="9"/>
  <c r="K567" i="9"/>
  <c r="AN567" i="9"/>
  <c r="AO567" i="9"/>
  <c r="AP567" i="9"/>
  <c r="O567" i="9"/>
  <c r="AN225" i="9"/>
  <c r="AO225" i="9"/>
  <c r="AP225" i="9"/>
  <c r="O225" i="9"/>
  <c r="AN234" i="9"/>
  <c r="AO234" i="9"/>
  <c r="AP234" i="9"/>
  <c r="O234" i="9"/>
  <c r="L562" i="9"/>
  <c r="K562" i="9"/>
  <c r="AN562" i="9"/>
  <c r="AO562" i="9"/>
  <c r="AP562" i="9"/>
  <c r="O562" i="9"/>
  <c r="L210" i="9"/>
  <c r="K210" i="9"/>
  <c r="L555" i="9"/>
  <c r="K555" i="9"/>
  <c r="AN555" i="9"/>
  <c r="AO555" i="9"/>
  <c r="AP555" i="9"/>
  <c r="O555" i="9"/>
  <c r="K564" i="9"/>
  <c r="AN564" i="9"/>
  <c r="AO564" i="9"/>
  <c r="AP564" i="9"/>
  <c r="O564" i="9"/>
  <c r="L564" i="9"/>
  <c r="AN223" i="9"/>
  <c r="AO223" i="9"/>
  <c r="AP223" i="9"/>
  <c r="O223" i="9"/>
  <c r="AN217" i="9"/>
  <c r="AO217" i="9"/>
  <c r="AP217" i="9"/>
  <c r="O217" i="9"/>
  <c r="L579" i="9"/>
  <c r="K579" i="9"/>
  <c r="AN579" i="9"/>
  <c r="AO579" i="9"/>
  <c r="AP579" i="9"/>
  <c r="O579" i="9"/>
  <c r="K192" i="9"/>
  <c r="L192" i="9"/>
  <c r="L553" i="9"/>
  <c r="K553" i="9"/>
  <c r="AN553" i="9"/>
  <c r="AO553" i="9"/>
  <c r="AP553" i="9"/>
  <c r="O553" i="9"/>
  <c r="L211" i="9"/>
  <c r="K211" i="9"/>
  <c r="L557" i="9"/>
  <c r="K557" i="9"/>
  <c r="AN557" i="9"/>
  <c r="AO557" i="9"/>
  <c r="AP557" i="9"/>
  <c r="O557" i="9"/>
  <c r="AN231" i="9"/>
  <c r="AO231" i="9"/>
  <c r="AP231" i="9"/>
  <c r="O231" i="9"/>
  <c r="L209" i="9"/>
  <c r="K209" i="9"/>
  <c r="K568" i="9"/>
  <c r="AN568" i="9"/>
  <c r="AO568" i="9"/>
  <c r="AP568" i="9"/>
  <c r="O568" i="9"/>
  <c r="L568" i="9"/>
  <c r="K556" i="9"/>
  <c r="AN556" i="9"/>
  <c r="AO556" i="9"/>
  <c r="AP556" i="9"/>
  <c r="O556" i="9"/>
  <c r="L556" i="9"/>
  <c r="AC530" i="9"/>
  <c r="D530" i="9"/>
  <c r="AB529" i="9"/>
  <c r="AB164" i="9"/>
  <c r="AC164" i="9"/>
  <c r="D164" i="9"/>
  <c r="T165" i="7"/>
  <c r="AC548" i="9"/>
  <c r="D548" i="9"/>
  <c r="AB547" i="9"/>
  <c r="AC182" i="9"/>
  <c r="D182" i="9"/>
  <c r="AB182" i="9"/>
  <c r="T183" i="7"/>
  <c r="AC537" i="9"/>
  <c r="D537" i="9"/>
  <c r="AB536" i="9"/>
  <c r="AC171" i="9"/>
  <c r="D171" i="9"/>
  <c r="AB171" i="9"/>
  <c r="T172" i="7"/>
  <c r="AC528" i="9"/>
  <c r="D528" i="9"/>
  <c r="AB527" i="9"/>
  <c r="AB162" i="9"/>
  <c r="AC162" i="9"/>
  <c r="D162" i="9"/>
  <c r="T163" i="7"/>
  <c r="AC544" i="9"/>
  <c r="D544" i="9"/>
  <c r="AB543" i="9"/>
  <c r="AB178" i="9"/>
  <c r="AC178" i="9"/>
  <c r="D178" i="9"/>
  <c r="T179" i="7"/>
  <c r="AC531" i="9"/>
  <c r="D531" i="9"/>
  <c r="AB530" i="9"/>
  <c r="AC165" i="9"/>
  <c r="D165" i="9"/>
  <c r="AB165" i="9"/>
  <c r="T166" i="7"/>
  <c r="AC551" i="9"/>
  <c r="D551" i="9"/>
  <c r="AB550" i="9"/>
  <c r="AC185" i="9"/>
  <c r="D185" i="9"/>
  <c r="AB185" i="9"/>
  <c r="T186" i="7"/>
  <c r="K200" i="9"/>
  <c r="L200" i="9"/>
  <c r="L201" i="9"/>
  <c r="K201" i="9"/>
  <c r="L561" i="9"/>
  <c r="K561" i="9"/>
  <c r="AN561" i="9"/>
  <c r="AO561" i="9"/>
  <c r="AP561" i="9"/>
  <c r="O561" i="9"/>
  <c r="L199" i="9"/>
  <c r="K199" i="9"/>
  <c r="AN240" i="9"/>
  <c r="AO240" i="9"/>
  <c r="AP240" i="9"/>
  <c r="O240" i="9"/>
  <c r="AN242" i="9"/>
  <c r="AO242" i="9"/>
  <c r="AP242" i="9"/>
  <c r="O242" i="9"/>
  <c r="K212" i="9"/>
  <c r="L212" i="9"/>
  <c r="K559" i="9"/>
  <c r="AN559" i="9"/>
  <c r="AO559" i="9"/>
  <c r="AP559" i="9"/>
  <c r="O559" i="9"/>
  <c r="L559" i="9"/>
  <c r="K576" i="9"/>
  <c r="AN576" i="9"/>
  <c r="AO576" i="9"/>
  <c r="AP576" i="9"/>
  <c r="O576" i="9"/>
  <c r="L576" i="9"/>
  <c r="L194" i="9"/>
  <c r="K194" i="9"/>
  <c r="AN243" i="9"/>
  <c r="AO243" i="9"/>
  <c r="AP243" i="9"/>
  <c r="O243" i="9"/>
  <c r="L213" i="9"/>
  <c r="K213" i="9"/>
  <c r="K574" i="9"/>
  <c r="AN574" i="9"/>
  <c r="AO574" i="9"/>
  <c r="AP574" i="9"/>
  <c r="O574" i="9"/>
  <c r="L574" i="9"/>
  <c r="L215" i="9"/>
  <c r="K215" i="9"/>
  <c r="L207" i="9"/>
  <c r="K207" i="9"/>
  <c r="AN222" i="9"/>
  <c r="AO222" i="9"/>
  <c r="AP222" i="9"/>
  <c r="O222" i="9"/>
  <c r="AN244" i="9"/>
  <c r="AO244" i="9"/>
  <c r="AP244" i="9"/>
  <c r="O244" i="9"/>
  <c r="AN237" i="9"/>
  <c r="AO237" i="9"/>
  <c r="AP237" i="9"/>
  <c r="O237" i="9"/>
  <c r="L570" i="9"/>
  <c r="K570" i="9"/>
  <c r="AN570" i="9"/>
  <c r="AO570" i="9"/>
  <c r="AP570" i="9"/>
  <c r="O570" i="9"/>
  <c r="K552" i="9"/>
  <c r="AN552" i="9"/>
  <c r="AO552" i="9"/>
  <c r="AP552" i="9"/>
  <c r="O552" i="9"/>
  <c r="L552" i="9"/>
  <c r="L206" i="9"/>
  <c r="K206" i="9"/>
  <c r="L190" i="9"/>
  <c r="K190" i="9"/>
  <c r="H154" i="7"/>
  <c r="Q154" i="7"/>
  <c r="N154" i="7"/>
  <c r="H150" i="7"/>
  <c r="Q150" i="7"/>
  <c r="N150" i="7"/>
  <c r="H146" i="7"/>
  <c r="Q146" i="7"/>
  <c r="N146" i="7"/>
  <c r="H142" i="7"/>
  <c r="Q142" i="7"/>
  <c r="N142" i="7"/>
  <c r="H138" i="7"/>
  <c r="Q138" i="7"/>
  <c r="N138" i="7"/>
  <c r="H134" i="7"/>
  <c r="Q134" i="7"/>
  <c r="N134" i="7"/>
  <c r="H130" i="7"/>
  <c r="Q130" i="7"/>
  <c r="N130" i="7"/>
  <c r="H126" i="7"/>
  <c r="Q126" i="7"/>
  <c r="N126" i="7"/>
  <c r="I123" i="7"/>
  <c r="I119" i="7"/>
  <c r="I115" i="7"/>
  <c r="I111" i="7"/>
  <c r="I107" i="7"/>
  <c r="I103" i="7"/>
  <c r="I99" i="7"/>
  <c r="H155" i="7"/>
  <c r="Q155" i="7"/>
  <c r="N155" i="7"/>
  <c r="H151" i="7"/>
  <c r="Q151" i="7"/>
  <c r="N151" i="7"/>
  <c r="H147" i="7"/>
  <c r="Q147" i="7"/>
  <c r="N147" i="7"/>
  <c r="H143" i="7"/>
  <c r="Q143" i="7"/>
  <c r="N143" i="7"/>
  <c r="H139" i="7"/>
  <c r="Q139" i="7"/>
  <c r="N139" i="7"/>
  <c r="H135" i="7"/>
  <c r="Q135" i="7"/>
  <c r="N135" i="7"/>
  <c r="H131" i="7"/>
  <c r="Q131" i="7"/>
  <c r="N131" i="7"/>
  <c r="H127" i="7"/>
  <c r="Q127" i="7"/>
  <c r="N127" i="7"/>
  <c r="I124" i="7"/>
  <c r="I120" i="7"/>
  <c r="I116" i="7"/>
  <c r="I112" i="7"/>
  <c r="I108" i="7"/>
  <c r="I104" i="7"/>
  <c r="I100" i="7"/>
  <c r="I96" i="7"/>
  <c r="H156" i="7"/>
  <c r="Q156" i="7"/>
  <c r="N156" i="7"/>
  <c r="H152" i="7"/>
  <c r="Q152" i="7"/>
  <c r="N152" i="7"/>
  <c r="H148" i="7"/>
  <c r="Q148" i="7"/>
  <c r="N148" i="7"/>
  <c r="H144" i="7"/>
  <c r="Q144" i="7"/>
  <c r="N144" i="7"/>
  <c r="H140" i="7"/>
  <c r="Q140" i="7"/>
  <c r="N140" i="7"/>
  <c r="H136" i="7"/>
  <c r="Q136" i="7"/>
  <c r="N136" i="7"/>
  <c r="H132" i="7"/>
  <c r="Q132" i="7"/>
  <c r="N132" i="7"/>
  <c r="H128" i="7"/>
  <c r="Q128" i="7"/>
  <c r="N128" i="7"/>
  <c r="I125" i="7"/>
  <c r="I121" i="7"/>
  <c r="I117" i="7"/>
  <c r="I113" i="7"/>
  <c r="I109" i="7"/>
  <c r="I105" i="7"/>
  <c r="I101" i="7"/>
  <c r="I97" i="7"/>
  <c r="H153" i="7"/>
  <c r="Q153" i="7"/>
  <c r="N153" i="7"/>
  <c r="H149" i="7"/>
  <c r="Q149" i="7"/>
  <c r="N149" i="7"/>
  <c r="H145" i="7"/>
  <c r="Q145" i="7"/>
  <c r="N145" i="7"/>
  <c r="H141" i="7"/>
  <c r="Q141" i="7"/>
  <c r="N141" i="7"/>
  <c r="H137" i="7"/>
  <c r="Q137" i="7"/>
  <c r="N137" i="7"/>
  <c r="H133" i="7"/>
  <c r="Q133" i="7"/>
  <c r="N133" i="7"/>
  <c r="H129" i="7"/>
  <c r="Q129" i="7"/>
  <c r="N129" i="7"/>
  <c r="I122" i="7"/>
  <c r="I118" i="7"/>
  <c r="I114" i="7"/>
  <c r="I110" i="7"/>
  <c r="I106" i="7"/>
  <c r="I102" i="7"/>
  <c r="I98" i="7"/>
  <c r="K7" i="8"/>
  <c r="AB533" i="9"/>
  <c r="AC534" i="9"/>
  <c r="D534" i="9"/>
  <c r="AB168" i="9"/>
  <c r="AC168" i="9"/>
  <c r="D168" i="9"/>
  <c r="T169" i="7"/>
  <c r="AC549" i="9"/>
  <c r="D549" i="9"/>
  <c r="AB548" i="9"/>
  <c r="AB183" i="9"/>
  <c r="AC183" i="9"/>
  <c r="D183" i="9"/>
  <c r="T184" i="7"/>
  <c r="AC525" i="9"/>
  <c r="D525" i="9"/>
  <c r="AB524" i="9"/>
  <c r="AC159" i="9"/>
  <c r="D159" i="9"/>
  <c r="AB159" i="9"/>
  <c r="T160" i="7"/>
  <c r="AC541" i="9"/>
  <c r="D541" i="9"/>
  <c r="AB540" i="9"/>
  <c r="AC175" i="9"/>
  <c r="D175" i="9"/>
  <c r="AB175" i="9"/>
  <c r="T176" i="7"/>
  <c r="AC532" i="9"/>
  <c r="D532" i="9"/>
  <c r="AB531" i="9"/>
  <c r="AC166" i="9"/>
  <c r="D166" i="9"/>
  <c r="AB166" i="9"/>
  <c r="T167" i="7"/>
  <c r="AC545" i="9"/>
  <c r="D545" i="9"/>
  <c r="AB544" i="9"/>
  <c r="AC179" i="9"/>
  <c r="D179" i="9"/>
  <c r="AB179" i="9"/>
  <c r="T180" i="7"/>
  <c r="AC535" i="9"/>
  <c r="D535" i="9"/>
  <c r="AB534" i="9"/>
  <c r="AC169" i="9"/>
  <c r="D169" i="9"/>
  <c r="AB169" i="9"/>
  <c r="T170" i="7"/>
  <c r="AC546" i="9"/>
  <c r="D546" i="9"/>
  <c r="AB545" i="9"/>
  <c r="AB180" i="9"/>
  <c r="AC180" i="9"/>
  <c r="D180" i="9"/>
  <c r="T181" i="7"/>
  <c r="AN219" i="9"/>
  <c r="AO219" i="9"/>
  <c r="AP219" i="9"/>
  <c r="O219" i="9"/>
  <c r="AN218" i="9"/>
  <c r="AO218" i="9"/>
  <c r="AP218" i="9"/>
  <c r="O218" i="9"/>
  <c r="AN238" i="9"/>
  <c r="AO238" i="9"/>
  <c r="AP238" i="9"/>
  <c r="O238" i="9"/>
  <c r="AN226" i="9"/>
  <c r="AO226" i="9"/>
  <c r="AP226" i="9"/>
  <c r="O226" i="9"/>
  <c r="L582" i="9"/>
  <c r="K582" i="9"/>
  <c r="AN582" i="9"/>
  <c r="AO582" i="9"/>
  <c r="AP582" i="9"/>
  <c r="O582" i="9"/>
  <c r="L563" i="9"/>
  <c r="K563" i="9"/>
  <c r="AN563" i="9"/>
  <c r="AO563" i="9"/>
  <c r="AP563" i="9"/>
  <c r="O563" i="9"/>
  <c r="L565" i="9"/>
  <c r="K565" i="9"/>
  <c r="AN565" i="9"/>
  <c r="AO565" i="9"/>
  <c r="AP565" i="9"/>
  <c r="O565" i="9"/>
  <c r="AN241" i="9"/>
  <c r="AO241" i="9"/>
  <c r="AP241" i="9"/>
  <c r="O241" i="9"/>
  <c r="K196" i="9"/>
  <c r="L196" i="9"/>
  <c r="L193" i="9"/>
  <c r="K193" i="9"/>
  <c r="K560" i="9"/>
  <c r="AN560" i="9"/>
  <c r="AO560" i="9"/>
  <c r="AP560" i="9"/>
  <c r="O560" i="9"/>
  <c r="L560" i="9"/>
  <c r="L189" i="9"/>
  <c r="K189" i="9"/>
  <c r="AN189" i="9"/>
  <c r="AO189" i="9"/>
  <c r="AP189" i="9"/>
  <c r="O189" i="9"/>
  <c r="AN236" i="9"/>
  <c r="AO236" i="9"/>
  <c r="AP236" i="9"/>
  <c r="O236" i="9"/>
  <c r="AN233" i="9"/>
  <c r="AO233" i="9"/>
  <c r="AP233" i="9"/>
  <c r="O233" i="9"/>
  <c r="AN228" i="9"/>
  <c r="AO228" i="9"/>
  <c r="AP228" i="9"/>
  <c r="O228" i="9"/>
  <c r="K558" i="9"/>
  <c r="AN558" i="9"/>
  <c r="AO558" i="9"/>
  <c r="AP558" i="9"/>
  <c r="O558" i="9"/>
  <c r="L558" i="9"/>
  <c r="L581" i="9"/>
  <c r="K581" i="9"/>
  <c r="AN581" i="9"/>
  <c r="AO581" i="9"/>
  <c r="AP581" i="9"/>
  <c r="O581" i="9"/>
  <c r="L203" i="9"/>
  <c r="K203" i="9"/>
  <c r="L577" i="9"/>
  <c r="K577" i="9"/>
  <c r="AN577" i="9"/>
  <c r="AO577" i="9"/>
  <c r="AP577" i="9"/>
  <c r="O577" i="9"/>
  <c r="L191" i="9"/>
  <c r="K191" i="9"/>
  <c r="AN230" i="9"/>
  <c r="AO230" i="9"/>
  <c r="AP230" i="9"/>
  <c r="O230" i="9"/>
  <c r="AN224" i="9"/>
  <c r="AO224" i="9"/>
  <c r="AP224" i="9"/>
  <c r="O224" i="9"/>
  <c r="L214" i="9"/>
  <c r="K214" i="9"/>
  <c r="L554" i="9"/>
  <c r="K554" i="9"/>
  <c r="AN554" i="9"/>
  <c r="AO554" i="9"/>
  <c r="AP554" i="9"/>
  <c r="O554" i="9"/>
  <c r="L202" i="9"/>
  <c r="K202" i="9"/>
  <c r="L571" i="9"/>
  <c r="K571" i="9"/>
  <c r="AN571" i="9"/>
  <c r="AO571" i="9"/>
  <c r="AP571" i="9"/>
  <c r="O571" i="9"/>
  <c r="AC522" i="9"/>
  <c r="D522" i="9"/>
  <c r="AB521" i="9"/>
  <c r="AB156" i="9"/>
  <c r="AC156" i="9"/>
  <c r="D156" i="9"/>
  <c r="T157" i="7"/>
  <c r="AB537" i="9"/>
  <c r="AC538" i="9"/>
  <c r="D538" i="9"/>
  <c r="AB172" i="9"/>
  <c r="AC172" i="9"/>
  <c r="D172" i="9"/>
  <c r="T173" i="7"/>
  <c r="AC529" i="9"/>
  <c r="D529" i="9"/>
  <c r="AB528" i="9"/>
  <c r="AC163" i="9"/>
  <c r="D163" i="9"/>
  <c r="AB163" i="9"/>
  <c r="T164" i="7"/>
  <c r="AC547" i="9"/>
  <c r="D547" i="9"/>
  <c r="AB546" i="9"/>
  <c r="AC181" i="9"/>
  <c r="D181" i="9"/>
  <c r="AB181" i="9"/>
  <c r="T182" i="7"/>
  <c r="AC536" i="9"/>
  <c r="D536" i="9"/>
  <c r="AB535" i="9"/>
  <c r="AC170" i="9"/>
  <c r="D170" i="9"/>
  <c r="AB170" i="9"/>
  <c r="T171" i="7"/>
  <c r="AC523" i="9"/>
  <c r="D523" i="9"/>
  <c r="AB522" i="9"/>
  <c r="AC157" i="9"/>
  <c r="D157" i="9"/>
  <c r="AB157" i="9"/>
  <c r="T158" i="7"/>
  <c r="AC539" i="9"/>
  <c r="D539" i="9"/>
  <c r="AB538" i="9"/>
  <c r="AC173" i="9"/>
  <c r="D173" i="9"/>
  <c r="AB173" i="9"/>
  <c r="T174" i="7"/>
  <c r="AC550" i="9"/>
  <c r="D550" i="9"/>
  <c r="AB549" i="9"/>
  <c r="AB184" i="9"/>
  <c r="AC184" i="9"/>
  <c r="D184" i="9"/>
  <c r="T185" i="7"/>
  <c r="AN246" i="9"/>
  <c r="AO246" i="9"/>
  <c r="AP246" i="9"/>
  <c r="O246" i="9"/>
  <c r="AN220" i="9"/>
  <c r="AO220" i="9"/>
  <c r="AP220" i="9"/>
  <c r="O220" i="9"/>
  <c r="L566" i="9"/>
  <c r="K566" i="9"/>
  <c r="AN566" i="9"/>
  <c r="AO566" i="9"/>
  <c r="AP566" i="9"/>
  <c r="O566" i="9"/>
  <c r="L195" i="9"/>
  <c r="K195" i="9"/>
  <c r="L197" i="9"/>
  <c r="K197" i="9"/>
  <c r="AN227" i="9"/>
  <c r="AO227" i="9"/>
  <c r="AP227" i="9"/>
  <c r="O227" i="9"/>
  <c r="L578" i="9"/>
  <c r="K578" i="9"/>
  <c r="AN578" i="9"/>
  <c r="AO578" i="9"/>
  <c r="AP578" i="9"/>
  <c r="O578" i="9"/>
  <c r="L198" i="9"/>
  <c r="K198" i="9"/>
  <c r="AN235" i="9"/>
  <c r="AO235" i="9"/>
  <c r="AP235" i="9"/>
  <c r="O235" i="9"/>
  <c r="AN229" i="9"/>
  <c r="AO229" i="9"/>
  <c r="AP229" i="9"/>
  <c r="O229" i="9"/>
  <c r="K208" i="9"/>
  <c r="L208" i="9"/>
  <c r="L569" i="9"/>
  <c r="K569" i="9"/>
  <c r="AN569" i="9"/>
  <c r="AO569" i="9"/>
  <c r="AP569" i="9"/>
  <c r="O569" i="9"/>
  <c r="K187" i="9"/>
  <c r="AN187" i="9"/>
  <c r="AO187" i="9"/>
  <c r="AP187" i="9"/>
  <c r="O187" i="9"/>
  <c r="L187" i="9"/>
  <c r="L573" i="9"/>
  <c r="K573" i="9"/>
  <c r="AN573" i="9"/>
  <c r="AO573" i="9"/>
  <c r="AP573" i="9"/>
  <c r="O573" i="9"/>
  <c r="AN239" i="9"/>
  <c r="AO239" i="9"/>
  <c r="AP239" i="9"/>
  <c r="O239" i="9"/>
  <c r="AN245" i="9"/>
  <c r="AO245" i="9"/>
  <c r="AP245" i="9"/>
  <c r="O245" i="9"/>
  <c r="Y263" i="25"/>
  <c r="Y264" i="25"/>
  <c r="Y265" i="25"/>
  <c r="Z262" i="25"/>
  <c r="Q65" i="9"/>
  <c r="S66" i="9"/>
  <c r="N66" i="9"/>
  <c r="E29" i="29"/>
  <c r="D29" i="29"/>
  <c r="AC29" i="29"/>
  <c r="F28" i="29"/>
  <c r="AE28" i="29"/>
  <c r="AD28" i="29"/>
  <c r="F32" i="25"/>
  <c r="E32" i="25"/>
  <c r="H32" i="25"/>
  <c r="I32" i="25"/>
  <c r="W32" i="25"/>
  <c r="G32" i="25"/>
  <c r="V32" i="25"/>
  <c r="U32" i="25"/>
  <c r="K32" i="25"/>
  <c r="T32" i="25"/>
  <c r="A33" i="25"/>
  <c r="D33" i="25"/>
  <c r="B30" i="29"/>
  <c r="B67" i="9"/>
  <c r="C67" i="9"/>
  <c r="P66" i="9"/>
  <c r="X66" i="9"/>
  <c r="W66" i="9"/>
  <c r="Y266" i="25"/>
  <c r="Y267" i="25"/>
  <c r="Y268" i="25"/>
  <c r="Y269" i="25"/>
  <c r="Y270" i="25"/>
  <c r="Y271" i="25"/>
  <c r="Y272" i="25"/>
  <c r="Z265" i="25"/>
  <c r="N38" i="11"/>
  <c r="Q38" i="11"/>
  <c r="N46" i="11"/>
  <c r="Q46" i="11"/>
  <c r="H35" i="11"/>
  <c r="H33" i="11"/>
  <c r="H31" i="11"/>
  <c r="H29" i="11"/>
  <c r="H27" i="11"/>
  <c r="H25" i="11"/>
  <c r="H23" i="11"/>
  <c r="H21" i="11"/>
  <c r="H19" i="11"/>
  <c r="H17" i="11"/>
  <c r="H15" i="11"/>
  <c r="H13" i="11"/>
  <c r="H11" i="11"/>
  <c r="H9" i="11"/>
  <c r="H7" i="11"/>
  <c r="H5" i="11"/>
  <c r="H34" i="11"/>
  <c r="H32" i="11"/>
  <c r="H30" i="11"/>
  <c r="H28" i="11"/>
  <c r="H26" i="11"/>
  <c r="H24" i="11"/>
  <c r="H22" i="11"/>
  <c r="H20" i="11"/>
  <c r="H18" i="11"/>
  <c r="H16" i="11"/>
  <c r="H14" i="11"/>
  <c r="H12" i="11"/>
  <c r="H10" i="11"/>
  <c r="H8" i="11"/>
  <c r="H6" i="11"/>
  <c r="H4" i="11"/>
  <c r="N41" i="11"/>
  <c r="Q41" i="11"/>
  <c r="N49" i="11"/>
  <c r="Q49" i="11"/>
  <c r="AE429" i="9"/>
  <c r="M429" i="9"/>
  <c r="AD428" i="9"/>
  <c r="AE63" i="9"/>
  <c r="M63" i="9"/>
  <c r="AD63" i="9"/>
  <c r="T64" i="11"/>
  <c r="AD419" i="9"/>
  <c r="AE420" i="9"/>
  <c r="M420" i="9"/>
  <c r="AE54" i="9"/>
  <c r="M54" i="9"/>
  <c r="AD54" i="9"/>
  <c r="T55" i="11"/>
  <c r="N40" i="11"/>
  <c r="Q40" i="11"/>
  <c r="Q48" i="11"/>
  <c r="N48" i="11"/>
  <c r="AE423" i="9"/>
  <c r="M423" i="9"/>
  <c r="AD422" i="9"/>
  <c r="AE57" i="9"/>
  <c r="M57" i="9"/>
  <c r="AD57" i="9"/>
  <c r="T58" i="11"/>
  <c r="Q43" i="11"/>
  <c r="N43" i="11"/>
  <c r="AE428" i="9"/>
  <c r="M428" i="9"/>
  <c r="AD427" i="9"/>
  <c r="AE62" i="9"/>
  <c r="M62" i="9"/>
  <c r="AD62" i="9"/>
  <c r="T63" i="11"/>
  <c r="AE421" i="9"/>
  <c r="M421" i="9"/>
  <c r="AD420" i="9"/>
  <c r="AE55" i="9"/>
  <c r="M55" i="9"/>
  <c r="AD55" i="9"/>
  <c r="T56" i="11"/>
  <c r="Q42" i="11"/>
  <c r="N42" i="11"/>
  <c r="N414" i="11"/>
  <c r="N50" i="11"/>
  <c r="R50" i="11"/>
  <c r="AE424" i="9"/>
  <c r="M424" i="9"/>
  <c r="AD423" i="9"/>
  <c r="AE58" i="9"/>
  <c r="M58" i="9"/>
  <c r="AD58" i="9"/>
  <c r="T59" i="11"/>
  <c r="N37" i="11"/>
  <c r="Q37" i="11"/>
  <c r="Q45" i="11"/>
  <c r="N45" i="11"/>
  <c r="AD421" i="9"/>
  <c r="AE422" i="9"/>
  <c r="M422" i="9"/>
  <c r="AE56" i="9"/>
  <c r="M56" i="9"/>
  <c r="AD56" i="9"/>
  <c r="T57" i="11"/>
  <c r="AE427" i="9"/>
  <c r="M427" i="9"/>
  <c r="AD426" i="9"/>
  <c r="AE61" i="9"/>
  <c r="M61" i="9"/>
  <c r="AD61" i="9"/>
  <c r="T62" i="11"/>
  <c r="N36" i="11"/>
  <c r="Q36" i="11"/>
  <c r="Q44" i="11"/>
  <c r="N44" i="11"/>
  <c r="AE425" i="9"/>
  <c r="M425" i="9"/>
  <c r="AD424" i="9"/>
  <c r="AE59" i="9"/>
  <c r="M59" i="9"/>
  <c r="AD59" i="9"/>
  <c r="T60" i="11"/>
  <c r="Q39" i="11"/>
  <c r="N39" i="11"/>
  <c r="N47" i="11"/>
  <c r="Q47" i="11"/>
  <c r="AE426" i="9"/>
  <c r="M426" i="9"/>
  <c r="AD425" i="9"/>
  <c r="AE60" i="9"/>
  <c r="M60" i="9"/>
  <c r="AD60" i="9"/>
  <c r="T61" i="11"/>
  <c r="L539" i="9"/>
  <c r="K539" i="9"/>
  <c r="AN539" i="9"/>
  <c r="AO539" i="9"/>
  <c r="AP539" i="9"/>
  <c r="O539" i="9"/>
  <c r="L529" i="9"/>
  <c r="K529" i="9"/>
  <c r="AN529" i="9"/>
  <c r="AO529" i="9"/>
  <c r="AP529" i="9"/>
  <c r="O529" i="9"/>
  <c r="AN198" i="9"/>
  <c r="AO198" i="9"/>
  <c r="AP198" i="9"/>
  <c r="O198" i="9"/>
  <c r="AN195" i="9"/>
  <c r="AO195" i="9"/>
  <c r="AP195" i="9"/>
  <c r="O195" i="9"/>
  <c r="K550" i="9"/>
  <c r="AN550" i="9"/>
  <c r="AO550" i="9"/>
  <c r="AP550" i="9"/>
  <c r="O550" i="9"/>
  <c r="L550" i="9"/>
  <c r="L157" i="9"/>
  <c r="K157" i="9"/>
  <c r="AN157" i="9"/>
  <c r="AO157" i="9"/>
  <c r="AP157" i="9"/>
  <c r="O157" i="9"/>
  <c r="L547" i="9"/>
  <c r="K547" i="9"/>
  <c r="AN547" i="9"/>
  <c r="AO547" i="9"/>
  <c r="AP547" i="9"/>
  <c r="O547" i="9"/>
  <c r="L156" i="9"/>
  <c r="K156" i="9"/>
  <c r="AN156" i="9"/>
  <c r="AO156" i="9"/>
  <c r="AP156" i="9"/>
  <c r="O156" i="9"/>
  <c r="AN191" i="9"/>
  <c r="AO191" i="9"/>
  <c r="AP191" i="9"/>
  <c r="O191" i="9"/>
  <c r="AN203" i="9"/>
  <c r="AO203" i="9"/>
  <c r="AP203" i="9"/>
  <c r="O203" i="9"/>
  <c r="AN196" i="9"/>
  <c r="AO196" i="9"/>
  <c r="AP196" i="9"/>
  <c r="O196" i="9"/>
  <c r="L180" i="9"/>
  <c r="K180" i="9"/>
  <c r="AN180" i="9"/>
  <c r="AO180" i="9"/>
  <c r="AP180" i="9"/>
  <c r="O180" i="9"/>
  <c r="L535" i="9"/>
  <c r="K535" i="9"/>
  <c r="AN535" i="9"/>
  <c r="AO535" i="9"/>
  <c r="AP535" i="9"/>
  <c r="O535" i="9"/>
  <c r="L166" i="9"/>
  <c r="K166" i="9"/>
  <c r="AN166" i="9"/>
  <c r="AO166" i="9"/>
  <c r="AP166" i="9"/>
  <c r="O166" i="9"/>
  <c r="L525" i="9"/>
  <c r="K525" i="9"/>
  <c r="AN525" i="9"/>
  <c r="AO525" i="9"/>
  <c r="AP525" i="9"/>
  <c r="O525" i="9"/>
  <c r="AB497" i="9"/>
  <c r="AC498" i="9"/>
  <c r="D498" i="9"/>
  <c r="AC132" i="9"/>
  <c r="D132" i="9"/>
  <c r="AB132" i="9"/>
  <c r="T133" i="7"/>
  <c r="AC514" i="9"/>
  <c r="D514" i="9"/>
  <c r="AB513" i="9"/>
  <c r="AB148" i="9"/>
  <c r="AC148" i="9"/>
  <c r="D148" i="9"/>
  <c r="T149" i="7"/>
  <c r="AC501" i="9"/>
  <c r="D501" i="9"/>
  <c r="AB500" i="9"/>
  <c r="AC135" i="9"/>
  <c r="D135" i="9"/>
  <c r="AB135" i="9"/>
  <c r="T136" i="7"/>
  <c r="AC517" i="9"/>
  <c r="D517" i="9"/>
  <c r="AB516" i="9"/>
  <c r="AB151" i="9"/>
  <c r="AC151" i="9"/>
  <c r="D151" i="9"/>
  <c r="T152" i="7"/>
  <c r="AC500" i="9"/>
  <c r="D500" i="9"/>
  <c r="AB499" i="9"/>
  <c r="AB134" i="9"/>
  <c r="AC134" i="9"/>
  <c r="D134" i="9"/>
  <c r="T135" i="7"/>
  <c r="AC516" i="9"/>
  <c r="D516" i="9"/>
  <c r="AB515" i="9"/>
  <c r="AC150" i="9"/>
  <c r="D150" i="9"/>
  <c r="AB150" i="9"/>
  <c r="T151" i="7"/>
  <c r="AC503" i="9"/>
  <c r="D503" i="9"/>
  <c r="AB502" i="9"/>
  <c r="AC137" i="9"/>
  <c r="D137" i="9"/>
  <c r="AB137" i="9"/>
  <c r="T138" i="7"/>
  <c r="AC519" i="9"/>
  <c r="D519" i="9"/>
  <c r="AB518" i="9"/>
  <c r="AC153" i="9"/>
  <c r="D153" i="9"/>
  <c r="AB153" i="9"/>
  <c r="T154" i="7"/>
  <c r="AN212" i="9"/>
  <c r="AO212" i="9"/>
  <c r="AP212" i="9"/>
  <c r="O212" i="9"/>
  <c r="AN200" i="9"/>
  <c r="AO200" i="9"/>
  <c r="AP200" i="9"/>
  <c r="O200" i="9"/>
  <c r="L185" i="9"/>
  <c r="K185" i="9"/>
  <c r="AN185" i="9"/>
  <c r="AO185" i="9"/>
  <c r="AP185" i="9"/>
  <c r="O185" i="9"/>
  <c r="L544" i="9"/>
  <c r="K544" i="9"/>
  <c r="AN544" i="9"/>
  <c r="AO544" i="9"/>
  <c r="AP544" i="9"/>
  <c r="O544" i="9"/>
  <c r="K171" i="9"/>
  <c r="AN171" i="9"/>
  <c r="AO171" i="9"/>
  <c r="AP171" i="9"/>
  <c r="O171" i="9"/>
  <c r="L171" i="9"/>
  <c r="K530" i="9"/>
  <c r="AN530" i="9"/>
  <c r="AO530" i="9"/>
  <c r="AP530" i="9"/>
  <c r="O530" i="9"/>
  <c r="L530" i="9"/>
  <c r="AN192" i="9"/>
  <c r="AO192" i="9"/>
  <c r="AP192" i="9"/>
  <c r="O192" i="9"/>
  <c r="AN210" i="9"/>
  <c r="AO210" i="9"/>
  <c r="AP210" i="9"/>
  <c r="O210" i="9"/>
  <c r="K161" i="9"/>
  <c r="AN161" i="9"/>
  <c r="AO161" i="9"/>
  <c r="AP161" i="9"/>
  <c r="O161" i="9"/>
  <c r="L161" i="9"/>
  <c r="L524" i="9"/>
  <c r="K524" i="9"/>
  <c r="AN524" i="9"/>
  <c r="AO524" i="9"/>
  <c r="AP524" i="9"/>
  <c r="O524" i="9"/>
  <c r="K533" i="9"/>
  <c r="AN533" i="9"/>
  <c r="AO533" i="9"/>
  <c r="AP533" i="9"/>
  <c r="O533" i="9"/>
  <c r="L533" i="9"/>
  <c r="L160" i="9"/>
  <c r="K160" i="9"/>
  <c r="AN160" i="9"/>
  <c r="AO160" i="9"/>
  <c r="AP160" i="9"/>
  <c r="O160" i="9"/>
  <c r="AN193" i="9"/>
  <c r="AO193" i="9"/>
  <c r="AP193" i="9"/>
  <c r="O193" i="9"/>
  <c r="L545" i="9"/>
  <c r="K545" i="9"/>
  <c r="AN545" i="9"/>
  <c r="AO545" i="9"/>
  <c r="AP545" i="9"/>
  <c r="O545" i="9"/>
  <c r="K175" i="9"/>
  <c r="AN175" i="9"/>
  <c r="AO175" i="9"/>
  <c r="AP175" i="9"/>
  <c r="O175" i="9"/>
  <c r="L175" i="9"/>
  <c r="L549" i="9"/>
  <c r="K549" i="9"/>
  <c r="AN549" i="9"/>
  <c r="AO549" i="9"/>
  <c r="AP549" i="9"/>
  <c r="O549" i="9"/>
  <c r="L534" i="9"/>
  <c r="K534" i="9"/>
  <c r="AN534" i="9"/>
  <c r="AO534" i="9"/>
  <c r="AP534" i="9"/>
  <c r="O534" i="9"/>
  <c r="AC502" i="9"/>
  <c r="D502" i="9"/>
  <c r="AB501" i="9"/>
  <c r="AC136" i="9"/>
  <c r="D136" i="9"/>
  <c r="AB136" i="9"/>
  <c r="T137" i="7"/>
  <c r="AC518" i="9"/>
  <c r="D518" i="9"/>
  <c r="AB517" i="9"/>
  <c r="AB152" i="9"/>
  <c r="AC152" i="9"/>
  <c r="D152" i="9"/>
  <c r="T153" i="7"/>
  <c r="AC505" i="9"/>
  <c r="D505" i="9"/>
  <c r="AB504" i="9"/>
  <c r="AC139" i="9"/>
  <c r="D139" i="9"/>
  <c r="AB139" i="9"/>
  <c r="T140" i="7"/>
  <c r="AC521" i="9"/>
  <c r="D521" i="9"/>
  <c r="AB520" i="9"/>
  <c r="AC155" i="9"/>
  <c r="D155" i="9"/>
  <c r="AB155" i="9"/>
  <c r="T156" i="7"/>
  <c r="AC504" i="9"/>
  <c r="D504" i="9"/>
  <c r="AB503" i="9"/>
  <c r="AB138" i="9"/>
  <c r="AC138" i="9"/>
  <c r="D138" i="9"/>
  <c r="T139" i="7"/>
  <c r="AC520" i="9"/>
  <c r="D520" i="9"/>
  <c r="AB519" i="9"/>
  <c r="AC154" i="9"/>
  <c r="D154" i="9"/>
  <c r="AB154" i="9"/>
  <c r="T155" i="7"/>
  <c r="AC491" i="9"/>
  <c r="D491" i="9"/>
  <c r="AB490" i="9"/>
  <c r="AC125" i="9"/>
  <c r="D125" i="9"/>
  <c r="AB125" i="9"/>
  <c r="T126" i="7"/>
  <c r="AC507" i="9"/>
  <c r="D507" i="9"/>
  <c r="AB506" i="9"/>
  <c r="AC141" i="9"/>
  <c r="D141" i="9"/>
  <c r="AB141" i="9"/>
  <c r="T142" i="7"/>
  <c r="AN190" i="9"/>
  <c r="AO190" i="9"/>
  <c r="AP190" i="9"/>
  <c r="O190" i="9"/>
  <c r="AN215" i="9"/>
  <c r="AO215" i="9"/>
  <c r="AP215" i="9"/>
  <c r="O215" i="9"/>
  <c r="AN213" i="9"/>
  <c r="AO213" i="9"/>
  <c r="AP213" i="9"/>
  <c r="O213" i="9"/>
  <c r="AN194" i="9"/>
  <c r="AO194" i="9"/>
  <c r="AP194" i="9"/>
  <c r="O194" i="9"/>
  <c r="AN199" i="9"/>
  <c r="AO199" i="9"/>
  <c r="AP199" i="9"/>
  <c r="O199" i="9"/>
  <c r="AN201" i="9"/>
  <c r="AO201" i="9"/>
  <c r="AP201" i="9"/>
  <c r="O201" i="9"/>
  <c r="L165" i="9"/>
  <c r="K165" i="9"/>
  <c r="AN165" i="9"/>
  <c r="AO165" i="9"/>
  <c r="AP165" i="9"/>
  <c r="O165" i="9"/>
  <c r="K178" i="9"/>
  <c r="AN178" i="9"/>
  <c r="AO178" i="9"/>
  <c r="AP178" i="9"/>
  <c r="O178" i="9"/>
  <c r="L178" i="9"/>
  <c r="L528" i="9"/>
  <c r="K528" i="9"/>
  <c r="AN528" i="9"/>
  <c r="AO528" i="9"/>
  <c r="AP528" i="9"/>
  <c r="O528" i="9"/>
  <c r="L182" i="9"/>
  <c r="K182" i="9"/>
  <c r="AN182" i="9"/>
  <c r="AO182" i="9"/>
  <c r="AP182" i="9"/>
  <c r="O182" i="9"/>
  <c r="L164" i="9"/>
  <c r="K164" i="9"/>
  <c r="AN164" i="9"/>
  <c r="AO164" i="9"/>
  <c r="AP164" i="9"/>
  <c r="O164" i="9"/>
  <c r="AN209" i="9"/>
  <c r="AO209" i="9"/>
  <c r="AP209" i="9"/>
  <c r="O209" i="9"/>
  <c r="AN216" i="9"/>
  <c r="AO216" i="9"/>
  <c r="AP216" i="9"/>
  <c r="O216" i="9"/>
  <c r="L543" i="9"/>
  <c r="K543" i="9"/>
  <c r="AN543" i="9"/>
  <c r="AO543" i="9"/>
  <c r="AP543" i="9"/>
  <c r="O543" i="9"/>
  <c r="L174" i="9"/>
  <c r="K174" i="9"/>
  <c r="AN174" i="9"/>
  <c r="AO174" i="9"/>
  <c r="AP174" i="9"/>
  <c r="O174" i="9"/>
  <c r="L184" i="9"/>
  <c r="K184" i="9"/>
  <c r="AN184" i="9"/>
  <c r="AO184" i="9"/>
  <c r="AP184" i="9"/>
  <c r="O184" i="9"/>
  <c r="L538" i="9"/>
  <c r="K538" i="9"/>
  <c r="AN538" i="9"/>
  <c r="AO538" i="9"/>
  <c r="AP538" i="9"/>
  <c r="O538" i="9"/>
  <c r="AN197" i="9"/>
  <c r="AO197" i="9"/>
  <c r="AP197" i="9"/>
  <c r="O197" i="9"/>
  <c r="L523" i="9"/>
  <c r="K523" i="9"/>
  <c r="AN523" i="9"/>
  <c r="AO523" i="9"/>
  <c r="AP523" i="9"/>
  <c r="O523" i="9"/>
  <c r="L181" i="9"/>
  <c r="K181" i="9"/>
  <c r="AN181" i="9"/>
  <c r="AO181" i="9"/>
  <c r="AP181" i="9"/>
  <c r="O181" i="9"/>
  <c r="AN202" i="9"/>
  <c r="AO202" i="9"/>
  <c r="AP202" i="9"/>
  <c r="O202" i="9"/>
  <c r="AN214" i="9"/>
  <c r="AO214" i="9"/>
  <c r="AP214" i="9"/>
  <c r="O214" i="9"/>
  <c r="L169" i="9"/>
  <c r="K169" i="9"/>
  <c r="AN169" i="9"/>
  <c r="AO169" i="9"/>
  <c r="AP169" i="9"/>
  <c r="O169" i="9"/>
  <c r="L532" i="9"/>
  <c r="K532" i="9"/>
  <c r="AN532" i="9"/>
  <c r="AO532" i="9"/>
  <c r="AP532" i="9"/>
  <c r="O532" i="9"/>
  <c r="K159" i="9"/>
  <c r="AN159" i="9"/>
  <c r="AO159" i="9"/>
  <c r="AP159" i="9"/>
  <c r="O159" i="9"/>
  <c r="L159" i="9"/>
  <c r="K183" i="9"/>
  <c r="AN183" i="9"/>
  <c r="AO183" i="9"/>
  <c r="AP183" i="9"/>
  <c r="O183" i="9"/>
  <c r="L183" i="9"/>
  <c r="AC506" i="9"/>
  <c r="D506" i="9"/>
  <c r="AB505" i="9"/>
  <c r="AC140" i="9"/>
  <c r="D140" i="9"/>
  <c r="AB140" i="9"/>
  <c r="T141" i="7"/>
  <c r="AB492" i="9"/>
  <c r="AC493" i="9"/>
  <c r="D493" i="9"/>
  <c r="AC127" i="9"/>
  <c r="D127" i="9"/>
  <c r="AB127" i="9"/>
  <c r="T128" i="7"/>
  <c r="AC509" i="9"/>
  <c r="D509" i="9"/>
  <c r="AB508" i="9"/>
  <c r="AC143" i="9"/>
  <c r="D143" i="9"/>
  <c r="AB143" i="9"/>
  <c r="T144" i="7"/>
  <c r="AC492" i="9"/>
  <c r="D492" i="9"/>
  <c r="AB491" i="9"/>
  <c r="AB126" i="9"/>
  <c r="AC126" i="9"/>
  <c r="D126" i="9"/>
  <c r="T127" i="7"/>
  <c r="AC508" i="9"/>
  <c r="D508" i="9"/>
  <c r="AB507" i="9"/>
  <c r="AB142" i="9"/>
  <c r="AC142" i="9"/>
  <c r="D142" i="9"/>
  <c r="T143" i="7"/>
  <c r="AC495" i="9"/>
  <c r="D495" i="9"/>
  <c r="AB494" i="9"/>
  <c r="AC129" i="9"/>
  <c r="D129" i="9"/>
  <c r="AB129" i="9"/>
  <c r="T130" i="7"/>
  <c r="AC511" i="9"/>
  <c r="D511" i="9"/>
  <c r="AB510" i="9"/>
  <c r="AC145" i="9"/>
  <c r="D145" i="9"/>
  <c r="AB145" i="9"/>
  <c r="T146" i="7"/>
  <c r="L551" i="9"/>
  <c r="K551" i="9"/>
  <c r="AN551" i="9"/>
  <c r="AO551" i="9"/>
  <c r="AP551" i="9"/>
  <c r="O551" i="9"/>
  <c r="K162" i="9"/>
  <c r="AN162" i="9"/>
  <c r="AO162" i="9"/>
  <c r="AP162" i="9"/>
  <c r="O162" i="9"/>
  <c r="L162" i="9"/>
  <c r="K537" i="9"/>
  <c r="AN537" i="9"/>
  <c r="AO537" i="9"/>
  <c r="AP537" i="9"/>
  <c r="O537" i="9"/>
  <c r="L537" i="9"/>
  <c r="L527" i="9"/>
  <c r="K527" i="9"/>
  <c r="AN527" i="9"/>
  <c r="AO527" i="9"/>
  <c r="AP527" i="9"/>
  <c r="O527" i="9"/>
  <c r="L158" i="9"/>
  <c r="K158" i="9"/>
  <c r="AN158" i="9"/>
  <c r="AO158" i="9"/>
  <c r="AP158" i="9"/>
  <c r="O158" i="9"/>
  <c r="K167" i="9"/>
  <c r="AN167" i="9"/>
  <c r="AO167" i="9"/>
  <c r="AP167" i="9"/>
  <c r="O167" i="9"/>
  <c r="L167" i="9"/>
  <c r="K542" i="9"/>
  <c r="AN542" i="9"/>
  <c r="AO542" i="9"/>
  <c r="AP542" i="9"/>
  <c r="O542" i="9"/>
  <c r="L542" i="9"/>
  <c r="AN205" i="9"/>
  <c r="AO205" i="9"/>
  <c r="AP205" i="9"/>
  <c r="O205" i="9"/>
  <c r="L170" i="9"/>
  <c r="K170" i="9"/>
  <c r="AN170" i="9"/>
  <c r="AO170" i="9"/>
  <c r="AP170" i="9"/>
  <c r="O170" i="9"/>
  <c r="AN208" i="9"/>
  <c r="AO208" i="9"/>
  <c r="AP208" i="9"/>
  <c r="O208" i="9"/>
  <c r="L173" i="9"/>
  <c r="K173" i="9"/>
  <c r="AN173" i="9"/>
  <c r="AO173" i="9"/>
  <c r="AP173" i="9"/>
  <c r="O173" i="9"/>
  <c r="L536" i="9"/>
  <c r="K536" i="9"/>
  <c r="AN536" i="9"/>
  <c r="AO536" i="9"/>
  <c r="AP536" i="9"/>
  <c r="O536" i="9"/>
  <c r="K163" i="9"/>
  <c r="AN163" i="9"/>
  <c r="AO163" i="9"/>
  <c r="AP163" i="9"/>
  <c r="O163" i="9"/>
  <c r="L163" i="9"/>
  <c r="L172" i="9"/>
  <c r="K172" i="9"/>
  <c r="AN172" i="9"/>
  <c r="AO172" i="9"/>
  <c r="AP172" i="9"/>
  <c r="O172" i="9"/>
  <c r="K522" i="9"/>
  <c r="AN522" i="9"/>
  <c r="AO522" i="9"/>
  <c r="AP522" i="9"/>
  <c r="O522" i="9"/>
  <c r="L522" i="9"/>
  <c r="K546" i="9"/>
  <c r="AN546" i="9"/>
  <c r="AO546" i="9"/>
  <c r="AP546" i="9"/>
  <c r="O546" i="9"/>
  <c r="L546" i="9"/>
  <c r="K179" i="9"/>
  <c r="AN179" i="9"/>
  <c r="AO179" i="9"/>
  <c r="AP179" i="9"/>
  <c r="O179" i="9"/>
  <c r="L179" i="9"/>
  <c r="L541" i="9"/>
  <c r="K541" i="9"/>
  <c r="AN541" i="9"/>
  <c r="AO541" i="9"/>
  <c r="AP541" i="9"/>
  <c r="O541" i="9"/>
  <c r="L168" i="9"/>
  <c r="K168" i="9"/>
  <c r="AN168" i="9"/>
  <c r="AO168" i="9"/>
  <c r="AP168" i="9"/>
  <c r="O168" i="9"/>
  <c r="H122" i="7"/>
  <c r="Q122" i="7"/>
  <c r="N122" i="7"/>
  <c r="H118" i="7"/>
  <c r="Q118" i="7"/>
  <c r="N118" i="7"/>
  <c r="H114" i="7"/>
  <c r="Q114" i="7"/>
  <c r="N114" i="7"/>
  <c r="H110" i="7"/>
  <c r="Q110" i="7"/>
  <c r="N110" i="7"/>
  <c r="H106" i="7"/>
  <c r="Q106" i="7"/>
  <c r="N106" i="7"/>
  <c r="H102" i="7"/>
  <c r="Q102" i="7"/>
  <c r="N102" i="7"/>
  <c r="H98" i="7"/>
  <c r="Q98" i="7"/>
  <c r="N98" i="7"/>
  <c r="I95" i="7"/>
  <c r="I91" i="7"/>
  <c r="I87" i="7"/>
  <c r="I83" i="7"/>
  <c r="I79" i="7"/>
  <c r="I75" i="7"/>
  <c r="I71" i="7"/>
  <c r="I67" i="7"/>
  <c r="H123" i="7"/>
  <c r="Q123" i="7"/>
  <c r="N123" i="7"/>
  <c r="H119" i="7"/>
  <c r="Q119" i="7"/>
  <c r="N119" i="7"/>
  <c r="H115" i="7"/>
  <c r="Q115" i="7"/>
  <c r="N115" i="7"/>
  <c r="H111" i="7"/>
  <c r="Q111" i="7"/>
  <c r="N111" i="7"/>
  <c r="H107" i="7"/>
  <c r="Q107" i="7"/>
  <c r="N107" i="7"/>
  <c r="H103" i="7"/>
  <c r="Q103" i="7"/>
  <c r="N103" i="7"/>
  <c r="H99" i="7"/>
  <c r="Q99" i="7"/>
  <c r="N99" i="7"/>
  <c r="I92" i="7"/>
  <c r="I88" i="7"/>
  <c r="I84" i="7"/>
  <c r="I80" i="7"/>
  <c r="I76" i="7"/>
  <c r="I72" i="7"/>
  <c r="I68" i="7"/>
  <c r="H124" i="7"/>
  <c r="Q124" i="7"/>
  <c r="N124" i="7"/>
  <c r="H120" i="7"/>
  <c r="Q120" i="7"/>
  <c r="N120" i="7"/>
  <c r="H116" i="7"/>
  <c r="Q116" i="7"/>
  <c r="N116" i="7"/>
  <c r="H112" i="7"/>
  <c r="Q112" i="7"/>
  <c r="N112" i="7"/>
  <c r="H108" i="7"/>
  <c r="Q108" i="7"/>
  <c r="N108" i="7"/>
  <c r="H104" i="7"/>
  <c r="Q104" i="7"/>
  <c r="N104" i="7"/>
  <c r="H100" i="7"/>
  <c r="Q100" i="7"/>
  <c r="N100" i="7"/>
  <c r="H96" i="7"/>
  <c r="Q96" i="7"/>
  <c r="N96" i="7"/>
  <c r="I93" i="7"/>
  <c r="I89" i="7"/>
  <c r="I85" i="7"/>
  <c r="I81" i="7"/>
  <c r="I77" i="7"/>
  <c r="I73" i="7"/>
  <c r="H125" i="7"/>
  <c r="Q125" i="7"/>
  <c r="N125" i="7"/>
  <c r="H121" i="7"/>
  <c r="Q121" i="7"/>
  <c r="N121" i="7"/>
  <c r="H117" i="7"/>
  <c r="Q117" i="7"/>
  <c r="N117" i="7"/>
  <c r="H113" i="7"/>
  <c r="Q113" i="7"/>
  <c r="N113" i="7"/>
  <c r="H109" i="7"/>
  <c r="Q109" i="7"/>
  <c r="N109" i="7"/>
  <c r="H105" i="7"/>
  <c r="Q105" i="7"/>
  <c r="N105" i="7"/>
  <c r="H101" i="7"/>
  <c r="Q101" i="7"/>
  <c r="N101" i="7"/>
  <c r="H97" i="7"/>
  <c r="Q97" i="7"/>
  <c r="N97" i="7"/>
  <c r="I94" i="7"/>
  <c r="I90" i="7"/>
  <c r="I86" i="7"/>
  <c r="I82" i="7"/>
  <c r="I78" i="7"/>
  <c r="I74" i="7"/>
  <c r="I70" i="7"/>
  <c r="I66" i="7"/>
  <c r="I69" i="7"/>
  <c r="I65" i="7"/>
  <c r="K6" i="8"/>
  <c r="AB493" i="9"/>
  <c r="AC494" i="9"/>
  <c r="D494" i="9"/>
  <c r="AC128" i="9"/>
  <c r="D128" i="9"/>
  <c r="AB128" i="9"/>
  <c r="T129" i="7"/>
  <c r="AC510" i="9"/>
  <c r="D510" i="9"/>
  <c r="AB509" i="9"/>
  <c r="AC144" i="9"/>
  <c r="D144" i="9"/>
  <c r="AB144" i="9"/>
  <c r="T145" i="7"/>
  <c r="AC497" i="9"/>
  <c r="D497" i="9"/>
  <c r="AB496" i="9"/>
  <c r="AC131" i="9"/>
  <c r="D131" i="9"/>
  <c r="AB131" i="9"/>
  <c r="T132" i="7"/>
  <c r="AC513" i="9"/>
  <c r="D513" i="9"/>
  <c r="AB512" i="9"/>
  <c r="AC147" i="9"/>
  <c r="D147" i="9"/>
  <c r="AB147" i="9"/>
  <c r="T148" i="7"/>
  <c r="AC496" i="9"/>
  <c r="D496" i="9"/>
  <c r="AB495" i="9"/>
  <c r="AB130" i="9"/>
  <c r="AC130" i="9"/>
  <c r="D130" i="9"/>
  <c r="T131" i="7"/>
  <c r="AC512" i="9"/>
  <c r="D512" i="9"/>
  <c r="AB511" i="9"/>
  <c r="AB146" i="9"/>
  <c r="AC146" i="9"/>
  <c r="D146" i="9"/>
  <c r="T147" i="7"/>
  <c r="AC499" i="9"/>
  <c r="D499" i="9"/>
  <c r="AB498" i="9"/>
  <c r="AC133" i="9"/>
  <c r="D133" i="9"/>
  <c r="AB133" i="9"/>
  <c r="T134" i="7"/>
  <c r="AC515" i="9"/>
  <c r="D515" i="9"/>
  <c r="AB514" i="9"/>
  <c r="AC149" i="9"/>
  <c r="D149" i="9"/>
  <c r="AB149" i="9"/>
  <c r="T150" i="7"/>
  <c r="AN206" i="9"/>
  <c r="AO206" i="9"/>
  <c r="AP206" i="9"/>
  <c r="O206" i="9"/>
  <c r="AN207" i="9"/>
  <c r="AO207" i="9"/>
  <c r="AP207" i="9"/>
  <c r="O207" i="9"/>
  <c r="L531" i="9"/>
  <c r="K531" i="9"/>
  <c r="AN531" i="9"/>
  <c r="AO531" i="9"/>
  <c r="AP531" i="9"/>
  <c r="O531" i="9"/>
  <c r="L548" i="9"/>
  <c r="K548" i="9"/>
  <c r="AN548" i="9"/>
  <c r="AO548" i="9"/>
  <c r="AP548" i="9"/>
  <c r="O548" i="9"/>
  <c r="AN211" i="9"/>
  <c r="AO211" i="9"/>
  <c r="AP211" i="9"/>
  <c r="O211" i="9"/>
  <c r="K177" i="9"/>
  <c r="AN177" i="9"/>
  <c r="AO177" i="9"/>
  <c r="AP177" i="9"/>
  <c r="O177" i="9"/>
  <c r="L177" i="9"/>
  <c r="L540" i="9"/>
  <c r="K540" i="9"/>
  <c r="AN540" i="9"/>
  <c r="AO540" i="9"/>
  <c r="AP540" i="9"/>
  <c r="O540" i="9"/>
  <c r="L176" i="9"/>
  <c r="K176" i="9"/>
  <c r="AN176" i="9"/>
  <c r="AO176" i="9"/>
  <c r="AP176" i="9"/>
  <c r="O176" i="9"/>
  <c r="K526" i="9"/>
  <c r="AN526" i="9"/>
  <c r="AO526" i="9"/>
  <c r="AP526" i="9"/>
  <c r="O526" i="9"/>
  <c r="L526" i="9"/>
  <c r="AN204" i="9"/>
  <c r="AO204" i="9"/>
  <c r="AP204" i="9"/>
  <c r="O204" i="9"/>
  <c r="Y273" i="25"/>
  <c r="Y274" i="25"/>
  <c r="Y275" i="25"/>
  <c r="Y276" i="25"/>
  <c r="Y277" i="25"/>
  <c r="Y278" i="25"/>
  <c r="Y279" i="25"/>
  <c r="Y280" i="25"/>
  <c r="Y281" i="25"/>
  <c r="Y282" i="25"/>
  <c r="Y283" i="25"/>
  <c r="Y284" i="25"/>
  <c r="Y285" i="25"/>
  <c r="Y286" i="25"/>
  <c r="Z272" i="25"/>
  <c r="Q66" i="9"/>
  <c r="U66" i="9"/>
  <c r="E33" i="25"/>
  <c r="H33" i="25"/>
  <c r="F33" i="25"/>
  <c r="U33" i="25"/>
  <c r="K33" i="25"/>
  <c r="I33" i="25"/>
  <c r="W33" i="25"/>
  <c r="G33" i="25"/>
  <c r="V33" i="25"/>
  <c r="T33" i="25"/>
  <c r="S67" i="9"/>
  <c r="N67" i="9"/>
  <c r="A34" i="25"/>
  <c r="D34" i="25"/>
  <c r="B31" i="29"/>
  <c r="C68" i="9"/>
  <c r="B68" i="9"/>
  <c r="P67" i="9"/>
  <c r="U67" i="9"/>
  <c r="X67" i="9"/>
  <c r="W67" i="9"/>
  <c r="E30" i="29"/>
  <c r="D30" i="29"/>
  <c r="AC30" i="29"/>
  <c r="F29" i="29"/>
  <c r="AE29" i="29"/>
  <c r="AD29" i="29"/>
  <c r="AE413" i="9"/>
  <c r="AD413" i="9"/>
  <c r="R414" i="11"/>
  <c r="N409" i="11"/>
  <c r="T415" i="11"/>
  <c r="T414" i="11"/>
  <c r="N6" i="11"/>
  <c r="Q6" i="11"/>
  <c r="Q14" i="11"/>
  <c r="N14" i="11"/>
  <c r="N22" i="11"/>
  <c r="Q22" i="11"/>
  <c r="N30" i="11"/>
  <c r="Q30" i="11"/>
  <c r="N7" i="11"/>
  <c r="Q7" i="11"/>
  <c r="N15" i="11"/>
  <c r="Q15" i="11"/>
  <c r="N23" i="11"/>
  <c r="Q23" i="11"/>
  <c r="N31" i="11"/>
  <c r="Q31" i="11"/>
  <c r="N8" i="11"/>
  <c r="Q8" i="11"/>
  <c r="N16" i="11"/>
  <c r="Q16" i="11"/>
  <c r="N24" i="11"/>
  <c r="Q24" i="11"/>
  <c r="N32" i="11"/>
  <c r="Q32" i="11"/>
  <c r="N9" i="11"/>
  <c r="Q9" i="11"/>
  <c r="N17" i="11"/>
  <c r="Q17" i="11"/>
  <c r="N25" i="11"/>
  <c r="Q25" i="11"/>
  <c r="N33" i="11"/>
  <c r="Q33" i="11"/>
  <c r="Q10" i="11"/>
  <c r="N10" i="11"/>
  <c r="N18" i="11"/>
  <c r="Q18" i="11"/>
  <c r="Q26" i="11"/>
  <c r="N26" i="11"/>
  <c r="N34" i="11"/>
  <c r="Q34" i="11"/>
  <c r="Q11" i="11"/>
  <c r="N11" i="11"/>
  <c r="N19" i="11"/>
  <c r="Q19" i="11"/>
  <c r="N27" i="11"/>
  <c r="Q27" i="11"/>
  <c r="N35" i="11"/>
  <c r="Q35" i="11"/>
  <c r="AE415" i="9"/>
  <c r="M415" i="9"/>
  <c r="AD414" i="9"/>
  <c r="AE49" i="9"/>
  <c r="M49" i="9"/>
  <c r="AD49" i="9"/>
  <c r="N51" i="11"/>
  <c r="T50" i="11"/>
  <c r="Q4" i="11"/>
  <c r="N4" i="11"/>
  <c r="P4" i="11"/>
  <c r="N12" i="11"/>
  <c r="Q12" i="11"/>
  <c r="Q20" i="11"/>
  <c r="N20" i="11"/>
  <c r="N28" i="11"/>
  <c r="Q28" i="11"/>
  <c r="Q5" i="11"/>
  <c r="N5" i="11"/>
  <c r="N13" i="11"/>
  <c r="Q13" i="11"/>
  <c r="N21" i="11"/>
  <c r="Q21" i="11"/>
  <c r="Q29" i="11"/>
  <c r="N29" i="11"/>
  <c r="L128" i="9"/>
  <c r="K128" i="9"/>
  <c r="AN128" i="9"/>
  <c r="AO128" i="9"/>
  <c r="AP128" i="9"/>
  <c r="O128" i="9"/>
  <c r="AB476" i="9"/>
  <c r="AC477" i="9"/>
  <c r="D477" i="9"/>
  <c r="AC111" i="9"/>
  <c r="D111" i="9"/>
  <c r="AB111" i="9"/>
  <c r="T112" i="7"/>
  <c r="AC471" i="9"/>
  <c r="D471" i="9"/>
  <c r="AB470" i="9"/>
  <c r="AC105" i="9"/>
  <c r="D105" i="9"/>
  <c r="AB105" i="9"/>
  <c r="T106" i="7"/>
  <c r="L146" i="9"/>
  <c r="K146" i="9"/>
  <c r="AN146" i="9"/>
  <c r="AO146" i="9"/>
  <c r="AP146" i="9"/>
  <c r="O146" i="9"/>
  <c r="L131" i="9"/>
  <c r="K131" i="9"/>
  <c r="AN131" i="9"/>
  <c r="AO131" i="9"/>
  <c r="AP131" i="9"/>
  <c r="O131" i="9"/>
  <c r="L515" i="9"/>
  <c r="K515" i="9"/>
  <c r="AN515" i="9"/>
  <c r="AO515" i="9"/>
  <c r="AP515" i="9"/>
  <c r="O515" i="9"/>
  <c r="L130" i="9"/>
  <c r="K130" i="9"/>
  <c r="AN130" i="9"/>
  <c r="AO130" i="9"/>
  <c r="AP130" i="9"/>
  <c r="O130" i="9"/>
  <c r="L513" i="9"/>
  <c r="K513" i="9"/>
  <c r="AN513" i="9"/>
  <c r="AO513" i="9"/>
  <c r="AP513" i="9"/>
  <c r="O513" i="9"/>
  <c r="L144" i="9"/>
  <c r="K144" i="9"/>
  <c r="AN144" i="9"/>
  <c r="AO144" i="9"/>
  <c r="AP144" i="9"/>
  <c r="O144" i="9"/>
  <c r="H94" i="7"/>
  <c r="Q94" i="7"/>
  <c r="N94" i="7"/>
  <c r="H90" i="7"/>
  <c r="Q90" i="7"/>
  <c r="N90" i="7"/>
  <c r="H86" i="7"/>
  <c r="Q86" i="7"/>
  <c r="N86" i="7"/>
  <c r="H82" i="7"/>
  <c r="Q82" i="7"/>
  <c r="N82" i="7"/>
  <c r="H78" i="7"/>
  <c r="Q78" i="7"/>
  <c r="N78" i="7"/>
  <c r="H74" i="7"/>
  <c r="Q74" i="7"/>
  <c r="N74" i="7"/>
  <c r="H70" i="7"/>
  <c r="Q70" i="7"/>
  <c r="N70" i="7"/>
  <c r="H95" i="7"/>
  <c r="Q95" i="7"/>
  <c r="N95" i="7"/>
  <c r="H91" i="7"/>
  <c r="Q91" i="7"/>
  <c r="N91" i="7"/>
  <c r="H87" i="7"/>
  <c r="Q87" i="7"/>
  <c r="N87" i="7"/>
  <c r="H83" i="7"/>
  <c r="Q83" i="7"/>
  <c r="N83" i="7"/>
  <c r="H79" i="7"/>
  <c r="Q79" i="7"/>
  <c r="N79" i="7"/>
  <c r="H75" i="7"/>
  <c r="Q75" i="7"/>
  <c r="N75" i="7"/>
  <c r="H71" i="7"/>
  <c r="Q71" i="7"/>
  <c r="N71" i="7"/>
  <c r="H67" i="7"/>
  <c r="Q67" i="7"/>
  <c r="N67" i="7"/>
  <c r="H92" i="7"/>
  <c r="Q92" i="7"/>
  <c r="N92" i="7"/>
  <c r="H88" i="7"/>
  <c r="Q88" i="7"/>
  <c r="N88" i="7"/>
  <c r="H84" i="7"/>
  <c r="Q84" i="7"/>
  <c r="N84" i="7"/>
  <c r="H80" i="7"/>
  <c r="Q80" i="7"/>
  <c r="N80" i="7"/>
  <c r="H76" i="7"/>
  <c r="Q76" i="7"/>
  <c r="N76" i="7"/>
  <c r="H72" i="7"/>
  <c r="Q72" i="7"/>
  <c r="N72" i="7"/>
  <c r="H93" i="7"/>
  <c r="Q93" i="7"/>
  <c r="N93" i="7"/>
  <c r="H89" i="7"/>
  <c r="Q89" i="7"/>
  <c r="N89" i="7"/>
  <c r="H85" i="7"/>
  <c r="Q85" i="7"/>
  <c r="N85" i="7"/>
  <c r="H81" i="7"/>
  <c r="Q81" i="7"/>
  <c r="N81" i="7"/>
  <c r="H77" i="7"/>
  <c r="Q77" i="7"/>
  <c r="N77" i="7"/>
  <c r="H73" i="7"/>
  <c r="Q73" i="7"/>
  <c r="N73" i="7"/>
  <c r="H69" i="7"/>
  <c r="Q69" i="7"/>
  <c r="N69" i="7"/>
  <c r="H65" i="7"/>
  <c r="Q65" i="7"/>
  <c r="N65" i="7"/>
  <c r="I62" i="7"/>
  <c r="I58" i="7"/>
  <c r="I54" i="7"/>
  <c r="H68" i="7"/>
  <c r="Q68" i="7"/>
  <c r="N68" i="7"/>
  <c r="I60" i="7"/>
  <c r="I59" i="7"/>
  <c r="I52" i="7"/>
  <c r="I51" i="7"/>
  <c r="I57" i="7"/>
  <c r="I50" i="7"/>
  <c r="I49" i="7"/>
  <c r="I48" i="7"/>
  <c r="I47" i="7"/>
  <c r="I46" i="7"/>
  <c r="I45" i="7"/>
  <c r="I44" i="7"/>
  <c r="I43" i="7"/>
  <c r="I42" i="7"/>
  <c r="I41" i="7"/>
  <c r="I40" i="7"/>
  <c r="I39" i="7"/>
  <c r="I38" i="7"/>
  <c r="I37" i="7"/>
  <c r="I36" i="7"/>
  <c r="I64" i="7"/>
  <c r="I63" i="7"/>
  <c r="I56" i="7"/>
  <c r="I55" i="7"/>
  <c r="H66" i="7"/>
  <c r="Q66" i="7"/>
  <c r="N66" i="7"/>
  <c r="I61" i="7"/>
  <c r="I53" i="7"/>
  <c r="K5" i="8"/>
  <c r="AB465" i="9"/>
  <c r="AC466" i="9"/>
  <c r="D466" i="9"/>
  <c r="AC100" i="9"/>
  <c r="D100" i="9"/>
  <c r="AB100" i="9"/>
  <c r="T101" i="7"/>
  <c r="AB481" i="9"/>
  <c r="AC482" i="9"/>
  <c r="D482" i="9"/>
  <c r="AC116" i="9"/>
  <c r="D116" i="9"/>
  <c r="AB116" i="9"/>
  <c r="T117" i="7"/>
  <c r="AB472" i="9"/>
  <c r="AC473" i="9"/>
  <c r="D473" i="9"/>
  <c r="AC107" i="9"/>
  <c r="D107" i="9"/>
  <c r="AB107" i="9"/>
  <c r="T108" i="7"/>
  <c r="AB488" i="9"/>
  <c r="AC489" i="9"/>
  <c r="D489" i="9"/>
  <c r="AC123" i="9"/>
  <c r="D123" i="9"/>
  <c r="AB123" i="9"/>
  <c r="T124" i="7"/>
  <c r="AC464" i="9"/>
  <c r="D464" i="9"/>
  <c r="AB463" i="9"/>
  <c r="AB98" i="9"/>
  <c r="AC98" i="9"/>
  <c r="D98" i="9"/>
  <c r="T99" i="7"/>
  <c r="AC480" i="9"/>
  <c r="D480" i="9"/>
  <c r="AB479" i="9"/>
  <c r="AB114" i="9"/>
  <c r="AC114" i="9"/>
  <c r="D114" i="9"/>
  <c r="T115" i="7"/>
  <c r="AC467" i="9"/>
  <c r="D467" i="9"/>
  <c r="AB466" i="9"/>
  <c r="AC101" i="9"/>
  <c r="D101" i="9"/>
  <c r="AB101" i="9"/>
  <c r="T102" i="7"/>
  <c r="AC483" i="9"/>
  <c r="D483" i="9"/>
  <c r="AB482" i="9"/>
  <c r="AC117" i="9"/>
  <c r="D117" i="9"/>
  <c r="AB117" i="9"/>
  <c r="T118" i="7"/>
  <c r="K145" i="9"/>
  <c r="AN145" i="9"/>
  <c r="AO145" i="9"/>
  <c r="AP145" i="9"/>
  <c r="O145" i="9"/>
  <c r="L145" i="9"/>
  <c r="L508" i="9"/>
  <c r="K508" i="9"/>
  <c r="AN508" i="9"/>
  <c r="AO508" i="9"/>
  <c r="AP508" i="9"/>
  <c r="O508" i="9"/>
  <c r="L143" i="9"/>
  <c r="K143" i="9"/>
  <c r="AN143" i="9"/>
  <c r="AO143" i="9"/>
  <c r="AP143" i="9"/>
  <c r="O143" i="9"/>
  <c r="K506" i="9"/>
  <c r="AN506" i="9"/>
  <c r="AO506" i="9"/>
  <c r="AP506" i="9"/>
  <c r="O506" i="9"/>
  <c r="L506" i="9"/>
  <c r="K125" i="9"/>
  <c r="AN125" i="9"/>
  <c r="AO125" i="9"/>
  <c r="AP125" i="9"/>
  <c r="O125" i="9"/>
  <c r="L125" i="9"/>
  <c r="K504" i="9"/>
  <c r="AN504" i="9"/>
  <c r="AO504" i="9"/>
  <c r="AP504" i="9"/>
  <c r="O504" i="9"/>
  <c r="L504" i="9"/>
  <c r="L139" i="9"/>
  <c r="K139" i="9"/>
  <c r="AN139" i="9"/>
  <c r="AO139" i="9"/>
  <c r="AP139" i="9"/>
  <c r="O139" i="9"/>
  <c r="L152" i="9"/>
  <c r="K152" i="9"/>
  <c r="AN152" i="9"/>
  <c r="AO152" i="9"/>
  <c r="AP152" i="9"/>
  <c r="O152" i="9"/>
  <c r="L502" i="9"/>
  <c r="K502" i="9"/>
  <c r="AN502" i="9"/>
  <c r="AO502" i="9"/>
  <c r="AP502" i="9"/>
  <c r="O502" i="9"/>
  <c r="K137" i="9"/>
  <c r="AN137" i="9"/>
  <c r="AO137" i="9"/>
  <c r="AP137" i="9"/>
  <c r="O137" i="9"/>
  <c r="L137" i="9"/>
  <c r="L500" i="9"/>
  <c r="K500" i="9"/>
  <c r="AN500" i="9"/>
  <c r="AO500" i="9"/>
  <c r="AP500" i="9"/>
  <c r="O500" i="9"/>
  <c r="L135" i="9"/>
  <c r="K135" i="9"/>
  <c r="AN135" i="9"/>
  <c r="AO135" i="9"/>
  <c r="AP135" i="9"/>
  <c r="O135" i="9"/>
  <c r="L148" i="9"/>
  <c r="K148" i="9"/>
  <c r="AN148" i="9"/>
  <c r="AO148" i="9"/>
  <c r="AP148" i="9"/>
  <c r="O148" i="9"/>
  <c r="AC461" i="9"/>
  <c r="D461" i="9"/>
  <c r="AB460" i="9"/>
  <c r="AC95" i="9"/>
  <c r="D95" i="9"/>
  <c r="AB95" i="9"/>
  <c r="T96" i="7"/>
  <c r="AC487" i="9"/>
  <c r="D487" i="9"/>
  <c r="AB486" i="9"/>
  <c r="AC121" i="9"/>
  <c r="D121" i="9"/>
  <c r="AB121" i="9"/>
  <c r="T122" i="7"/>
  <c r="K129" i="9"/>
  <c r="AN129" i="9"/>
  <c r="AO129" i="9"/>
  <c r="AP129" i="9"/>
  <c r="O129" i="9"/>
  <c r="L129" i="9"/>
  <c r="L142" i="9"/>
  <c r="K142" i="9"/>
  <c r="AN142" i="9"/>
  <c r="AO142" i="9"/>
  <c r="AP142" i="9"/>
  <c r="O142" i="9"/>
  <c r="L492" i="9"/>
  <c r="K492" i="9"/>
  <c r="AN492" i="9"/>
  <c r="AO492" i="9"/>
  <c r="AP492" i="9"/>
  <c r="O492" i="9"/>
  <c r="L127" i="9"/>
  <c r="K127" i="9"/>
  <c r="AN127" i="9"/>
  <c r="AO127" i="9"/>
  <c r="AP127" i="9"/>
  <c r="O127" i="9"/>
  <c r="L507" i="9"/>
  <c r="K507" i="9"/>
  <c r="AN507" i="9"/>
  <c r="AO507" i="9"/>
  <c r="AP507" i="9"/>
  <c r="O507" i="9"/>
  <c r="L154" i="9"/>
  <c r="K154" i="9"/>
  <c r="AN154" i="9"/>
  <c r="AO154" i="9"/>
  <c r="AP154" i="9"/>
  <c r="O154" i="9"/>
  <c r="L138" i="9"/>
  <c r="K138" i="9"/>
  <c r="AN138" i="9"/>
  <c r="AO138" i="9"/>
  <c r="AP138" i="9"/>
  <c r="O138" i="9"/>
  <c r="L521" i="9"/>
  <c r="K521" i="9"/>
  <c r="AN521" i="9"/>
  <c r="AO521" i="9"/>
  <c r="AP521" i="9"/>
  <c r="O521" i="9"/>
  <c r="L519" i="9"/>
  <c r="K519" i="9"/>
  <c r="AN519" i="9"/>
  <c r="AO519" i="9"/>
  <c r="AP519" i="9"/>
  <c r="O519" i="9"/>
  <c r="L150" i="9"/>
  <c r="K150" i="9"/>
  <c r="AN150" i="9"/>
  <c r="AO150" i="9"/>
  <c r="AP150" i="9"/>
  <c r="O150" i="9"/>
  <c r="L134" i="9"/>
  <c r="K134" i="9"/>
  <c r="AN134" i="9"/>
  <c r="AO134" i="9"/>
  <c r="AP134" i="9"/>
  <c r="O134" i="9"/>
  <c r="L517" i="9"/>
  <c r="K517" i="9"/>
  <c r="AN517" i="9"/>
  <c r="AO517" i="9"/>
  <c r="AP517" i="9"/>
  <c r="O517" i="9"/>
  <c r="L499" i="9"/>
  <c r="K499" i="9"/>
  <c r="AN499" i="9"/>
  <c r="AO499" i="9"/>
  <c r="AP499" i="9"/>
  <c r="O499" i="9"/>
  <c r="K497" i="9"/>
  <c r="AN497" i="9"/>
  <c r="AO497" i="9"/>
  <c r="AP497" i="9"/>
  <c r="O497" i="9"/>
  <c r="L497" i="9"/>
  <c r="AC486" i="9"/>
  <c r="D486" i="9"/>
  <c r="AB485" i="9"/>
  <c r="AC120" i="9"/>
  <c r="D120" i="9"/>
  <c r="AB120" i="9"/>
  <c r="T121" i="7"/>
  <c r="AC484" i="9"/>
  <c r="D484" i="9"/>
  <c r="AB483" i="9"/>
  <c r="AB118" i="9"/>
  <c r="AC118" i="9"/>
  <c r="D118" i="9"/>
  <c r="T119" i="7"/>
  <c r="L149" i="9"/>
  <c r="K149" i="9"/>
  <c r="AN149" i="9"/>
  <c r="AO149" i="9"/>
  <c r="AP149" i="9"/>
  <c r="O149" i="9"/>
  <c r="L512" i="9"/>
  <c r="K512" i="9"/>
  <c r="AN512" i="9"/>
  <c r="AO512" i="9"/>
  <c r="AP512" i="9"/>
  <c r="O512" i="9"/>
  <c r="K147" i="9"/>
  <c r="AN147" i="9"/>
  <c r="AO147" i="9"/>
  <c r="AP147" i="9"/>
  <c r="O147" i="9"/>
  <c r="L147" i="9"/>
  <c r="K510" i="9"/>
  <c r="AN510" i="9"/>
  <c r="AO510" i="9"/>
  <c r="AP510" i="9"/>
  <c r="O510" i="9"/>
  <c r="L510" i="9"/>
  <c r="L494" i="9"/>
  <c r="K494" i="9"/>
  <c r="AN494" i="9"/>
  <c r="AO494" i="9"/>
  <c r="AP494" i="9"/>
  <c r="O494" i="9"/>
  <c r="AC474" i="9"/>
  <c r="D474" i="9"/>
  <c r="AB473" i="9"/>
  <c r="AC108" i="9"/>
  <c r="D108" i="9"/>
  <c r="AB108" i="9"/>
  <c r="T109" i="7"/>
  <c r="AC490" i="9"/>
  <c r="D490" i="9"/>
  <c r="AB489" i="9"/>
  <c r="AC124" i="9"/>
  <c r="D124" i="9"/>
  <c r="AB124" i="9"/>
  <c r="T125" i="7"/>
  <c r="AC465" i="9"/>
  <c r="D465" i="9"/>
  <c r="AB464" i="9"/>
  <c r="AC99" i="9"/>
  <c r="D99" i="9"/>
  <c r="AB99" i="9"/>
  <c r="T100" i="7"/>
  <c r="AC481" i="9"/>
  <c r="D481" i="9"/>
  <c r="AB480" i="9"/>
  <c r="AC115" i="9"/>
  <c r="D115" i="9"/>
  <c r="AB115" i="9"/>
  <c r="T116" i="7"/>
  <c r="AC472" i="9"/>
  <c r="D472" i="9"/>
  <c r="AB471" i="9"/>
  <c r="AB106" i="9"/>
  <c r="AC106" i="9"/>
  <c r="D106" i="9"/>
  <c r="T107" i="7"/>
  <c r="AC488" i="9"/>
  <c r="D488" i="9"/>
  <c r="AB487" i="9"/>
  <c r="AB122" i="9"/>
  <c r="AC122" i="9"/>
  <c r="D122" i="9"/>
  <c r="T123" i="7"/>
  <c r="AC475" i="9"/>
  <c r="D475" i="9"/>
  <c r="AB474" i="9"/>
  <c r="AC109" i="9"/>
  <c r="D109" i="9"/>
  <c r="AB109" i="9"/>
  <c r="T110" i="7"/>
  <c r="L511" i="9"/>
  <c r="K511" i="9"/>
  <c r="AN511" i="9"/>
  <c r="AO511" i="9"/>
  <c r="AP511" i="9"/>
  <c r="O511" i="9"/>
  <c r="L126" i="9"/>
  <c r="K126" i="9"/>
  <c r="AN126" i="9"/>
  <c r="AO126" i="9"/>
  <c r="AP126" i="9"/>
  <c r="O126" i="9"/>
  <c r="L509" i="9"/>
  <c r="K509" i="9"/>
  <c r="AN509" i="9"/>
  <c r="AO509" i="9"/>
  <c r="AP509" i="9"/>
  <c r="O509" i="9"/>
  <c r="K493" i="9"/>
  <c r="AN493" i="9"/>
  <c r="AO493" i="9"/>
  <c r="AP493" i="9"/>
  <c r="O493" i="9"/>
  <c r="L493" i="9"/>
  <c r="L140" i="9"/>
  <c r="K140" i="9"/>
  <c r="AN140" i="9"/>
  <c r="AO140" i="9"/>
  <c r="AP140" i="9"/>
  <c r="O140" i="9"/>
  <c r="L491" i="9"/>
  <c r="K491" i="9"/>
  <c r="AN491" i="9"/>
  <c r="AO491" i="9"/>
  <c r="AP491" i="9"/>
  <c r="O491" i="9"/>
  <c r="L505" i="9"/>
  <c r="K505" i="9"/>
  <c r="AN505" i="9"/>
  <c r="AO505" i="9"/>
  <c r="AP505" i="9"/>
  <c r="O505" i="9"/>
  <c r="L136" i="9"/>
  <c r="K136" i="9"/>
  <c r="AN136" i="9"/>
  <c r="AO136" i="9"/>
  <c r="AP136" i="9"/>
  <c r="O136" i="9"/>
  <c r="K503" i="9"/>
  <c r="AN503" i="9"/>
  <c r="AO503" i="9"/>
  <c r="AP503" i="9"/>
  <c r="O503" i="9"/>
  <c r="L503" i="9"/>
  <c r="K151" i="9"/>
  <c r="AN151" i="9"/>
  <c r="AO151" i="9"/>
  <c r="AP151" i="9"/>
  <c r="O151" i="9"/>
  <c r="L151" i="9"/>
  <c r="K501" i="9"/>
  <c r="AN501" i="9"/>
  <c r="AO501" i="9"/>
  <c r="AP501" i="9"/>
  <c r="O501" i="9"/>
  <c r="L501" i="9"/>
  <c r="L132" i="9"/>
  <c r="K132" i="9"/>
  <c r="AN132" i="9"/>
  <c r="AO132" i="9"/>
  <c r="AP132" i="9"/>
  <c r="O132" i="9"/>
  <c r="AC470" i="9"/>
  <c r="D470" i="9"/>
  <c r="AB469" i="9"/>
  <c r="AC104" i="9"/>
  <c r="D104" i="9"/>
  <c r="AB104" i="9"/>
  <c r="T105" i="7"/>
  <c r="AC468" i="9"/>
  <c r="D468" i="9"/>
  <c r="AB467" i="9"/>
  <c r="AB102" i="9"/>
  <c r="AC102" i="9"/>
  <c r="D102" i="9"/>
  <c r="T103" i="7"/>
  <c r="K133" i="9"/>
  <c r="AN133" i="9"/>
  <c r="AO133" i="9"/>
  <c r="AP133" i="9"/>
  <c r="O133" i="9"/>
  <c r="L133" i="9"/>
  <c r="L496" i="9"/>
  <c r="K496" i="9"/>
  <c r="AN496" i="9"/>
  <c r="AO496" i="9"/>
  <c r="AP496" i="9"/>
  <c r="O496" i="9"/>
  <c r="AB461" i="9"/>
  <c r="AC462" i="9"/>
  <c r="D462" i="9"/>
  <c r="AC96" i="9"/>
  <c r="D96" i="9"/>
  <c r="AB96" i="9"/>
  <c r="T97" i="7"/>
  <c r="AB477" i="9"/>
  <c r="AC478" i="9"/>
  <c r="D478" i="9"/>
  <c r="AC112" i="9"/>
  <c r="D112" i="9"/>
  <c r="AB112" i="9"/>
  <c r="T113" i="7"/>
  <c r="AC469" i="9"/>
  <c r="D469" i="9"/>
  <c r="AB468" i="9"/>
  <c r="AC103" i="9"/>
  <c r="D103" i="9"/>
  <c r="AB103" i="9"/>
  <c r="T104" i="7"/>
  <c r="AC485" i="9"/>
  <c r="D485" i="9"/>
  <c r="AB484" i="9"/>
  <c r="AC119" i="9"/>
  <c r="D119" i="9"/>
  <c r="AB119" i="9"/>
  <c r="T120" i="7"/>
  <c r="AC476" i="9"/>
  <c r="D476" i="9"/>
  <c r="AB475" i="9"/>
  <c r="AB110" i="9"/>
  <c r="AC110" i="9"/>
  <c r="D110" i="9"/>
  <c r="T111" i="7"/>
  <c r="AC463" i="9"/>
  <c r="D463" i="9"/>
  <c r="AB462" i="9"/>
  <c r="AC97" i="9"/>
  <c r="D97" i="9"/>
  <c r="AB97" i="9"/>
  <c r="T98" i="7"/>
  <c r="AC479" i="9"/>
  <c r="D479" i="9"/>
  <c r="AB478" i="9"/>
  <c r="AC113" i="9"/>
  <c r="D113" i="9"/>
  <c r="AB113" i="9"/>
  <c r="T114" i="7"/>
  <c r="L495" i="9"/>
  <c r="K495" i="9"/>
  <c r="AN495" i="9"/>
  <c r="AO495" i="9"/>
  <c r="AP495" i="9"/>
  <c r="O495" i="9"/>
  <c r="K141" i="9"/>
  <c r="AN141" i="9"/>
  <c r="AO141" i="9"/>
  <c r="AP141" i="9"/>
  <c r="O141" i="9"/>
  <c r="L141" i="9"/>
  <c r="L520" i="9"/>
  <c r="K520" i="9"/>
  <c r="AN520" i="9"/>
  <c r="AO520" i="9"/>
  <c r="AP520" i="9"/>
  <c r="O520" i="9"/>
  <c r="K155" i="9"/>
  <c r="AN155" i="9"/>
  <c r="AO155" i="9"/>
  <c r="AP155" i="9"/>
  <c r="O155" i="9"/>
  <c r="L155" i="9"/>
  <c r="K518" i="9"/>
  <c r="AN518" i="9"/>
  <c r="AO518" i="9"/>
  <c r="AP518" i="9"/>
  <c r="O518" i="9"/>
  <c r="L518" i="9"/>
  <c r="L153" i="9"/>
  <c r="K153" i="9"/>
  <c r="AN153" i="9"/>
  <c r="AO153" i="9"/>
  <c r="AP153" i="9"/>
  <c r="O153" i="9"/>
  <c r="L516" i="9"/>
  <c r="K516" i="9"/>
  <c r="AN516" i="9"/>
  <c r="AO516" i="9"/>
  <c r="AP516" i="9"/>
  <c r="O516" i="9"/>
  <c r="K514" i="9"/>
  <c r="AN514" i="9"/>
  <c r="AO514" i="9"/>
  <c r="AP514" i="9"/>
  <c r="O514" i="9"/>
  <c r="L514" i="9"/>
  <c r="L498" i="9"/>
  <c r="K498" i="9"/>
  <c r="AN498" i="9"/>
  <c r="AO498" i="9"/>
  <c r="AP498" i="9"/>
  <c r="O498" i="9"/>
  <c r="Y287" i="25"/>
  <c r="Y288" i="25"/>
  <c r="Y289" i="25"/>
  <c r="Y290" i="25"/>
  <c r="Y291" i="25"/>
  <c r="Y292" i="25"/>
  <c r="Y293" i="25"/>
  <c r="Y294" i="25"/>
  <c r="Y295" i="25"/>
  <c r="Y296" i="25"/>
  <c r="Y297" i="25"/>
  <c r="Y298" i="25"/>
  <c r="Y299" i="25"/>
  <c r="Y300" i="25"/>
  <c r="Y301" i="25"/>
  <c r="Y302" i="25"/>
  <c r="Y303" i="25"/>
  <c r="Y304" i="25"/>
  <c r="Y305" i="25"/>
  <c r="Y306" i="25"/>
  <c r="Y307" i="25"/>
  <c r="Y308" i="25"/>
  <c r="Y309" i="25"/>
  <c r="Y310" i="25"/>
  <c r="Y311" i="25"/>
  <c r="Y312" i="25"/>
  <c r="Y313" i="25"/>
  <c r="Y314" i="25"/>
  <c r="Y315" i="25"/>
  <c r="Y316" i="25"/>
  <c r="Y317" i="25"/>
  <c r="Y318" i="25"/>
  <c r="Y319" i="25"/>
  <c r="Y320" i="25"/>
  <c r="Y321" i="25"/>
  <c r="Y322" i="25"/>
  <c r="Y323" i="25"/>
  <c r="Y324" i="25"/>
  <c r="Y325" i="25"/>
  <c r="Y326" i="25"/>
  <c r="Y327" i="25"/>
  <c r="Y328" i="25"/>
  <c r="Y329" i="25"/>
  <c r="Y330" i="25"/>
  <c r="Y331" i="25"/>
  <c r="Y332" i="25"/>
  <c r="Y333" i="25"/>
  <c r="Y334" i="25"/>
  <c r="Y335" i="25"/>
  <c r="Y336" i="25"/>
  <c r="Y337" i="25"/>
  <c r="Y338" i="25"/>
  <c r="Y339" i="25"/>
  <c r="Y340" i="25"/>
  <c r="Y341" i="25"/>
  <c r="Y342" i="25"/>
  <c r="Y343" i="25"/>
  <c r="Y344" i="25"/>
  <c r="Y345" i="25"/>
  <c r="Y346" i="25"/>
  <c r="Y347" i="25"/>
  <c r="Y348" i="25"/>
  <c r="Y349" i="25"/>
  <c r="Y350" i="25"/>
  <c r="Y351" i="25"/>
  <c r="Y352" i="25"/>
  <c r="Y353" i="25"/>
  <c r="Y354" i="25"/>
  <c r="Y355" i="25"/>
  <c r="Y356" i="25"/>
  <c r="Y357" i="25"/>
  <c r="Y358" i="25"/>
  <c r="Y359" i="25"/>
  <c r="Y360" i="25"/>
  <c r="Y361" i="25"/>
  <c r="Y362" i="25"/>
  <c r="Y363" i="25"/>
  <c r="Y364" i="25"/>
  <c r="Y365" i="25"/>
  <c r="Y366" i="25"/>
  <c r="Y367" i="25"/>
  <c r="Y368" i="25"/>
  <c r="Y369" i="25"/>
  <c r="Y370" i="25"/>
  <c r="Y371" i="25"/>
  <c r="Y372" i="25"/>
  <c r="Y373" i="25"/>
  <c r="Y374" i="25"/>
  <c r="Y375" i="25"/>
  <c r="Y376" i="25"/>
  <c r="Y377" i="25"/>
  <c r="Y378" i="25"/>
  <c r="Y379" i="25"/>
  <c r="Y380" i="25"/>
  <c r="Y381" i="25"/>
  <c r="Y382" i="25"/>
  <c r="Y383" i="25"/>
  <c r="Y384" i="25"/>
  <c r="Y385" i="25"/>
  <c r="Y386" i="25"/>
  <c r="Y387" i="25"/>
  <c r="Y388" i="25"/>
  <c r="Y389" i="25"/>
  <c r="Y390" i="25"/>
  <c r="Y391" i="25"/>
  <c r="Y392" i="25"/>
  <c r="Y393" i="25"/>
  <c r="Y394" i="25"/>
  <c r="Y395" i="25"/>
  <c r="Y396" i="25"/>
  <c r="Y397" i="25"/>
  <c r="Y398" i="25"/>
  <c r="Y399" i="25"/>
  <c r="Y400" i="25"/>
  <c r="Y401" i="25"/>
  <c r="Y402" i="25"/>
  <c r="Y403" i="25"/>
  <c r="Y404" i="25"/>
  <c r="Y405" i="25"/>
  <c r="Y406" i="25"/>
  <c r="Y407" i="25"/>
  <c r="Y408" i="25"/>
  <c r="Y409" i="25"/>
  <c r="Y410" i="25"/>
  <c r="Y411" i="25"/>
  <c r="Y412" i="25"/>
  <c r="Y413" i="25"/>
  <c r="Y414" i="25"/>
  <c r="Y415" i="25"/>
  <c r="Y416" i="25"/>
  <c r="Y417" i="25"/>
  <c r="Y418" i="25"/>
  <c r="Y419" i="25"/>
  <c r="Y420" i="25"/>
  <c r="Y421" i="25"/>
  <c r="Y422" i="25"/>
  <c r="Y423" i="25"/>
  <c r="Y424" i="25"/>
  <c r="Y425" i="25"/>
  <c r="Y426" i="25"/>
  <c r="Y427" i="25"/>
  <c r="Y428" i="25"/>
  <c r="Y429" i="25"/>
  <c r="Y430" i="25"/>
  <c r="Y431" i="25"/>
  <c r="Y432" i="25"/>
  <c r="Y433" i="25"/>
  <c r="Y434" i="25"/>
  <c r="Y435" i="25"/>
  <c r="Y436" i="25"/>
  <c r="Y437" i="25"/>
  <c r="Y438" i="25"/>
  <c r="Y439" i="25"/>
  <c r="Y440" i="25"/>
  <c r="Y441" i="25"/>
  <c r="Y442" i="25"/>
  <c r="Y443" i="25"/>
  <c r="Y444" i="25"/>
  <c r="Y445" i="25"/>
  <c r="Y446" i="25"/>
  <c r="Y447" i="25"/>
  <c r="Y448" i="25"/>
  <c r="Y449" i="25"/>
  <c r="Y450" i="25"/>
  <c r="Y451" i="25"/>
  <c r="Y452" i="25"/>
  <c r="Y453" i="25"/>
  <c r="Y454" i="25"/>
  <c r="Y455" i="25"/>
  <c r="Y456" i="25"/>
  <c r="Y457" i="25"/>
  <c r="Y458" i="25"/>
  <c r="Y459" i="25"/>
  <c r="Y460" i="25"/>
  <c r="Y461" i="25"/>
  <c r="Y462" i="25"/>
  <c r="Y463" i="25"/>
  <c r="Y464" i="25"/>
  <c r="Y465" i="25"/>
  <c r="Y466" i="25"/>
  <c r="Y467" i="25"/>
  <c r="Y468" i="25"/>
  <c r="Y469" i="25"/>
  <c r="Y470" i="25"/>
  <c r="Y471" i="25"/>
  <c r="Y472" i="25"/>
  <c r="Y473" i="25"/>
  <c r="Y474" i="25"/>
  <c r="Y475" i="25"/>
  <c r="Y476" i="25"/>
  <c r="Y477" i="25"/>
  <c r="Y478" i="25"/>
  <c r="Y479" i="25"/>
  <c r="Y480" i="25"/>
  <c r="Y481" i="25"/>
  <c r="Y482" i="25"/>
  <c r="Y483" i="25"/>
  <c r="Y484" i="25"/>
  <c r="Y485" i="25"/>
  <c r="Y486" i="25"/>
  <c r="Y487" i="25"/>
  <c r="Y488" i="25"/>
  <c r="Y489" i="25"/>
  <c r="Y490" i="25"/>
  <c r="Y491" i="25"/>
  <c r="Y492" i="25"/>
  <c r="Y493" i="25"/>
  <c r="Y494" i="25"/>
  <c r="Y495" i="25"/>
  <c r="Y496" i="25"/>
  <c r="Y497" i="25"/>
  <c r="Y498" i="25"/>
  <c r="Y499" i="25"/>
  <c r="Y500" i="25"/>
  <c r="Y501" i="25"/>
  <c r="Y502" i="25"/>
  <c r="Y503" i="25"/>
  <c r="Y504" i="25"/>
  <c r="Y505" i="25"/>
  <c r="Y506" i="25"/>
  <c r="Y507" i="25"/>
  <c r="Y508" i="25"/>
  <c r="Y509" i="25"/>
  <c r="Y510" i="25"/>
  <c r="Y511" i="25"/>
  <c r="Y512" i="25"/>
  <c r="Y513" i="25"/>
  <c r="Y514" i="25"/>
  <c r="Y515" i="25"/>
  <c r="Y516" i="25"/>
  <c r="Y517" i="25"/>
  <c r="Y518" i="25"/>
  <c r="Y519" i="25"/>
  <c r="Y520" i="25"/>
  <c r="Y521" i="25"/>
  <c r="Y522" i="25"/>
  <c r="Y523" i="25"/>
  <c r="Y524" i="25"/>
  <c r="Y525" i="25"/>
  <c r="Y526" i="25"/>
  <c r="Y527" i="25"/>
  <c r="Y528" i="25"/>
  <c r="Y529" i="25"/>
  <c r="Y530" i="25"/>
  <c r="Y531" i="25"/>
  <c r="Y532" i="25"/>
  <c r="Y533" i="25"/>
  <c r="Y534" i="25"/>
  <c r="Y535" i="25"/>
  <c r="Y536" i="25"/>
  <c r="Y537" i="25"/>
  <c r="Y538" i="25"/>
  <c r="Y539" i="25"/>
  <c r="Y540" i="25"/>
  <c r="Y541" i="25"/>
  <c r="Y542" i="25"/>
  <c r="Y543" i="25"/>
  <c r="Y544" i="25"/>
  <c r="Y545" i="25"/>
  <c r="Y546" i="25"/>
  <c r="Y547" i="25"/>
  <c r="Y548" i="25"/>
  <c r="Y549" i="25"/>
  <c r="Y550" i="25"/>
  <c r="Y551" i="25"/>
  <c r="Y552" i="25"/>
  <c r="Y553" i="25"/>
  <c r="Y554" i="25"/>
  <c r="Y555" i="25"/>
  <c r="Y556" i="25"/>
  <c r="Y557" i="25"/>
  <c r="Y558" i="25"/>
  <c r="Y559" i="25"/>
  <c r="Y560" i="25"/>
  <c r="Y561" i="25"/>
  <c r="Y562" i="25"/>
  <c r="Y563" i="25"/>
  <c r="Y564" i="25"/>
  <c r="Y565" i="25"/>
  <c r="Y566" i="25"/>
  <c r="Y567" i="25"/>
  <c r="Y568" i="25"/>
  <c r="Y569" i="25"/>
  <c r="Y570" i="25"/>
  <c r="Y571" i="25"/>
  <c r="Y572" i="25"/>
  <c r="Y573" i="25"/>
  <c r="Y574" i="25"/>
  <c r="Y575" i="25"/>
  <c r="Y576" i="25"/>
  <c r="Y577" i="25"/>
  <c r="Y578" i="25"/>
  <c r="Y579" i="25"/>
  <c r="Y580" i="25"/>
  <c r="Y581" i="25"/>
  <c r="Y582" i="25"/>
  <c r="Y583" i="25"/>
  <c r="Y584" i="25"/>
  <c r="Y585" i="25"/>
  <c r="Y586" i="25"/>
  <c r="Y587" i="25"/>
  <c r="Y588" i="25"/>
  <c r="Y589" i="25"/>
  <c r="Y590" i="25"/>
  <c r="Y591" i="25"/>
  <c r="Y592" i="25"/>
  <c r="Z286" i="25"/>
  <c r="F92" i="30"/>
  <c r="D176" i="30"/>
  <c r="D79" i="30"/>
  <c r="I164" i="30"/>
  <c r="J164" i="30"/>
  <c r="I234" i="30"/>
  <c r="J234" i="30"/>
  <c r="D194" i="30"/>
  <c r="D19" i="30"/>
  <c r="I49" i="30"/>
  <c r="J49" i="30"/>
  <c r="I74" i="30"/>
  <c r="J74" i="30"/>
  <c r="I152" i="30"/>
  <c r="J152" i="30"/>
  <c r="D179" i="30"/>
  <c r="I139" i="30"/>
  <c r="J139" i="30"/>
  <c r="D92" i="30"/>
  <c r="I261" i="30"/>
  <c r="J261" i="30"/>
  <c r="D219" i="30"/>
  <c r="F219" i="30"/>
  <c r="D90" i="30"/>
  <c r="I25" i="30"/>
  <c r="D137" i="30"/>
  <c r="I273" i="30"/>
  <c r="J273" i="30"/>
  <c r="D274" i="30"/>
  <c r="F140" i="30"/>
  <c r="D133" i="30"/>
  <c r="F206" i="30"/>
  <c r="I262" i="30"/>
  <c r="J262" i="30"/>
  <c r="D42" i="30"/>
  <c r="I165" i="30"/>
  <c r="J165" i="30"/>
  <c r="I141" i="30"/>
  <c r="J141" i="30"/>
  <c r="F116" i="30"/>
  <c r="D161" i="30"/>
  <c r="D215" i="30"/>
  <c r="I29" i="30"/>
  <c r="J29" i="30"/>
  <c r="F84" i="30"/>
  <c r="F203" i="30"/>
  <c r="F261" i="30"/>
  <c r="D240" i="30"/>
  <c r="I254" i="30"/>
  <c r="J254" i="30"/>
  <c r="F258" i="30"/>
  <c r="F99" i="30"/>
  <c r="F134" i="30"/>
  <c r="F295" i="30"/>
  <c r="F94" i="30"/>
  <c r="F166" i="30"/>
  <c r="I137" i="30"/>
  <c r="J137" i="30"/>
  <c r="F292" i="30"/>
  <c r="F39" i="30"/>
  <c r="D116" i="30"/>
  <c r="F125" i="30"/>
  <c r="I36" i="30"/>
  <c r="J36" i="30"/>
  <c r="D105" i="30"/>
  <c r="F240" i="30"/>
  <c r="I148" i="30"/>
  <c r="J148" i="30"/>
  <c r="F49" i="30"/>
  <c r="D78" i="30"/>
  <c r="I80" i="30"/>
  <c r="J80" i="30"/>
  <c r="I199" i="30"/>
  <c r="J199" i="30"/>
  <c r="F69" i="30"/>
  <c r="D154" i="30"/>
  <c r="I62" i="30"/>
  <c r="J62" i="30"/>
  <c r="D246" i="30"/>
  <c r="I102" i="30"/>
  <c r="J102" i="30"/>
  <c r="I38" i="30"/>
  <c r="J38" i="30"/>
  <c r="I75" i="30"/>
  <c r="J75" i="30"/>
  <c r="I73" i="30"/>
  <c r="J73" i="30"/>
  <c r="I277" i="30"/>
  <c r="J277" i="30"/>
  <c r="F79" i="30"/>
  <c r="D225" i="30"/>
  <c r="D241" i="30"/>
  <c r="D60" i="30"/>
  <c r="D236" i="30"/>
  <c r="D164" i="30"/>
  <c r="I189" i="30"/>
  <c r="J189" i="30"/>
  <c r="F217" i="30"/>
  <c r="D278" i="30"/>
  <c r="D140" i="30"/>
  <c r="D211" i="30"/>
  <c r="F172" i="30"/>
  <c r="D97" i="30"/>
  <c r="F77" i="30"/>
  <c r="D47" i="30"/>
  <c r="I41" i="30"/>
  <c r="J41" i="30"/>
  <c r="I16" i="30"/>
  <c r="D283" i="30"/>
  <c r="D120" i="30"/>
  <c r="D205" i="30"/>
  <c r="D151" i="30"/>
  <c r="D251" i="30"/>
  <c r="D275" i="30"/>
  <c r="F139" i="30"/>
  <c r="F111" i="30"/>
  <c r="I47" i="30"/>
  <c r="J47" i="30"/>
  <c r="F227" i="30"/>
  <c r="D135" i="30"/>
  <c r="I160" i="30"/>
  <c r="J160" i="30"/>
  <c r="D280" i="30"/>
  <c r="I255" i="30"/>
  <c r="J255" i="30"/>
  <c r="D299" i="30"/>
  <c r="F187" i="30"/>
  <c r="F237" i="30"/>
  <c r="D113" i="30"/>
  <c r="D287" i="30"/>
  <c r="D138" i="30"/>
  <c r="I134" i="30"/>
  <c r="J134" i="30"/>
  <c r="F178" i="30"/>
  <c r="F250" i="30"/>
  <c r="I195" i="30"/>
  <c r="J195" i="30"/>
  <c r="F161" i="30"/>
  <c r="F180" i="30"/>
  <c r="I293" i="30"/>
  <c r="J293" i="30"/>
  <c r="I32" i="30"/>
  <c r="J32" i="30"/>
  <c r="I101" i="30"/>
  <c r="J101" i="30"/>
  <c r="F114" i="30"/>
  <c r="D114" i="30"/>
  <c r="I72" i="30"/>
  <c r="J72" i="30"/>
  <c r="I173" i="30"/>
  <c r="J173" i="30"/>
  <c r="D271" i="30"/>
  <c r="D150" i="30"/>
  <c r="F299" i="30"/>
  <c r="I138" i="30"/>
  <c r="J138" i="30"/>
  <c r="I223" i="30"/>
  <c r="J223" i="30"/>
  <c r="I110" i="30"/>
  <c r="J110" i="30"/>
  <c r="I126" i="30"/>
  <c r="J126" i="30"/>
  <c r="D217" i="30"/>
  <c r="I292" i="30"/>
  <c r="J292" i="30"/>
  <c r="D171" i="30"/>
  <c r="D258" i="30"/>
  <c r="I211" i="30"/>
  <c r="J211" i="30"/>
  <c r="F200" i="30"/>
  <c r="F144" i="30"/>
  <c r="D292" i="30"/>
  <c r="F101" i="30"/>
  <c r="F174" i="30"/>
  <c r="F96" i="30"/>
  <c r="F275" i="30"/>
  <c r="I287" i="30"/>
  <c r="J287" i="30"/>
  <c r="D273" i="30"/>
  <c r="D208" i="30"/>
  <c r="I252" i="30"/>
  <c r="J252" i="30"/>
  <c r="F241" i="30"/>
  <c r="F181" i="30"/>
  <c r="D295" i="30"/>
  <c r="D193" i="30"/>
  <c r="D198" i="30"/>
  <c r="F170" i="30"/>
  <c r="I192" i="30"/>
  <c r="J192" i="30"/>
  <c r="I104" i="30"/>
  <c r="J104" i="30"/>
  <c r="I281" i="30"/>
  <c r="J281" i="30"/>
  <c r="D35" i="30"/>
  <c r="F268" i="30"/>
  <c r="F121" i="30"/>
  <c r="F23" i="30"/>
  <c r="I155" i="30"/>
  <c r="J155" i="30"/>
  <c r="I39" i="30"/>
  <c r="J39" i="30"/>
  <c r="I34" i="30"/>
  <c r="J34" i="30"/>
  <c r="F210" i="30"/>
  <c r="I79" i="30"/>
  <c r="J79" i="30"/>
  <c r="D252" i="30"/>
  <c r="F25" i="30"/>
  <c r="I172" i="30"/>
  <c r="J172" i="30"/>
  <c r="D127" i="30"/>
  <c r="F195" i="30"/>
  <c r="F231" i="30"/>
  <c r="I157" i="30"/>
  <c r="J157" i="30"/>
  <c r="D123" i="30"/>
  <c r="D101" i="30"/>
  <c r="I21" i="30"/>
  <c r="D58" i="30"/>
  <c r="D70" i="30"/>
  <c r="I85" i="30"/>
  <c r="J85" i="30"/>
  <c r="D156" i="30"/>
  <c r="F226" i="30"/>
  <c r="D242" i="30"/>
  <c r="D55" i="30"/>
  <c r="F153" i="30"/>
  <c r="F34" i="30"/>
  <c r="D175" i="30"/>
  <c r="D52" i="30"/>
  <c r="D160" i="30"/>
  <c r="D159" i="30"/>
  <c r="I83" i="30"/>
  <c r="J83" i="30"/>
  <c r="I84" i="30"/>
  <c r="J84" i="30"/>
  <c r="I106" i="30"/>
  <c r="J106" i="30"/>
  <c r="D16" i="30"/>
  <c r="I265" i="30"/>
  <c r="J265" i="30"/>
  <c r="D218" i="30"/>
  <c r="D229" i="30"/>
  <c r="F273" i="30"/>
  <c r="D32" i="30"/>
  <c r="D27" i="30"/>
  <c r="D163" i="30"/>
  <c r="I276" i="30"/>
  <c r="J276" i="30"/>
  <c r="F158" i="30"/>
  <c r="D259" i="30"/>
  <c r="I217" i="30"/>
  <c r="J217" i="30"/>
  <c r="I196" i="30"/>
  <c r="J196" i="30"/>
  <c r="I286" i="30"/>
  <c r="J286" i="30"/>
  <c r="I91" i="30"/>
  <c r="J91" i="30"/>
  <c r="F222" i="30"/>
  <c r="D213" i="30"/>
  <c r="D50" i="30"/>
  <c r="I208" i="30"/>
  <c r="J208" i="30"/>
  <c r="D121" i="30"/>
  <c r="F239" i="30"/>
  <c r="D265" i="30"/>
  <c r="F266" i="30"/>
  <c r="F278" i="30"/>
  <c r="I263" i="30"/>
  <c r="J263" i="30"/>
  <c r="D262" i="30"/>
  <c r="D257" i="30"/>
  <c r="I191" i="30"/>
  <c r="J191" i="30"/>
  <c r="D279" i="30"/>
  <c r="I179" i="30"/>
  <c r="J179" i="30"/>
  <c r="F66" i="30"/>
  <c r="F136" i="30"/>
  <c r="F36" i="30"/>
  <c r="D104" i="30"/>
  <c r="F204" i="30"/>
  <c r="D54" i="30"/>
  <c r="I121" i="30"/>
  <c r="J121" i="30"/>
  <c r="I224" i="30"/>
  <c r="J224" i="30"/>
  <c r="I230" i="30"/>
  <c r="J230" i="30"/>
  <c r="F65" i="30"/>
  <c r="I284" i="30"/>
  <c r="J284" i="30"/>
  <c r="F159" i="30"/>
  <c r="F281" i="30"/>
  <c r="D132" i="30"/>
  <c r="F155" i="30"/>
  <c r="I285" i="30"/>
  <c r="J285" i="30"/>
  <c r="F186" i="30"/>
  <c r="I55" i="30"/>
  <c r="J55" i="30"/>
  <c r="I186" i="30"/>
  <c r="J186" i="30"/>
  <c r="F162" i="30"/>
  <c r="D202" i="30"/>
  <c r="D166" i="30"/>
  <c r="I253" i="30"/>
  <c r="J253" i="30"/>
  <c r="F97" i="30"/>
  <c r="F255" i="30"/>
  <c r="I202" i="30"/>
  <c r="J202" i="30"/>
  <c r="F294" i="30"/>
  <c r="I118" i="30"/>
  <c r="J118" i="30"/>
  <c r="F211" i="30"/>
  <c r="D254" i="30"/>
  <c r="D158" i="30"/>
  <c r="F118" i="30"/>
  <c r="I270" i="30"/>
  <c r="J270" i="30"/>
  <c r="I219" i="30"/>
  <c r="J219" i="30"/>
  <c r="D20" i="30"/>
  <c r="F300" i="30"/>
  <c r="F246" i="30"/>
  <c r="D297" i="30"/>
  <c r="I132" i="30"/>
  <c r="J132" i="30"/>
  <c r="D153" i="30"/>
  <c r="I94" i="30"/>
  <c r="J94" i="30"/>
  <c r="I23" i="30"/>
  <c r="F251" i="30"/>
  <c r="F238" i="30"/>
  <c r="D223" i="30"/>
  <c r="F123" i="30"/>
  <c r="D143" i="30"/>
  <c r="I130" i="30"/>
  <c r="J130" i="30"/>
  <c r="D277" i="30"/>
  <c r="D294" i="30"/>
  <c r="I66" i="30"/>
  <c r="J66" i="30"/>
  <c r="D293" i="30"/>
  <c r="I70" i="30"/>
  <c r="J70" i="30"/>
  <c r="I264" i="30"/>
  <c r="J264" i="30"/>
  <c r="F283" i="30"/>
  <c r="F151" i="30"/>
  <c r="F209" i="30"/>
  <c r="D62" i="30"/>
  <c r="F19" i="30"/>
  <c r="F244" i="30"/>
  <c r="D248" i="30"/>
  <c r="F129" i="30"/>
  <c r="I98" i="30"/>
  <c r="J98" i="30"/>
  <c r="I190" i="30"/>
  <c r="J190" i="30"/>
  <c r="D93" i="30"/>
  <c r="F51" i="30"/>
  <c r="D235" i="30"/>
  <c r="F128" i="30"/>
  <c r="I112" i="30"/>
  <c r="J112" i="30"/>
  <c r="D39" i="30"/>
  <c r="F265" i="30"/>
  <c r="I222" i="30"/>
  <c r="J222" i="30"/>
  <c r="I151" i="30"/>
  <c r="J151" i="30"/>
  <c r="D155" i="30"/>
  <c r="D84" i="30"/>
  <c r="I247" i="30"/>
  <c r="J247" i="30"/>
  <c r="D243" i="30"/>
  <c r="F59" i="30"/>
  <c r="F43" i="30"/>
  <c r="F276" i="30"/>
  <c r="F242" i="30"/>
  <c r="I268" i="30"/>
  <c r="J268" i="30"/>
  <c r="F279" i="30"/>
  <c r="D204" i="30"/>
  <c r="D233" i="30"/>
  <c r="D231" i="30"/>
  <c r="F42" i="30"/>
  <c r="I168" i="30"/>
  <c r="J168" i="30"/>
  <c r="I299" i="30"/>
  <c r="J299" i="30"/>
  <c r="I210" i="30"/>
  <c r="J210" i="30"/>
  <c r="F286" i="30"/>
  <c r="D108" i="30"/>
  <c r="D300" i="30"/>
  <c r="F156" i="30"/>
  <c r="D34" i="30"/>
  <c r="D178" i="30"/>
  <c r="F277" i="30"/>
  <c r="D195" i="30"/>
  <c r="I35" i="30"/>
  <c r="J35" i="30"/>
  <c r="I59" i="30"/>
  <c r="J59" i="30"/>
  <c r="F148" i="30"/>
  <c r="D165" i="30"/>
  <c r="I76" i="30"/>
  <c r="J76" i="30"/>
  <c r="I167" i="30"/>
  <c r="J167" i="30"/>
  <c r="F160" i="30"/>
  <c r="I64" i="30"/>
  <c r="J64" i="30"/>
  <c r="F67" i="30"/>
  <c r="D245" i="30"/>
  <c r="F189" i="30"/>
  <c r="D65" i="30"/>
  <c r="F35" i="30"/>
  <c r="F245" i="30"/>
  <c r="D221" i="30"/>
  <c r="I20" i="30"/>
  <c r="I144" i="30"/>
  <c r="J144" i="30"/>
  <c r="I146" i="30"/>
  <c r="J146" i="30"/>
  <c r="F215" i="30"/>
  <c r="I114" i="30"/>
  <c r="J114" i="30"/>
  <c r="I229" i="30"/>
  <c r="J229" i="30"/>
  <c r="I275" i="30"/>
  <c r="J275" i="30"/>
  <c r="D63" i="30"/>
  <c r="D21" i="30"/>
  <c r="D96" i="30"/>
  <c r="I115" i="30"/>
  <c r="J115" i="30"/>
  <c r="F135" i="30"/>
  <c r="D119" i="30"/>
  <c r="F58" i="30"/>
  <c r="I198" i="30"/>
  <c r="J198" i="30"/>
  <c r="D268" i="30"/>
  <c r="D162" i="30"/>
  <c r="D122" i="30"/>
  <c r="F68" i="30"/>
  <c r="I184" i="30"/>
  <c r="J184" i="30"/>
  <c r="D249" i="30"/>
  <c r="D276" i="30"/>
  <c r="D270" i="30"/>
  <c r="I193" i="30"/>
  <c r="J193" i="30"/>
  <c r="I125" i="30"/>
  <c r="J125" i="30"/>
  <c r="I163" i="30"/>
  <c r="J163" i="30"/>
  <c r="F142" i="30"/>
  <c r="I289" i="30"/>
  <c r="J289" i="30"/>
  <c r="I158" i="30"/>
  <c r="J158" i="30"/>
  <c r="F208" i="30"/>
  <c r="I58" i="30"/>
  <c r="J58" i="30"/>
  <c r="D103" i="30"/>
  <c r="F105" i="30"/>
  <c r="I296" i="30"/>
  <c r="J296" i="30"/>
  <c r="F60" i="30"/>
  <c r="F37" i="30"/>
  <c r="F207" i="30"/>
  <c r="F32" i="30"/>
  <c r="F149" i="30"/>
  <c r="I259" i="30"/>
  <c r="J259" i="30"/>
  <c r="F38" i="30"/>
  <c r="I232" i="30"/>
  <c r="J232" i="30"/>
  <c r="D212" i="30"/>
  <c r="I51" i="30"/>
  <c r="J51" i="30"/>
  <c r="I19" i="30"/>
  <c r="D191" i="30"/>
  <c r="F274" i="30"/>
  <c r="I131" i="30"/>
  <c r="J131" i="30"/>
  <c r="F71" i="30"/>
  <c r="D107" i="30"/>
  <c r="I161" i="30"/>
  <c r="J161" i="30"/>
  <c r="I162" i="30"/>
  <c r="J162" i="30"/>
  <c r="I140" i="30"/>
  <c r="J140" i="30"/>
  <c r="F256" i="30"/>
  <c r="D142" i="30"/>
  <c r="F164" i="30"/>
  <c r="I86" i="30"/>
  <c r="J86" i="30"/>
  <c r="I156" i="30"/>
  <c r="J156" i="30"/>
  <c r="D146" i="30"/>
  <c r="I117" i="30"/>
  <c r="J117" i="30"/>
  <c r="D190" i="30"/>
  <c r="F298" i="30"/>
  <c r="I145" i="30"/>
  <c r="J145" i="30"/>
  <c r="F202" i="30"/>
  <c r="F119" i="30"/>
  <c r="F168" i="30"/>
  <c r="D69" i="30"/>
  <c r="I171" i="30"/>
  <c r="J171" i="30"/>
  <c r="D88" i="30"/>
  <c r="I17" i="30"/>
  <c r="J17" i="30"/>
  <c r="I215" i="30"/>
  <c r="J215" i="30"/>
  <c r="D284" i="30"/>
  <c r="F270" i="30"/>
  <c r="D256" i="30"/>
  <c r="I298" i="30"/>
  <c r="J298" i="30"/>
  <c r="F167" i="30"/>
  <c r="D206" i="30"/>
  <c r="F291" i="30"/>
  <c r="I92" i="30"/>
  <c r="J92" i="30"/>
  <c r="I42" i="30"/>
  <c r="J42" i="30"/>
  <c r="D298" i="30"/>
  <c r="I153" i="30"/>
  <c r="J153" i="30"/>
  <c r="I235" i="30"/>
  <c r="J235" i="30"/>
  <c r="I203" i="30"/>
  <c r="J203" i="30"/>
  <c r="F192" i="30"/>
  <c r="I260" i="30"/>
  <c r="J260" i="30"/>
  <c r="F87" i="30"/>
  <c r="F56" i="30"/>
  <c r="I176" i="30"/>
  <c r="J176" i="30"/>
  <c r="I143" i="30"/>
  <c r="J143" i="30"/>
  <c r="D83" i="30"/>
  <c r="I128" i="30"/>
  <c r="J128" i="30"/>
  <c r="I237" i="30"/>
  <c r="J237" i="30"/>
  <c r="D210" i="30"/>
  <c r="F282" i="30"/>
  <c r="D37" i="30"/>
  <c r="D228" i="30"/>
  <c r="D173" i="30"/>
  <c r="F110" i="30"/>
  <c r="D224" i="30"/>
  <c r="F108" i="30"/>
  <c r="D187" i="30"/>
  <c r="D68" i="30"/>
  <c r="F107" i="30"/>
  <c r="F254" i="30"/>
  <c r="I57" i="30"/>
  <c r="J57" i="30"/>
  <c r="F113" i="30"/>
  <c r="D95" i="30"/>
  <c r="D36" i="30"/>
  <c r="I89" i="30"/>
  <c r="J89" i="30"/>
  <c r="D111" i="30"/>
  <c r="I100" i="30"/>
  <c r="J100" i="30"/>
  <c r="I37" i="30"/>
  <c r="J37" i="30"/>
  <c r="F109" i="30"/>
  <c r="F98" i="30"/>
  <c r="F272" i="30"/>
  <c r="F193" i="30"/>
  <c r="D33" i="30"/>
  <c r="I297" i="30"/>
  <c r="J297" i="30"/>
  <c r="I142" i="30"/>
  <c r="J142" i="30"/>
  <c r="D25" i="30"/>
  <c r="I238" i="30"/>
  <c r="J238" i="30"/>
  <c r="F141" i="30"/>
  <c r="D230" i="30"/>
  <c r="D74" i="30"/>
  <c r="I239" i="30"/>
  <c r="J239" i="30"/>
  <c r="F63" i="30"/>
  <c r="D94" i="30"/>
  <c r="D253" i="30"/>
  <c r="D149" i="30"/>
  <c r="F257" i="30"/>
  <c r="D38" i="30"/>
  <c r="F100" i="30"/>
  <c r="I243" i="30"/>
  <c r="J243" i="30"/>
  <c r="I266" i="30"/>
  <c r="J266" i="30"/>
  <c r="I48" i="30"/>
  <c r="J48" i="30"/>
  <c r="I175" i="30"/>
  <c r="J175" i="30"/>
  <c r="D85" i="30"/>
  <c r="F73" i="30"/>
  <c r="F40" i="30"/>
  <c r="D200" i="30"/>
  <c r="I185" i="30"/>
  <c r="J185" i="30"/>
  <c r="F297" i="30"/>
  <c r="AF22" i="25" a="1"/>
  <c r="AF22" i="25"/>
  <c r="I22" i="30"/>
  <c r="D214" i="30"/>
  <c r="F31" i="30"/>
  <c r="D53" i="30"/>
  <c r="I61" i="30"/>
  <c r="J61" i="30"/>
  <c r="F85" i="30"/>
  <c r="I67" i="30"/>
  <c r="J67" i="30"/>
  <c r="I166" i="30"/>
  <c r="J166" i="30"/>
  <c r="I251" i="30"/>
  <c r="J251" i="30"/>
  <c r="D286" i="30"/>
  <c r="F86" i="30"/>
  <c r="I43" i="30"/>
  <c r="J43" i="30"/>
  <c r="I213" i="30"/>
  <c r="J213" i="30"/>
  <c r="D272" i="30"/>
  <c r="D28" i="30"/>
  <c r="I231" i="30"/>
  <c r="J231" i="30"/>
  <c r="I241" i="30"/>
  <c r="J241" i="30"/>
  <c r="F175" i="30"/>
  <c r="F61" i="30"/>
  <c r="F57" i="30"/>
  <c r="D72" i="30"/>
  <c r="F280" i="30"/>
  <c r="D57" i="30"/>
  <c r="I60" i="30"/>
  <c r="J60" i="30"/>
  <c r="I274" i="30"/>
  <c r="J274" i="30"/>
  <c r="D207" i="30"/>
  <c r="F21" i="30"/>
  <c r="D115" i="30"/>
  <c r="D289" i="30"/>
  <c r="D23" i="30"/>
  <c r="I71" i="30"/>
  <c r="J71" i="30"/>
  <c r="I249" i="30"/>
  <c r="J249" i="30"/>
  <c r="I88" i="30"/>
  <c r="J88" i="30"/>
  <c r="D288" i="30"/>
  <c r="D81" i="30"/>
  <c r="F290" i="30"/>
  <c r="D197" i="30"/>
  <c r="F91" i="30"/>
  <c r="F228" i="30"/>
  <c r="I129" i="30"/>
  <c r="J129" i="30"/>
  <c r="D128" i="30"/>
  <c r="F132" i="30"/>
  <c r="D106" i="30"/>
  <c r="F183" i="30"/>
  <c r="I209" i="30"/>
  <c r="J209" i="30"/>
  <c r="I227" i="30"/>
  <c r="J227" i="30"/>
  <c r="D64" i="30"/>
  <c r="I180" i="30"/>
  <c r="J180" i="30"/>
  <c r="F243" i="30"/>
  <c r="I182" i="30"/>
  <c r="J182" i="30"/>
  <c r="F289" i="30"/>
  <c r="F191" i="30"/>
  <c r="I250" i="30"/>
  <c r="J250" i="30"/>
  <c r="F138" i="30"/>
  <c r="I197" i="30"/>
  <c r="J197" i="30"/>
  <c r="F199" i="30"/>
  <c r="I65" i="30"/>
  <c r="J65" i="30"/>
  <c r="F179" i="30"/>
  <c r="D91" i="30"/>
  <c r="F27" i="30"/>
  <c r="D172" i="30"/>
  <c r="I95" i="30"/>
  <c r="J95" i="30"/>
  <c r="D152" i="30"/>
  <c r="F122" i="30"/>
  <c r="I124" i="30"/>
  <c r="J124" i="30"/>
  <c r="F80" i="30"/>
  <c r="F185" i="30"/>
  <c r="F124" i="30"/>
  <c r="F50" i="30"/>
  <c r="F62" i="30"/>
  <c r="I272" i="30"/>
  <c r="J272" i="30"/>
  <c r="D157" i="30"/>
  <c r="F47" i="30"/>
  <c r="F198" i="30"/>
  <c r="D41" i="30"/>
  <c r="D282" i="30"/>
  <c r="D71" i="30"/>
  <c r="D102" i="30"/>
  <c r="F28" i="30"/>
  <c r="F78" i="30"/>
  <c r="F150" i="30"/>
  <c r="F93" i="30"/>
  <c r="D17" i="30"/>
  <c r="F259" i="30"/>
  <c r="D46" i="30"/>
  <c r="F201" i="30"/>
  <c r="I90" i="30"/>
  <c r="J90" i="30"/>
  <c r="I127" i="30"/>
  <c r="J127" i="30"/>
  <c r="F103" i="30"/>
  <c r="D267" i="30"/>
  <c r="F214" i="30"/>
  <c r="F253" i="30"/>
  <c r="D82" i="30"/>
  <c r="I236" i="30"/>
  <c r="J236" i="30"/>
  <c r="F267" i="30"/>
  <c r="F53" i="30"/>
  <c r="D61" i="30"/>
  <c r="I258" i="30"/>
  <c r="J258" i="30"/>
  <c r="D49" i="30"/>
  <c r="D144" i="30"/>
  <c r="D141" i="30"/>
  <c r="I245" i="30"/>
  <c r="J245" i="30"/>
  <c r="D186" i="30"/>
  <c r="I27" i="30"/>
  <c r="J27" i="30"/>
  <c r="F137" i="30"/>
  <c r="D209" i="30"/>
  <c r="D126" i="30"/>
  <c r="D177" i="30"/>
  <c r="I123" i="30"/>
  <c r="J123" i="30"/>
  <c r="D77" i="30"/>
  <c r="D98" i="30"/>
  <c r="F145" i="30"/>
  <c r="D29" i="30"/>
  <c r="I170" i="30"/>
  <c r="J170" i="30"/>
  <c r="F89" i="30"/>
  <c r="I105" i="30"/>
  <c r="J105" i="30"/>
  <c r="I218" i="30"/>
  <c r="J218" i="30"/>
  <c r="F75" i="30"/>
  <c r="D134" i="30"/>
  <c r="D31" i="30"/>
  <c r="F230" i="30"/>
  <c r="D181" i="30"/>
  <c r="I228" i="30"/>
  <c r="J228" i="30"/>
  <c r="F247" i="30"/>
  <c r="I99" i="30"/>
  <c r="J99" i="30"/>
  <c r="I174" i="30"/>
  <c r="J174" i="30"/>
  <c r="I33" i="30"/>
  <c r="J33" i="30"/>
  <c r="F285" i="30"/>
  <c r="I269" i="30"/>
  <c r="J269" i="30"/>
  <c r="F83" i="30"/>
  <c r="I28" i="30"/>
  <c r="J28" i="30"/>
  <c r="I201" i="30"/>
  <c r="J201" i="30"/>
  <c r="D59" i="30"/>
  <c r="I256" i="30"/>
  <c r="J256" i="30"/>
  <c r="I18" i="30"/>
  <c r="F263" i="30"/>
  <c r="F260" i="30"/>
  <c r="I221" i="30"/>
  <c r="J221" i="30"/>
  <c r="D244" i="30"/>
  <c r="D196" i="30"/>
  <c r="AG22" i="25" a="1"/>
  <c r="AG22" i="25"/>
  <c r="F17" i="30"/>
  <c r="F233" i="30"/>
  <c r="I120" i="30"/>
  <c r="J120" i="30"/>
  <c r="I169" i="30"/>
  <c r="J169" i="30"/>
  <c r="D216" i="30"/>
  <c r="I282" i="30"/>
  <c r="J282" i="30"/>
  <c r="D100" i="30"/>
  <c r="I107" i="30"/>
  <c r="J107" i="30"/>
  <c r="D80" i="30"/>
  <c r="F169" i="30"/>
  <c r="F288" i="30"/>
  <c r="I178" i="30"/>
  <c r="J178" i="30"/>
  <c r="F52" i="30"/>
  <c r="F225" i="30"/>
  <c r="I188" i="30"/>
  <c r="J188" i="30"/>
  <c r="D185" i="30"/>
  <c r="D26" i="30"/>
  <c r="D147" i="30"/>
  <c r="D247" i="30"/>
  <c r="I159" i="30"/>
  <c r="J159" i="30"/>
  <c r="I24" i="30"/>
  <c r="J24" i="30"/>
  <c r="D226" i="30"/>
  <c r="D99" i="30"/>
  <c r="D192" i="30"/>
  <c r="I248" i="30"/>
  <c r="J248" i="30"/>
  <c r="F29" i="30"/>
  <c r="I212" i="30"/>
  <c r="J212" i="30"/>
  <c r="F102" i="30"/>
  <c r="F147" i="30"/>
  <c r="F74" i="30"/>
  <c r="F154" i="30"/>
  <c r="I204" i="30"/>
  <c r="J204" i="30"/>
  <c r="I53" i="30"/>
  <c r="J53" i="30"/>
  <c r="F33" i="30"/>
  <c r="I52" i="30"/>
  <c r="J52" i="30"/>
  <c r="F264" i="30"/>
  <c r="AC22" i="25" a="1"/>
  <c r="AC22" i="25"/>
  <c r="D22" i="30"/>
  <c r="F104" i="30"/>
  <c r="F64" i="30"/>
  <c r="F115" i="30"/>
  <c r="I82" i="30"/>
  <c r="J82" i="30"/>
  <c r="F152" i="30"/>
  <c r="I26" i="30"/>
  <c r="I154" i="30"/>
  <c r="J154" i="30"/>
  <c r="F45" i="30"/>
  <c r="I93" i="30"/>
  <c r="J93" i="30"/>
  <c r="F221" i="30"/>
  <c r="F133" i="30"/>
  <c r="I122" i="30"/>
  <c r="J122" i="30"/>
  <c r="I133" i="30"/>
  <c r="J133" i="30"/>
  <c r="F224" i="30"/>
  <c r="I77" i="30"/>
  <c r="J77" i="30"/>
  <c r="D56" i="30"/>
  <c r="I116" i="30"/>
  <c r="J116" i="30"/>
  <c r="F165" i="30"/>
  <c r="I214" i="30"/>
  <c r="J214" i="30"/>
  <c r="F26" i="30"/>
  <c r="F55" i="30"/>
  <c r="I294" i="30"/>
  <c r="J294" i="30"/>
  <c r="F248" i="30"/>
  <c r="D182" i="30"/>
  <c r="I225" i="30"/>
  <c r="J225" i="30"/>
  <c r="D40" i="30"/>
  <c r="I206" i="30"/>
  <c r="J206" i="30"/>
  <c r="I207" i="30"/>
  <c r="J207" i="30"/>
  <c r="F41" i="30"/>
  <c r="D189" i="30"/>
  <c r="I96" i="30"/>
  <c r="J96" i="30"/>
  <c r="F232" i="30"/>
  <c r="D261" i="30"/>
  <c r="F95" i="30"/>
  <c r="D73" i="30"/>
  <c r="D188" i="30"/>
  <c r="I177" i="30"/>
  <c r="J177" i="30"/>
  <c r="I200" i="30"/>
  <c r="J200" i="30"/>
  <c r="D51" i="30"/>
  <c r="I50" i="30"/>
  <c r="J50" i="30"/>
  <c r="I40" i="30"/>
  <c r="J40" i="30"/>
  <c r="J18" i="30"/>
  <c r="Q67" i="9"/>
  <c r="A35" i="25"/>
  <c r="D35" i="25"/>
  <c r="B32" i="29"/>
  <c r="C69" i="9"/>
  <c r="B69" i="9"/>
  <c r="P68" i="9"/>
  <c r="U68" i="9"/>
  <c r="X68" i="9"/>
  <c r="W68" i="9"/>
  <c r="S68" i="9"/>
  <c r="N68" i="9"/>
  <c r="AD30" i="29"/>
  <c r="F30" i="29"/>
  <c r="AE30" i="29"/>
  <c r="E31" i="29"/>
  <c r="D31" i="29"/>
  <c r="AC31" i="29"/>
  <c r="I34" i="25"/>
  <c r="W34" i="25"/>
  <c r="E34" i="25"/>
  <c r="F34" i="25"/>
  <c r="G34" i="25"/>
  <c r="V34" i="25"/>
  <c r="H34" i="25"/>
  <c r="U34" i="25"/>
  <c r="K34" i="25"/>
  <c r="T34" i="25"/>
  <c r="F20" i="30"/>
  <c r="AD415" i="9"/>
  <c r="AE416" i="9"/>
  <c r="M416" i="9"/>
  <c r="AD50" i="9"/>
  <c r="AE50" i="9"/>
  <c r="M50" i="9"/>
  <c r="T51" i="11"/>
  <c r="N52" i="11"/>
  <c r="AE408" i="9"/>
  <c r="M408" i="9"/>
  <c r="AD408" i="9"/>
  <c r="N410" i="11"/>
  <c r="T409" i="11"/>
  <c r="P5" i="11"/>
  <c r="P6" i="11"/>
  <c r="P7" i="11"/>
  <c r="P8" i="11"/>
  <c r="P9" i="11"/>
  <c r="P10" i="11"/>
  <c r="P11" i="11"/>
  <c r="P12" i="11"/>
  <c r="P13" i="11"/>
  <c r="P14" i="11"/>
  <c r="P15" i="11"/>
  <c r="P16" i="11"/>
  <c r="P17" i="11"/>
  <c r="P18" i="11"/>
  <c r="P19" i="11"/>
  <c r="P20" i="11"/>
  <c r="P21" i="11"/>
  <c r="P22" i="11"/>
  <c r="P23" i="11"/>
  <c r="P24" i="11"/>
  <c r="P25" i="11"/>
  <c r="P26" i="11"/>
  <c r="P27" i="11"/>
  <c r="P28" i="11"/>
  <c r="P29" i="11"/>
  <c r="P30" i="11"/>
  <c r="P31" i="11"/>
  <c r="P32" i="11"/>
  <c r="P33" i="11"/>
  <c r="P34" i="11"/>
  <c r="P35" i="11"/>
  <c r="P36" i="11"/>
  <c r="P37" i="11"/>
  <c r="P38" i="11"/>
  <c r="P39" i="11"/>
  <c r="P40" i="11"/>
  <c r="P41" i="11"/>
  <c r="P42" i="11"/>
  <c r="P43" i="11"/>
  <c r="P44" i="11"/>
  <c r="P45" i="11"/>
  <c r="P46" i="11"/>
  <c r="P47" i="11"/>
  <c r="P48" i="11"/>
  <c r="P49" i="11"/>
  <c r="P50" i="11"/>
  <c r="P51" i="11"/>
  <c r="P52" i="11"/>
  <c r="AE414" i="9"/>
  <c r="M414" i="9"/>
  <c r="M413" i="9"/>
  <c r="L479" i="9"/>
  <c r="K479" i="9"/>
  <c r="AN479" i="9"/>
  <c r="AO479" i="9"/>
  <c r="AP479" i="9"/>
  <c r="O479" i="9"/>
  <c r="K469" i="9"/>
  <c r="AN469" i="9"/>
  <c r="AO469" i="9"/>
  <c r="AP469" i="9"/>
  <c r="O469" i="9"/>
  <c r="L469" i="9"/>
  <c r="L478" i="9"/>
  <c r="K478" i="9"/>
  <c r="AN478" i="9"/>
  <c r="AO478" i="9"/>
  <c r="AP478" i="9"/>
  <c r="O478" i="9"/>
  <c r="L96" i="9"/>
  <c r="K96" i="9"/>
  <c r="AN96" i="9"/>
  <c r="AO96" i="9"/>
  <c r="AP96" i="9"/>
  <c r="O96" i="9"/>
  <c r="L102" i="9"/>
  <c r="K102" i="9"/>
  <c r="AN102" i="9"/>
  <c r="AO102" i="9"/>
  <c r="AP102" i="9"/>
  <c r="O102" i="9"/>
  <c r="L470" i="9"/>
  <c r="K470" i="9"/>
  <c r="AN470" i="9"/>
  <c r="AO470" i="9"/>
  <c r="AP470" i="9"/>
  <c r="O470" i="9"/>
  <c r="L475" i="9"/>
  <c r="K475" i="9"/>
  <c r="AN475" i="9"/>
  <c r="AO475" i="9"/>
  <c r="AP475" i="9"/>
  <c r="O475" i="9"/>
  <c r="K465" i="9"/>
  <c r="AN465" i="9"/>
  <c r="AO465" i="9"/>
  <c r="AP465" i="9"/>
  <c r="O465" i="9"/>
  <c r="L465" i="9"/>
  <c r="L108" i="9"/>
  <c r="K108" i="9"/>
  <c r="AN108" i="9"/>
  <c r="AO108" i="9"/>
  <c r="AP108" i="9"/>
  <c r="O108" i="9"/>
  <c r="L95" i="9"/>
  <c r="K95" i="9"/>
  <c r="AN95" i="9"/>
  <c r="AO95" i="9"/>
  <c r="AP95" i="9"/>
  <c r="O95" i="9"/>
  <c r="K117" i="9"/>
  <c r="AN117" i="9"/>
  <c r="AO117" i="9"/>
  <c r="AP117" i="9"/>
  <c r="O117" i="9"/>
  <c r="L117" i="9"/>
  <c r="L480" i="9"/>
  <c r="K480" i="9"/>
  <c r="AN480" i="9"/>
  <c r="AO480" i="9"/>
  <c r="AP480" i="9"/>
  <c r="O480" i="9"/>
  <c r="L123" i="9"/>
  <c r="K123" i="9"/>
  <c r="AN123" i="9"/>
  <c r="AO123" i="9"/>
  <c r="AP123" i="9"/>
  <c r="O123" i="9"/>
  <c r="L466" i="9"/>
  <c r="K466" i="9"/>
  <c r="AN466" i="9"/>
  <c r="AO466" i="9"/>
  <c r="AP466" i="9"/>
  <c r="O466" i="9"/>
  <c r="AC438" i="9"/>
  <c r="D438" i="9"/>
  <c r="AB437" i="9"/>
  <c r="AB72" i="9"/>
  <c r="AC72" i="9"/>
  <c r="D72" i="9"/>
  <c r="T73" i="7"/>
  <c r="AC454" i="9"/>
  <c r="D454" i="9"/>
  <c r="AB453" i="9"/>
  <c r="AC88" i="9"/>
  <c r="D88" i="9"/>
  <c r="AB88" i="9"/>
  <c r="T89" i="7"/>
  <c r="AC445" i="9"/>
  <c r="D445" i="9"/>
  <c r="AB444" i="9"/>
  <c r="AC79" i="9"/>
  <c r="D79" i="9"/>
  <c r="AB79" i="9"/>
  <c r="T80" i="7"/>
  <c r="AC432" i="9"/>
  <c r="D432" i="9"/>
  <c r="AB431" i="9"/>
  <c r="AC66" i="9"/>
  <c r="D66" i="9"/>
  <c r="AB66" i="9"/>
  <c r="T67" i="7"/>
  <c r="AC448" i="9"/>
  <c r="D448" i="9"/>
  <c r="AB447" i="9"/>
  <c r="AC82" i="9"/>
  <c r="D82" i="9"/>
  <c r="AB82" i="9"/>
  <c r="T83" i="7"/>
  <c r="AB434" i="9"/>
  <c r="AC435" i="9"/>
  <c r="D435" i="9"/>
  <c r="AC69" i="9"/>
  <c r="D69" i="9"/>
  <c r="AB69" i="9"/>
  <c r="T70" i="7"/>
  <c r="AB450" i="9"/>
  <c r="AC451" i="9"/>
  <c r="D451" i="9"/>
  <c r="AC85" i="9"/>
  <c r="D85" i="9"/>
  <c r="AB85" i="9"/>
  <c r="T86" i="7"/>
  <c r="K471" i="9"/>
  <c r="AN471" i="9"/>
  <c r="AO471" i="9"/>
  <c r="AP471" i="9"/>
  <c r="O471" i="9"/>
  <c r="L471" i="9"/>
  <c r="K477" i="9"/>
  <c r="AN477" i="9"/>
  <c r="AO477" i="9"/>
  <c r="AP477" i="9"/>
  <c r="O477" i="9"/>
  <c r="L477" i="9"/>
  <c r="L463" i="9"/>
  <c r="K463" i="9"/>
  <c r="AN463" i="9"/>
  <c r="AO463" i="9"/>
  <c r="AP463" i="9"/>
  <c r="O463" i="9"/>
  <c r="L119" i="9"/>
  <c r="K119" i="9"/>
  <c r="AN119" i="9"/>
  <c r="AO119" i="9"/>
  <c r="AP119" i="9"/>
  <c r="O119" i="9"/>
  <c r="L462" i="9"/>
  <c r="K462" i="9"/>
  <c r="AN462" i="9"/>
  <c r="AO462" i="9"/>
  <c r="AP462" i="9"/>
  <c r="O462" i="9"/>
  <c r="K488" i="9"/>
  <c r="AN488" i="9"/>
  <c r="AO488" i="9"/>
  <c r="AP488" i="9"/>
  <c r="O488" i="9"/>
  <c r="L488" i="9"/>
  <c r="L115" i="9"/>
  <c r="K115" i="9"/>
  <c r="AN115" i="9"/>
  <c r="AO115" i="9"/>
  <c r="AP115" i="9"/>
  <c r="O115" i="9"/>
  <c r="L490" i="9"/>
  <c r="K490" i="9"/>
  <c r="AN490" i="9"/>
  <c r="AO490" i="9"/>
  <c r="AP490" i="9"/>
  <c r="O490" i="9"/>
  <c r="L120" i="9"/>
  <c r="K120" i="9"/>
  <c r="AN120" i="9"/>
  <c r="AO120" i="9"/>
  <c r="AP120" i="9"/>
  <c r="O120" i="9"/>
  <c r="K487" i="9"/>
  <c r="AN487" i="9"/>
  <c r="AO487" i="9"/>
  <c r="AP487" i="9"/>
  <c r="O487" i="9"/>
  <c r="L487" i="9"/>
  <c r="K101" i="9"/>
  <c r="AN101" i="9"/>
  <c r="AO101" i="9"/>
  <c r="AP101" i="9"/>
  <c r="O101" i="9"/>
  <c r="L101" i="9"/>
  <c r="L114" i="9"/>
  <c r="K114" i="9"/>
  <c r="AN114" i="9"/>
  <c r="AO114" i="9"/>
  <c r="AP114" i="9"/>
  <c r="O114" i="9"/>
  <c r="L464" i="9"/>
  <c r="K464" i="9"/>
  <c r="AN464" i="9"/>
  <c r="AO464" i="9"/>
  <c r="AP464" i="9"/>
  <c r="O464" i="9"/>
  <c r="K489" i="9"/>
  <c r="AN489" i="9"/>
  <c r="AO489" i="9"/>
  <c r="AP489" i="9"/>
  <c r="O489" i="9"/>
  <c r="L489" i="9"/>
  <c r="L107" i="9"/>
  <c r="K107" i="9"/>
  <c r="AN107" i="9"/>
  <c r="AO107" i="9"/>
  <c r="AP107" i="9"/>
  <c r="O107" i="9"/>
  <c r="AB430" i="9"/>
  <c r="AC431" i="9"/>
  <c r="D431" i="9"/>
  <c r="AC65" i="9"/>
  <c r="D65" i="9"/>
  <c r="AB65" i="9"/>
  <c r="T66" i="7"/>
  <c r="AB441" i="9"/>
  <c r="AC442" i="9"/>
  <c r="D442" i="9"/>
  <c r="AB76" i="9"/>
  <c r="AC76" i="9"/>
  <c r="D76" i="9"/>
  <c r="T77" i="7"/>
  <c r="AC458" i="9"/>
  <c r="D458" i="9"/>
  <c r="AB457" i="9"/>
  <c r="AC92" i="9"/>
  <c r="D92" i="9"/>
  <c r="AB92" i="9"/>
  <c r="T93" i="7"/>
  <c r="AC449" i="9"/>
  <c r="D449" i="9"/>
  <c r="AB448" i="9"/>
  <c r="AC83" i="9"/>
  <c r="D83" i="9"/>
  <c r="AB83" i="9"/>
  <c r="T84" i="7"/>
  <c r="AC436" i="9"/>
  <c r="D436" i="9"/>
  <c r="AB435" i="9"/>
  <c r="AC70" i="9"/>
  <c r="D70" i="9"/>
  <c r="AB70" i="9"/>
  <c r="T71" i="7"/>
  <c r="AC452" i="9"/>
  <c r="D452" i="9"/>
  <c r="AB451" i="9"/>
  <c r="AB86" i="9"/>
  <c r="AC86" i="9"/>
  <c r="D86" i="9"/>
  <c r="T87" i="7"/>
  <c r="AC439" i="9"/>
  <c r="D439" i="9"/>
  <c r="AB438" i="9"/>
  <c r="AC73" i="9"/>
  <c r="D73" i="9"/>
  <c r="AB73" i="9"/>
  <c r="T74" i="7"/>
  <c r="AC455" i="9"/>
  <c r="D455" i="9"/>
  <c r="AB454" i="9"/>
  <c r="AC89" i="9"/>
  <c r="D89" i="9"/>
  <c r="AB89" i="9"/>
  <c r="T90" i="7"/>
  <c r="K113" i="9"/>
  <c r="AN113" i="9"/>
  <c r="AO113" i="9"/>
  <c r="AP113" i="9"/>
  <c r="O113" i="9"/>
  <c r="L113" i="9"/>
  <c r="L476" i="9"/>
  <c r="K476" i="9"/>
  <c r="AN476" i="9"/>
  <c r="AO476" i="9"/>
  <c r="AP476" i="9"/>
  <c r="O476" i="9"/>
  <c r="L103" i="9"/>
  <c r="K103" i="9"/>
  <c r="AN103" i="9"/>
  <c r="AO103" i="9"/>
  <c r="AP103" i="9"/>
  <c r="O103" i="9"/>
  <c r="L104" i="9"/>
  <c r="K104" i="9"/>
  <c r="AN104" i="9"/>
  <c r="AO104" i="9"/>
  <c r="AP104" i="9"/>
  <c r="O104" i="9"/>
  <c r="K109" i="9"/>
  <c r="AN109" i="9"/>
  <c r="AO109" i="9"/>
  <c r="AP109" i="9"/>
  <c r="O109" i="9"/>
  <c r="L109" i="9"/>
  <c r="L122" i="9"/>
  <c r="K122" i="9"/>
  <c r="AN122" i="9"/>
  <c r="AO122" i="9"/>
  <c r="AP122" i="9"/>
  <c r="O122" i="9"/>
  <c r="K472" i="9"/>
  <c r="AN472" i="9"/>
  <c r="AO472" i="9"/>
  <c r="AP472" i="9"/>
  <c r="O472" i="9"/>
  <c r="L472" i="9"/>
  <c r="L99" i="9"/>
  <c r="K99" i="9"/>
  <c r="AN99" i="9"/>
  <c r="AO99" i="9"/>
  <c r="AP99" i="9"/>
  <c r="O99" i="9"/>
  <c r="L474" i="9"/>
  <c r="K474" i="9"/>
  <c r="AN474" i="9"/>
  <c r="AO474" i="9"/>
  <c r="AP474" i="9"/>
  <c r="O474" i="9"/>
  <c r="L484" i="9"/>
  <c r="K484" i="9"/>
  <c r="AN484" i="9"/>
  <c r="AO484" i="9"/>
  <c r="AP484" i="9"/>
  <c r="O484" i="9"/>
  <c r="L461" i="9"/>
  <c r="K461" i="9"/>
  <c r="AN461" i="9"/>
  <c r="AO461" i="9"/>
  <c r="AP461" i="9"/>
  <c r="O461" i="9"/>
  <c r="L483" i="9"/>
  <c r="K483" i="9"/>
  <c r="AN483" i="9"/>
  <c r="AO483" i="9"/>
  <c r="AP483" i="9"/>
  <c r="O483" i="9"/>
  <c r="L98" i="9"/>
  <c r="K98" i="9"/>
  <c r="AN98" i="9"/>
  <c r="AO98" i="9"/>
  <c r="AP98" i="9"/>
  <c r="O98" i="9"/>
  <c r="K473" i="9"/>
  <c r="AN473" i="9"/>
  <c r="AO473" i="9"/>
  <c r="AP473" i="9"/>
  <c r="O473" i="9"/>
  <c r="L473" i="9"/>
  <c r="L116" i="9"/>
  <c r="K116" i="9"/>
  <c r="AN116" i="9"/>
  <c r="AO116" i="9"/>
  <c r="AP116" i="9"/>
  <c r="O116" i="9"/>
  <c r="H61" i="7"/>
  <c r="Q61" i="7"/>
  <c r="N61" i="7"/>
  <c r="H57" i="7"/>
  <c r="Q57" i="7"/>
  <c r="N57" i="7"/>
  <c r="H53" i="7"/>
  <c r="Q53" i="7"/>
  <c r="H49" i="7"/>
  <c r="H47" i="7"/>
  <c r="H45" i="7"/>
  <c r="H43" i="7"/>
  <c r="H41" i="7"/>
  <c r="H39" i="7"/>
  <c r="H37" i="7"/>
  <c r="H58" i="7"/>
  <c r="Q58" i="7"/>
  <c r="N58" i="7"/>
  <c r="H60" i="7"/>
  <c r="Q60" i="7"/>
  <c r="N60" i="7"/>
  <c r="H59" i="7"/>
  <c r="Q59" i="7"/>
  <c r="N59" i="7"/>
  <c r="H52" i="7"/>
  <c r="Q52" i="7"/>
  <c r="H51" i="7"/>
  <c r="Q51" i="7"/>
  <c r="N415" i="7"/>
  <c r="I35" i="7"/>
  <c r="I33" i="7"/>
  <c r="I31" i="7"/>
  <c r="I29" i="7"/>
  <c r="I27" i="7"/>
  <c r="I25" i="7"/>
  <c r="I23" i="7"/>
  <c r="I21" i="7"/>
  <c r="I19" i="7"/>
  <c r="I17" i="7"/>
  <c r="I15" i="7"/>
  <c r="I13" i="7"/>
  <c r="I11" i="7"/>
  <c r="I9" i="7"/>
  <c r="I7" i="7"/>
  <c r="H62" i="7"/>
  <c r="Q62" i="7"/>
  <c r="N62" i="7"/>
  <c r="H54" i="7"/>
  <c r="Q54" i="7"/>
  <c r="H50" i="7"/>
  <c r="Q50" i="7"/>
  <c r="H48" i="7"/>
  <c r="H46" i="7"/>
  <c r="H44" i="7"/>
  <c r="H42" i="7"/>
  <c r="H40" i="7"/>
  <c r="H38" i="7"/>
  <c r="H36" i="7"/>
  <c r="K4" i="8"/>
  <c r="H64" i="7"/>
  <c r="Q64" i="7"/>
  <c r="N64" i="7"/>
  <c r="H63" i="7"/>
  <c r="Q63" i="7"/>
  <c r="N63" i="7"/>
  <c r="H56" i="7"/>
  <c r="Q56" i="7"/>
  <c r="N56" i="7"/>
  <c r="H55" i="7"/>
  <c r="Q55" i="7"/>
  <c r="N55" i="7"/>
  <c r="I34" i="7"/>
  <c r="I32" i="7"/>
  <c r="I30" i="7"/>
  <c r="I28" i="7"/>
  <c r="I26" i="7"/>
  <c r="I24" i="7"/>
  <c r="I22" i="7"/>
  <c r="I20" i="7"/>
  <c r="I18" i="7"/>
  <c r="I16" i="7"/>
  <c r="I14" i="7"/>
  <c r="I12" i="7"/>
  <c r="I10" i="7"/>
  <c r="I8" i="7"/>
  <c r="I6" i="7"/>
  <c r="I4" i="7"/>
  <c r="I5" i="7"/>
  <c r="AC433" i="9"/>
  <c r="D433" i="9"/>
  <c r="AB432" i="9"/>
  <c r="AC67" i="9"/>
  <c r="D67" i="9"/>
  <c r="AB67" i="9"/>
  <c r="T68" i="7"/>
  <c r="AB429" i="9"/>
  <c r="AC430" i="9"/>
  <c r="D430" i="9"/>
  <c r="AB64" i="9"/>
  <c r="AC64" i="9"/>
  <c r="D64" i="9"/>
  <c r="T65" i="7"/>
  <c r="AB445" i="9"/>
  <c r="AC446" i="9"/>
  <c r="D446" i="9"/>
  <c r="AB80" i="9"/>
  <c r="AC80" i="9"/>
  <c r="D80" i="9"/>
  <c r="T81" i="7"/>
  <c r="AC437" i="9"/>
  <c r="D437" i="9"/>
  <c r="AB436" i="9"/>
  <c r="AC71" i="9"/>
  <c r="D71" i="9"/>
  <c r="AB71" i="9"/>
  <c r="T72" i="7"/>
  <c r="AC453" i="9"/>
  <c r="D453" i="9"/>
  <c r="AB452" i="9"/>
  <c r="AC87" i="9"/>
  <c r="D87" i="9"/>
  <c r="AB87" i="9"/>
  <c r="T88" i="7"/>
  <c r="AC440" i="9"/>
  <c r="D440" i="9"/>
  <c r="AB439" i="9"/>
  <c r="AC74" i="9"/>
  <c r="D74" i="9"/>
  <c r="AB74" i="9"/>
  <c r="T75" i="7"/>
  <c r="AC456" i="9"/>
  <c r="D456" i="9"/>
  <c r="AB455" i="9"/>
  <c r="AB90" i="9"/>
  <c r="AC90" i="9"/>
  <c r="D90" i="9"/>
  <c r="T91" i="7"/>
  <c r="AC443" i="9"/>
  <c r="D443" i="9"/>
  <c r="AB442" i="9"/>
  <c r="AC77" i="9"/>
  <c r="D77" i="9"/>
  <c r="AB77" i="9"/>
  <c r="T78" i="7"/>
  <c r="AC459" i="9"/>
  <c r="D459" i="9"/>
  <c r="AB458" i="9"/>
  <c r="AC93" i="9"/>
  <c r="D93" i="9"/>
  <c r="AB93" i="9"/>
  <c r="T94" i="7"/>
  <c r="K105" i="9"/>
  <c r="AN105" i="9"/>
  <c r="AO105" i="9"/>
  <c r="AP105" i="9"/>
  <c r="O105" i="9"/>
  <c r="L105" i="9"/>
  <c r="K97" i="9"/>
  <c r="AN97" i="9"/>
  <c r="AO97" i="9"/>
  <c r="AP97" i="9"/>
  <c r="O97" i="9"/>
  <c r="L97" i="9"/>
  <c r="L110" i="9"/>
  <c r="K110" i="9"/>
  <c r="AN110" i="9"/>
  <c r="AO110" i="9"/>
  <c r="AP110" i="9"/>
  <c r="O110" i="9"/>
  <c r="K485" i="9"/>
  <c r="AN485" i="9"/>
  <c r="AO485" i="9"/>
  <c r="AP485" i="9"/>
  <c r="O485" i="9"/>
  <c r="L485" i="9"/>
  <c r="L112" i="9"/>
  <c r="K112" i="9"/>
  <c r="AN112" i="9"/>
  <c r="AO112" i="9"/>
  <c r="AP112" i="9"/>
  <c r="O112" i="9"/>
  <c r="L468" i="9"/>
  <c r="K468" i="9"/>
  <c r="AN468" i="9"/>
  <c r="AO468" i="9"/>
  <c r="AP468" i="9"/>
  <c r="O468" i="9"/>
  <c r="L106" i="9"/>
  <c r="K106" i="9"/>
  <c r="AN106" i="9"/>
  <c r="AO106" i="9"/>
  <c r="AP106" i="9"/>
  <c r="O106" i="9"/>
  <c r="K481" i="9"/>
  <c r="AN481" i="9"/>
  <c r="AO481" i="9"/>
  <c r="AP481" i="9"/>
  <c r="O481" i="9"/>
  <c r="L481" i="9"/>
  <c r="L124" i="9"/>
  <c r="K124" i="9"/>
  <c r="AN124" i="9"/>
  <c r="AO124" i="9"/>
  <c r="AP124" i="9"/>
  <c r="O124" i="9"/>
  <c r="L118" i="9"/>
  <c r="K118" i="9"/>
  <c r="AN118" i="9"/>
  <c r="AO118" i="9"/>
  <c r="AP118" i="9"/>
  <c r="O118" i="9"/>
  <c r="L486" i="9"/>
  <c r="K486" i="9"/>
  <c r="AN486" i="9"/>
  <c r="AO486" i="9"/>
  <c r="AP486" i="9"/>
  <c r="O486" i="9"/>
  <c r="K121" i="9"/>
  <c r="AN121" i="9"/>
  <c r="AO121" i="9"/>
  <c r="AP121" i="9"/>
  <c r="O121" i="9"/>
  <c r="L121" i="9"/>
  <c r="L467" i="9"/>
  <c r="K467" i="9"/>
  <c r="AN467" i="9"/>
  <c r="AO467" i="9"/>
  <c r="AP467" i="9"/>
  <c r="O467" i="9"/>
  <c r="L482" i="9"/>
  <c r="K482" i="9"/>
  <c r="AN482" i="9"/>
  <c r="AO482" i="9"/>
  <c r="AP482" i="9"/>
  <c r="O482" i="9"/>
  <c r="L100" i="9"/>
  <c r="K100" i="9"/>
  <c r="AN100" i="9"/>
  <c r="AO100" i="9"/>
  <c r="AP100" i="9"/>
  <c r="O100" i="9"/>
  <c r="AC434" i="9"/>
  <c r="D434" i="9"/>
  <c r="AB433" i="9"/>
  <c r="AB68" i="9"/>
  <c r="AC68" i="9"/>
  <c r="D68" i="9"/>
  <c r="T69" i="7"/>
  <c r="AC450" i="9"/>
  <c r="D450" i="9"/>
  <c r="AB449" i="9"/>
  <c r="AC84" i="9"/>
  <c r="D84" i="9"/>
  <c r="AB84" i="9"/>
  <c r="T85" i="7"/>
  <c r="AC441" i="9"/>
  <c r="D441" i="9"/>
  <c r="AB440" i="9"/>
  <c r="AC75" i="9"/>
  <c r="D75" i="9"/>
  <c r="AB75" i="9"/>
  <c r="T76" i="7"/>
  <c r="AC457" i="9"/>
  <c r="D457" i="9"/>
  <c r="AB456" i="9"/>
  <c r="AC91" i="9"/>
  <c r="D91" i="9"/>
  <c r="AB91" i="9"/>
  <c r="T92" i="7"/>
  <c r="AC444" i="9"/>
  <c r="D444" i="9"/>
  <c r="AB443" i="9"/>
  <c r="AC78" i="9"/>
  <c r="D78" i="9"/>
  <c r="AB78" i="9"/>
  <c r="T79" i="7"/>
  <c r="AC460" i="9"/>
  <c r="D460" i="9"/>
  <c r="AB459" i="9"/>
  <c r="AB94" i="9"/>
  <c r="AC94" i="9"/>
  <c r="D94" i="9"/>
  <c r="T95" i="7"/>
  <c r="AB446" i="9"/>
  <c r="AC447" i="9"/>
  <c r="D447" i="9"/>
  <c r="AC81" i="9"/>
  <c r="D81" i="9"/>
  <c r="AB81" i="9"/>
  <c r="T82" i="7"/>
  <c r="L111" i="9"/>
  <c r="K111" i="9"/>
  <c r="AN111" i="9"/>
  <c r="AO111" i="9"/>
  <c r="AP111" i="9"/>
  <c r="O111" i="9"/>
  <c r="I63" i="30"/>
  <c r="J63" i="30"/>
  <c r="I194" i="30"/>
  <c r="J194" i="30"/>
  <c r="D124" i="30"/>
  <c r="D255" i="30"/>
  <c r="D281" i="30"/>
  <c r="D112" i="30"/>
  <c r="D87" i="30"/>
  <c r="I113" i="30"/>
  <c r="J113" i="30"/>
  <c r="D130" i="30"/>
  <c r="D180" i="30"/>
  <c r="I300" i="30"/>
  <c r="J300" i="30"/>
  <c r="D239" i="30"/>
  <c r="F235" i="30"/>
  <c r="I119" i="30"/>
  <c r="J119" i="30"/>
  <c r="I280" i="30"/>
  <c r="J280" i="30"/>
  <c r="I291" i="30"/>
  <c r="J291" i="30"/>
  <c r="D170" i="30"/>
  <c r="I31" i="30"/>
  <c r="J31" i="30"/>
  <c r="F46" i="30"/>
  <c r="D269" i="30"/>
  <c r="I150" i="30"/>
  <c r="J150" i="30"/>
  <c r="I44" i="30"/>
  <c r="J44" i="30"/>
  <c r="F177" i="30"/>
  <c r="F143" i="30"/>
  <c r="D118" i="30"/>
  <c r="D131" i="30"/>
  <c r="F236" i="30"/>
  <c r="J26" i="30"/>
  <c r="D266" i="30"/>
  <c r="I257" i="30"/>
  <c r="J257" i="30"/>
  <c r="F157" i="30"/>
  <c r="F24" i="30"/>
  <c r="D227" i="30"/>
  <c r="D201" i="30"/>
  <c r="F196" i="30"/>
  <c r="F127" i="30"/>
  <c r="F287" i="30"/>
  <c r="D169" i="30"/>
  <c r="D110" i="30"/>
  <c r="I226" i="30"/>
  <c r="J226" i="30"/>
  <c r="F229" i="30"/>
  <c r="D264" i="30"/>
  <c r="I279" i="30"/>
  <c r="J279" i="30"/>
  <c r="D291" i="30"/>
  <c r="F88" i="30"/>
  <c r="I111" i="30"/>
  <c r="J111" i="30"/>
  <c r="F205" i="30"/>
  <c r="I288" i="30"/>
  <c r="J288" i="30"/>
  <c r="F252" i="30"/>
  <c r="D167" i="30"/>
  <c r="F212" i="30"/>
  <c r="D222" i="30"/>
  <c r="D168" i="30"/>
  <c r="D220" i="30"/>
  <c r="D250" i="30"/>
  <c r="I242" i="30"/>
  <c r="J242" i="30"/>
  <c r="D203" i="30"/>
  <c r="F82" i="30"/>
  <c r="D183" i="30"/>
  <c r="F296" i="30"/>
  <c r="D67" i="30"/>
  <c r="I283" i="30"/>
  <c r="J283" i="30"/>
  <c r="D139" i="30"/>
  <c r="I244" i="30"/>
  <c r="J244" i="30"/>
  <c r="F223" i="30"/>
  <c r="I267" i="30"/>
  <c r="J267" i="30"/>
  <c r="I108" i="30"/>
  <c r="J108" i="30"/>
  <c r="I246" i="30"/>
  <c r="J246" i="30"/>
  <c r="I290" i="30"/>
  <c r="J290" i="30"/>
  <c r="I220" i="30"/>
  <c r="J220" i="30"/>
  <c r="F269" i="30"/>
  <c r="D184" i="30"/>
  <c r="I78" i="30"/>
  <c r="J78" i="30"/>
  <c r="D75" i="30"/>
  <c r="F48" i="30"/>
  <c r="D174" i="30"/>
  <c r="F234" i="30"/>
  <c r="I240" i="30"/>
  <c r="J240" i="30"/>
  <c r="I135" i="30"/>
  <c r="J135" i="30"/>
  <c r="I45" i="30"/>
  <c r="J45" i="30"/>
  <c r="I278" i="30"/>
  <c r="J278" i="30"/>
  <c r="D24" i="30"/>
  <c r="I295" i="30"/>
  <c r="J295" i="30"/>
  <c r="I149" i="30"/>
  <c r="J149" i="30"/>
  <c r="F90" i="30"/>
  <c r="F146" i="30"/>
  <c r="F70" i="30"/>
  <c r="D44" i="30"/>
  <c r="D136" i="30"/>
  <c r="I87" i="30"/>
  <c r="J87" i="30"/>
  <c r="D86" i="30"/>
  <c r="I56" i="30"/>
  <c r="J56" i="30"/>
  <c r="D285" i="30"/>
  <c r="I109" i="30"/>
  <c r="J109" i="30"/>
  <c r="I30" i="30"/>
  <c r="J30" i="30"/>
  <c r="F126" i="30"/>
  <c r="D238" i="30"/>
  <c r="D45" i="30"/>
  <c r="J19" i="30"/>
  <c r="J21" i="30"/>
  <c r="D66" i="30"/>
  <c r="D234" i="30"/>
  <c r="F131" i="30"/>
  <c r="I216" i="30"/>
  <c r="J216" i="30"/>
  <c r="F293" i="30"/>
  <c r="F81" i="30"/>
  <c r="F173" i="30"/>
  <c r="D76" i="30"/>
  <c r="I69" i="30"/>
  <c r="J69" i="30"/>
  <c r="D237" i="30"/>
  <c r="F163" i="30"/>
  <c r="F262" i="30"/>
  <c r="D18" i="30"/>
  <c r="F171" i="30"/>
  <c r="I81" i="30"/>
  <c r="J81" i="30"/>
  <c r="I233" i="30"/>
  <c r="J233" i="30"/>
  <c r="F271" i="30"/>
  <c r="F54" i="30"/>
  <c r="I97" i="30"/>
  <c r="J97" i="30"/>
  <c r="I181" i="30"/>
  <c r="J181" i="30"/>
  <c r="F117" i="30"/>
  <c r="F72" i="30"/>
  <c r="I271" i="30"/>
  <c r="J271" i="30"/>
  <c r="I136" i="30"/>
  <c r="J136" i="30"/>
  <c r="I183" i="30"/>
  <c r="J183" i="30"/>
  <c r="D260" i="30"/>
  <c r="F220" i="30"/>
  <c r="D145" i="30"/>
  <c r="J23" i="30"/>
  <c r="J22" i="30"/>
  <c r="F120" i="30"/>
  <c r="I147" i="30"/>
  <c r="J147" i="30"/>
  <c r="I187" i="30"/>
  <c r="J187" i="30"/>
  <c r="I54" i="30"/>
  <c r="J54" i="30"/>
  <c r="D129" i="30"/>
  <c r="F106" i="30"/>
  <c r="AD22" i="25" a="1"/>
  <c r="AD22" i="25"/>
  <c r="F22" i="30"/>
  <c r="I205" i="30"/>
  <c r="J205" i="30"/>
  <c r="D125" i="30"/>
  <c r="D117" i="30"/>
  <c r="F218" i="30"/>
  <c r="I68" i="30"/>
  <c r="J68" i="30"/>
  <c r="D109" i="30"/>
  <c r="F76" i="30"/>
  <c r="F184" i="30"/>
  <c r="D89" i="30"/>
  <c r="D296" i="30"/>
  <c r="F44" i="30"/>
  <c r="D263" i="30"/>
  <c r="D290" i="30"/>
  <c r="F30" i="30"/>
  <c r="D232" i="30"/>
  <c r="D43" i="30"/>
  <c r="D30" i="30"/>
  <c r="D48" i="30"/>
  <c r="F284" i="30"/>
  <c r="I103" i="30"/>
  <c r="J103" i="30"/>
  <c r="I46" i="30"/>
  <c r="J46" i="30"/>
  <c r="D148" i="30"/>
  <c r="F188" i="30"/>
  <c r="F16" i="30"/>
  <c r="D199" i="30"/>
  <c r="E41" i="30"/>
  <c r="H41" i="30"/>
  <c r="G41" i="30"/>
  <c r="E248" i="30"/>
  <c r="H248" i="30"/>
  <c r="G248" i="30"/>
  <c r="E221" i="30"/>
  <c r="H221" i="30"/>
  <c r="G221" i="30"/>
  <c r="E147" i="30"/>
  <c r="H147" i="30"/>
  <c r="G147" i="30"/>
  <c r="E288" i="30"/>
  <c r="H288" i="30"/>
  <c r="G288" i="30"/>
  <c r="E145" i="30"/>
  <c r="H145" i="30"/>
  <c r="G145" i="30"/>
  <c r="E53" i="30"/>
  <c r="H53" i="30"/>
  <c r="G53" i="30"/>
  <c r="E78" i="30"/>
  <c r="H78" i="30"/>
  <c r="G78" i="30"/>
  <c r="E62" i="30"/>
  <c r="H62" i="30"/>
  <c r="G62" i="30"/>
  <c r="E122" i="30"/>
  <c r="H122" i="30"/>
  <c r="G122" i="30"/>
  <c r="E179" i="30"/>
  <c r="H179" i="30"/>
  <c r="G179" i="30"/>
  <c r="E191" i="30"/>
  <c r="H191" i="30"/>
  <c r="G191" i="30"/>
  <c r="E228" i="30"/>
  <c r="H228" i="30"/>
  <c r="G228" i="30"/>
  <c r="E290" i="30"/>
  <c r="H290" i="30"/>
  <c r="G290" i="30"/>
  <c r="E175" i="30"/>
  <c r="H175" i="30"/>
  <c r="G175" i="30"/>
  <c r="E85" i="30"/>
  <c r="H85" i="30"/>
  <c r="G85" i="30"/>
  <c r="E40" i="30"/>
  <c r="H40" i="30"/>
  <c r="G40" i="30"/>
  <c r="E63" i="30"/>
  <c r="H63" i="30"/>
  <c r="G63" i="30"/>
  <c r="E141" i="30"/>
  <c r="H141" i="30"/>
  <c r="G141" i="30"/>
  <c r="E193" i="30"/>
  <c r="H193" i="30"/>
  <c r="G193" i="30"/>
  <c r="E109" i="30"/>
  <c r="H109" i="30"/>
  <c r="G109" i="30"/>
  <c r="E291" i="30"/>
  <c r="H291" i="30"/>
  <c r="G291" i="30"/>
  <c r="E119" i="30"/>
  <c r="H119" i="30"/>
  <c r="G119" i="30"/>
  <c r="E298" i="30"/>
  <c r="H298" i="30"/>
  <c r="G298" i="30"/>
  <c r="E207" i="30"/>
  <c r="H207" i="30"/>
  <c r="G207" i="30"/>
  <c r="J20" i="30"/>
  <c r="E189" i="30"/>
  <c r="H189" i="30"/>
  <c r="G189" i="30"/>
  <c r="E286" i="30"/>
  <c r="H286" i="30"/>
  <c r="G286" i="30"/>
  <c r="E59" i="30"/>
  <c r="H59" i="30"/>
  <c r="G59" i="30"/>
  <c r="E255" i="30"/>
  <c r="H255" i="30"/>
  <c r="G255" i="30"/>
  <c r="E159" i="30"/>
  <c r="H159" i="30"/>
  <c r="G159" i="30"/>
  <c r="E136" i="30"/>
  <c r="H136" i="30"/>
  <c r="G136" i="30"/>
  <c r="E278" i="30"/>
  <c r="H278" i="30"/>
  <c r="G278" i="30"/>
  <c r="E158" i="30"/>
  <c r="H158" i="30"/>
  <c r="G158" i="30"/>
  <c r="E273" i="30"/>
  <c r="H273" i="30"/>
  <c r="G273" i="30"/>
  <c r="E34" i="30"/>
  <c r="H34" i="30"/>
  <c r="G34" i="30"/>
  <c r="E195" i="30"/>
  <c r="H195" i="30"/>
  <c r="G195" i="30"/>
  <c r="E210" i="30"/>
  <c r="H210" i="30"/>
  <c r="G210" i="30"/>
  <c r="E20" i="30"/>
  <c r="H20" i="30"/>
  <c r="G20" i="30"/>
  <c r="E121" i="30"/>
  <c r="H121" i="30"/>
  <c r="G121" i="30"/>
  <c r="E181" i="30"/>
  <c r="H181" i="30"/>
  <c r="G181" i="30"/>
  <c r="E96" i="30"/>
  <c r="H96" i="30"/>
  <c r="G96" i="30"/>
  <c r="E101" i="30"/>
  <c r="H101" i="30"/>
  <c r="G101" i="30"/>
  <c r="E299" i="30"/>
  <c r="H299" i="30"/>
  <c r="G299" i="30"/>
  <c r="E114" i="30"/>
  <c r="H114" i="30"/>
  <c r="G114" i="30"/>
  <c r="E161" i="30"/>
  <c r="H161" i="30"/>
  <c r="G161" i="30"/>
  <c r="E178" i="30"/>
  <c r="H178" i="30"/>
  <c r="G178" i="30"/>
  <c r="E187" i="30"/>
  <c r="H187" i="30"/>
  <c r="G187" i="30"/>
  <c r="E139" i="30"/>
  <c r="H139" i="30"/>
  <c r="G139" i="30"/>
  <c r="J16" i="30"/>
  <c r="E79" i="30"/>
  <c r="H79" i="30"/>
  <c r="G79" i="30"/>
  <c r="E69" i="30"/>
  <c r="H69" i="30"/>
  <c r="G69" i="30"/>
  <c r="E125" i="30"/>
  <c r="H125" i="30"/>
  <c r="G125" i="30"/>
  <c r="E39" i="30"/>
  <c r="H39" i="30"/>
  <c r="G39" i="30"/>
  <c r="E292" i="30"/>
  <c r="H292" i="30"/>
  <c r="G292" i="30"/>
  <c r="E134" i="30"/>
  <c r="H134" i="30"/>
  <c r="G134" i="30"/>
  <c r="E258" i="30"/>
  <c r="H258" i="30"/>
  <c r="G258" i="30"/>
  <c r="E261" i="30"/>
  <c r="H261" i="30"/>
  <c r="G261" i="30"/>
  <c r="E140" i="30"/>
  <c r="H140" i="30"/>
  <c r="G140" i="30"/>
  <c r="E223" i="30"/>
  <c r="H223" i="30"/>
  <c r="G223" i="30"/>
  <c r="E219" i="30"/>
  <c r="H219" i="30"/>
  <c r="G219" i="30"/>
  <c r="E82" i="30"/>
  <c r="H82" i="30"/>
  <c r="G82" i="30"/>
  <c r="E92" i="30"/>
  <c r="H92" i="30"/>
  <c r="G92" i="30"/>
  <c r="E212" i="30"/>
  <c r="H212" i="30"/>
  <c r="G212" i="30"/>
  <c r="E64" i="30"/>
  <c r="H64" i="30"/>
  <c r="G64" i="30"/>
  <c r="E83" i="30"/>
  <c r="H83" i="30"/>
  <c r="G83" i="30"/>
  <c r="E103" i="30"/>
  <c r="H103" i="30"/>
  <c r="G103" i="30"/>
  <c r="E28" i="30"/>
  <c r="H28" i="30"/>
  <c r="G28" i="30"/>
  <c r="E198" i="30"/>
  <c r="H198" i="30"/>
  <c r="G198" i="30"/>
  <c r="E185" i="30"/>
  <c r="H185" i="30"/>
  <c r="G185" i="30"/>
  <c r="E289" i="30"/>
  <c r="H289" i="30"/>
  <c r="G289" i="30"/>
  <c r="E183" i="30"/>
  <c r="H183" i="30"/>
  <c r="G183" i="30"/>
  <c r="E31" i="30"/>
  <c r="H31" i="30"/>
  <c r="G31" i="30"/>
  <c r="E73" i="30"/>
  <c r="H73" i="30"/>
  <c r="G73" i="30"/>
  <c r="E254" i="30"/>
  <c r="H254" i="30"/>
  <c r="G254" i="30"/>
  <c r="E108" i="30"/>
  <c r="H108" i="30"/>
  <c r="G108" i="30"/>
  <c r="E110" i="30"/>
  <c r="H110" i="30"/>
  <c r="G110" i="30"/>
  <c r="E282" i="30"/>
  <c r="H282" i="30"/>
  <c r="G282" i="30"/>
  <c r="E270" i="30"/>
  <c r="H270" i="30"/>
  <c r="G270" i="30"/>
  <c r="E202" i="30"/>
  <c r="H202" i="30"/>
  <c r="G202" i="30"/>
  <c r="E256" i="30"/>
  <c r="H256" i="30"/>
  <c r="G256" i="30"/>
  <c r="E274" i="30"/>
  <c r="H274" i="30"/>
  <c r="G274" i="30"/>
  <c r="E37" i="30"/>
  <c r="H37" i="30"/>
  <c r="G37" i="30"/>
  <c r="E215" i="30"/>
  <c r="H215" i="30"/>
  <c r="G215" i="30"/>
  <c r="E35" i="30"/>
  <c r="H35" i="30"/>
  <c r="G35" i="30"/>
  <c r="E242" i="30"/>
  <c r="H242" i="30"/>
  <c r="G242" i="30"/>
  <c r="E51" i="30"/>
  <c r="H51" i="30"/>
  <c r="G51" i="30"/>
  <c r="E151" i="30"/>
  <c r="H151" i="30"/>
  <c r="G151" i="30"/>
  <c r="E246" i="30"/>
  <c r="H246" i="30"/>
  <c r="G246" i="30"/>
  <c r="E118" i="30"/>
  <c r="H118" i="30"/>
  <c r="G118" i="30"/>
  <c r="E211" i="30"/>
  <c r="H211" i="30"/>
  <c r="G211" i="30"/>
  <c r="E294" i="30"/>
  <c r="H294" i="30"/>
  <c r="G294" i="30"/>
  <c r="E97" i="30"/>
  <c r="H97" i="30"/>
  <c r="G97" i="30"/>
  <c r="E162" i="30"/>
  <c r="H162" i="30"/>
  <c r="G162" i="30"/>
  <c r="E36" i="30"/>
  <c r="H36" i="30"/>
  <c r="G36" i="30"/>
  <c r="E266" i="30"/>
  <c r="H266" i="30"/>
  <c r="G266" i="30"/>
  <c r="E239" i="30"/>
  <c r="H239" i="30"/>
  <c r="G239" i="30"/>
  <c r="E268" i="30"/>
  <c r="H268" i="30"/>
  <c r="G268" i="30"/>
  <c r="E241" i="30"/>
  <c r="H241" i="30"/>
  <c r="G241" i="30"/>
  <c r="E252" i="30"/>
  <c r="H252" i="30"/>
  <c r="G252" i="30"/>
  <c r="E205" i="30"/>
  <c r="H205" i="30"/>
  <c r="G205" i="30"/>
  <c r="E88" i="30"/>
  <c r="H88" i="30"/>
  <c r="G88" i="30"/>
  <c r="E229" i="30"/>
  <c r="H229" i="30"/>
  <c r="G229" i="30"/>
  <c r="E287" i="30"/>
  <c r="H287" i="30"/>
  <c r="G287" i="30"/>
  <c r="E127" i="30"/>
  <c r="H127" i="30"/>
  <c r="G127" i="30"/>
  <c r="E196" i="30"/>
  <c r="H196" i="30"/>
  <c r="G196" i="30"/>
  <c r="E24" i="30"/>
  <c r="H24" i="30"/>
  <c r="G24" i="30"/>
  <c r="E157" i="30"/>
  <c r="H157" i="30"/>
  <c r="G157" i="30"/>
  <c r="E236" i="30"/>
  <c r="H236" i="30"/>
  <c r="G236" i="30"/>
  <c r="E143" i="30"/>
  <c r="H143" i="30"/>
  <c r="G143" i="30"/>
  <c r="E177" i="30"/>
  <c r="H177" i="30"/>
  <c r="G177" i="30"/>
  <c r="E46" i="30"/>
  <c r="H46" i="30"/>
  <c r="G46" i="30"/>
  <c r="E120" i="30"/>
  <c r="H120" i="30"/>
  <c r="G120" i="30"/>
  <c r="E106" i="30"/>
  <c r="H106" i="30"/>
  <c r="G106" i="30"/>
  <c r="E218" i="30"/>
  <c r="H218" i="30"/>
  <c r="G218" i="30"/>
  <c r="E76" i="30"/>
  <c r="H76" i="30"/>
  <c r="G76" i="30"/>
  <c r="E44" i="30"/>
  <c r="H44" i="30"/>
  <c r="G44" i="30"/>
  <c r="E165" i="30"/>
  <c r="H165" i="30"/>
  <c r="G165" i="30"/>
  <c r="E224" i="30"/>
  <c r="H224" i="30"/>
  <c r="G224" i="30"/>
  <c r="E45" i="30"/>
  <c r="H45" i="30"/>
  <c r="G45" i="30"/>
  <c r="E102" i="30"/>
  <c r="H102" i="30"/>
  <c r="G102" i="30"/>
  <c r="E169" i="30"/>
  <c r="H169" i="30"/>
  <c r="G169" i="30"/>
  <c r="E233" i="30"/>
  <c r="H233" i="30"/>
  <c r="G233" i="30"/>
  <c r="E260" i="30"/>
  <c r="H260" i="30"/>
  <c r="G260" i="30"/>
  <c r="E285" i="30"/>
  <c r="H285" i="30"/>
  <c r="G285" i="30"/>
  <c r="E89" i="30"/>
  <c r="H89" i="30"/>
  <c r="G89" i="30"/>
  <c r="E201" i="30"/>
  <c r="H201" i="30"/>
  <c r="G201" i="30"/>
  <c r="E138" i="30"/>
  <c r="H138" i="30"/>
  <c r="G138" i="30"/>
  <c r="E95" i="30"/>
  <c r="H95" i="30"/>
  <c r="G95" i="30"/>
  <c r="E264" i="30"/>
  <c r="H264" i="30"/>
  <c r="G264" i="30"/>
  <c r="E154" i="30"/>
  <c r="H154" i="30"/>
  <c r="G154" i="30"/>
  <c r="E29" i="30"/>
  <c r="H29" i="30"/>
  <c r="G29" i="30"/>
  <c r="E230" i="30"/>
  <c r="H230" i="30"/>
  <c r="G230" i="30"/>
  <c r="E214" i="30"/>
  <c r="H214" i="30"/>
  <c r="G214" i="30"/>
  <c r="E80" i="30"/>
  <c r="H80" i="30"/>
  <c r="G80" i="30"/>
  <c r="E199" i="30"/>
  <c r="H199" i="30"/>
  <c r="G199" i="30"/>
  <c r="E280" i="30"/>
  <c r="H280" i="30"/>
  <c r="G280" i="30"/>
  <c r="E100" i="30"/>
  <c r="H100" i="30"/>
  <c r="G100" i="30"/>
  <c r="E98" i="30"/>
  <c r="H98" i="30"/>
  <c r="G98" i="30"/>
  <c r="E107" i="30"/>
  <c r="H107" i="30"/>
  <c r="G107" i="30"/>
  <c r="E149" i="30"/>
  <c r="H149" i="30"/>
  <c r="G149" i="30"/>
  <c r="E245" i="30"/>
  <c r="H245" i="30"/>
  <c r="G245" i="30"/>
  <c r="E265" i="30"/>
  <c r="H265" i="30"/>
  <c r="G265" i="30"/>
  <c r="E244" i="30"/>
  <c r="H244" i="30"/>
  <c r="G244" i="30"/>
  <c r="E283" i="30"/>
  <c r="H283" i="30"/>
  <c r="G283" i="30"/>
  <c r="E238" i="30"/>
  <c r="H238" i="30"/>
  <c r="G238" i="30"/>
  <c r="E66" i="30"/>
  <c r="H66" i="30"/>
  <c r="G66" i="30"/>
  <c r="E153" i="30"/>
  <c r="H153" i="30"/>
  <c r="G153" i="30"/>
  <c r="E275" i="30"/>
  <c r="H275" i="30"/>
  <c r="G275" i="30"/>
  <c r="E144" i="30"/>
  <c r="H144" i="30"/>
  <c r="G144" i="30"/>
  <c r="E126" i="30"/>
  <c r="H126" i="30"/>
  <c r="G126" i="30"/>
  <c r="E70" i="30"/>
  <c r="H70" i="30"/>
  <c r="G70" i="30"/>
  <c r="E90" i="30"/>
  <c r="H90" i="30"/>
  <c r="G90" i="30"/>
  <c r="E48" i="30"/>
  <c r="H48" i="30"/>
  <c r="G48" i="30"/>
  <c r="E203" i="30"/>
  <c r="H203" i="30"/>
  <c r="G203" i="30"/>
  <c r="E84" i="30"/>
  <c r="H84" i="30"/>
  <c r="G84" i="30"/>
  <c r="E131" i="30"/>
  <c r="H131" i="30"/>
  <c r="G131" i="30"/>
  <c r="E81" i="30"/>
  <c r="H81" i="30"/>
  <c r="G81" i="30"/>
  <c r="E163" i="30"/>
  <c r="H163" i="30"/>
  <c r="G163" i="30"/>
  <c r="E117" i="30"/>
  <c r="H117" i="30"/>
  <c r="G117" i="30"/>
  <c r="E220" i="30"/>
  <c r="H220" i="30"/>
  <c r="G220" i="30"/>
  <c r="E26" i="30"/>
  <c r="H26" i="30"/>
  <c r="G26" i="30"/>
  <c r="E152" i="30"/>
  <c r="H152" i="30"/>
  <c r="G152" i="30"/>
  <c r="E33" i="30"/>
  <c r="H33" i="30"/>
  <c r="G33" i="30"/>
  <c r="E225" i="30"/>
  <c r="H225" i="30"/>
  <c r="G225" i="30"/>
  <c r="E75" i="30"/>
  <c r="H75" i="30"/>
  <c r="G75" i="30"/>
  <c r="E253" i="30"/>
  <c r="H253" i="30"/>
  <c r="G253" i="30"/>
  <c r="E27" i="30"/>
  <c r="H27" i="30"/>
  <c r="G27" i="30"/>
  <c r="E104" i="30"/>
  <c r="H104" i="30"/>
  <c r="G104" i="30"/>
  <c r="E52" i="30"/>
  <c r="H52" i="30"/>
  <c r="G52" i="30"/>
  <c r="E17" i="30"/>
  <c r="H17" i="30"/>
  <c r="G17" i="30"/>
  <c r="E263" i="30"/>
  <c r="H263" i="30"/>
  <c r="G263" i="30"/>
  <c r="E267" i="30"/>
  <c r="H267" i="30"/>
  <c r="G267" i="30"/>
  <c r="E93" i="30"/>
  <c r="H93" i="30"/>
  <c r="G93" i="30"/>
  <c r="E50" i="30"/>
  <c r="H50" i="30"/>
  <c r="G50" i="30"/>
  <c r="E91" i="30"/>
  <c r="H91" i="30"/>
  <c r="G91" i="30"/>
  <c r="E57" i="30"/>
  <c r="H57" i="30"/>
  <c r="G57" i="30"/>
  <c r="E297" i="30"/>
  <c r="H297" i="30"/>
  <c r="G297" i="30"/>
  <c r="E257" i="30"/>
  <c r="H257" i="30"/>
  <c r="G257" i="30"/>
  <c r="E272" i="30"/>
  <c r="H272" i="30"/>
  <c r="G272" i="30"/>
  <c r="E56" i="30"/>
  <c r="H56" i="30"/>
  <c r="G56" i="30"/>
  <c r="E167" i="30"/>
  <c r="H167" i="30"/>
  <c r="G167" i="30"/>
  <c r="E60" i="30"/>
  <c r="H60" i="30"/>
  <c r="G60" i="30"/>
  <c r="E105" i="30"/>
  <c r="H105" i="30"/>
  <c r="G105" i="30"/>
  <c r="E18" i="30"/>
  <c r="H18" i="30"/>
  <c r="G18" i="30"/>
  <c r="E58" i="30"/>
  <c r="H58" i="30"/>
  <c r="G58" i="30"/>
  <c r="E160" i="30"/>
  <c r="H160" i="30"/>
  <c r="G160" i="30"/>
  <c r="E42" i="30"/>
  <c r="H42" i="30"/>
  <c r="G42" i="30"/>
  <c r="E300" i="30"/>
  <c r="H300" i="30"/>
  <c r="G300" i="30"/>
  <c r="E232" i="30"/>
  <c r="H232" i="30"/>
  <c r="G232" i="30"/>
  <c r="E55" i="30"/>
  <c r="H55" i="30"/>
  <c r="G55" i="30"/>
  <c r="E133" i="30"/>
  <c r="H133" i="30"/>
  <c r="G133" i="30"/>
  <c r="E115" i="30"/>
  <c r="H115" i="30"/>
  <c r="G115" i="30"/>
  <c r="E74" i="30"/>
  <c r="H74" i="30"/>
  <c r="G74" i="30"/>
  <c r="E247" i="30"/>
  <c r="H247" i="30"/>
  <c r="G247" i="30"/>
  <c r="E137" i="30"/>
  <c r="H137" i="30"/>
  <c r="G137" i="30"/>
  <c r="E259" i="30"/>
  <c r="H259" i="30"/>
  <c r="G259" i="30"/>
  <c r="E150" i="30"/>
  <c r="H150" i="30"/>
  <c r="G150" i="30"/>
  <c r="E47" i="30"/>
  <c r="H47" i="30"/>
  <c r="G47" i="30"/>
  <c r="E124" i="30"/>
  <c r="H124" i="30"/>
  <c r="G124" i="30"/>
  <c r="E243" i="30"/>
  <c r="H243" i="30"/>
  <c r="G243" i="30"/>
  <c r="E132" i="30"/>
  <c r="H132" i="30"/>
  <c r="G132" i="30"/>
  <c r="E21" i="30"/>
  <c r="H21" i="30"/>
  <c r="G21" i="30"/>
  <c r="E61" i="30"/>
  <c r="H61" i="30"/>
  <c r="G61" i="30"/>
  <c r="E86" i="30"/>
  <c r="H86" i="30"/>
  <c r="G86" i="30"/>
  <c r="E113" i="30"/>
  <c r="H113" i="30"/>
  <c r="G113" i="30"/>
  <c r="E87" i="30"/>
  <c r="H87" i="30"/>
  <c r="G87" i="30"/>
  <c r="E192" i="30"/>
  <c r="H192" i="30"/>
  <c r="G192" i="30"/>
  <c r="E168" i="30"/>
  <c r="H168" i="30"/>
  <c r="G168" i="30"/>
  <c r="E164" i="30"/>
  <c r="H164" i="30"/>
  <c r="G164" i="30"/>
  <c r="E71" i="30"/>
  <c r="H71" i="30"/>
  <c r="G71" i="30"/>
  <c r="E38" i="30"/>
  <c r="H38" i="30"/>
  <c r="G38" i="30"/>
  <c r="E32" i="30"/>
  <c r="H32" i="30"/>
  <c r="G32" i="30"/>
  <c r="E208" i="30"/>
  <c r="H208" i="30"/>
  <c r="G208" i="30"/>
  <c r="E142" i="30"/>
  <c r="H142" i="30"/>
  <c r="G142" i="30"/>
  <c r="E68" i="30"/>
  <c r="H68" i="30"/>
  <c r="G68" i="30"/>
  <c r="E135" i="30"/>
  <c r="H135" i="30"/>
  <c r="G135" i="30"/>
  <c r="E67" i="30"/>
  <c r="H67" i="30"/>
  <c r="G67" i="30"/>
  <c r="E148" i="30"/>
  <c r="H148" i="30"/>
  <c r="G148" i="30"/>
  <c r="E277" i="30"/>
  <c r="H277" i="30"/>
  <c r="G277" i="30"/>
  <c r="E156" i="30"/>
  <c r="H156" i="30"/>
  <c r="G156" i="30"/>
  <c r="E279" i="30"/>
  <c r="H279" i="30"/>
  <c r="G279" i="30"/>
  <c r="E276" i="30"/>
  <c r="H276" i="30"/>
  <c r="G276" i="30"/>
  <c r="E43" i="30"/>
  <c r="H43" i="30"/>
  <c r="G43" i="30"/>
  <c r="E128" i="30"/>
  <c r="H128" i="30"/>
  <c r="G128" i="30"/>
  <c r="E129" i="30"/>
  <c r="H129" i="30"/>
  <c r="G129" i="30"/>
  <c r="E19" i="30"/>
  <c r="H19" i="30"/>
  <c r="G19" i="30"/>
  <c r="E209" i="30"/>
  <c r="H209" i="30"/>
  <c r="G209" i="30"/>
  <c r="E123" i="30"/>
  <c r="H123" i="30"/>
  <c r="G123" i="30"/>
  <c r="E251" i="30"/>
  <c r="H251" i="30"/>
  <c r="G251" i="30"/>
  <c r="E186" i="30"/>
  <c r="H186" i="30"/>
  <c r="G186" i="30"/>
  <c r="E155" i="30"/>
  <c r="H155" i="30"/>
  <c r="G155" i="30"/>
  <c r="E281" i="30"/>
  <c r="H281" i="30"/>
  <c r="G281" i="30"/>
  <c r="E65" i="30"/>
  <c r="H65" i="30"/>
  <c r="G65" i="30"/>
  <c r="E204" i="30"/>
  <c r="H204" i="30"/>
  <c r="G204" i="30"/>
  <c r="E222" i="30"/>
  <c r="H222" i="30"/>
  <c r="G222" i="30"/>
  <c r="E226" i="30"/>
  <c r="H226" i="30"/>
  <c r="G226" i="30"/>
  <c r="E231" i="30"/>
  <c r="H231" i="30"/>
  <c r="G231" i="30"/>
  <c r="E25" i="30"/>
  <c r="H25" i="30"/>
  <c r="G25" i="30"/>
  <c r="E23" i="30"/>
  <c r="H23" i="30"/>
  <c r="G23" i="30"/>
  <c r="E170" i="30"/>
  <c r="H170" i="30"/>
  <c r="G170" i="30"/>
  <c r="E174" i="30"/>
  <c r="H174" i="30"/>
  <c r="G174" i="30"/>
  <c r="E200" i="30"/>
  <c r="H200" i="30"/>
  <c r="G200" i="30"/>
  <c r="E180" i="30"/>
  <c r="H180" i="30"/>
  <c r="G180" i="30"/>
  <c r="E250" i="30"/>
  <c r="H250" i="30"/>
  <c r="G250" i="30"/>
  <c r="E237" i="30"/>
  <c r="H237" i="30"/>
  <c r="G237" i="30"/>
  <c r="E227" i="30"/>
  <c r="H227" i="30"/>
  <c r="G227" i="30"/>
  <c r="E111" i="30"/>
  <c r="H111" i="30"/>
  <c r="G111" i="30"/>
  <c r="E77" i="30"/>
  <c r="H77" i="30"/>
  <c r="G77" i="30"/>
  <c r="E172" i="30"/>
  <c r="H172" i="30"/>
  <c r="G172" i="30"/>
  <c r="E217" i="30"/>
  <c r="H217" i="30"/>
  <c r="G217" i="30"/>
  <c r="E49" i="30"/>
  <c r="H49" i="30"/>
  <c r="G49" i="30"/>
  <c r="E240" i="30"/>
  <c r="H240" i="30"/>
  <c r="G240" i="30"/>
  <c r="E166" i="30"/>
  <c r="H166" i="30"/>
  <c r="G166" i="30"/>
  <c r="E94" i="30"/>
  <c r="H94" i="30"/>
  <c r="G94" i="30"/>
  <c r="E295" i="30"/>
  <c r="H295" i="30"/>
  <c r="G295" i="30"/>
  <c r="E99" i="30"/>
  <c r="H99" i="30"/>
  <c r="G99" i="30"/>
  <c r="E269" i="30"/>
  <c r="H269" i="30"/>
  <c r="G269" i="30"/>
  <c r="E116" i="30"/>
  <c r="H116" i="30"/>
  <c r="G116" i="30"/>
  <c r="E235" i="30"/>
  <c r="H235" i="30"/>
  <c r="G235" i="30"/>
  <c r="E206" i="30"/>
  <c r="H206" i="30"/>
  <c r="G206" i="30"/>
  <c r="J25" i="30"/>
  <c r="E188" i="30"/>
  <c r="H188" i="30"/>
  <c r="G188" i="30"/>
  <c r="Q68" i="9"/>
  <c r="A36" i="25"/>
  <c r="D36" i="25"/>
  <c r="B33" i="29"/>
  <c r="C70" i="9"/>
  <c r="B70" i="9"/>
  <c r="P69" i="9"/>
  <c r="U69" i="9"/>
  <c r="X69" i="9"/>
  <c r="W69" i="9"/>
  <c r="S69" i="9"/>
  <c r="Q69" i="9"/>
  <c r="N69" i="9"/>
  <c r="AD31" i="29"/>
  <c r="F31" i="29"/>
  <c r="AE31" i="29"/>
  <c r="E32" i="29"/>
  <c r="D32" i="29"/>
  <c r="AC32" i="29"/>
  <c r="F35" i="25"/>
  <c r="H35" i="25"/>
  <c r="U35" i="25"/>
  <c r="K35" i="25"/>
  <c r="G35" i="25"/>
  <c r="V35" i="25"/>
  <c r="I35" i="25"/>
  <c r="W35" i="25"/>
  <c r="E35" i="25"/>
  <c r="T35" i="25"/>
  <c r="F18" i="30"/>
  <c r="E284" i="30"/>
  <c r="H284" i="30"/>
  <c r="G284" i="30"/>
  <c r="E197" i="30"/>
  <c r="H197" i="30"/>
  <c r="G197" i="30"/>
  <c r="F197" i="30"/>
  <c r="E249" i="30"/>
  <c r="H249" i="30"/>
  <c r="G249" i="30"/>
  <c r="F249" i="30"/>
  <c r="E182" i="30"/>
  <c r="H182" i="30"/>
  <c r="G182" i="30"/>
  <c r="F182" i="30"/>
  <c r="E216" i="30"/>
  <c r="H216" i="30"/>
  <c r="G216" i="30"/>
  <c r="F216" i="30"/>
  <c r="E194" i="30"/>
  <c r="H194" i="30"/>
  <c r="G194" i="30"/>
  <c r="F194" i="30"/>
  <c r="E190" i="30"/>
  <c r="H190" i="30"/>
  <c r="G190" i="30"/>
  <c r="F190" i="30"/>
  <c r="E213" i="30"/>
  <c r="H213" i="30"/>
  <c r="G213" i="30"/>
  <c r="F213" i="30"/>
  <c r="E176" i="30"/>
  <c r="H176" i="30"/>
  <c r="G176" i="30"/>
  <c r="F176" i="30"/>
  <c r="E112" i="30"/>
  <c r="H112" i="30"/>
  <c r="G112" i="30"/>
  <c r="F112" i="30"/>
  <c r="E130" i="30"/>
  <c r="H130" i="30"/>
  <c r="G130" i="30"/>
  <c r="F130" i="30"/>
  <c r="AE417" i="9"/>
  <c r="M417" i="9"/>
  <c r="AD416" i="9"/>
  <c r="AE51" i="9"/>
  <c r="M51" i="9"/>
  <c r="AD51" i="9"/>
  <c r="T52" i="11"/>
  <c r="N53" i="11"/>
  <c r="AE409" i="9"/>
  <c r="M409" i="9"/>
  <c r="AD409" i="9"/>
  <c r="T410" i="11"/>
  <c r="N411" i="11"/>
  <c r="L78" i="9"/>
  <c r="K78" i="9"/>
  <c r="AN78" i="9"/>
  <c r="AO78" i="9"/>
  <c r="AP78" i="9"/>
  <c r="O78" i="9"/>
  <c r="K441" i="9"/>
  <c r="AN441" i="9"/>
  <c r="AO441" i="9"/>
  <c r="AP441" i="9"/>
  <c r="O441" i="9"/>
  <c r="L441" i="9"/>
  <c r="L443" i="9"/>
  <c r="K443" i="9"/>
  <c r="AN443" i="9"/>
  <c r="AO443" i="9"/>
  <c r="AP443" i="9"/>
  <c r="O443" i="9"/>
  <c r="L74" i="9"/>
  <c r="K74" i="9"/>
  <c r="AN74" i="9"/>
  <c r="AO74" i="9"/>
  <c r="AP74" i="9"/>
  <c r="O74" i="9"/>
  <c r="L437" i="9"/>
  <c r="K437" i="9"/>
  <c r="AN437" i="9"/>
  <c r="AO437" i="9"/>
  <c r="AP437" i="9"/>
  <c r="O437" i="9"/>
  <c r="K446" i="9"/>
  <c r="AN446" i="9"/>
  <c r="AO446" i="9"/>
  <c r="AP446" i="9"/>
  <c r="O446" i="9"/>
  <c r="L446" i="9"/>
  <c r="AC429" i="9"/>
  <c r="D429" i="9"/>
  <c r="AB428" i="9"/>
  <c r="AC63" i="9"/>
  <c r="D63" i="9"/>
  <c r="AB63" i="9"/>
  <c r="T64" i="7"/>
  <c r="N40" i="7"/>
  <c r="Q40" i="7"/>
  <c r="N48" i="7"/>
  <c r="Q48" i="7"/>
  <c r="Q37" i="7"/>
  <c r="N37" i="7"/>
  <c r="N45" i="7"/>
  <c r="Q45" i="7"/>
  <c r="AC422" i="9"/>
  <c r="D422" i="9"/>
  <c r="AB421" i="9"/>
  <c r="AB56" i="9"/>
  <c r="AC56" i="9"/>
  <c r="D56" i="9"/>
  <c r="T57" i="7"/>
  <c r="K89" i="9"/>
  <c r="AN89" i="9"/>
  <c r="AO89" i="9"/>
  <c r="AP89" i="9"/>
  <c r="O89" i="9"/>
  <c r="L89" i="9"/>
  <c r="L452" i="9"/>
  <c r="K452" i="9"/>
  <c r="AN452" i="9"/>
  <c r="AO452" i="9"/>
  <c r="AP452" i="9"/>
  <c r="O452" i="9"/>
  <c r="L83" i="9"/>
  <c r="K83" i="9"/>
  <c r="AN83" i="9"/>
  <c r="AO83" i="9"/>
  <c r="AP83" i="9"/>
  <c r="O83" i="9"/>
  <c r="L431" i="9"/>
  <c r="K431" i="9"/>
  <c r="AN431" i="9"/>
  <c r="AO431" i="9"/>
  <c r="AP431" i="9"/>
  <c r="O431" i="9"/>
  <c r="L66" i="9"/>
  <c r="K66" i="9"/>
  <c r="AN66" i="9"/>
  <c r="AO66" i="9"/>
  <c r="AP66" i="9"/>
  <c r="O66" i="9"/>
  <c r="R66" i="9"/>
  <c r="T66" i="9"/>
  <c r="K454" i="9"/>
  <c r="AN454" i="9"/>
  <c r="AO454" i="9"/>
  <c r="AP454" i="9"/>
  <c r="O454" i="9"/>
  <c r="L454" i="9"/>
  <c r="L460" i="9"/>
  <c r="K460" i="9"/>
  <c r="AN460" i="9"/>
  <c r="AO460" i="9"/>
  <c r="AP460" i="9"/>
  <c r="O460" i="9"/>
  <c r="L91" i="9"/>
  <c r="K91" i="9"/>
  <c r="AN91" i="9"/>
  <c r="AO91" i="9"/>
  <c r="AP91" i="9"/>
  <c r="O91" i="9"/>
  <c r="K450" i="9"/>
  <c r="AN450" i="9"/>
  <c r="AO450" i="9"/>
  <c r="AP450" i="9"/>
  <c r="O450" i="9"/>
  <c r="L450" i="9"/>
  <c r="K93" i="9"/>
  <c r="AN93" i="9"/>
  <c r="AO93" i="9"/>
  <c r="AP93" i="9"/>
  <c r="O93" i="9"/>
  <c r="L93" i="9"/>
  <c r="K456" i="9"/>
  <c r="AN456" i="9"/>
  <c r="AO456" i="9"/>
  <c r="AP456" i="9"/>
  <c r="O456" i="9"/>
  <c r="L456" i="9"/>
  <c r="L87" i="9"/>
  <c r="K87" i="9"/>
  <c r="AN87" i="9"/>
  <c r="AO87" i="9"/>
  <c r="AP87" i="9"/>
  <c r="O87" i="9"/>
  <c r="K430" i="9"/>
  <c r="AN430" i="9"/>
  <c r="AO430" i="9"/>
  <c r="AP430" i="9"/>
  <c r="O430" i="9"/>
  <c r="L430" i="9"/>
  <c r="L67" i="9"/>
  <c r="K67" i="9"/>
  <c r="AN67" i="9"/>
  <c r="AO67" i="9"/>
  <c r="AP67" i="9"/>
  <c r="O67" i="9"/>
  <c r="R67" i="9"/>
  <c r="AC420" i="9"/>
  <c r="D420" i="9"/>
  <c r="AB419" i="9"/>
  <c r="AC54" i="9"/>
  <c r="D54" i="9"/>
  <c r="AB54" i="9"/>
  <c r="T55" i="7"/>
  <c r="H34" i="7"/>
  <c r="H32" i="7"/>
  <c r="H30" i="7"/>
  <c r="H28" i="7"/>
  <c r="H26" i="7"/>
  <c r="H24" i="7"/>
  <c r="H22" i="7"/>
  <c r="H20" i="7"/>
  <c r="H18" i="7"/>
  <c r="H16" i="7"/>
  <c r="H14" i="7"/>
  <c r="H12" i="7"/>
  <c r="H35" i="7"/>
  <c r="H33" i="7"/>
  <c r="H31" i="7"/>
  <c r="H29" i="7"/>
  <c r="H27" i="7"/>
  <c r="H25" i="7"/>
  <c r="H23" i="7"/>
  <c r="H21" i="7"/>
  <c r="H19" i="7"/>
  <c r="H17" i="7"/>
  <c r="H15" i="7"/>
  <c r="H13" i="7"/>
  <c r="H11" i="7"/>
  <c r="H9" i="7"/>
  <c r="H7" i="7"/>
  <c r="H5" i="7"/>
  <c r="H10" i="7"/>
  <c r="H8" i="7"/>
  <c r="H6" i="7"/>
  <c r="H4" i="7"/>
  <c r="N42" i="7"/>
  <c r="Q42" i="7"/>
  <c r="N414" i="7"/>
  <c r="N50" i="7"/>
  <c r="AC424" i="9"/>
  <c r="D424" i="9"/>
  <c r="AB423" i="9"/>
  <c r="AC58" i="9"/>
  <c r="D58" i="9"/>
  <c r="AB58" i="9"/>
  <c r="T59" i="7"/>
  <c r="Q39" i="7"/>
  <c r="N39" i="7"/>
  <c r="N47" i="7"/>
  <c r="Q47" i="7"/>
  <c r="AB425" i="9"/>
  <c r="AC426" i="9"/>
  <c r="D426" i="9"/>
  <c r="AB60" i="9"/>
  <c r="AC60" i="9"/>
  <c r="D60" i="9"/>
  <c r="T61" i="7"/>
  <c r="K73" i="9"/>
  <c r="AN73" i="9"/>
  <c r="AO73" i="9"/>
  <c r="AP73" i="9"/>
  <c r="O73" i="9"/>
  <c r="L73" i="9"/>
  <c r="L86" i="9"/>
  <c r="K86" i="9"/>
  <c r="AN86" i="9"/>
  <c r="AO86" i="9"/>
  <c r="AP86" i="9"/>
  <c r="O86" i="9"/>
  <c r="L436" i="9"/>
  <c r="K436" i="9"/>
  <c r="AN436" i="9"/>
  <c r="AO436" i="9"/>
  <c r="AP436" i="9"/>
  <c r="O436" i="9"/>
  <c r="L92" i="9"/>
  <c r="K92" i="9"/>
  <c r="AN92" i="9"/>
  <c r="AO92" i="9"/>
  <c r="AP92" i="9"/>
  <c r="O92" i="9"/>
  <c r="L76" i="9"/>
  <c r="K76" i="9"/>
  <c r="AN76" i="9"/>
  <c r="AO76" i="9"/>
  <c r="AP76" i="9"/>
  <c r="O76" i="9"/>
  <c r="K85" i="9"/>
  <c r="AN85" i="9"/>
  <c r="AO85" i="9"/>
  <c r="AP85" i="9"/>
  <c r="O85" i="9"/>
  <c r="L85" i="9"/>
  <c r="L448" i="9"/>
  <c r="K448" i="9"/>
  <c r="AN448" i="9"/>
  <c r="AO448" i="9"/>
  <c r="AP448" i="9"/>
  <c r="O448" i="9"/>
  <c r="L79" i="9"/>
  <c r="K79" i="9"/>
  <c r="AN79" i="9"/>
  <c r="AO79" i="9"/>
  <c r="AP79" i="9"/>
  <c r="O79" i="9"/>
  <c r="K438" i="9"/>
  <c r="AN438" i="9"/>
  <c r="AO438" i="9"/>
  <c r="AP438" i="9"/>
  <c r="O438" i="9"/>
  <c r="L438" i="9"/>
  <c r="K81" i="9"/>
  <c r="AN81" i="9"/>
  <c r="AO81" i="9"/>
  <c r="AP81" i="9"/>
  <c r="O81" i="9"/>
  <c r="L81" i="9"/>
  <c r="L94" i="9"/>
  <c r="K94" i="9"/>
  <c r="AN94" i="9"/>
  <c r="AO94" i="9"/>
  <c r="AP94" i="9"/>
  <c r="O94" i="9"/>
  <c r="L444" i="9"/>
  <c r="K444" i="9"/>
  <c r="AN444" i="9"/>
  <c r="AO444" i="9"/>
  <c r="AP444" i="9"/>
  <c r="O444" i="9"/>
  <c r="L75" i="9"/>
  <c r="K75" i="9"/>
  <c r="AN75" i="9"/>
  <c r="AO75" i="9"/>
  <c r="AP75" i="9"/>
  <c r="O75" i="9"/>
  <c r="K434" i="9"/>
  <c r="AN434" i="9"/>
  <c r="AO434" i="9"/>
  <c r="AP434" i="9"/>
  <c r="O434" i="9"/>
  <c r="L434" i="9"/>
  <c r="K77" i="9"/>
  <c r="AN77" i="9"/>
  <c r="AO77" i="9"/>
  <c r="AP77" i="9"/>
  <c r="O77" i="9"/>
  <c r="L77" i="9"/>
  <c r="L90" i="9"/>
  <c r="K90" i="9"/>
  <c r="AN90" i="9"/>
  <c r="AO90" i="9"/>
  <c r="AP90" i="9"/>
  <c r="O90" i="9"/>
  <c r="K440" i="9"/>
  <c r="AN440" i="9"/>
  <c r="AO440" i="9"/>
  <c r="AP440" i="9"/>
  <c r="O440" i="9"/>
  <c r="L440" i="9"/>
  <c r="L71" i="9"/>
  <c r="K71" i="9"/>
  <c r="AN71" i="9"/>
  <c r="AO71" i="9"/>
  <c r="AP71" i="9"/>
  <c r="O71" i="9"/>
  <c r="L80" i="9"/>
  <c r="K80" i="9"/>
  <c r="AN80" i="9"/>
  <c r="AO80" i="9"/>
  <c r="AP80" i="9"/>
  <c r="O80" i="9"/>
  <c r="AC421" i="9"/>
  <c r="D421" i="9"/>
  <c r="AB420" i="9"/>
  <c r="AC55" i="9"/>
  <c r="D55" i="9"/>
  <c r="AB55" i="9"/>
  <c r="T56" i="7"/>
  <c r="N36" i="7"/>
  <c r="Q36" i="7"/>
  <c r="Q44" i="7"/>
  <c r="N44" i="7"/>
  <c r="AC425" i="9"/>
  <c r="D425" i="9"/>
  <c r="AB424" i="9"/>
  <c r="AC59" i="9"/>
  <c r="D59" i="9"/>
  <c r="AB59" i="9"/>
  <c r="T60" i="7"/>
  <c r="N41" i="7"/>
  <c r="Q41" i="7"/>
  <c r="N49" i="7"/>
  <c r="Q49" i="7"/>
  <c r="L455" i="9"/>
  <c r="K455" i="9"/>
  <c r="AN455" i="9"/>
  <c r="AO455" i="9"/>
  <c r="AP455" i="9"/>
  <c r="O455" i="9"/>
  <c r="L449" i="9"/>
  <c r="K449" i="9"/>
  <c r="AN449" i="9"/>
  <c r="AO449" i="9"/>
  <c r="AP449" i="9"/>
  <c r="O449" i="9"/>
  <c r="L451" i="9"/>
  <c r="K451" i="9"/>
  <c r="AN451" i="9"/>
  <c r="AO451" i="9"/>
  <c r="AP451" i="9"/>
  <c r="O451" i="9"/>
  <c r="K69" i="9"/>
  <c r="AN69" i="9"/>
  <c r="AO69" i="9"/>
  <c r="AP69" i="9"/>
  <c r="O69" i="9"/>
  <c r="R69" i="9"/>
  <c r="T69" i="9"/>
  <c r="L69" i="9"/>
  <c r="L432" i="9"/>
  <c r="K432" i="9"/>
  <c r="AN432" i="9"/>
  <c r="AO432" i="9"/>
  <c r="AP432" i="9"/>
  <c r="O432" i="9"/>
  <c r="L88" i="9"/>
  <c r="K88" i="9"/>
  <c r="AN88" i="9"/>
  <c r="AO88" i="9"/>
  <c r="AP88" i="9"/>
  <c r="O88" i="9"/>
  <c r="L72" i="9"/>
  <c r="K72" i="9"/>
  <c r="AN72" i="9"/>
  <c r="AO72" i="9"/>
  <c r="AP72" i="9"/>
  <c r="O72" i="9"/>
  <c r="L447" i="9"/>
  <c r="K447" i="9"/>
  <c r="AN447" i="9"/>
  <c r="AO447" i="9"/>
  <c r="AP447" i="9"/>
  <c r="O447" i="9"/>
  <c r="L457" i="9"/>
  <c r="K457" i="9"/>
  <c r="AN457" i="9"/>
  <c r="AO457" i="9"/>
  <c r="AP457" i="9"/>
  <c r="O457" i="9"/>
  <c r="L84" i="9"/>
  <c r="K84" i="9"/>
  <c r="AN84" i="9"/>
  <c r="AO84" i="9"/>
  <c r="AP84" i="9"/>
  <c r="O84" i="9"/>
  <c r="L68" i="9"/>
  <c r="K68" i="9"/>
  <c r="AN68" i="9"/>
  <c r="AO68" i="9"/>
  <c r="AP68" i="9"/>
  <c r="O68" i="9"/>
  <c r="R68" i="9"/>
  <c r="T68" i="9"/>
  <c r="K459" i="9"/>
  <c r="AN459" i="9"/>
  <c r="AO459" i="9"/>
  <c r="AP459" i="9"/>
  <c r="O459" i="9"/>
  <c r="L459" i="9"/>
  <c r="L453" i="9"/>
  <c r="K453" i="9"/>
  <c r="AN453" i="9"/>
  <c r="AO453" i="9"/>
  <c r="AP453" i="9"/>
  <c r="O453" i="9"/>
  <c r="L64" i="9"/>
  <c r="K64" i="9"/>
  <c r="AN64" i="9"/>
  <c r="AO64" i="9"/>
  <c r="AP64" i="9"/>
  <c r="O64" i="9"/>
  <c r="R64" i="9"/>
  <c r="T64" i="9"/>
  <c r="L433" i="9"/>
  <c r="K433" i="9"/>
  <c r="AN433" i="9"/>
  <c r="AO433" i="9"/>
  <c r="AP433" i="9"/>
  <c r="O433" i="9"/>
  <c r="AC428" i="9"/>
  <c r="D428" i="9"/>
  <c r="AB427" i="9"/>
  <c r="AC62" i="9"/>
  <c r="D62" i="9"/>
  <c r="AB62" i="9"/>
  <c r="T63" i="7"/>
  <c r="Q38" i="7"/>
  <c r="N38" i="7"/>
  <c r="N46" i="7"/>
  <c r="Q46" i="7"/>
  <c r="AC427" i="9"/>
  <c r="D427" i="9"/>
  <c r="AB426" i="9"/>
  <c r="AC61" i="9"/>
  <c r="D61" i="9"/>
  <c r="AB61" i="9"/>
  <c r="T62" i="7"/>
  <c r="AC423" i="9"/>
  <c r="D423" i="9"/>
  <c r="AB422" i="9"/>
  <c r="AC57" i="9"/>
  <c r="D57" i="9"/>
  <c r="AB57" i="9"/>
  <c r="T58" i="7"/>
  <c r="N43" i="7"/>
  <c r="Q43" i="7"/>
  <c r="L439" i="9"/>
  <c r="K439" i="9"/>
  <c r="AN439" i="9"/>
  <c r="AO439" i="9"/>
  <c r="AP439" i="9"/>
  <c r="O439" i="9"/>
  <c r="L70" i="9"/>
  <c r="K70" i="9"/>
  <c r="AN70" i="9"/>
  <c r="AO70" i="9"/>
  <c r="AP70" i="9"/>
  <c r="O70" i="9"/>
  <c r="L458" i="9"/>
  <c r="K458" i="9"/>
  <c r="AN458" i="9"/>
  <c r="AO458" i="9"/>
  <c r="AP458" i="9"/>
  <c r="O458" i="9"/>
  <c r="K442" i="9"/>
  <c r="AN442" i="9"/>
  <c r="AO442" i="9"/>
  <c r="AP442" i="9"/>
  <c r="O442" i="9"/>
  <c r="L442" i="9"/>
  <c r="K65" i="9"/>
  <c r="AN65" i="9"/>
  <c r="AO65" i="9"/>
  <c r="AP65" i="9"/>
  <c r="O65" i="9"/>
  <c r="R65" i="9"/>
  <c r="L65" i="9"/>
  <c r="L435" i="9"/>
  <c r="K435" i="9"/>
  <c r="AN435" i="9"/>
  <c r="AO435" i="9"/>
  <c r="AP435" i="9"/>
  <c r="O435" i="9"/>
  <c r="L82" i="9"/>
  <c r="K82" i="9"/>
  <c r="AN82" i="9"/>
  <c r="AO82" i="9"/>
  <c r="AP82" i="9"/>
  <c r="O82" i="9"/>
  <c r="L445" i="9"/>
  <c r="K445" i="9"/>
  <c r="AN445" i="9"/>
  <c r="AO445" i="9"/>
  <c r="AP445" i="9"/>
  <c r="O445" i="9"/>
  <c r="E54" i="30"/>
  <c r="H54" i="30"/>
  <c r="G54" i="30"/>
  <c r="E293" i="30"/>
  <c r="H293" i="30"/>
  <c r="G293" i="30"/>
  <c r="E234" i="30"/>
  <c r="H234" i="30"/>
  <c r="G234" i="30"/>
  <c r="E146" i="30"/>
  <c r="H146" i="30"/>
  <c r="G146" i="30"/>
  <c r="E16" i="30"/>
  <c r="H16" i="30"/>
  <c r="E30" i="30"/>
  <c r="H30" i="30"/>
  <c r="G30" i="30"/>
  <c r="E72" i="30"/>
  <c r="H72" i="30"/>
  <c r="G72" i="30"/>
  <c r="E171" i="30"/>
  <c r="H171" i="30"/>
  <c r="G171" i="30"/>
  <c r="E173" i="30"/>
  <c r="H173" i="30"/>
  <c r="G173" i="30"/>
  <c r="E184" i="30"/>
  <c r="H184" i="30"/>
  <c r="G184" i="30"/>
  <c r="E296" i="30"/>
  <c r="H296" i="30"/>
  <c r="G296" i="30"/>
  <c r="D15" i="30"/>
  <c r="E271" i="30"/>
  <c r="H271" i="30"/>
  <c r="G271" i="30"/>
  <c r="E262" i="30"/>
  <c r="H262" i="30"/>
  <c r="G262" i="30"/>
  <c r="E22" i="30"/>
  <c r="H22" i="30"/>
  <c r="G22" i="30"/>
  <c r="J1" i="30"/>
  <c r="T67" i="9"/>
  <c r="V67" i="9"/>
  <c r="T65" i="9"/>
  <c r="V65" i="9"/>
  <c r="AD32" i="29"/>
  <c r="F32" i="29"/>
  <c r="AE32" i="29"/>
  <c r="E33" i="29"/>
  <c r="D33" i="29"/>
  <c r="AC33" i="29"/>
  <c r="H36" i="25"/>
  <c r="F36" i="25"/>
  <c r="I36" i="25"/>
  <c r="W36" i="25"/>
  <c r="E36" i="25"/>
  <c r="G36" i="25"/>
  <c r="V36" i="25"/>
  <c r="U36" i="25"/>
  <c r="K36" i="25"/>
  <c r="T36" i="25"/>
  <c r="A37" i="25"/>
  <c r="D37" i="25"/>
  <c r="B34" i="29"/>
  <c r="B71" i="9"/>
  <c r="C71" i="9"/>
  <c r="X70" i="9"/>
  <c r="P70" i="9"/>
  <c r="R70" i="9"/>
  <c r="W70" i="9"/>
  <c r="S70" i="9"/>
  <c r="N70" i="9"/>
  <c r="G16" i="30"/>
  <c r="G15" i="30"/>
  <c r="H15" i="30"/>
  <c r="AE410" i="9"/>
  <c r="M410" i="9"/>
  <c r="AD410" i="9"/>
  <c r="N412" i="11"/>
  <c r="T411" i="11"/>
  <c r="AD417" i="9"/>
  <c r="AE418" i="9"/>
  <c r="M418" i="9"/>
  <c r="AD52" i="9"/>
  <c r="AE52" i="9"/>
  <c r="M52" i="9"/>
  <c r="N54" i="11"/>
  <c r="T53" i="11"/>
  <c r="P53" i="11"/>
  <c r="P54" i="11"/>
  <c r="P55" i="11"/>
  <c r="P56" i="11"/>
  <c r="P57" i="11"/>
  <c r="P58" i="11"/>
  <c r="P59" i="11"/>
  <c r="P60" i="11"/>
  <c r="P61" i="11"/>
  <c r="P62" i="11"/>
  <c r="P63" i="11"/>
  <c r="P64" i="11"/>
  <c r="P65" i="11"/>
  <c r="P66" i="11"/>
  <c r="P67" i="11"/>
  <c r="P68" i="11"/>
  <c r="P69" i="11"/>
  <c r="P70" i="11"/>
  <c r="P71" i="11"/>
  <c r="P72" i="11"/>
  <c r="P73" i="11"/>
  <c r="P74" i="11"/>
  <c r="P75" i="11"/>
  <c r="P76" i="11"/>
  <c r="P77" i="11"/>
  <c r="P78" i="11"/>
  <c r="P79" i="11"/>
  <c r="P80" i="11"/>
  <c r="P81" i="11"/>
  <c r="P82" i="11"/>
  <c r="P83" i="11"/>
  <c r="P84" i="11"/>
  <c r="P85" i="11"/>
  <c r="P86" i="11"/>
  <c r="P87" i="11"/>
  <c r="P88" i="11"/>
  <c r="P89" i="11"/>
  <c r="P90" i="11"/>
  <c r="P91" i="11"/>
  <c r="P92" i="11"/>
  <c r="P93" i="11"/>
  <c r="P94" i="11"/>
  <c r="P95" i="11"/>
  <c r="P96" i="11"/>
  <c r="P97" i="11"/>
  <c r="P98" i="11"/>
  <c r="P99" i="11"/>
  <c r="P100" i="11"/>
  <c r="P101" i="11"/>
  <c r="P102" i="11"/>
  <c r="P103" i="11"/>
  <c r="P104" i="11"/>
  <c r="P105" i="11"/>
  <c r="P106" i="11"/>
  <c r="P107" i="11"/>
  <c r="P108" i="11"/>
  <c r="P109" i="11"/>
  <c r="P110" i="11"/>
  <c r="P111" i="11"/>
  <c r="P112" i="11"/>
  <c r="P113" i="11"/>
  <c r="P114" i="11"/>
  <c r="P115" i="11"/>
  <c r="P116" i="11"/>
  <c r="P117" i="11"/>
  <c r="P118" i="11"/>
  <c r="P119" i="11"/>
  <c r="P120" i="11"/>
  <c r="P121" i="11"/>
  <c r="P122" i="11"/>
  <c r="P123" i="11"/>
  <c r="P124" i="11"/>
  <c r="P125" i="11"/>
  <c r="P126" i="11"/>
  <c r="P127" i="11"/>
  <c r="P128" i="11"/>
  <c r="P129" i="11"/>
  <c r="P130" i="11"/>
  <c r="P131" i="11"/>
  <c r="P132" i="11"/>
  <c r="P133" i="11"/>
  <c r="P134" i="11"/>
  <c r="P135" i="11"/>
  <c r="P136" i="11"/>
  <c r="P137" i="11"/>
  <c r="P138" i="11"/>
  <c r="P139" i="11"/>
  <c r="P140" i="11"/>
  <c r="P141" i="11"/>
  <c r="P142" i="11"/>
  <c r="P143" i="11"/>
  <c r="P144" i="11"/>
  <c r="P145" i="11"/>
  <c r="P146" i="11"/>
  <c r="P147" i="11"/>
  <c r="P148" i="11"/>
  <c r="P149" i="11"/>
  <c r="P150" i="11"/>
  <c r="P151" i="11"/>
  <c r="P152" i="11"/>
  <c r="P153" i="11"/>
  <c r="P154" i="11"/>
  <c r="P155" i="11"/>
  <c r="P156" i="11"/>
  <c r="P157" i="11"/>
  <c r="P158" i="11"/>
  <c r="P159" i="11"/>
  <c r="P160" i="11"/>
  <c r="P161" i="11"/>
  <c r="P162" i="11"/>
  <c r="P163" i="11"/>
  <c r="P164" i="11"/>
  <c r="P165" i="11"/>
  <c r="P166" i="11"/>
  <c r="P167" i="11"/>
  <c r="P168" i="11"/>
  <c r="P169" i="11"/>
  <c r="P170" i="11"/>
  <c r="P171" i="11"/>
  <c r="P172" i="11"/>
  <c r="P173" i="11"/>
  <c r="P174" i="11"/>
  <c r="P175" i="11"/>
  <c r="P176" i="11"/>
  <c r="P177" i="11"/>
  <c r="P178" i="11"/>
  <c r="P179" i="11"/>
  <c r="P180" i="11"/>
  <c r="P181" i="11"/>
  <c r="P182" i="11"/>
  <c r="P183" i="11"/>
  <c r="P184" i="11"/>
  <c r="P185" i="11"/>
  <c r="P186" i="11"/>
  <c r="P187" i="11"/>
  <c r="P188" i="11"/>
  <c r="P189" i="11"/>
  <c r="P190" i="11"/>
  <c r="P191" i="11"/>
  <c r="P192" i="11"/>
  <c r="P193" i="11"/>
  <c r="P194" i="11"/>
  <c r="P195" i="11"/>
  <c r="P196" i="11"/>
  <c r="P197" i="11"/>
  <c r="P198" i="11"/>
  <c r="P199" i="11"/>
  <c r="P200" i="11"/>
  <c r="P201" i="11"/>
  <c r="P202" i="11"/>
  <c r="P203" i="11"/>
  <c r="P204" i="11"/>
  <c r="P205" i="11"/>
  <c r="P206" i="11"/>
  <c r="P207" i="11"/>
  <c r="P208" i="11"/>
  <c r="P209" i="11"/>
  <c r="P210" i="11"/>
  <c r="P211" i="11"/>
  <c r="P212" i="11"/>
  <c r="P213" i="11"/>
  <c r="P214" i="11"/>
  <c r="P215" i="11"/>
  <c r="P216" i="11"/>
  <c r="P217" i="11"/>
  <c r="P218" i="11"/>
  <c r="P219" i="11"/>
  <c r="P220" i="11"/>
  <c r="P221" i="11"/>
  <c r="P222" i="11"/>
  <c r="P223" i="11"/>
  <c r="P224" i="11"/>
  <c r="P225" i="11"/>
  <c r="P226" i="11"/>
  <c r="P227" i="11"/>
  <c r="P228" i="11"/>
  <c r="P229" i="11"/>
  <c r="P230" i="11"/>
  <c r="P231" i="11"/>
  <c r="P232" i="11"/>
  <c r="P233" i="11"/>
  <c r="P234" i="11"/>
  <c r="P235" i="11"/>
  <c r="P236" i="11"/>
  <c r="P237" i="11"/>
  <c r="P238" i="11"/>
  <c r="P239" i="11"/>
  <c r="P240" i="11"/>
  <c r="P241" i="11"/>
  <c r="P242" i="11"/>
  <c r="P243" i="11"/>
  <c r="P244" i="11"/>
  <c r="P245" i="11"/>
  <c r="P246" i="11"/>
  <c r="P247" i="11"/>
  <c r="P248" i="11"/>
  <c r="P249" i="11"/>
  <c r="P250" i="11"/>
  <c r="P251" i="11"/>
  <c r="P252" i="11"/>
  <c r="P253" i="11"/>
  <c r="P254" i="11"/>
  <c r="P255" i="11"/>
  <c r="P256" i="11"/>
  <c r="P257" i="11"/>
  <c r="P258" i="11"/>
  <c r="P259" i="11"/>
  <c r="P260" i="11"/>
  <c r="P261" i="11"/>
  <c r="P262" i="11"/>
  <c r="P263" i="11"/>
  <c r="P264" i="11"/>
  <c r="P265" i="11"/>
  <c r="P266" i="11"/>
  <c r="P267" i="11"/>
  <c r="P268" i="11"/>
  <c r="P269" i="11"/>
  <c r="P270" i="11"/>
  <c r="P271" i="11"/>
  <c r="P272" i="11"/>
  <c r="P273" i="11"/>
  <c r="P274" i="11"/>
  <c r="P275" i="11"/>
  <c r="P276" i="11"/>
  <c r="P277" i="11"/>
  <c r="P278" i="11"/>
  <c r="P279" i="11"/>
  <c r="P280" i="11"/>
  <c r="P281" i="11"/>
  <c r="P282" i="11"/>
  <c r="P283" i="11"/>
  <c r="P284" i="11"/>
  <c r="P285" i="11"/>
  <c r="P286" i="11"/>
  <c r="P287" i="11"/>
  <c r="P288" i="11"/>
  <c r="P289" i="11"/>
  <c r="P290" i="11"/>
  <c r="P291" i="11"/>
  <c r="P292" i="11"/>
  <c r="P293" i="11"/>
  <c r="P294" i="11"/>
  <c r="P295" i="11"/>
  <c r="P296" i="11"/>
  <c r="P297" i="11"/>
  <c r="P298" i="11"/>
  <c r="P299" i="11"/>
  <c r="P300" i="11"/>
  <c r="P301" i="11"/>
  <c r="P302" i="11"/>
  <c r="P303" i="11"/>
  <c r="P304" i="11"/>
  <c r="P305" i="11"/>
  <c r="P306" i="11"/>
  <c r="P307" i="11"/>
  <c r="P308" i="11"/>
  <c r="P309" i="11"/>
  <c r="P310" i="11"/>
  <c r="P311" i="11"/>
  <c r="P312" i="11"/>
  <c r="P313" i="11"/>
  <c r="P314" i="11"/>
  <c r="P315" i="11"/>
  <c r="P316" i="11"/>
  <c r="P317" i="11"/>
  <c r="P318" i="11"/>
  <c r="P319" i="11"/>
  <c r="P320" i="11"/>
  <c r="P321" i="11"/>
  <c r="P322" i="11"/>
  <c r="P323" i="11"/>
  <c r="P324" i="11"/>
  <c r="P325" i="11"/>
  <c r="P326" i="11"/>
  <c r="P327" i="11"/>
  <c r="P328" i="11"/>
  <c r="P329" i="11"/>
  <c r="P330" i="11"/>
  <c r="P331" i="11"/>
  <c r="P332" i="11"/>
  <c r="P333" i="11"/>
  <c r="P334" i="11"/>
  <c r="P335" i="11"/>
  <c r="P336" i="11"/>
  <c r="P337" i="11"/>
  <c r="P338" i="11"/>
  <c r="P339" i="11"/>
  <c r="P340" i="11"/>
  <c r="P341" i="11"/>
  <c r="P342" i="11"/>
  <c r="P343" i="11"/>
  <c r="P344" i="11"/>
  <c r="P345" i="11"/>
  <c r="P346" i="11"/>
  <c r="P347" i="11"/>
  <c r="P348" i="11"/>
  <c r="P349" i="11"/>
  <c r="P350" i="11"/>
  <c r="P351" i="11"/>
  <c r="P352" i="11"/>
  <c r="P353" i="11"/>
  <c r="P354" i="11"/>
  <c r="P355" i="11"/>
  <c r="P356" i="11"/>
  <c r="P357" i="11"/>
  <c r="P358" i="11"/>
  <c r="P359" i="11"/>
  <c r="P360" i="11"/>
  <c r="P361" i="11"/>
  <c r="P362" i="11"/>
  <c r="P363" i="11"/>
  <c r="P364" i="11"/>
  <c r="P365" i="11"/>
  <c r="P366" i="11"/>
  <c r="P367" i="11"/>
  <c r="P368" i="11"/>
  <c r="P369" i="11"/>
  <c r="P370" i="11"/>
  <c r="P371" i="11"/>
  <c r="P372" i="11"/>
  <c r="P373" i="11"/>
  <c r="P374" i="11"/>
  <c r="P375" i="11"/>
  <c r="P376" i="11"/>
  <c r="P377" i="11"/>
  <c r="P378" i="11"/>
  <c r="P379" i="11"/>
  <c r="P380" i="11"/>
  <c r="P381" i="11"/>
  <c r="P382" i="11"/>
  <c r="P383" i="11"/>
  <c r="P384" i="11"/>
  <c r="P385" i="11"/>
  <c r="P386" i="11"/>
  <c r="P387" i="11"/>
  <c r="P388" i="11"/>
  <c r="P389" i="11"/>
  <c r="P390" i="11"/>
  <c r="P391" i="11"/>
  <c r="P392" i="11"/>
  <c r="P393" i="11"/>
  <c r="P394" i="11"/>
  <c r="P395" i="11"/>
  <c r="P396" i="11"/>
  <c r="P397" i="11"/>
  <c r="P398" i="11"/>
  <c r="P399" i="11"/>
  <c r="P400" i="11"/>
  <c r="P401" i="11"/>
  <c r="P402" i="11"/>
  <c r="P403" i="11"/>
  <c r="P404" i="11"/>
  <c r="P405" i="11"/>
  <c r="P406" i="11"/>
  <c r="P407" i="11"/>
  <c r="P408" i="11"/>
  <c r="P409" i="11"/>
  <c r="P410" i="11"/>
  <c r="P411" i="11"/>
  <c r="P412" i="11"/>
  <c r="V69" i="9"/>
  <c r="V66" i="9"/>
  <c r="V64" i="9"/>
  <c r="L427" i="9"/>
  <c r="K427" i="9"/>
  <c r="AN427" i="9"/>
  <c r="AO427" i="9"/>
  <c r="AP427" i="9"/>
  <c r="O427" i="9"/>
  <c r="K57" i="9"/>
  <c r="AN57" i="9"/>
  <c r="AO57" i="9"/>
  <c r="AP57" i="9"/>
  <c r="O57" i="9"/>
  <c r="R57" i="9"/>
  <c r="T57" i="9"/>
  <c r="L57" i="9"/>
  <c r="L428" i="9"/>
  <c r="K428" i="9"/>
  <c r="AN428" i="9"/>
  <c r="AO428" i="9"/>
  <c r="AP428" i="9"/>
  <c r="O428" i="9"/>
  <c r="L55" i="9"/>
  <c r="K55" i="9"/>
  <c r="AN55" i="9"/>
  <c r="AO55" i="9"/>
  <c r="AP55" i="9"/>
  <c r="O55" i="9"/>
  <c r="R55" i="9"/>
  <c r="T55" i="9"/>
  <c r="L60" i="9"/>
  <c r="K60" i="9"/>
  <c r="AN60" i="9"/>
  <c r="AO60" i="9"/>
  <c r="AP60" i="9"/>
  <c r="O60" i="9"/>
  <c r="R60" i="9"/>
  <c r="T60" i="9"/>
  <c r="K424" i="9"/>
  <c r="AN424" i="9"/>
  <c r="AO424" i="9"/>
  <c r="AP424" i="9"/>
  <c r="O424" i="9"/>
  <c r="L424" i="9"/>
  <c r="N10" i="7"/>
  <c r="Q10" i="7"/>
  <c r="N11" i="7"/>
  <c r="Q11" i="7"/>
  <c r="N19" i="7"/>
  <c r="Q19" i="7"/>
  <c r="N27" i="7"/>
  <c r="Q27" i="7"/>
  <c r="Q35" i="7"/>
  <c r="N35" i="7"/>
  <c r="Q18" i="7"/>
  <c r="N18" i="7"/>
  <c r="N26" i="7"/>
  <c r="Q26" i="7"/>
  <c r="N34" i="7"/>
  <c r="Q34" i="7"/>
  <c r="L54" i="9"/>
  <c r="K54" i="9"/>
  <c r="AN54" i="9"/>
  <c r="AO54" i="9"/>
  <c r="AP54" i="9"/>
  <c r="O54" i="9"/>
  <c r="R54" i="9"/>
  <c r="K61" i="9"/>
  <c r="AN61" i="9"/>
  <c r="AO61" i="9"/>
  <c r="AP61" i="9"/>
  <c r="O61" i="9"/>
  <c r="R61" i="9"/>
  <c r="T61" i="9"/>
  <c r="L61" i="9"/>
  <c r="K425" i="9"/>
  <c r="AN425" i="9"/>
  <c r="AO425" i="9"/>
  <c r="AP425" i="9"/>
  <c r="O425" i="9"/>
  <c r="L425" i="9"/>
  <c r="AB414" i="9"/>
  <c r="AC415" i="9"/>
  <c r="D415" i="9"/>
  <c r="AC49" i="9"/>
  <c r="D49" i="9"/>
  <c r="AB49" i="9"/>
  <c r="T50" i="7"/>
  <c r="N4" i="7"/>
  <c r="P4" i="7"/>
  <c r="Q4" i="7"/>
  <c r="N5" i="7"/>
  <c r="Q5" i="7"/>
  <c r="Q13" i="7"/>
  <c r="N13" i="7"/>
  <c r="N21" i="7"/>
  <c r="Q21" i="7"/>
  <c r="N29" i="7"/>
  <c r="Q29" i="7"/>
  <c r="N12" i="7"/>
  <c r="Q12" i="7"/>
  <c r="N20" i="7"/>
  <c r="Q20" i="7"/>
  <c r="Q28" i="7"/>
  <c r="N28" i="7"/>
  <c r="R50" i="7"/>
  <c r="N51" i="7"/>
  <c r="L63" i="9"/>
  <c r="K63" i="9"/>
  <c r="AN63" i="9"/>
  <c r="AO63" i="9"/>
  <c r="AP63" i="9"/>
  <c r="O63" i="9"/>
  <c r="R63" i="9"/>
  <c r="T63" i="9"/>
  <c r="L423" i="9"/>
  <c r="K423" i="9"/>
  <c r="AN423" i="9"/>
  <c r="AO423" i="9"/>
  <c r="AP423" i="9"/>
  <c r="O423" i="9"/>
  <c r="L62" i="9"/>
  <c r="K62" i="9"/>
  <c r="AN62" i="9"/>
  <c r="AO62" i="9"/>
  <c r="AP62" i="9"/>
  <c r="O62" i="9"/>
  <c r="R62" i="9"/>
  <c r="T62" i="9"/>
  <c r="V68" i="9"/>
  <c r="L421" i="9"/>
  <c r="K421" i="9"/>
  <c r="AN421" i="9"/>
  <c r="AO421" i="9"/>
  <c r="AP421" i="9"/>
  <c r="O421" i="9"/>
  <c r="K426" i="9"/>
  <c r="AN426" i="9"/>
  <c r="AO426" i="9"/>
  <c r="AP426" i="9"/>
  <c r="O426" i="9"/>
  <c r="L426" i="9"/>
  <c r="L58" i="9"/>
  <c r="K58" i="9"/>
  <c r="AN58" i="9"/>
  <c r="AO58" i="9"/>
  <c r="AP58" i="9"/>
  <c r="O58" i="9"/>
  <c r="R58" i="9"/>
  <c r="T58" i="9"/>
  <c r="AC413" i="9"/>
  <c r="AB413" i="9"/>
  <c r="T414" i="7"/>
  <c r="R414" i="7"/>
  <c r="N409" i="7"/>
  <c r="T415" i="7"/>
  <c r="Q6" i="7"/>
  <c r="N6" i="7"/>
  <c r="Q7" i="7"/>
  <c r="N7" i="7"/>
  <c r="Q15" i="7"/>
  <c r="N15" i="7"/>
  <c r="N23" i="7"/>
  <c r="Q23" i="7"/>
  <c r="N31" i="7"/>
  <c r="Q31" i="7"/>
  <c r="N14" i="7"/>
  <c r="Q14" i="7"/>
  <c r="Q22" i="7"/>
  <c r="N22" i="7"/>
  <c r="N30" i="7"/>
  <c r="Q30" i="7"/>
  <c r="L420" i="9"/>
  <c r="K420" i="9"/>
  <c r="AN420" i="9"/>
  <c r="AO420" i="9"/>
  <c r="AP420" i="9"/>
  <c r="O420" i="9"/>
  <c r="K422" i="9"/>
  <c r="AN422" i="9"/>
  <c r="AO422" i="9"/>
  <c r="AP422" i="9"/>
  <c r="O422" i="9"/>
  <c r="L422" i="9"/>
  <c r="L59" i="9"/>
  <c r="K59" i="9"/>
  <c r="AN59" i="9"/>
  <c r="AO59" i="9"/>
  <c r="AP59" i="9"/>
  <c r="O59" i="9"/>
  <c r="R59" i="9"/>
  <c r="T59" i="9"/>
  <c r="Q8" i="7"/>
  <c r="N8" i="7"/>
  <c r="N9" i="7"/>
  <c r="Q9" i="7"/>
  <c r="N17" i="7"/>
  <c r="Q17" i="7"/>
  <c r="N25" i="7"/>
  <c r="Q25" i="7"/>
  <c r="Q33" i="7"/>
  <c r="N33" i="7"/>
  <c r="N16" i="7"/>
  <c r="Q16" i="7"/>
  <c r="Q24" i="7"/>
  <c r="N24" i="7"/>
  <c r="N32" i="7"/>
  <c r="Q32" i="7"/>
  <c r="L56" i="9"/>
  <c r="K56" i="9"/>
  <c r="AN56" i="9"/>
  <c r="AO56" i="9"/>
  <c r="AP56" i="9"/>
  <c r="O56" i="9"/>
  <c r="R56" i="9"/>
  <c r="L429" i="9"/>
  <c r="K429" i="9"/>
  <c r="AN429" i="9"/>
  <c r="AO429" i="9"/>
  <c r="AP429" i="9"/>
  <c r="O429" i="9"/>
  <c r="E15" i="30"/>
  <c r="I1" i="30"/>
  <c r="I15" i="30"/>
  <c r="J15" i="30"/>
  <c r="T70" i="9"/>
  <c r="V70" i="9"/>
  <c r="T56" i="9"/>
  <c r="V56" i="9"/>
  <c r="T54" i="9"/>
  <c r="V54" i="9"/>
  <c r="A38" i="25"/>
  <c r="D38" i="25"/>
  <c r="B35" i="29"/>
  <c r="C72" i="9"/>
  <c r="B72" i="9"/>
  <c r="P71" i="9"/>
  <c r="Q71" i="9"/>
  <c r="X71" i="9"/>
  <c r="W71" i="9"/>
  <c r="Q70" i="9"/>
  <c r="U70" i="9"/>
  <c r="E34" i="29"/>
  <c r="D34" i="29"/>
  <c r="AC34" i="29"/>
  <c r="E37" i="25"/>
  <c r="I37" i="25"/>
  <c r="W37" i="25"/>
  <c r="F37" i="25"/>
  <c r="U37" i="25"/>
  <c r="K37" i="25"/>
  <c r="G37" i="25"/>
  <c r="V37" i="25"/>
  <c r="H37" i="25"/>
  <c r="T37" i="25"/>
  <c r="S71" i="9"/>
  <c r="N71" i="9"/>
  <c r="F33" i="29"/>
  <c r="AE33" i="29"/>
  <c r="AD33" i="29"/>
  <c r="V55" i="9"/>
  <c r="AE411" i="9"/>
  <c r="M411" i="9"/>
  <c r="AD411" i="9"/>
  <c r="N413" i="11"/>
  <c r="P413" i="11"/>
  <c r="P414" i="11"/>
  <c r="P415" i="11"/>
  <c r="P416" i="11"/>
  <c r="P417" i="11"/>
  <c r="P418" i="11"/>
  <c r="P419" i="11"/>
  <c r="P420" i="11"/>
  <c r="P421" i="11"/>
  <c r="P422" i="11"/>
  <c r="P423" i="11"/>
  <c r="P424" i="11"/>
  <c r="P425" i="11"/>
  <c r="P426" i="11"/>
  <c r="P427" i="11"/>
  <c r="P428" i="11"/>
  <c r="P429" i="11"/>
  <c r="P430" i="11"/>
  <c r="P431" i="11"/>
  <c r="P432" i="11"/>
  <c r="P433" i="11"/>
  <c r="P434" i="11"/>
  <c r="P435" i="11"/>
  <c r="P436" i="11"/>
  <c r="P437" i="11"/>
  <c r="P438" i="11"/>
  <c r="P439" i="11"/>
  <c r="P440" i="11"/>
  <c r="P441" i="11"/>
  <c r="P442" i="11"/>
  <c r="P443" i="11"/>
  <c r="P444" i="11"/>
  <c r="P445" i="11"/>
  <c r="P446" i="11"/>
  <c r="P447" i="11"/>
  <c r="P448" i="11"/>
  <c r="P449" i="11"/>
  <c r="P450" i="11"/>
  <c r="P451" i="11"/>
  <c r="P452" i="11"/>
  <c r="P453" i="11"/>
  <c r="P454" i="11"/>
  <c r="P455" i="11"/>
  <c r="P456" i="11"/>
  <c r="P457" i="11"/>
  <c r="P458" i="11"/>
  <c r="P459" i="11"/>
  <c r="P460" i="11"/>
  <c r="T412" i="11"/>
  <c r="AE419" i="9"/>
  <c r="M419" i="9"/>
  <c r="AD418" i="9"/>
  <c r="AE53" i="9"/>
  <c r="M53" i="9"/>
  <c r="AD53" i="9"/>
  <c r="T54" i="11"/>
  <c r="V59" i="9"/>
  <c r="V62" i="9"/>
  <c r="V63" i="9"/>
  <c r="L415" i="9"/>
  <c r="K415" i="9"/>
  <c r="AN415" i="9"/>
  <c r="AO415" i="9"/>
  <c r="AP415" i="9"/>
  <c r="O415" i="9"/>
  <c r="V61" i="9"/>
  <c r="AC416" i="9"/>
  <c r="D416" i="9"/>
  <c r="AB415" i="9"/>
  <c r="AB50" i="9"/>
  <c r="AC50" i="9"/>
  <c r="D50" i="9"/>
  <c r="T51" i="7"/>
  <c r="N52" i="7"/>
  <c r="D413" i="9"/>
  <c r="AC414" i="9"/>
  <c r="D414" i="9"/>
  <c r="V60" i="9"/>
  <c r="AC408" i="9"/>
  <c r="D408" i="9"/>
  <c r="AB408" i="9"/>
  <c r="T409" i="7"/>
  <c r="N410" i="7"/>
  <c r="V58" i="9"/>
  <c r="P5" i="7"/>
  <c r="P6" i="7"/>
  <c r="P7" i="7"/>
  <c r="P8" i="7"/>
  <c r="P9" i="7"/>
  <c r="P10" i="7"/>
  <c r="P11" i="7"/>
  <c r="P12" i="7"/>
  <c r="P13" i="7"/>
  <c r="P14" i="7"/>
  <c r="P15" i="7"/>
  <c r="P16" i="7"/>
  <c r="P17" i="7"/>
  <c r="P18" i="7"/>
  <c r="P19" i="7"/>
  <c r="P20" i="7"/>
  <c r="P21" i="7"/>
  <c r="P22" i="7"/>
  <c r="P23" i="7"/>
  <c r="P24" i="7"/>
  <c r="P25" i="7"/>
  <c r="P26" i="7"/>
  <c r="P27" i="7"/>
  <c r="P28" i="7"/>
  <c r="P29" i="7"/>
  <c r="P30" i="7"/>
  <c r="P31" i="7"/>
  <c r="P32" i="7"/>
  <c r="P33" i="7"/>
  <c r="P34" i="7"/>
  <c r="P35" i="7"/>
  <c r="P36" i="7"/>
  <c r="P37" i="7"/>
  <c r="P38" i="7"/>
  <c r="P39" i="7"/>
  <c r="P40" i="7"/>
  <c r="P41" i="7"/>
  <c r="P42" i="7"/>
  <c r="P43" i="7"/>
  <c r="P44" i="7"/>
  <c r="P45" i="7"/>
  <c r="P46" i="7"/>
  <c r="P47" i="7"/>
  <c r="P48" i="7"/>
  <c r="P49" i="7"/>
  <c r="P50" i="7"/>
  <c r="P51" i="7"/>
  <c r="P52" i="7"/>
  <c r="K49" i="9"/>
  <c r="AN49" i="9"/>
  <c r="AO49" i="9"/>
  <c r="AP49" i="9"/>
  <c r="O49" i="9"/>
  <c r="R49" i="9"/>
  <c r="T49" i="9"/>
  <c r="L49" i="9"/>
  <c r="V57" i="9"/>
  <c r="AD34" i="29"/>
  <c r="F34" i="29"/>
  <c r="AE34" i="29"/>
  <c r="A39" i="25"/>
  <c r="D39" i="25"/>
  <c r="B36" i="29"/>
  <c r="C73" i="9"/>
  <c r="B73" i="9"/>
  <c r="P72" i="9"/>
  <c r="Q72" i="9"/>
  <c r="X72" i="9"/>
  <c r="W72" i="9"/>
  <c r="S72" i="9"/>
  <c r="N72" i="9"/>
  <c r="E35" i="29"/>
  <c r="D35" i="29"/>
  <c r="AC35" i="29"/>
  <c r="U71" i="9"/>
  <c r="R71" i="9"/>
  <c r="G38" i="25"/>
  <c r="V38" i="25"/>
  <c r="E38" i="25"/>
  <c r="H38" i="25"/>
  <c r="I38" i="25"/>
  <c r="W38" i="25"/>
  <c r="U38" i="25"/>
  <c r="K38" i="25"/>
  <c r="F38" i="25"/>
  <c r="T38" i="25"/>
  <c r="AE412" i="9"/>
  <c r="M412" i="9"/>
  <c r="AD412" i="9"/>
  <c r="T413" i="11"/>
  <c r="K408" i="9"/>
  <c r="AN408" i="9"/>
  <c r="AO408" i="9"/>
  <c r="AP408" i="9"/>
  <c r="O408" i="9"/>
  <c r="L408" i="9"/>
  <c r="L413" i="9"/>
  <c r="K413" i="9"/>
  <c r="AN413" i="9"/>
  <c r="AO413" i="9"/>
  <c r="AP413" i="9"/>
  <c r="O413" i="9"/>
  <c r="AB409" i="9"/>
  <c r="AC409" i="9"/>
  <c r="D409" i="9"/>
  <c r="T410" i="7"/>
  <c r="N411" i="7"/>
  <c r="AC417" i="9"/>
  <c r="D417" i="9"/>
  <c r="AB416" i="9"/>
  <c r="AC51" i="9"/>
  <c r="D51" i="9"/>
  <c r="AB51" i="9"/>
  <c r="T52" i="7"/>
  <c r="N53" i="7"/>
  <c r="V49" i="9"/>
  <c r="L416" i="9"/>
  <c r="K416" i="9"/>
  <c r="AN416" i="9"/>
  <c r="AO416" i="9"/>
  <c r="AP416" i="9"/>
  <c r="O416" i="9"/>
  <c r="P53" i="7"/>
  <c r="K414" i="9"/>
  <c r="AN414" i="9"/>
  <c r="AO414" i="9"/>
  <c r="AP414" i="9"/>
  <c r="O414" i="9"/>
  <c r="L414" i="9"/>
  <c r="L50" i="9"/>
  <c r="K50" i="9"/>
  <c r="AN50" i="9"/>
  <c r="AO50" i="9"/>
  <c r="AP50" i="9"/>
  <c r="O50" i="9"/>
  <c r="R50" i="9"/>
  <c r="T50" i="9"/>
  <c r="T71" i="9"/>
  <c r="V71" i="9"/>
  <c r="S73" i="9"/>
  <c r="N73" i="9"/>
  <c r="E36" i="29"/>
  <c r="D36" i="29"/>
  <c r="AC36" i="29"/>
  <c r="AD35" i="29"/>
  <c r="F35" i="29"/>
  <c r="AE35" i="29"/>
  <c r="U72" i="9"/>
  <c r="R72" i="9"/>
  <c r="G39" i="25"/>
  <c r="V39" i="25"/>
  <c r="I39" i="25"/>
  <c r="W39" i="25"/>
  <c r="F39" i="25"/>
  <c r="H39" i="25"/>
  <c r="E39" i="25"/>
  <c r="U39" i="25"/>
  <c r="K39" i="25"/>
  <c r="T39" i="25"/>
  <c r="A40" i="25"/>
  <c r="D40" i="25"/>
  <c r="B37" i="29"/>
  <c r="C74" i="9"/>
  <c r="B74" i="9"/>
  <c r="P73" i="9"/>
  <c r="Q73" i="9"/>
  <c r="X73" i="9"/>
  <c r="W73" i="9"/>
  <c r="V50" i="9"/>
  <c r="L51" i="9"/>
  <c r="K51" i="9"/>
  <c r="AN51" i="9"/>
  <c r="AO51" i="9"/>
  <c r="AP51" i="9"/>
  <c r="O51" i="9"/>
  <c r="R51" i="9"/>
  <c r="AC418" i="9"/>
  <c r="D418" i="9"/>
  <c r="AB417" i="9"/>
  <c r="AC52" i="9"/>
  <c r="D52" i="9"/>
  <c r="AB52" i="9"/>
  <c r="N54" i="7"/>
  <c r="T53" i="7"/>
  <c r="K409" i="9"/>
  <c r="AN409" i="9"/>
  <c r="AO409" i="9"/>
  <c r="AP409" i="9"/>
  <c r="O409" i="9"/>
  <c r="L409" i="9"/>
  <c r="L417" i="9"/>
  <c r="K417" i="9"/>
  <c r="AN417" i="9"/>
  <c r="AO417" i="9"/>
  <c r="AP417" i="9"/>
  <c r="O417" i="9"/>
  <c r="AC410" i="9"/>
  <c r="D410" i="9"/>
  <c r="AB410" i="9"/>
  <c r="T411" i="7"/>
  <c r="N412" i="7"/>
  <c r="T72" i="9"/>
  <c r="V72" i="9"/>
  <c r="T51" i="9"/>
  <c r="V51" i="9"/>
  <c r="AD36" i="29"/>
  <c r="F36" i="29"/>
  <c r="AE36" i="29"/>
  <c r="A41" i="25"/>
  <c r="D41" i="25"/>
  <c r="B38" i="29"/>
  <c r="B75" i="9"/>
  <c r="C75" i="9"/>
  <c r="P74" i="9"/>
  <c r="Q74" i="9"/>
  <c r="X74" i="9"/>
  <c r="W74" i="9"/>
  <c r="U73" i="9"/>
  <c r="R73" i="9"/>
  <c r="I40" i="25"/>
  <c r="W40" i="25"/>
  <c r="F40" i="25"/>
  <c r="U40" i="25"/>
  <c r="K40" i="25"/>
  <c r="H40" i="25"/>
  <c r="G40" i="25"/>
  <c r="V40" i="25"/>
  <c r="E40" i="25"/>
  <c r="T40" i="25"/>
  <c r="S74" i="9"/>
  <c r="N74" i="9"/>
  <c r="E37" i="29"/>
  <c r="D37" i="29"/>
  <c r="AC37" i="29"/>
  <c r="L52" i="9"/>
  <c r="K52" i="9"/>
  <c r="AN52" i="9"/>
  <c r="AO52" i="9"/>
  <c r="AP52" i="9"/>
  <c r="O52" i="9"/>
  <c r="R52" i="9"/>
  <c r="AB411" i="9"/>
  <c r="AC411" i="9"/>
  <c r="D411" i="9"/>
  <c r="N413" i="7"/>
  <c r="T412" i="7"/>
  <c r="AB418" i="9"/>
  <c r="AC419" i="9"/>
  <c r="D419" i="9"/>
  <c r="AC53" i="9"/>
  <c r="D53" i="9"/>
  <c r="AB53" i="9"/>
  <c r="T54" i="7"/>
  <c r="K418" i="9"/>
  <c r="AN418" i="9"/>
  <c r="AO418" i="9"/>
  <c r="AP418" i="9"/>
  <c r="O418" i="9"/>
  <c r="L418" i="9"/>
  <c r="K410" i="9"/>
  <c r="AN410" i="9"/>
  <c r="AO410" i="9"/>
  <c r="AP410" i="9"/>
  <c r="O410" i="9"/>
  <c r="L410" i="9"/>
  <c r="P54" i="7"/>
  <c r="P55" i="7"/>
  <c r="P56" i="7"/>
  <c r="P57" i="7"/>
  <c r="P58" i="7"/>
  <c r="P59" i="7"/>
  <c r="P60" i="7"/>
  <c r="P61" i="7"/>
  <c r="P62" i="7"/>
  <c r="P63" i="7"/>
  <c r="P64" i="7"/>
  <c r="P65" i="7"/>
  <c r="P66" i="7"/>
  <c r="P67" i="7"/>
  <c r="P68" i="7"/>
  <c r="P69" i="7"/>
  <c r="P70" i="7"/>
  <c r="P71" i="7"/>
  <c r="P72" i="7"/>
  <c r="P73" i="7"/>
  <c r="P74" i="7"/>
  <c r="P75" i="7"/>
  <c r="P76" i="7"/>
  <c r="P77" i="7"/>
  <c r="P78" i="7"/>
  <c r="P79" i="7"/>
  <c r="P80" i="7"/>
  <c r="P81" i="7"/>
  <c r="P82" i="7"/>
  <c r="P83" i="7"/>
  <c r="P84" i="7"/>
  <c r="P85" i="7"/>
  <c r="P86" i="7"/>
  <c r="P87" i="7"/>
  <c r="P88" i="7"/>
  <c r="P89" i="7"/>
  <c r="P90" i="7"/>
  <c r="P91" i="7"/>
  <c r="P92" i="7"/>
  <c r="P93" i="7"/>
  <c r="P94" i="7"/>
  <c r="P95" i="7"/>
  <c r="P96" i="7"/>
  <c r="P97" i="7"/>
  <c r="P98" i="7"/>
  <c r="P99" i="7"/>
  <c r="P100" i="7"/>
  <c r="P101" i="7"/>
  <c r="P102" i="7"/>
  <c r="P103" i="7"/>
  <c r="P104" i="7"/>
  <c r="P105" i="7"/>
  <c r="P106" i="7"/>
  <c r="P107" i="7"/>
  <c r="P108" i="7"/>
  <c r="P109" i="7"/>
  <c r="P110" i="7"/>
  <c r="P111" i="7"/>
  <c r="P112" i="7"/>
  <c r="P113" i="7"/>
  <c r="P114" i="7"/>
  <c r="P115" i="7"/>
  <c r="P116" i="7"/>
  <c r="P117" i="7"/>
  <c r="P118" i="7"/>
  <c r="P119" i="7"/>
  <c r="P120" i="7"/>
  <c r="P121" i="7"/>
  <c r="P122" i="7"/>
  <c r="P123" i="7"/>
  <c r="P124" i="7"/>
  <c r="P125" i="7"/>
  <c r="P126" i="7"/>
  <c r="P127" i="7"/>
  <c r="P128" i="7"/>
  <c r="P129" i="7"/>
  <c r="P130" i="7"/>
  <c r="P131" i="7"/>
  <c r="P132" i="7"/>
  <c r="P133" i="7"/>
  <c r="P134" i="7"/>
  <c r="P135" i="7"/>
  <c r="P136" i="7"/>
  <c r="P137" i="7"/>
  <c r="P138" i="7"/>
  <c r="P139" i="7"/>
  <c r="P140" i="7"/>
  <c r="P141" i="7"/>
  <c r="P142" i="7"/>
  <c r="P143" i="7"/>
  <c r="P144" i="7"/>
  <c r="P145" i="7"/>
  <c r="P146" i="7"/>
  <c r="P147" i="7"/>
  <c r="P148" i="7"/>
  <c r="P149" i="7"/>
  <c r="P150" i="7"/>
  <c r="P151" i="7"/>
  <c r="P152" i="7"/>
  <c r="P153" i="7"/>
  <c r="P154" i="7"/>
  <c r="P155" i="7"/>
  <c r="P156" i="7"/>
  <c r="P157" i="7"/>
  <c r="P158" i="7"/>
  <c r="P159" i="7"/>
  <c r="P160" i="7"/>
  <c r="P161" i="7"/>
  <c r="P162" i="7"/>
  <c r="P163" i="7"/>
  <c r="P164" i="7"/>
  <c r="P165" i="7"/>
  <c r="P166" i="7"/>
  <c r="P167" i="7"/>
  <c r="P168" i="7"/>
  <c r="P169" i="7"/>
  <c r="P170" i="7"/>
  <c r="P171" i="7"/>
  <c r="P172" i="7"/>
  <c r="P173" i="7"/>
  <c r="P174" i="7"/>
  <c r="P175" i="7"/>
  <c r="P176" i="7"/>
  <c r="P177" i="7"/>
  <c r="P178" i="7"/>
  <c r="P179" i="7"/>
  <c r="P180" i="7"/>
  <c r="P181" i="7"/>
  <c r="P182" i="7"/>
  <c r="P183" i="7"/>
  <c r="P184" i="7"/>
  <c r="P185" i="7"/>
  <c r="P186" i="7"/>
  <c r="P187" i="7"/>
  <c r="P188" i="7"/>
  <c r="P189" i="7"/>
  <c r="P190" i="7"/>
  <c r="P191" i="7"/>
  <c r="P192" i="7"/>
  <c r="P193" i="7"/>
  <c r="P194" i="7"/>
  <c r="P195" i="7"/>
  <c r="P196" i="7"/>
  <c r="P197" i="7"/>
  <c r="P198" i="7"/>
  <c r="P199" i="7"/>
  <c r="P200" i="7"/>
  <c r="P201" i="7"/>
  <c r="P202" i="7"/>
  <c r="P203" i="7"/>
  <c r="P204" i="7"/>
  <c r="P205" i="7"/>
  <c r="P206" i="7"/>
  <c r="P207" i="7"/>
  <c r="P208" i="7"/>
  <c r="P209" i="7"/>
  <c r="P210" i="7"/>
  <c r="P211" i="7"/>
  <c r="P212" i="7"/>
  <c r="P213" i="7"/>
  <c r="P214" i="7"/>
  <c r="P215" i="7"/>
  <c r="P216" i="7"/>
  <c r="P217" i="7"/>
  <c r="P218" i="7"/>
  <c r="P219" i="7"/>
  <c r="P220" i="7"/>
  <c r="P221" i="7"/>
  <c r="P222" i="7"/>
  <c r="P223" i="7"/>
  <c r="P224" i="7"/>
  <c r="P225" i="7"/>
  <c r="P226" i="7"/>
  <c r="P227" i="7"/>
  <c r="P228" i="7"/>
  <c r="P229" i="7"/>
  <c r="P230" i="7"/>
  <c r="P231" i="7"/>
  <c r="P232" i="7"/>
  <c r="P233" i="7"/>
  <c r="P234" i="7"/>
  <c r="P235" i="7"/>
  <c r="P236" i="7"/>
  <c r="P237" i="7"/>
  <c r="P238" i="7"/>
  <c r="P239" i="7"/>
  <c r="P240" i="7"/>
  <c r="P241" i="7"/>
  <c r="P242" i="7"/>
  <c r="P243" i="7"/>
  <c r="P244" i="7"/>
  <c r="P245" i="7"/>
  <c r="P246" i="7"/>
  <c r="P247" i="7"/>
  <c r="P248" i="7"/>
  <c r="P249" i="7"/>
  <c r="P250" i="7"/>
  <c r="P251" i="7"/>
  <c r="P252" i="7"/>
  <c r="P253" i="7"/>
  <c r="P254" i="7"/>
  <c r="P255" i="7"/>
  <c r="P256" i="7"/>
  <c r="P257" i="7"/>
  <c r="P258" i="7"/>
  <c r="P259" i="7"/>
  <c r="P260" i="7"/>
  <c r="P261" i="7"/>
  <c r="P262" i="7"/>
  <c r="P263" i="7"/>
  <c r="P264" i="7"/>
  <c r="P265" i="7"/>
  <c r="P266" i="7"/>
  <c r="P267" i="7"/>
  <c r="P268" i="7"/>
  <c r="P269" i="7"/>
  <c r="P270" i="7"/>
  <c r="P271" i="7"/>
  <c r="P272" i="7"/>
  <c r="P273" i="7"/>
  <c r="P274" i="7"/>
  <c r="P275" i="7"/>
  <c r="P276" i="7"/>
  <c r="P277" i="7"/>
  <c r="P278" i="7"/>
  <c r="P279" i="7"/>
  <c r="P280" i="7"/>
  <c r="P281" i="7"/>
  <c r="P282" i="7"/>
  <c r="P283" i="7"/>
  <c r="P284" i="7"/>
  <c r="P285" i="7"/>
  <c r="P286" i="7"/>
  <c r="P287" i="7"/>
  <c r="P288" i="7"/>
  <c r="P289" i="7"/>
  <c r="P290" i="7"/>
  <c r="P291" i="7"/>
  <c r="P292" i="7"/>
  <c r="P293" i="7"/>
  <c r="P294" i="7"/>
  <c r="P295" i="7"/>
  <c r="P296" i="7"/>
  <c r="P297" i="7"/>
  <c r="P298" i="7"/>
  <c r="P299" i="7"/>
  <c r="P300" i="7"/>
  <c r="P301" i="7"/>
  <c r="P302" i="7"/>
  <c r="P303" i="7"/>
  <c r="P304" i="7"/>
  <c r="P305" i="7"/>
  <c r="P306" i="7"/>
  <c r="P307" i="7"/>
  <c r="P308" i="7"/>
  <c r="P309" i="7"/>
  <c r="P310" i="7"/>
  <c r="P311" i="7"/>
  <c r="P312" i="7"/>
  <c r="P313" i="7"/>
  <c r="P314" i="7"/>
  <c r="P315" i="7"/>
  <c r="P316" i="7"/>
  <c r="P317" i="7"/>
  <c r="P318" i="7"/>
  <c r="P319" i="7"/>
  <c r="P320" i="7"/>
  <c r="P321" i="7"/>
  <c r="P322" i="7"/>
  <c r="P323" i="7"/>
  <c r="P324" i="7"/>
  <c r="P325" i="7"/>
  <c r="P326" i="7"/>
  <c r="P327" i="7"/>
  <c r="P328" i="7"/>
  <c r="P329" i="7"/>
  <c r="P330" i="7"/>
  <c r="P331" i="7"/>
  <c r="P332" i="7"/>
  <c r="P333" i="7"/>
  <c r="P334" i="7"/>
  <c r="P335" i="7"/>
  <c r="P336" i="7"/>
  <c r="P337" i="7"/>
  <c r="P338" i="7"/>
  <c r="P339" i="7"/>
  <c r="P340" i="7"/>
  <c r="P341" i="7"/>
  <c r="P342" i="7"/>
  <c r="P343" i="7"/>
  <c r="P344" i="7"/>
  <c r="P345" i="7"/>
  <c r="P346" i="7"/>
  <c r="P347" i="7"/>
  <c r="P348" i="7"/>
  <c r="P349" i="7"/>
  <c r="P350" i="7"/>
  <c r="P351" i="7"/>
  <c r="P352" i="7"/>
  <c r="P353" i="7"/>
  <c r="P354" i="7"/>
  <c r="P355" i="7"/>
  <c r="P356" i="7"/>
  <c r="P357" i="7"/>
  <c r="P358" i="7"/>
  <c r="P359" i="7"/>
  <c r="P360" i="7"/>
  <c r="P361" i="7"/>
  <c r="P362" i="7"/>
  <c r="P363" i="7"/>
  <c r="P364" i="7"/>
  <c r="P365" i="7"/>
  <c r="P366" i="7"/>
  <c r="P367" i="7"/>
  <c r="P368" i="7"/>
  <c r="P369" i="7"/>
  <c r="P370" i="7"/>
  <c r="P371" i="7"/>
  <c r="P372" i="7"/>
  <c r="P373" i="7"/>
  <c r="P374" i="7"/>
  <c r="P375" i="7"/>
  <c r="P376" i="7"/>
  <c r="P377" i="7"/>
  <c r="P378" i="7"/>
  <c r="P379" i="7"/>
  <c r="P380" i="7"/>
  <c r="P381" i="7"/>
  <c r="P382" i="7"/>
  <c r="P383" i="7"/>
  <c r="P384" i="7"/>
  <c r="P385" i="7"/>
  <c r="P386" i="7"/>
  <c r="P387" i="7"/>
  <c r="P388" i="7"/>
  <c r="P389" i="7"/>
  <c r="P390" i="7"/>
  <c r="P391" i="7"/>
  <c r="P392" i="7"/>
  <c r="P393" i="7"/>
  <c r="P394" i="7"/>
  <c r="P395" i="7"/>
  <c r="P396" i="7"/>
  <c r="P397" i="7"/>
  <c r="P398" i="7"/>
  <c r="P399" i="7"/>
  <c r="P400" i="7"/>
  <c r="P401" i="7"/>
  <c r="P402" i="7"/>
  <c r="P403" i="7"/>
  <c r="P404" i="7"/>
  <c r="P405" i="7"/>
  <c r="P406" i="7"/>
  <c r="P407" i="7"/>
  <c r="P408" i="7"/>
  <c r="P409" i="7"/>
  <c r="P410" i="7"/>
  <c r="P411" i="7"/>
  <c r="P412" i="7"/>
  <c r="P413" i="7"/>
  <c r="P414" i="7"/>
  <c r="P415" i="7"/>
  <c r="P416" i="7"/>
  <c r="P417" i="7"/>
  <c r="P418" i="7"/>
  <c r="P419" i="7"/>
  <c r="P420" i="7"/>
  <c r="P421" i="7"/>
  <c r="P422" i="7"/>
  <c r="P423" i="7"/>
  <c r="P424" i="7"/>
  <c r="P425" i="7"/>
  <c r="P426" i="7"/>
  <c r="P427" i="7"/>
  <c r="P428" i="7"/>
  <c r="P429" i="7"/>
  <c r="P430" i="7"/>
  <c r="P431" i="7"/>
  <c r="P432" i="7"/>
  <c r="P433" i="7"/>
  <c r="P434" i="7"/>
  <c r="P435" i="7"/>
  <c r="P436" i="7"/>
  <c r="P437" i="7"/>
  <c r="P438" i="7"/>
  <c r="P439" i="7"/>
  <c r="P440" i="7"/>
  <c r="P441" i="7"/>
  <c r="P442" i="7"/>
  <c r="P443" i="7"/>
  <c r="P444" i="7"/>
  <c r="P445" i="7"/>
  <c r="P446" i="7"/>
  <c r="P447" i="7"/>
  <c r="P448" i="7"/>
  <c r="P449" i="7"/>
  <c r="P450" i="7"/>
  <c r="P451" i="7"/>
  <c r="P452" i="7"/>
  <c r="P453" i="7"/>
  <c r="P454" i="7"/>
  <c r="P455" i="7"/>
  <c r="P456" i="7"/>
  <c r="P457" i="7"/>
  <c r="P458" i="7"/>
  <c r="P459" i="7"/>
  <c r="P460" i="7"/>
  <c r="T52" i="9"/>
  <c r="V52" i="9"/>
  <c r="T73" i="9"/>
  <c r="V73" i="9"/>
  <c r="F37" i="29"/>
  <c r="AE37" i="29"/>
  <c r="AD37" i="29"/>
  <c r="A42" i="25"/>
  <c r="D42" i="25"/>
  <c r="B39" i="29"/>
  <c r="C76" i="9"/>
  <c r="B76" i="9"/>
  <c r="P75" i="9"/>
  <c r="Q75" i="9"/>
  <c r="X75" i="9"/>
  <c r="W75" i="9"/>
  <c r="E38" i="29"/>
  <c r="D38" i="29"/>
  <c r="AC38" i="29"/>
  <c r="U74" i="9"/>
  <c r="R74" i="9"/>
  <c r="E41" i="25"/>
  <c r="G41" i="25"/>
  <c r="V41" i="25"/>
  <c r="U41" i="25"/>
  <c r="K41" i="25"/>
  <c r="H41" i="25"/>
  <c r="F41" i="25"/>
  <c r="I41" i="25"/>
  <c r="W41" i="25"/>
  <c r="T41" i="25"/>
  <c r="S75" i="9"/>
  <c r="N75" i="9"/>
  <c r="L419" i="9"/>
  <c r="K419" i="9"/>
  <c r="AN419" i="9"/>
  <c r="AO419" i="9"/>
  <c r="AP419" i="9"/>
  <c r="O419" i="9"/>
  <c r="L411" i="9"/>
  <c r="K411" i="9"/>
  <c r="AN411" i="9"/>
  <c r="AO411" i="9"/>
  <c r="AP411" i="9"/>
  <c r="O411" i="9"/>
  <c r="K53" i="9"/>
  <c r="AN53" i="9"/>
  <c r="AO53" i="9"/>
  <c r="AP53" i="9"/>
  <c r="O53" i="9"/>
  <c r="R53" i="9"/>
  <c r="T53" i="9"/>
  <c r="L53" i="9"/>
  <c r="AC412" i="9"/>
  <c r="D412" i="9"/>
  <c r="AB412" i="9"/>
  <c r="T413" i="7"/>
  <c r="T74" i="9"/>
  <c r="V74" i="9"/>
  <c r="S76" i="9"/>
  <c r="N76" i="9"/>
  <c r="AD38" i="29"/>
  <c r="F38" i="29"/>
  <c r="AE38" i="29"/>
  <c r="E39" i="29"/>
  <c r="D39" i="29"/>
  <c r="AC39" i="29"/>
  <c r="U75" i="9"/>
  <c r="R75" i="9"/>
  <c r="G42" i="25"/>
  <c r="V42" i="25"/>
  <c r="H42" i="25"/>
  <c r="E42" i="25"/>
  <c r="F42" i="25"/>
  <c r="I42" i="25"/>
  <c r="W42" i="25"/>
  <c r="U42" i="25"/>
  <c r="K42" i="25"/>
  <c r="T42" i="25"/>
  <c r="A43" i="25"/>
  <c r="D43" i="25"/>
  <c r="B40" i="29"/>
  <c r="C77" i="9"/>
  <c r="B77" i="9"/>
  <c r="P76" i="9"/>
  <c r="X76" i="9"/>
  <c r="W76" i="9"/>
  <c r="V53" i="9"/>
  <c r="L412" i="9"/>
  <c r="K412" i="9"/>
  <c r="AN412" i="9"/>
  <c r="AO412" i="9"/>
  <c r="AP412" i="9"/>
  <c r="O412" i="9"/>
  <c r="I6" i="9"/>
  <c r="T75" i="9"/>
  <c r="V75" i="9"/>
  <c r="U76" i="9"/>
  <c r="R76" i="9"/>
  <c r="I43" i="25"/>
  <c r="W43" i="25"/>
  <c r="G43" i="25"/>
  <c r="V43" i="25"/>
  <c r="E43" i="25"/>
  <c r="H43" i="25"/>
  <c r="U43" i="25"/>
  <c r="K43" i="25"/>
  <c r="F43" i="25"/>
  <c r="T43" i="25"/>
  <c r="A44" i="25"/>
  <c r="D44" i="25"/>
  <c r="B41" i="29"/>
  <c r="C78" i="9"/>
  <c r="B78" i="9"/>
  <c r="P77" i="9"/>
  <c r="Q77" i="9"/>
  <c r="X77" i="9"/>
  <c r="W77" i="9"/>
  <c r="S77" i="9"/>
  <c r="N77" i="9"/>
  <c r="E40" i="29"/>
  <c r="D40" i="29"/>
  <c r="AC40" i="29"/>
  <c r="F39" i="29"/>
  <c r="AE39" i="29"/>
  <c r="AD39" i="29"/>
  <c r="Q76" i="9"/>
  <c r="T76" i="9"/>
  <c r="V76" i="9"/>
  <c r="U77" i="9"/>
  <c r="R77" i="9"/>
  <c r="I44" i="25"/>
  <c r="W44" i="25"/>
  <c r="H44" i="25"/>
  <c r="E44" i="25"/>
  <c r="F44" i="25"/>
  <c r="U44" i="25"/>
  <c r="K44" i="25"/>
  <c r="G44" i="25"/>
  <c r="V44" i="25"/>
  <c r="T44" i="25"/>
  <c r="A45" i="25"/>
  <c r="D45" i="25"/>
  <c r="B42" i="29"/>
  <c r="B79" i="9"/>
  <c r="C79" i="9"/>
  <c r="P78" i="9"/>
  <c r="Q78" i="9"/>
  <c r="X78" i="9"/>
  <c r="W78" i="9"/>
  <c r="F40" i="29"/>
  <c r="AE40" i="29"/>
  <c r="AD40" i="29"/>
  <c r="S78" i="9"/>
  <c r="N78" i="9"/>
  <c r="E41" i="29"/>
  <c r="D41" i="29"/>
  <c r="AC41" i="29"/>
  <c r="T77" i="9"/>
  <c r="V77" i="9"/>
  <c r="S79" i="9"/>
  <c r="N79" i="9"/>
  <c r="F41" i="29"/>
  <c r="AE41" i="29"/>
  <c r="AD41" i="29"/>
  <c r="A46" i="25"/>
  <c r="D46" i="25"/>
  <c r="B43" i="29"/>
  <c r="C80" i="9"/>
  <c r="B80" i="9"/>
  <c r="P79" i="9"/>
  <c r="X79" i="9"/>
  <c r="W79" i="9"/>
  <c r="E42" i="29"/>
  <c r="D42" i="29"/>
  <c r="AC42" i="29"/>
  <c r="U78" i="9"/>
  <c r="R78" i="9"/>
  <c r="E45" i="25"/>
  <c r="H45" i="25"/>
  <c r="G45" i="25"/>
  <c r="V45" i="25"/>
  <c r="F45" i="25"/>
  <c r="I45" i="25"/>
  <c r="W45" i="25"/>
  <c r="U45" i="25"/>
  <c r="K45" i="25"/>
  <c r="T45" i="25"/>
  <c r="T78" i="9"/>
  <c r="V78" i="9"/>
  <c r="E43" i="29"/>
  <c r="D43" i="29"/>
  <c r="AC43" i="29"/>
  <c r="U79" i="9"/>
  <c r="R79" i="9"/>
  <c r="E46" i="25"/>
  <c r="G46" i="25"/>
  <c r="V46" i="25"/>
  <c r="U46" i="25"/>
  <c r="K46" i="25"/>
  <c r="I46" i="25"/>
  <c r="W46" i="25"/>
  <c r="H46" i="25"/>
  <c r="F46" i="25"/>
  <c r="T46" i="25"/>
  <c r="Q79" i="9"/>
  <c r="A47" i="25"/>
  <c r="D47" i="25"/>
  <c r="B44" i="29"/>
  <c r="C81" i="9"/>
  <c r="B81" i="9"/>
  <c r="P80" i="9"/>
  <c r="Q80" i="9"/>
  <c r="X80" i="9"/>
  <c r="W80" i="9"/>
  <c r="AD42" i="29"/>
  <c r="F42" i="29"/>
  <c r="AE42" i="29"/>
  <c r="S80" i="9"/>
  <c r="N80" i="9"/>
  <c r="T79" i="9"/>
  <c r="V79" i="9"/>
  <c r="S81" i="9"/>
  <c r="N81" i="9"/>
  <c r="E44" i="29"/>
  <c r="D44" i="29"/>
  <c r="AC44" i="29"/>
  <c r="U80" i="9"/>
  <c r="R80" i="9"/>
  <c r="G47" i="25"/>
  <c r="V47" i="25"/>
  <c r="F47" i="25"/>
  <c r="I47" i="25"/>
  <c r="W47" i="25"/>
  <c r="H47" i="25"/>
  <c r="U47" i="25"/>
  <c r="K47" i="25"/>
  <c r="E47" i="25"/>
  <c r="T47" i="25"/>
  <c r="F43" i="29"/>
  <c r="AE43" i="29"/>
  <c r="AD43" i="29"/>
  <c r="A48" i="25"/>
  <c r="D48" i="25"/>
  <c r="B45" i="29"/>
  <c r="C82" i="9"/>
  <c r="B82" i="9"/>
  <c r="P81" i="9"/>
  <c r="X81" i="9"/>
  <c r="W81" i="9"/>
  <c r="T80" i="9"/>
  <c r="V80" i="9"/>
  <c r="E45" i="29"/>
  <c r="D45" i="29"/>
  <c r="AC45" i="29"/>
  <c r="U81" i="9"/>
  <c r="R81" i="9"/>
  <c r="I48" i="25"/>
  <c r="W48" i="25"/>
  <c r="F48" i="25"/>
  <c r="G48" i="25"/>
  <c r="V48" i="25"/>
  <c r="H48" i="25"/>
  <c r="E48" i="25"/>
  <c r="U48" i="25"/>
  <c r="K48" i="25"/>
  <c r="T48" i="25"/>
  <c r="Q81" i="9"/>
  <c r="A49" i="25"/>
  <c r="D49" i="25"/>
  <c r="B46" i="29"/>
  <c r="B83" i="9"/>
  <c r="C83" i="9"/>
  <c r="P82" i="9"/>
  <c r="Q82" i="9"/>
  <c r="X82" i="9"/>
  <c r="W82" i="9"/>
  <c r="S82" i="9"/>
  <c r="N82" i="9"/>
  <c r="AD44" i="29"/>
  <c r="F44" i="29"/>
  <c r="AE44" i="29"/>
  <c r="T81" i="9"/>
  <c r="V81" i="9"/>
  <c r="A50" i="25"/>
  <c r="D50" i="25"/>
  <c r="B47" i="29"/>
  <c r="C84" i="9"/>
  <c r="B84" i="9"/>
  <c r="P83" i="9"/>
  <c r="Q83" i="9"/>
  <c r="X83" i="9"/>
  <c r="W83" i="9"/>
  <c r="E46" i="29"/>
  <c r="D46" i="29"/>
  <c r="AC46" i="29"/>
  <c r="U82" i="9"/>
  <c r="R82" i="9"/>
  <c r="E49" i="25"/>
  <c r="I49" i="25"/>
  <c r="W49" i="25"/>
  <c r="G49" i="25"/>
  <c r="V49" i="25"/>
  <c r="U49" i="25"/>
  <c r="K49" i="25"/>
  <c r="F49" i="25"/>
  <c r="H49" i="25"/>
  <c r="T49" i="25"/>
  <c r="AD45" i="29"/>
  <c r="F45" i="29"/>
  <c r="AE45" i="29"/>
  <c r="S83" i="9"/>
  <c r="N83" i="9"/>
  <c r="T82" i="9"/>
  <c r="V82" i="9"/>
  <c r="S84" i="9"/>
  <c r="N84" i="9"/>
  <c r="E47" i="29"/>
  <c r="D47" i="29"/>
  <c r="AC47" i="29"/>
  <c r="AD46" i="29"/>
  <c r="F46" i="29"/>
  <c r="AE46" i="29"/>
  <c r="U83" i="9"/>
  <c r="R83" i="9"/>
  <c r="G50" i="25"/>
  <c r="V50" i="25"/>
  <c r="H50" i="25"/>
  <c r="U50" i="25"/>
  <c r="K50" i="25"/>
  <c r="E50" i="25"/>
  <c r="I50" i="25"/>
  <c r="W50" i="25"/>
  <c r="F50" i="25"/>
  <c r="T50" i="25"/>
  <c r="A51" i="25"/>
  <c r="D51" i="25"/>
  <c r="B48" i="29"/>
  <c r="B85" i="9"/>
  <c r="C85" i="9"/>
  <c r="P84" i="9"/>
  <c r="X84" i="9"/>
  <c r="W84" i="9"/>
  <c r="T83" i="9"/>
  <c r="V83" i="9"/>
  <c r="U84" i="9"/>
  <c r="R84" i="9"/>
  <c r="I51" i="25"/>
  <c r="W51" i="25"/>
  <c r="G51" i="25"/>
  <c r="V51" i="25"/>
  <c r="E51" i="25"/>
  <c r="U51" i="25"/>
  <c r="K51" i="25"/>
  <c r="H51" i="25"/>
  <c r="F51" i="25"/>
  <c r="T51" i="25"/>
  <c r="F47" i="29"/>
  <c r="AE47" i="29"/>
  <c r="AD47" i="29"/>
  <c r="S85" i="9"/>
  <c r="N85" i="9"/>
  <c r="A52" i="25"/>
  <c r="D52" i="25"/>
  <c r="B49" i="29"/>
  <c r="C86" i="9"/>
  <c r="B86" i="9"/>
  <c r="P85" i="9"/>
  <c r="X85" i="9"/>
  <c r="W85" i="9"/>
  <c r="Q84" i="9"/>
  <c r="E48" i="29"/>
  <c r="D48" i="29"/>
  <c r="AC48" i="29"/>
  <c r="T84" i="9"/>
  <c r="V84" i="9"/>
  <c r="AD48" i="29"/>
  <c r="F48" i="29"/>
  <c r="AE48" i="29"/>
  <c r="E49" i="29"/>
  <c r="D49" i="29"/>
  <c r="AC49" i="29"/>
  <c r="U85" i="9"/>
  <c r="R85" i="9"/>
  <c r="G52" i="25"/>
  <c r="V52" i="25"/>
  <c r="H52" i="25"/>
  <c r="U52" i="25"/>
  <c r="K52" i="25"/>
  <c r="I52" i="25"/>
  <c r="W52" i="25"/>
  <c r="F52" i="25"/>
  <c r="E52" i="25"/>
  <c r="T52" i="25"/>
  <c r="A53" i="25"/>
  <c r="D53" i="25"/>
  <c r="B50" i="29"/>
  <c r="C87" i="9"/>
  <c r="B87" i="9"/>
  <c r="P86" i="9"/>
  <c r="X86" i="9"/>
  <c r="W86" i="9"/>
  <c r="S86" i="9"/>
  <c r="N86" i="9"/>
  <c r="Q85" i="9"/>
  <c r="T85" i="9"/>
  <c r="V85" i="9"/>
  <c r="Q86" i="9"/>
  <c r="U86" i="9"/>
  <c r="R86" i="9"/>
  <c r="G53" i="25"/>
  <c r="V53" i="25"/>
  <c r="I53" i="25"/>
  <c r="W53" i="25"/>
  <c r="F53" i="25"/>
  <c r="H53" i="25"/>
  <c r="U53" i="25"/>
  <c r="K53" i="25"/>
  <c r="E53" i="25"/>
  <c r="T53" i="25"/>
  <c r="A54" i="25"/>
  <c r="D54" i="25"/>
  <c r="B51" i="29"/>
  <c r="C88" i="9"/>
  <c r="B88" i="9"/>
  <c r="P87" i="9"/>
  <c r="Q87" i="9"/>
  <c r="X87" i="9"/>
  <c r="W87" i="9"/>
  <c r="S87" i="9"/>
  <c r="N87" i="9"/>
  <c r="E50" i="29"/>
  <c r="D50" i="29"/>
  <c r="AC50" i="29"/>
  <c r="F49" i="29"/>
  <c r="AE49" i="29"/>
  <c r="AD49" i="29"/>
  <c r="T86" i="9"/>
  <c r="V86" i="9"/>
  <c r="A55" i="25"/>
  <c r="D55" i="25"/>
  <c r="B52" i="29"/>
  <c r="B89" i="9"/>
  <c r="C89" i="9"/>
  <c r="P88" i="9"/>
  <c r="Q88" i="9"/>
  <c r="X88" i="9"/>
  <c r="W88" i="9"/>
  <c r="F50" i="29"/>
  <c r="AE50" i="29"/>
  <c r="AD50" i="29"/>
  <c r="S88" i="9"/>
  <c r="N88" i="9"/>
  <c r="E51" i="29"/>
  <c r="D51" i="29"/>
  <c r="AC51" i="29"/>
  <c r="U87" i="9"/>
  <c r="R87" i="9"/>
  <c r="I54" i="25"/>
  <c r="W54" i="25"/>
  <c r="H54" i="25"/>
  <c r="U54" i="25"/>
  <c r="K54" i="25"/>
  <c r="G54" i="25"/>
  <c r="V54" i="25"/>
  <c r="F54" i="25"/>
  <c r="E54" i="25"/>
  <c r="T54" i="25"/>
  <c r="T87" i="9"/>
  <c r="V87" i="9"/>
  <c r="A56" i="25"/>
  <c r="D56" i="25"/>
  <c r="B53" i="29"/>
  <c r="C90" i="9"/>
  <c r="B90" i="9"/>
  <c r="P89" i="9"/>
  <c r="Q89" i="9"/>
  <c r="X89" i="9"/>
  <c r="W89" i="9"/>
  <c r="E52" i="29"/>
  <c r="D52" i="29"/>
  <c r="AC52" i="29"/>
  <c r="F51" i="29"/>
  <c r="AE51" i="29"/>
  <c r="AD51" i="29"/>
  <c r="U88" i="9"/>
  <c r="R88" i="9"/>
  <c r="E55" i="25"/>
  <c r="G55" i="25"/>
  <c r="V55" i="25"/>
  <c r="U55" i="25"/>
  <c r="K55" i="25"/>
  <c r="H55" i="25"/>
  <c r="F55" i="25"/>
  <c r="I55" i="25"/>
  <c r="W55" i="25"/>
  <c r="T55" i="25"/>
  <c r="S89" i="9"/>
  <c r="N89" i="9"/>
  <c r="T88" i="9"/>
  <c r="V88" i="9"/>
  <c r="F52" i="29"/>
  <c r="AE52" i="29"/>
  <c r="AD52" i="29"/>
  <c r="A57" i="25"/>
  <c r="D57" i="25"/>
  <c r="B54" i="29"/>
  <c r="C91" i="9"/>
  <c r="B91" i="9"/>
  <c r="P90" i="9"/>
  <c r="Q90" i="9"/>
  <c r="X90" i="9"/>
  <c r="W90" i="9"/>
  <c r="S90" i="9"/>
  <c r="N90" i="9"/>
  <c r="E53" i="29"/>
  <c r="D53" i="29"/>
  <c r="AC53" i="29"/>
  <c r="U89" i="9"/>
  <c r="R89" i="9"/>
  <c r="E56" i="25"/>
  <c r="F56" i="25"/>
  <c r="I56" i="25"/>
  <c r="W56" i="25"/>
  <c r="G56" i="25"/>
  <c r="V56" i="25"/>
  <c r="U56" i="25"/>
  <c r="K56" i="25"/>
  <c r="H56" i="25"/>
  <c r="T56" i="25"/>
  <c r="T89" i="9"/>
  <c r="V89" i="9"/>
  <c r="E54" i="29"/>
  <c r="D54" i="29"/>
  <c r="AC54" i="29"/>
  <c r="U90" i="9"/>
  <c r="R90" i="9"/>
  <c r="E57" i="25"/>
  <c r="H57" i="25"/>
  <c r="U57" i="25"/>
  <c r="K57" i="25"/>
  <c r="F57" i="25"/>
  <c r="I57" i="25"/>
  <c r="W57" i="25"/>
  <c r="G57" i="25"/>
  <c r="V57" i="25"/>
  <c r="T57" i="25"/>
  <c r="A58" i="25"/>
  <c r="D58" i="25"/>
  <c r="B55" i="29"/>
  <c r="B92" i="9"/>
  <c r="C92" i="9"/>
  <c r="X91" i="9"/>
  <c r="P91" i="9"/>
  <c r="Q91" i="9"/>
  <c r="W91" i="9"/>
  <c r="F53" i="29"/>
  <c r="AE53" i="29"/>
  <c r="AD53" i="29"/>
  <c r="S91" i="9"/>
  <c r="N91" i="9"/>
  <c r="T90" i="9"/>
  <c r="V90" i="9"/>
  <c r="S92" i="9"/>
  <c r="N92" i="9"/>
  <c r="A59" i="25"/>
  <c r="D59" i="25"/>
  <c r="B56" i="29"/>
  <c r="B93" i="9"/>
  <c r="C93" i="9"/>
  <c r="P92" i="9"/>
  <c r="Q92" i="9"/>
  <c r="X92" i="9"/>
  <c r="W92" i="9"/>
  <c r="U91" i="9"/>
  <c r="R91" i="9"/>
  <c r="E55" i="29"/>
  <c r="D55" i="29"/>
  <c r="AC55" i="29"/>
  <c r="F58" i="25"/>
  <c r="E58" i="25"/>
  <c r="G58" i="25"/>
  <c r="V58" i="25"/>
  <c r="I58" i="25"/>
  <c r="W58" i="25"/>
  <c r="H58" i="25"/>
  <c r="U58" i="25"/>
  <c r="K58" i="25"/>
  <c r="T58" i="25"/>
  <c r="F54" i="29"/>
  <c r="AE54" i="29"/>
  <c r="AD54" i="29"/>
  <c r="T91" i="9"/>
  <c r="V91" i="9"/>
  <c r="A60" i="25"/>
  <c r="D60" i="25"/>
  <c r="B57" i="29"/>
  <c r="C94" i="9"/>
  <c r="B94" i="9"/>
  <c r="P93" i="9"/>
  <c r="X93" i="9"/>
  <c r="W93" i="9"/>
  <c r="AD55" i="29"/>
  <c r="F55" i="29"/>
  <c r="AE55" i="29"/>
  <c r="E56" i="29"/>
  <c r="D56" i="29"/>
  <c r="AC56" i="29"/>
  <c r="U92" i="9"/>
  <c r="R92" i="9"/>
  <c r="H59" i="25"/>
  <c r="F59" i="25"/>
  <c r="G59" i="25"/>
  <c r="V59" i="25"/>
  <c r="I59" i="25"/>
  <c r="W59" i="25"/>
  <c r="E59" i="25"/>
  <c r="U59" i="25"/>
  <c r="K59" i="25"/>
  <c r="T59" i="25"/>
  <c r="S93" i="9"/>
  <c r="Q93" i="9"/>
  <c r="N93" i="9"/>
  <c r="T92" i="9"/>
  <c r="V92" i="9"/>
  <c r="E57" i="29"/>
  <c r="D57" i="29"/>
  <c r="AC57" i="29"/>
  <c r="U93" i="9"/>
  <c r="R93" i="9"/>
  <c r="H60" i="25"/>
  <c r="G60" i="25"/>
  <c r="V60" i="25"/>
  <c r="I60" i="25"/>
  <c r="W60" i="25"/>
  <c r="F60" i="25"/>
  <c r="E60" i="25"/>
  <c r="U60" i="25"/>
  <c r="K60" i="25"/>
  <c r="T60" i="25"/>
  <c r="AD56" i="29"/>
  <c r="F56" i="29"/>
  <c r="AE56" i="29"/>
  <c r="A61" i="25"/>
  <c r="D61" i="25"/>
  <c r="B58" i="29"/>
  <c r="C95" i="9"/>
  <c r="B95" i="9"/>
  <c r="P94" i="9"/>
  <c r="Q94" i="9"/>
  <c r="X94" i="9"/>
  <c r="W94" i="9"/>
  <c r="S94" i="9"/>
  <c r="N94" i="9"/>
  <c r="T93" i="9"/>
  <c r="V93" i="9"/>
  <c r="A62" i="25"/>
  <c r="D62" i="25"/>
  <c r="B59" i="29"/>
  <c r="C96" i="9"/>
  <c r="B96" i="9"/>
  <c r="P95" i="9"/>
  <c r="X95" i="9"/>
  <c r="W95" i="9"/>
  <c r="S95" i="9"/>
  <c r="Q95" i="9"/>
  <c r="N95" i="9"/>
  <c r="E58" i="29"/>
  <c r="D58" i="29"/>
  <c r="AC58" i="29"/>
  <c r="U94" i="9"/>
  <c r="R94" i="9"/>
  <c r="I61" i="25"/>
  <c r="W61" i="25"/>
  <c r="F61" i="25"/>
  <c r="G61" i="25"/>
  <c r="V61" i="25"/>
  <c r="U61" i="25"/>
  <c r="K61" i="25"/>
  <c r="H61" i="25"/>
  <c r="E61" i="25"/>
  <c r="T61" i="25"/>
  <c r="F57" i="29"/>
  <c r="AE57" i="29"/>
  <c r="AD57" i="29"/>
  <c r="T94" i="9"/>
  <c r="V94" i="9"/>
  <c r="AD58" i="29"/>
  <c r="F58" i="29"/>
  <c r="AE58" i="29"/>
  <c r="S96" i="9"/>
  <c r="N96" i="9"/>
  <c r="E59" i="29"/>
  <c r="D59" i="29"/>
  <c r="AC59" i="29"/>
  <c r="U95" i="9"/>
  <c r="R95" i="9"/>
  <c r="H62" i="25"/>
  <c r="I62" i="25"/>
  <c r="W62" i="25"/>
  <c r="U62" i="25"/>
  <c r="K62" i="25"/>
  <c r="E62" i="25"/>
  <c r="G62" i="25"/>
  <c r="V62" i="25"/>
  <c r="F62" i="25"/>
  <c r="T62" i="25"/>
  <c r="A63" i="25"/>
  <c r="D63" i="25"/>
  <c r="B60" i="29"/>
  <c r="B97" i="9"/>
  <c r="C97" i="9"/>
  <c r="P96" i="9"/>
  <c r="X96" i="9"/>
  <c r="W96" i="9"/>
  <c r="T95" i="9"/>
  <c r="V95" i="9"/>
  <c r="U96" i="9"/>
  <c r="R96" i="9"/>
  <c r="G63" i="25"/>
  <c r="V63" i="25"/>
  <c r="E63" i="25"/>
  <c r="H63" i="25"/>
  <c r="I63" i="25"/>
  <c r="W63" i="25"/>
  <c r="F63" i="25"/>
  <c r="U63" i="25"/>
  <c r="K63" i="25"/>
  <c r="T63" i="25"/>
  <c r="Q96" i="9"/>
  <c r="AD59" i="29"/>
  <c r="F59" i="29"/>
  <c r="AE59" i="29"/>
  <c r="S97" i="9"/>
  <c r="N97" i="9"/>
  <c r="A64" i="25"/>
  <c r="D64" i="25"/>
  <c r="B61" i="29"/>
  <c r="C98" i="9"/>
  <c r="B98" i="9"/>
  <c r="P97" i="9"/>
  <c r="X97" i="9"/>
  <c r="W97" i="9"/>
  <c r="E60" i="29"/>
  <c r="D60" i="29"/>
  <c r="AC60" i="29"/>
  <c r="T96" i="9"/>
  <c r="V96" i="9"/>
  <c r="E61" i="29"/>
  <c r="D61" i="29"/>
  <c r="AC61" i="29"/>
  <c r="U97" i="9"/>
  <c r="R97" i="9"/>
  <c r="E64" i="25"/>
  <c r="G64" i="25"/>
  <c r="V64" i="25"/>
  <c r="F64" i="25"/>
  <c r="I64" i="25"/>
  <c r="W64" i="25"/>
  <c r="U64" i="25"/>
  <c r="K64" i="25"/>
  <c r="H64" i="25"/>
  <c r="T64" i="25"/>
  <c r="S98" i="9"/>
  <c r="N98" i="9"/>
  <c r="Q97" i="9"/>
  <c r="AD60" i="29"/>
  <c r="F60" i="29"/>
  <c r="AE60" i="29"/>
  <c r="A65" i="25"/>
  <c r="D65" i="25"/>
  <c r="B62" i="29"/>
  <c r="B99" i="9"/>
  <c r="C99" i="9"/>
  <c r="P98" i="9"/>
  <c r="Q98" i="9"/>
  <c r="X98" i="9"/>
  <c r="W98" i="9"/>
  <c r="T97" i="9"/>
  <c r="V97" i="9"/>
  <c r="E62" i="29"/>
  <c r="D62" i="29"/>
  <c r="AC62" i="29"/>
  <c r="U98" i="9"/>
  <c r="R98" i="9"/>
  <c r="H65" i="25"/>
  <c r="E65" i="25"/>
  <c r="G65" i="25"/>
  <c r="V65" i="25"/>
  <c r="U65" i="25"/>
  <c r="K65" i="25"/>
  <c r="I65" i="25"/>
  <c r="W65" i="25"/>
  <c r="F65" i="25"/>
  <c r="T65" i="25"/>
  <c r="S99" i="9"/>
  <c r="N99" i="9"/>
  <c r="A66" i="25"/>
  <c r="D66" i="25"/>
  <c r="B63" i="29"/>
  <c r="C100" i="9"/>
  <c r="B100" i="9"/>
  <c r="X99" i="9"/>
  <c r="P99" i="9"/>
  <c r="W99" i="9"/>
  <c r="F61" i="29"/>
  <c r="AE61" i="29"/>
  <c r="AD61" i="29"/>
  <c r="T98" i="9"/>
  <c r="V98" i="9"/>
  <c r="F66" i="25"/>
  <c r="E66" i="25"/>
  <c r="U66" i="25"/>
  <c r="K66" i="25"/>
  <c r="G66" i="25"/>
  <c r="V66" i="25"/>
  <c r="H66" i="25"/>
  <c r="I66" i="25"/>
  <c r="W66" i="25"/>
  <c r="T66" i="25"/>
  <c r="A67" i="25"/>
  <c r="D67" i="25"/>
  <c r="B64" i="29"/>
  <c r="B101" i="9"/>
  <c r="C101" i="9"/>
  <c r="X100" i="9"/>
  <c r="P100" i="9"/>
  <c r="Q100" i="9"/>
  <c r="W100" i="9"/>
  <c r="S100" i="9"/>
  <c r="N100" i="9"/>
  <c r="AD62" i="29"/>
  <c r="F62" i="29"/>
  <c r="AE62" i="29"/>
  <c r="U99" i="9"/>
  <c r="R99" i="9"/>
  <c r="E63" i="29"/>
  <c r="D63" i="29"/>
  <c r="AC63" i="29"/>
  <c r="Q99" i="9"/>
  <c r="T99" i="9"/>
  <c r="V99" i="9"/>
  <c r="F63" i="29"/>
  <c r="AE63" i="29"/>
  <c r="AD63" i="29"/>
  <c r="A68" i="25"/>
  <c r="D68" i="25"/>
  <c r="B65" i="29"/>
  <c r="C102" i="9"/>
  <c r="B102" i="9"/>
  <c r="P101" i="9"/>
  <c r="Q101" i="9"/>
  <c r="X101" i="9"/>
  <c r="W101" i="9"/>
  <c r="U100" i="9"/>
  <c r="R100" i="9"/>
  <c r="E64" i="29"/>
  <c r="D64" i="29"/>
  <c r="AC64" i="29"/>
  <c r="F67" i="25"/>
  <c r="H67" i="25"/>
  <c r="G67" i="25"/>
  <c r="V67" i="25"/>
  <c r="I67" i="25"/>
  <c r="W67" i="25"/>
  <c r="E67" i="25"/>
  <c r="U67" i="25"/>
  <c r="K67" i="25"/>
  <c r="T67" i="25"/>
  <c r="S101" i="9"/>
  <c r="N101" i="9"/>
  <c r="T100" i="9"/>
  <c r="V100" i="9"/>
  <c r="AD64" i="29"/>
  <c r="F64" i="29"/>
  <c r="AE64" i="29"/>
  <c r="U101" i="9"/>
  <c r="R101" i="9"/>
  <c r="I68" i="25"/>
  <c r="W68" i="25"/>
  <c r="H68" i="25"/>
  <c r="F68" i="25"/>
  <c r="U68" i="25"/>
  <c r="K68" i="25"/>
  <c r="E68" i="25"/>
  <c r="G68" i="25"/>
  <c r="V68" i="25"/>
  <c r="T68" i="25"/>
  <c r="A69" i="25"/>
  <c r="D69" i="25"/>
  <c r="B66" i="29"/>
  <c r="C103" i="9"/>
  <c r="B103" i="9"/>
  <c r="P102" i="9"/>
  <c r="X102" i="9"/>
  <c r="W102" i="9"/>
  <c r="S102" i="9"/>
  <c r="N102" i="9"/>
  <c r="E65" i="29"/>
  <c r="D65" i="29"/>
  <c r="AC65" i="29"/>
  <c r="T101" i="9"/>
  <c r="V101" i="9"/>
  <c r="A70" i="25"/>
  <c r="D70" i="25"/>
  <c r="B67" i="29"/>
  <c r="C104" i="9"/>
  <c r="B104" i="9"/>
  <c r="P103" i="9"/>
  <c r="X103" i="9"/>
  <c r="W103" i="9"/>
  <c r="S103" i="9"/>
  <c r="Q103" i="9"/>
  <c r="N103" i="9"/>
  <c r="AD65" i="29"/>
  <c r="F65" i="29"/>
  <c r="AE65" i="29"/>
  <c r="E66" i="29"/>
  <c r="D66" i="29"/>
  <c r="AC66" i="29"/>
  <c r="Q102" i="9"/>
  <c r="U102" i="9"/>
  <c r="R102" i="9"/>
  <c r="I69" i="25"/>
  <c r="W69" i="25"/>
  <c r="E69" i="25"/>
  <c r="G69" i="25"/>
  <c r="V69" i="25"/>
  <c r="U69" i="25"/>
  <c r="K69" i="25"/>
  <c r="H69" i="25"/>
  <c r="F69" i="25"/>
  <c r="T69" i="25"/>
  <c r="T102" i="9"/>
  <c r="V102" i="9"/>
  <c r="AD66" i="29"/>
  <c r="F66" i="29"/>
  <c r="AE66" i="29"/>
  <c r="S104" i="9"/>
  <c r="N104" i="9"/>
  <c r="E67" i="29"/>
  <c r="D67" i="29"/>
  <c r="AC67" i="29"/>
  <c r="U103" i="9"/>
  <c r="R103" i="9"/>
  <c r="G70" i="25"/>
  <c r="V70" i="25"/>
  <c r="E70" i="25"/>
  <c r="H70" i="25"/>
  <c r="I70" i="25"/>
  <c r="W70" i="25"/>
  <c r="F70" i="25"/>
  <c r="U70" i="25"/>
  <c r="K70" i="25"/>
  <c r="T70" i="25"/>
  <c r="A71" i="25"/>
  <c r="D71" i="25"/>
  <c r="B68" i="29"/>
  <c r="B105" i="9"/>
  <c r="C105" i="9"/>
  <c r="P104" i="9"/>
  <c r="Q104" i="9"/>
  <c r="X104" i="9"/>
  <c r="W104" i="9"/>
  <c r="T103" i="9"/>
  <c r="V103" i="9"/>
  <c r="S105" i="9"/>
  <c r="N105" i="9"/>
  <c r="A72" i="25"/>
  <c r="D72" i="25"/>
  <c r="B69" i="29"/>
  <c r="C106" i="9"/>
  <c r="B106" i="9"/>
  <c r="P105" i="9"/>
  <c r="X105" i="9"/>
  <c r="W105" i="9"/>
  <c r="E68" i="29"/>
  <c r="D68" i="29"/>
  <c r="AC68" i="29"/>
  <c r="U104" i="9"/>
  <c r="R104" i="9"/>
  <c r="I71" i="25"/>
  <c r="W71" i="25"/>
  <c r="E71" i="25"/>
  <c r="H71" i="25"/>
  <c r="G71" i="25"/>
  <c r="V71" i="25"/>
  <c r="U71" i="25"/>
  <c r="K71" i="25"/>
  <c r="F71" i="25"/>
  <c r="T71" i="25"/>
  <c r="AD67" i="29"/>
  <c r="F67" i="29"/>
  <c r="AE67" i="29"/>
  <c r="T104" i="9"/>
  <c r="V104" i="9"/>
  <c r="U105" i="9"/>
  <c r="R105" i="9"/>
  <c r="I72" i="25"/>
  <c r="W72" i="25"/>
  <c r="H72" i="25"/>
  <c r="F72" i="25"/>
  <c r="G72" i="25"/>
  <c r="V72" i="25"/>
  <c r="E72" i="25"/>
  <c r="U72" i="25"/>
  <c r="K72" i="25"/>
  <c r="T72" i="25"/>
  <c r="AD68" i="29"/>
  <c r="F68" i="29"/>
  <c r="AE68" i="29"/>
  <c r="A73" i="25"/>
  <c r="D73" i="25"/>
  <c r="B70" i="29"/>
  <c r="C107" i="9"/>
  <c r="B107" i="9"/>
  <c r="P106" i="9"/>
  <c r="Q106" i="9"/>
  <c r="X106" i="9"/>
  <c r="W106" i="9"/>
  <c r="S106" i="9"/>
  <c r="N106" i="9"/>
  <c r="Q105" i="9"/>
  <c r="E69" i="29"/>
  <c r="D69" i="29"/>
  <c r="AC69" i="29"/>
  <c r="T105" i="9"/>
  <c r="V105" i="9"/>
  <c r="E70" i="29"/>
  <c r="D70" i="29"/>
  <c r="AC70" i="29"/>
  <c r="S107" i="9"/>
  <c r="N107" i="9"/>
  <c r="U106" i="9"/>
  <c r="R106" i="9"/>
  <c r="E73" i="25"/>
  <c r="G73" i="25"/>
  <c r="V73" i="25"/>
  <c r="U73" i="25"/>
  <c r="K73" i="25"/>
  <c r="H73" i="25"/>
  <c r="I73" i="25"/>
  <c r="W73" i="25"/>
  <c r="F73" i="25"/>
  <c r="T73" i="25"/>
  <c r="F69" i="29"/>
  <c r="AE69" i="29"/>
  <c r="AD69" i="29"/>
  <c r="A74" i="25"/>
  <c r="D74" i="25"/>
  <c r="B71" i="29"/>
  <c r="B108" i="9"/>
  <c r="C108" i="9"/>
  <c r="P107" i="9"/>
  <c r="Q107" i="9"/>
  <c r="X107" i="9"/>
  <c r="W107" i="9"/>
  <c r="T106" i="9"/>
  <c r="V106" i="9"/>
  <c r="E71" i="29"/>
  <c r="D71" i="29"/>
  <c r="AC71" i="29"/>
  <c r="U107" i="9"/>
  <c r="R107" i="9"/>
  <c r="G74" i="25"/>
  <c r="V74" i="25"/>
  <c r="F74" i="25"/>
  <c r="E74" i="25"/>
  <c r="U74" i="25"/>
  <c r="K74" i="25"/>
  <c r="I74" i="25"/>
  <c r="W74" i="25"/>
  <c r="H74" i="25"/>
  <c r="T74" i="25"/>
  <c r="S108" i="9"/>
  <c r="N108" i="9"/>
  <c r="A75" i="25"/>
  <c r="D75" i="25"/>
  <c r="B72" i="29"/>
  <c r="B109" i="9"/>
  <c r="C109" i="9"/>
  <c r="P108" i="9"/>
  <c r="Q108" i="9"/>
  <c r="W108" i="9"/>
  <c r="F70" i="29"/>
  <c r="AE70" i="29"/>
  <c r="AD70" i="29"/>
  <c r="T107" i="9"/>
  <c r="V107" i="9"/>
  <c r="S109" i="9"/>
  <c r="N109" i="9"/>
  <c r="A76" i="25"/>
  <c r="D76" i="25"/>
  <c r="B73" i="29"/>
  <c r="C110" i="9"/>
  <c r="B110" i="9"/>
  <c r="W109" i="9"/>
  <c r="P109" i="9"/>
  <c r="Q109" i="9"/>
  <c r="AD71" i="29"/>
  <c r="F71" i="29"/>
  <c r="AE71" i="29"/>
  <c r="E72" i="29"/>
  <c r="D72" i="29"/>
  <c r="AC72" i="29"/>
  <c r="R108" i="9"/>
  <c r="E75" i="25"/>
  <c r="U75" i="25"/>
  <c r="K75" i="25"/>
  <c r="H75" i="25"/>
  <c r="T75" i="25"/>
  <c r="T108" i="9"/>
  <c r="V108" i="9"/>
  <c r="X108" i="9"/>
  <c r="U108" i="9"/>
  <c r="F75" i="25"/>
  <c r="G75" i="25"/>
  <c r="E76" i="25"/>
  <c r="U76" i="25"/>
  <c r="K76" i="25"/>
  <c r="T76" i="25"/>
  <c r="F72" i="29"/>
  <c r="AE72" i="29"/>
  <c r="AD72" i="29"/>
  <c r="A77" i="25"/>
  <c r="D77" i="25"/>
  <c r="B74" i="29"/>
  <c r="C111" i="9"/>
  <c r="B111" i="9"/>
  <c r="W110" i="9"/>
  <c r="P110" i="9"/>
  <c r="Q110" i="9"/>
  <c r="S110" i="9"/>
  <c r="N110" i="9"/>
  <c r="R109" i="9"/>
  <c r="E73" i="29"/>
  <c r="D73" i="29"/>
  <c r="AC73" i="29"/>
  <c r="T109" i="9"/>
  <c r="V109" i="9"/>
  <c r="X109" i="9"/>
  <c r="U109" i="9"/>
  <c r="F76" i="25"/>
  <c r="G76" i="25"/>
  <c r="F73" i="29"/>
  <c r="AE73" i="29"/>
  <c r="AD73" i="29"/>
  <c r="A78" i="25"/>
  <c r="D78" i="25"/>
  <c r="B75" i="29"/>
  <c r="C112" i="9"/>
  <c r="B112" i="9"/>
  <c r="W111" i="9"/>
  <c r="P111" i="9"/>
  <c r="Q111" i="9"/>
  <c r="S111" i="9"/>
  <c r="N111" i="9"/>
  <c r="R110" i="9"/>
  <c r="D74" i="29"/>
  <c r="AC74" i="29"/>
  <c r="E74" i="29"/>
  <c r="H77" i="25"/>
  <c r="E77" i="25"/>
  <c r="T77" i="25"/>
  <c r="U77" i="25"/>
  <c r="K77" i="25"/>
  <c r="H76" i="25"/>
  <c r="V75" i="25"/>
  <c r="I75" i="25"/>
  <c r="W75" i="25"/>
  <c r="T110" i="9"/>
  <c r="V110" i="9"/>
  <c r="X110" i="9"/>
  <c r="V76" i="25"/>
  <c r="U110" i="9"/>
  <c r="F77" i="25"/>
  <c r="G77" i="25"/>
  <c r="S112" i="9"/>
  <c r="N112" i="9"/>
  <c r="F74" i="29"/>
  <c r="AE74" i="29"/>
  <c r="AD74" i="29"/>
  <c r="R111" i="9"/>
  <c r="D75" i="29"/>
  <c r="AC75" i="29"/>
  <c r="E75" i="29"/>
  <c r="E78" i="25"/>
  <c r="U78" i="25"/>
  <c r="K78" i="25"/>
  <c r="T78" i="25"/>
  <c r="H78" i="25"/>
  <c r="I76" i="25"/>
  <c r="W76" i="25"/>
  <c r="A79" i="25"/>
  <c r="D79" i="25"/>
  <c r="B76" i="29"/>
  <c r="B113" i="9"/>
  <c r="C113" i="9"/>
  <c r="W112" i="9"/>
  <c r="P112" i="9"/>
  <c r="Q112" i="9"/>
  <c r="V77" i="25"/>
  <c r="T111" i="9"/>
  <c r="V111" i="9"/>
  <c r="X111" i="9"/>
  <c r="U111" i="9"/>
  <c r="F78" i="25"/>
  <c r="G78" i="25"/>
  <c r="V78" i="25"/>
  <c r="AD75" i="29"/>
  <c r="F75" i="29"/>
  <c r="AE75" i="29"/>
  <c r="I77" i="25"/>
  <c r="W77" i="25"/>
  <c r="R112" i="9"/>
  <c r="E76" i="29"/>
  <c r="D76" i="29"/>
  <c r="AC76" i="29"/>
  <c r="E79" i="25"/>
  <c r="U79" i="25"/>
  <c r="K79" i="25"/>
  <c r="T79" i="25"/>
  <c r="H79" i="25"/>
  <c r="S113" i="9"/>
  <c r="N113" i="9"/>
  <c r="A80" i="25"/>
  <c r="D80" i="25"/>
  <c r="B77" i="29"/>
  <c r="C114" i="9"/>
  <c r="B114" i="9"/>
  <c r="W113" i="9"/>
  <c r="P113" i="9"/>
  <c r="Q113" i="9"/>
  <c r="T112" i="9"/>
  <c r="V112" i="9"/>
  <c r="X112" i="9"/>
  <c r="F76" i="29"/>
  <c r="AE76" i="29"/>
  <c r="AD76" i="29"/>
  <c r="E80" i="25"/>
  <c r="U80" i="25"/>
  <c r="K80" i="25"/>
  <c r="T80" i="25"/>
  <c r="A81" i="25"/>
  <c r="D81" i="25"/>
  <c r="B78" i="29"/>
  <c r="B115" i="9"/>
  <c r="C115" i="9"/>
  <c r="W114" i="9"/>
  <c r="P114" i="9"/>
  <c r="Q114" i="9"/>
  <c r="U112" i="9"/>
  <c r="F79" i="25"/>
  <c r="G79" i="25"/>
  <c r="V79" i="25"/>
  <c r="S114" i="9"/>
  <c r="N114" i="9"/>
  <c r="I78" i="25"/>
  <c r="W78" i="25"/>
  <c r="R113" i="9"/>
  <c r="D77" i="29"/>
  <c r="AC77" i="29"/>
  <c r="E77" i="29"/>
  <c r="T113" i="9"/>
  <c r="V113" i="9"/>
  <c r="X113" i="9"/>
  <c r="F77" i="29"/>
  <c r="AE77" i="29"/>
  <c r="AD77" i="29"/>
  <c r="I79" i="25"/>
  <c r="W79" i="25"/>
  <c r="R114" i="9"/>
  <c r="D78" i="29"/>
  <c r="AC78" i="29"/>
  <c r="E78" i="29"/>
  <c r="E81" i="25"/>
  <c r="U81" i="25"/>
  <c r="K81" i="25"/>
  <c r="T81" i="25"/>
  <c r="H81" i="25"/>
  <c r="S115" i="9"/>
  <c r="N115" i="9"/>
  <c r="U113" i="9"/>
  <c r="F80" i="25"/>
  <c r="G80" i="25"/>
  <c r="V80" i="25"/>
  <c r="A82" i="25"/>
  <c r="D82" i="25"/>
  <c r="B79" i="29"/>
  <c r="C116" i="9"/>
  <c r="B116" i="9"/>
  <c r="W115" i="9"/>
  <c r="P115" i="9"/>
  <c r="Q115" i="9"/>
  <c r="H80" i="25"/>
  <c r="T114" i="9"/>
  <c r="V114" i="9"/>
  <c r="X114" i="9"/>
  <c r="U114" i="9"/>
  <c r="F81" i="25"/>
  <c r="G81" i="25"/>
  <c r="V81" i="25"/>
  <c r="A83" i="25"/>
  <c r="D83" i="25"/>
  <c r="B80" i="29"/>
  <c r="B117" i="9"/>
  <c r="C117" i="9"/>
  <c r="W116" i="9"/>
  <c r="P116" i="9"/>
  <c r="Q116" i="9"/>
  <c r="S116" i="9"/>
  <c r="N116" i="9"/>
  <c r="F78" i="29"/>
  <c r="AE78" i="29"/>
  <c r="AD78" i="29"/>
  <c r="R115" i="9"/>
  <c r="D79" i="29"/>
  <c r="AC79" i="29"/>
  <c r="E79" i="29"/>
  <c r="H82" i="25"/>
  <c r="E82" i="25"/>
  <c r="U82" i="25"/>
  <c r="K82" i="25"/>
  <c r="T82" i="25"/>
  <c r="I80" i="25"/>
  <c r="W80" i="25"/>
  <c r="T115" i="9"/>
  <c r="V115" i="9"/>
  <c r="X115" i="9"/>
  <c r="S117" i="9"/>
  <c r="N117" i="9"/>
  <c r="I81" i="25"/>
  <c r="W81" i="25"/>
  <c r="U115" i="9"/>
  <c r="F82" i="25"/>
  <c r="G82" i="25"/>
  <c r="V82" i="25"/>
  <c r="A84" i="25"/>
  <c r="D84" i="25"/>
  <c r="B81" i="29"/>
  <c r="C118" i="9"/>
  <c r="B118" i="9"/>
  <c r="W117" i="9"/>
  <c r="P117" i="9"/>
  <c r="Q117" i="9"/>
  <c r="R116" i="9"/>
  <c r="D80" i="29"/>
  <c r="AC80" i="29"/>
  <c r="E80" i="29"/>
  <c r="F79" i="29"/>
  <c r="AE79" i="29"/>
  <c r="AD79" i="29"/>
  <c r="E83" i="25"/>
  <c r="U83" i="25"/>
  <c r="K83" i="25"/>
  <c r="T83" i="25"/>
  <c r="H83" i="25"/>
  <c r="T116" i="9"/>
  <c r="V116" i="9"/>
  <c r="X116" i="9"/>
  <c r="U116" i="9"/>
  <c r="F83" i="25"/>
  <c r="G83" i="25"/>
  <c r="V83" i="25"/>
  <c r="E84" i="25"/>
  <c r="U84" i="25"/>
  <c r="T84" i="25"/>
  <c r="A85" i="25"/>
  <c r="D85" i="25"/>
  <c r="B82" i="29"/>
  <c r="C119" i="9"/>
  <c r="B119" i="9"/>
  <c r="W118" i="9"/>
  <c r="P118" i="9"/>
  <c r="I82" i="25"/>
  <c r="W82" i="25"/>
  <c r="S118" i="9"/>
  <c r="N118" i="9"/>
  <c r="AD80" i="29"/>
  <c r="F80" i="29"/>
  <c r="AE80" i="29"/>
  <c r="R117" i="9"/>
  <c r="D81" i="29"/>
  <c r="AC81" i="29"/>
  <c r="E81" i="29"/>
  <c r="T117" i="9"/>
  <c r="V117" i="9"/>
  <c r="X117" i="9"/>
  <c r="S119" i="9"/>
  <c r="N119" i="9"/>
  <c r="AD81" i="29"/>
  <c r="F81" i="29"/>
  <c r="AE81" i="29"/>
  <c r="R118" i="9"/>
  <c r="U118" i="9"/>
  <c r="F85" i="25"/>
  <c r="E82" i="29"/>
  <c r="H85" i="25"/>
  <c r="D82" i="29"/>
  <c r="AC82" i="29"/>
  <c r="H84" i="25"/>
  <c r="E85" i="25"/>
  <c r="U85" i="25"/>
  <c r="K85" i="25"/>
  <c r="T85" i="25"/>
  <c r="U117" i="9"/>
  <c r="F84" i="25"/>
  <c r="G84" i="25"/>
  <c r="V84" i="25"/>
  <c r="Q118" i="9"/>
  <c r="A86" i="25"/>
  <c r="D86" i="25"/>
  <c r="B83" i="29"/>
  <c r="C120" i="9"/>
  <c r="B120" i="9"/>
  <c r="W119" i="9"/>
  <c r="P119" i="9"/>
  <c r="Q119" i="9"/>
  <c r="I83" i="25"/>
  <c r="W83" i="25"/>
  <c r="T118" i="9"/>
  <c r="V118" i="9"/>
  <c r="X118" i="9"/>
  <c r="A87" i="25"/>
  <c r="D87" i="25"/>
  <c r="B84" i="29"/>
  <c r="B121" i="9"/>
  <c r="C121" i="9"/>
  <c r="W120" i="9"/>
  <c r="P120" i="9"/>
  <c r="Q120" i="9"/>
  <c r="F82" i="29"/>
  <c r="AE82" i="29"/>
  <c r="AD82" i="29"/>
  <c r="S120" i="9"/>
  <c r="N120" i="9"/>
  <c r="G85" i="25"/>
  <c r="V85" i="25"/>
  <c r="R119" i="9"/>
  <c r="D83" i="29"/>
  <c r="AC83" i="29"/>
  <c r="E83" i="29"/>
  <c r="H86" i="25"/>
  <c r="E86" i="25"/>
  <c r="U86" i="25"/>
  <c r="K86" i="25"/>
  <c r="T86" i="25"/>
  <c r="K84" i="25"/>
  <c r="I84" i="25"/>
  <c r="W84" i="25"/>
  <c r="T119" i="9"/>
  <c r="V119" i="9"/>
  <c r="X119" i="9"/>
  <c r="I85" i="25"/>
  <c r="W85" i="25"/>
  <c r="S121" i="9"/>
  <c r="N121" i="9"/>
  <c r="U119" i="9"/>
  <c r="F86" i="25"/>
  <c r="G86" i="25"/>
  <c r="V86" i="25"/>
  <c r="A88" i="25"/>
  <c r="D88" i="25"/>
  <c r="B85" i="29"/>
  <c r="C122" i="9"/>
  <c r="B122" i="9"/>
  <c r="W121" i="9"/>
  <c r="P121" i="9"/>
  <c r="R120" i="9"/>
  <c r="E84" i="29"/>
  <c r="D84" i="29"/>
  <c r="AC84" i="29"/>
  <c r="F83" i="29"/>
  <c r="AE83" i="29"/>
  <c r="AD83" i="29"/>
  <c r="E87" i="25"/>
  <c r="U87" i="25"/>
  <c r="K87" i="25"/>
  <c r="T87" i="25"/>
  <c r="H87" i="25"/>
  <c r="T120" i="9"/>
  <c r="V120" i="9"/>
  <c r="X120" i="9"/>
  <c r="U120" i="9"/>
  <c r="F87" i="25"/>
  <c r="G87" i="25"/>
  <c r="V87" i="25"/>
  <c r="A89" i="25"/>
  <c r="D89" i="25"/>
  <c r="B86" i="29"/>
  <c r="C123" i="9"/>
  <c r="B123" i="9"/>
  <c r="W122" i="9"/>
  <c r="P122" i="9"/>
  <c r="Q122" i="9"/>
  <c r="S122" i="9"/>
  <c r="N122" i="9"/>
  <c r="R121" i="9"/>
  <c r="E85" i="29"/>
  <c r="H88" i="25"/>
  <c r="D85" i="29"/>
  <c r="AC85" i="29"/>
  <c r="AD84" i="29"/>
  <c r="F84" i="29"/>
  <c r="AE84" i="29"/>
  <c r="E88" i="25"/>
  <c r="U88" i="25"/>
  <c r="K88" i="25"/>
  <c r="T88" i="25"/>
  <c r="Q121" i="9"/>
  <c r="I86" i="25"/>
  <c r="W86" i="25"/>
  <c r="T121" i="9"/>
  <c r="V121" i="9"/>
  <c r="X121" i="9"/>
  <c r="U121" i="9"/>
  <c r="F88" i="25"/>
  <c r="G88" i="25"/>
  <c r="V88" i="25"/>
  <c r="E89" i="25"/>
  <c r="U89" i="25"/>
  <c r="K89" i="25"/>
  <c r="T89" i="25"/>
  <c r="F85" i="29"/>
  <c r="AE85" i="29"/>
  <c r="AD85" i="29"/>
  <c r="A90" i="25"/>
  <c r="D90" i="25"/>
  <c r="B87" i="29"/>
  <c r="B124" i="9"/>
  <c r="C124" i="9"/>
  <c r="W123" i="9"/>
  <c r="P123" i="9"/>
  <c r="S123" i="9"/>
  <c r="N123" i="9"/>
  <c r="I87" i="25"/>
  <c r="W87" i="25"/>
  <c r="R122" i="9"/>
  <c r="E86" i="29"/>
  <c r="D86" i="29"/>
  <c r="AC86" i="29"/>
  <c r="T122" i="9"/>
  <c r="V122" i="9"/>
  <c r="X122" i="9"/>
  <c r="U122" i="9"/>
  <c r="F89" i="25"/>
  <c r="G89" i="25"/>
  <c r="V89" i="25"/>
  <c r="D87" i="29"/>
  <c r="AC87" i="29"/>
  <c r="E87" i="29"/>
  <c r="AD86" i="29"/>
  <c r="F86" i="29"/>
  <c r="AE86" i="29"/>
  <c r="S124" i="9"/>
  <c r="N124" i="9"/>
  <c r="R123" i="9"/>
  <c r="Q123" i="9"/>
  <c r="E90" i="25"/>
  <c r="U90" i="25"/>
  <c r="K90" i="25"/>
  <c r="T90" i="25"/>
  <c r="H90" i="25"/>
  <c r="A91" i="25"/>
  <c r="D91" i="25"/>
  <c r="B88" i="29"/>
  <c r="B125" i="9"/>
  <c r="C125" i="9"/>
  <c r="W124" i="9"/>
  <c r="P124" i="9"/>
  <c r="H89" i="25"/>
  <c r="I88" i="25"/>
  <c r="W88" i="25"/>
  <c r="T123" i="9"/>
  <c r="V123" i="9"/>
  <c r="X123" i="9"/>
  <c r="A92" i="25"/>
  <c r="D92" i="25"/>
  <c r="B89" i="29"/>
  <c r="C126" i="9"/>
  <c r="B126" i="9"/>
  <c r="W125" i="9"/>
  <c r="P125" i="9"/>
  <c r="Q125" i="9"/>
  <c r="U123" i="9"/>
  <c r="F90" i="25"/>
  <c r="G90" i="25"/>
  <c r="V90" i="25"/>
  <c r="AD87" i="29"/>
  <c r="F87" i="29"/>
  <c r="AE87" i="29"/>
  <c r="I89" i="25"/>
  <c r="W89" i="25"/>
  <c r="R124" i="9"/>
  <c r="D88" i="29"/>
  <c r="AC88" i="29"/>
  <c r="E88" i="29"/>
  <c r="H91" i="25"/>
  <c r="E91" i="25"/>
  <c r="U91" i="25"/>
  <c r="K91" i="25"/>
  <c r="T91" i="25"/>
  <c r="S125" i="9"/>
  <c r="N125" i="9"/>
  <c r="Q124" i="9"/>
  <c r="T124" i="9"/>
  <c r="V124" i="9"/>
  <c r="X124" i="9"/>
  <c r="S126" i="9"/>
  <c r="N126" i="9"/>
  <c r="U124" i="9"/>
  <c r="F91" i="25"/>
  <c r="G91" i="25"/>
  <c r="V91" i="25"/>
  <c r="R125" i="9"/>
  <c r="E89" i="29"/>
  <c r="D89" i="29"/>
  <c r="AC89" i="29"/>
  <c r="E92" i="25"/>
  <c r="U92" i="25"/>
  <c r="K92" i="25"/>
  <c r="T92" i="25"/>
  <c r="H92" i="25"/>
  <c r="F88" i="29"/>
  <c r="AE88" i="29"/>
  <c r="AD88" i="29"/>
  <c r="I90" i="25"/>
  <c r="W90" i="25"/>
  <c r="A93" i="25"/>
  <c r="D93" i="25"/>
  <c r="B90" i="29"/>
  <c r="C127" i="9"/>
  <c r="B127" i="9"/>
  <c r="W126" i="9"/>
  <c r="P126" i="9"/>
  <c r="Q126" i="9"/>
  <c r="T125" i="9"/>
  <c r="V125" i="9"/>
  <c r="X125" i="9"/>
  <c r="F89" i="29"/>
  <c r="AE89" i="29"/>
  <c r="AD89" i="29"/>
  <c r="U125" i="9"/>
  <c r="F92" i="25"/>
  <c r="G92" i="25"/>
  <c r="V92" i="25"/>
  <c r="A94" i="25"/>
  <c r="D94" i="25"/>
  <c r="B91" i="29"/>
  <c r="C128" i="9"/>
  <c r="B128" i="9"/>
  <c r="W127" i="9"/>
  <c r="P127" i="9"/>
  <c r="I91" i="25"/>
  <c r="W91" i="25"/>
  <c r="S127" i="9"/>
  <c r="N127" i="9"/>
  <c r="Q127" i="9"/>
  <c r="R126" i="9"/>
  <c r="E90" i="29"/>
  <c r="D90" i="29"/>
  <c r="AC90" i="29"/>
  <c r="E93" i="25"/>
  <c r="U93" i="25"/>
  <c r="K93" i="25"/>
  <c r="T93" i="25"/>
  <c r="H93" i="25"/>
  <c r="T126" i="9"/>
  <c r="V126" i="9"/>
  <c r="X126" i="9"/>
  <c r="AD90" i="29"/>
  <c r="F90" i="29"/>
  <c r="AE90" i="29"/>
  <c r="R127" i="9"/>
  <c r="E91" i="29"/>
  <c r="H94" i="25"/>
  <c r="D91" i="29"/>
  <c r="AC91" i="29"/>
  <c r="U126" i="9"/>
  <c r="F93" i="25"/>
  <c r="G93" i="25"/>
  <c r="V93" i="25"/>
  <c r="E94" i="25"/>
  <c r="U94" i="25"/>
  <c r="K94" i="25"/>
  <c r="T94" i="25"/>
  <c r="I92" i="25"/>
  <c r="W92" i="25"/>
  <c r="A95" i="25"/>
  <c r="D95" i="25"/>
  <c r="B92" i="29"/>
  <c r="B129" i="9"/>
  <c r="C129" i="9"/>
  <c r="W128" i="9"/>
  <c r="P128" i="9"/>
  <c r="Q128" i="9"/>
  <c r="S128" i="9"/>
  <c r="N128" i="9"/>
  <c r="T127" i="9"/>
  <c r="V127" i="9"/>
  <c r="X127" i="9"/>
  <c r="A96" i="25"/>
  <c r="D96" i="25"/>
  <c r="B93" i="29"/>
  <c r="C130" i="9"/>
  <c r="B130" i="9"/>
  <c r="W129" i="9"/>
  <c r="P129" i="9"/>
  <c r="Q129" i="9"/>
  <c r="R128" i="9"/>
  <c r="D92" i="29"/>
  <c r="AC92" i="29"/>
  <c r="E92" i="29"/>
  <c r="H95" i="25"/>
  <c r="F91" i="29"/>
  <c r="AE91" i="29"/>
  <c r="AD91" i="29"/>
  <c r="E95" i="25"/>
  <c r="U95" i="25"/>
  <c r="K95" i="25"/>
  <c r="T95" i="25"/>
  <c r="U127" i="9"/>
  <c r="F94" i="25"/>
  <c r="G94" i="25"/>
  <c r="V94" i="25"/>
  <c r="S129" i="9"/>
  <c r="N129" i="9"/>
  <c r="I93" i="25"/>
  <c r="W93" i="25"/>
  <c r="T128" i="9"/>
  <c r="V128" i="9"/>
  <c r="X128" i="9"/>
  <c r="R129" i="9"/>
  <c r="E93" i="29"/>
  <c r="D93" i="29"/>
  <c r="AC93" i="29"/>
  <c r="I94" i="25"/>
  <c r="W94" i="25"/>
  <c r="U128" i="9"/>
  <c r="F95" i="25"/>
  <c r="G95" i="25"/>
  <c r="V95" i="25"/>
  <c r="E96" i="25"/>
  <c r="U96" i="25"/>
  <c r="K96" i="25"/>
  <c r="T96" i="25"/>
  <c r="H96" i="25"/>
  <c r="A97" i="25"/>
  <c r="D97" i="25"/>
  <c r="B94" i="29"/>
  <c r="B131" i="9"/>
  <c r="C131" i="9"/>
  <c r="W130" i="9"/>
  <c r="P130" i="9"/>
  <c r="Q130" i="9"/>
  <c r="F92" i="29"/>
  <c r="AE92" i="29"/>
  <c r="AD92" i="29"/>
  <c r="S130" i="9"/>
  <c r="N130" i="9"/>
  <c r="T129" i="9"/>
  <c r="V129" i="9"/>
  <c r="X129" i="9"/>
  <c r="F93" i="29"/>
  <c r="AE93" i="29"/>
  <c r="AD93" i="29"/>
  <c r="U129" i="9"/>
  <c r="F96" i="25"/>
  <c r="G96" i="25"/>
  <c r="V96" i="25"/>
  <c r="S131" i="9"/>
  <c r="N131" i="9"/>
  <c r="A98" i="25"/>
  <c r="D98" i="25"/>
  <c r="B95" i="29"/>
  <c r="C132" i="9"/>
  <c r="B132" i="9"/>
  <c r="W131" i="9"/>
  <c r="P131" i="9"/>
  <c r="Q131" i="9"/>
  <c r="R130" i="9"/>
  <c r="D94" i="29"/>
  <c r="AC94" i="29"/>
  <c r="E94" i="29"/>
  <c r="H97" i="25"/>
  <c r="E97" i="25"/>
  <c r="U97" i="25"/>
  <c r="K97" i="25"/>
  <c r="T97" i="25"/>
  <c r="I95" i="25"/>
  <c r="W95" i="25"/>
  <c r="T130" i="9"/>
  <c r="V130" i="9"/>
  <c r="X130" i="9"/>
  <c r="E98" i="25"/>
  <c r="T98" i="25"/>
  <c r="U98" i="25"/>
  <c r="K98" i="25"/>
  <c r="U130" i="9"/>
  <c r="F97" i="25"/>
  <c r="G97" i="25"/>
  <c r="V97" i="25"/>
  <c r="A99" i="25"/>
  <c r="D99" i="25"/>
  <c r="B96" i="29"/>
  <c r="B133" i="9"/>
  <c r="C133" i="9"/>
  <c r="W132" i="9"/>
  <c r="P132" i="9"/>
  <c r="Q132" i="9"/>
  <c r="S132" i="9"/>
  <c r="N132" i="9"/>
  <c r="AD94" i="29"/>
  <c r="F94" i="29"/>
  <c r="AE94" i="29"/>
  <c r="R131" i="9"/>
  <c r="D95" i="29"/>
  <c r="AC95" i="29"/>
  <c r="E95" i="29"/>
  <c r="H98" i="25"/>
  <c r="I96" i="25"/>
  <c r="W96" i="25"/>
  <c r="T131" i="9"/>
  <c r="V131" i="9"/>
  <c r="X131" i="9"/>
  <c r="U131" i="9"/>
  <c r="F98" i="25"/>
  <c r="G98" i="25"/>
  <c r="V98" i="25"/>
  <c r="S133" i="9"/>
  <c r="N133" i="9"/>
  <c r="A100" i="25"/>
  <c r="D100" i="25"/>
  <c r="B97" i="29"/>
  <c r="C134" i="9"/>
  <c r="B134" i="9"/>
  <c r="W133" i="9"/>
  <c r="P133" i="9"/>
  <c r="F95" i="29"/>
  <c r="AE95" i="29"/>
  <c r="AD95" i="29"/>
  <c r="R132" i="9"/>
  <c r="E96" i="29"/>
  <c r="D96" i="29"/>
  <c r="AC96" i="29"/>
  <c r="I97" i="25"/>
  <c r="W97" i="25"/>
  <c r="E99" i="25"/>
  <c r="U99" i="25"/>
  <c r="K99" i="25"/>
  <c r="T99" i="25"/>
  <c r="T132" i="9"/>
  <c r="V132" i="9"/>
  <c r="X132" i="9"/>
  <c r="U132" i="9"/>
  <c r="F99" i="25"/>
  <c r="G99" i="25"/>
  <c r="V99" i="25"/>
  <c r="R133" i="9"/>
  <c r="D97" i="29"/>
  <c r="AC97" i="29"/>
  <c r="E97" i="29"/>
  <c r="E100" i="25"/>
  <c r="U100" i="25"/>
  <c r="K100" i="25"/>
  <c r="T100" i="25"/>
  <c r="H100" i="25"/>
  <c r="F96" i="29"/>
  <c r="AE96" i="29"/>
  <c r="AD96" i="29"/>
  <c r="A101" i="25"/>
  <c r="D101" i="25"/>
  <c r="B98" i="29"/>
  <c r="C135" i="9"/>
  <c r="B135" i="9"/>
  <c r="W134" i="9"/>
  <c r="P134" i="9"/>
  <c r="H99" i="25"/>
  <c r="S134" i="9"/>
  <c r="N134" i="9"/>
  <c r="Q133" i="9"/>
  <c r="I98" i="25"/>
  <c r="W98" i="25"/>
  <c r="T133" i="9"/>
  <c r="V133" i="9"/>
  <c r="X133" i="9"/>
  <c r="U133" i="9"/>
  <c r="F100" i="25"/>
  <c r="G100" i="25"/>
  <c r="V100" i="25"/>
  <c r="AD97" i="29"/>
  <c r="F97" i="29"/>
  <c r="AE97" i="29"/>
  <c r="R134" i="9"/>
  <c r="D98" i="29"/>
  <c r="AC98" i="29"/>
  <c r="E98" i="29"/>
  <c r="I99" i="25"/>
  <c r="W99" i="25"/>
  <c r="E101" i="25"/>
  <c r="U101" i="25"/>
  <c r="K101" i="25"/>
  <c r="T101" i="25"/>
  <c r="H101" i="25"/>
  <c r="A102" i="25"/>
  <c r="D102" i="25"/>
  <c r="B99" i="29"/>
  <c r="C136" i="9"/>
  <c r="B136" i="9"/>
  <c r="W135" i="9"/>
  <c r="P135" i="9"/>
  <c r="Q135" i="9"/>
  <c r="Q134" i="9"/>
  <c r="S135" i="9"/>
  <c r="N135" i="9"/>
  <c r="T134" i="9"/>
  <c r="V134" i="9"/>
  <c r="X134" i="9"/>
  <c r="U134" i="9"/>
  <c r="F101" i="25"/>
  <c r="G101" i="25"/>
  <c r="V101" i="25"/>
  <c r="E102" i="25"/>
  <c r="U102" i="25"/>
  <c r="K102" i="25"/>
  <c r="T102" i="25"/>
  <c r="A103" i="25"/>
  <c r="D103" i="25"/>
  <c r="B100" i="29"/>
  <c r="B137" i="9"/>
  <c r="C137" i="9"/>
  <c r="W136" i="9"/>
  <c r="P136" i="9"/>
  <c r="Q136" i="9"/>
  <c r="S136" i="9"/>
  <c r="N136" i="9"/>
  <c r="AD98" i="29"/>
  <c r="F98" i="29"/>
  <c r="AE98" i="29"/>
  <c r="R135" i="9"/>
  <c r="D99" i="29"/>
  <c r="AC99" i="29"/>
  <c r="E99" i="29"/>
  <c r="I100" i="25"/>
  <c r="W100" i="25"/>
  <c r="T135" i="9"/>
  <c r="V135" i="9"/>
  <c r="X135" i="9"/>
  <c r="E103" i="25"/>
  <c r="U103" i="25"/>
  <c r="K103" i="25"/>
  <c r="T103" i="25"/>
  <c r="AD99" i="29"/>
  <c r="F99" i="29"/>
  <c r="AE99" i="29"/>
  <c r="S137" i="9"/>
  <c r="N137" i="9"/>
  <c r="A104" i="25"/>
  <c r="D104" i="25"/>
  <c r="B101" i="29"/>
  <c r="C138" i="9"/>
  <c r="B138" i="9"/>
  <c r="W137" i="9"/>
  <c r="P137" i="9"/>
  <c r="U135" i="9"/>
  <c r="F102" i="25"/>
  <c r="G102" i="25"/>
  <c r="V102" i="25"/>
  <c r="R136" i="9"/>
  <c r="D100" i="29"/>
  <c r="AC100" i="29"/>
  <c r="E100" i="29"/>
  <c r="H102" i="25"/>
  <c r="I101" i="25"/>
  <c r="W101" i="25"/>
  <c r="T136" i="9"/>
  <c r="V136" i="9"/>
  <c r="X136" i="9"/>
  <c r="U136" i="9"/>
  <c r="F103" i="25"/>
  <c r="G103" i="25"/>
  <c r="V103" i="25"/>
  <c r="S138" i="9"/>
  <c r="N138" i="9"/>
  <c r="R137" i="9"/>
  <c r="D101" i="29"/>
  <c r="AC101" i="29"/>
  <c r="E101" i="29"/>
  <c r="H104" i="25"/>
  <c r="Q137" i="9"/>
  <c r="AD100" i="29"/>
  <c r="F100" i="29"/>
  <c r="AE100" i="29"/>
  <c r="E104" i="25"/>
  <c r="U104" i="25"/>
  <c r="K104" i="25"/>
  <c r="T104" i="25"/>
  <c r="A105" i="25"/>
  <c r="D105" i="25"/>
  <c r="B102" i="29"/>
  <c r="C139" i="9"/>
  <c r="B139" i="9"/>
  <c r="W138" i="9"/>
  <c r="P138" i="9"/>
  <c r="Q138" i="9"/>
  <c r="H103" i="25"/>
  <c r="I102" i="25"/>
  <c r="W102" i="25"/>
  <c r="T137" i="9"/>
  <c r="V137" i="9"/>
  <c r="X137" i="9"/>
  <c r="U137" i="9"/>
  <c r="F104" i="25"/>
  <c r="G104" i="25"/>
  <c r="V104" i="25"/>
  <c r="S139" i="9"/>
  <c r="N139" i="9"/>
  <c r="R138" i="9"/>
  <c r="D102" i="29"/>
  <c r="AC102" i="29"/>
  <c r="E102" i="29"/>
  <c r="H105" i="25"/>
  <c r="I103" i="25"/>
  <c r="W103" i="25"/>
  <c r="E105" i="25"/>
  <c r="U105" i="25"/>
  <c r="K105" i="25"/>
  <c r="T105" i="25"/>
  <c r="A106" i="25"/>
  <c r="D106" i="25"/>
  <c r="B103" i="29"/>
  <c r="B140" i="9"/>
  <c r="C140" i="9"/>
  <c r="W139" i="9"/>
  <c r="P139" i="9"/>
  <c r="AD101" i="29"/>
  <c r="F101" i="29"/>
  <c r="AE101" i="29"/>
  <c r="T138" i="9"/>
  <c r="V138" i="9"/>
  <c r="X138" i="9"/>
  <c r="U138" i="9"/>
  <c r="F105" i="25"/>
  <c r="G105" i="25"/>
  <c r="V105" i="25"/>
  <c r="R139" i="9"/>
  <c r="D103" i="29"/>
  <c r="AC103" i="29"/>
  <c r="E103" i="29"/>
  <c r="H106" i="25"/>
  <c r="I104" i="25"/>
  <c r="W104" i="25"/>
  <c r="Q139" i="9"/>
  <c r="E106" i="25"/>
  <c r="U106" i="25"/>
  <c r="T106" i="25"/>
  <c r="AD102" i="29"/>
  <c r="F102" i="29"/>
  <c r="AE102" i="29"/>
  <c r="S140" i="9"/>
  <c r="N140" i="9"/>
  <c r="A107" i="25"/>
  <c r="D107" i="25"/>
  <c r="B104" i="29"/>
  <c r="B141" i="9"/>
  <c r="C141" i="9"/>
  <c r="W140" i="9"/>
  <c r="P140" i="9"/>
  <c r="T139" i="9"/>
  <c r="V139" i="9"/>
  <c r="X139" i="9"/>
  <c r="R140" i="9"/>
  <c r="E104" i="29"/>
  <c r="D104" i="29"/>
  <c r="AC104" i="29"/>
  <c r="U139" i="9"/>
  <c r="F106" i="25"/>
  <c r="G106" i="25"/>
  <c r="V106" i="25"/>
  <c r="E107" i="25"/>
  <c r="U107" i="25"/>
  <c r="K107" i="25"/>
  <c r="T107" i="25"/>
  <c r="H107" i="25"/>
  <c r="S141" i="9"/>
  <c r="N141" i="9"/>
  <c r="F103" i="29"/>
  <c r="AE103" i="29"/>
  <c r="AD103" i="29"/>
  <c r="A108" i="25"/>
  <c r="D108" i="25"/>
  <c r="B105" i="29"/>
  <c r="C142" i="9"/>
  <c r="B142" i="9"/>
  <c r="W141" i="9"/>
  <c r="P141" i="9"/>
  <c r="Q140" i="9"/>
  <c r="I105" i="25"/>
  <c r="W105" i="25"/>
  <c r="T140" i="9"/>
  <c r="V140" i="9"/>
  <c r="X140" i="9"/>
  <c r="R141" i="9"/>
  <c r="E105" i="29"/>
  <c r="H108" i="25"/>
  <c r="D105" i="29"/>
  <c r="AC105" i="29"/>
  <c r="U140" i="9"/>
  <c r="F107" i="25"/>
  <c r="G107" i="25"/>
  <c r="V107" i="25"/>
  <c r="E108" i="25"/>
  <c r="U108" i="25"/>
  <c r="K108" i="25"/>
  <c r="T108" i="25"/>
  <c r="Q141" i="9"/>
  <c r="A109" i="25"/>
  <c r="D109" i="25"/>
  <c r="B106" i="29"/>
  <c r="C143" i="9"/>
  <c r="B143" i="9"/>
  <c r="W142" i="9"/>
  <c r="P142" i="9"/>
  <c r="Q142" i="9"/>
  <c r="S142" i="9"/>
  <c r="N142" i="9"/>
  <c r="AD104" i="29"/>
  <c r="F104" i="29"/>
  <c r="AE104" i="29"/>
  <c r="K106" i="25"/>
  <c r="I106" i="25"/>
  <c r="W106" i="25"/>
  <c r="T141" i="9"/>
  <c r="V141" i="9"/>
  <c r="X141" i="9"/>
  <c r="S143" i="9"/>
  <c r="N143" i="9"/>
  <c r="F105" i="29"/>
  <c r="AE105" i="29"/>
  <c r="AD105" i="29"/>
  <c r="I107" i="25"/>
  <c r="W107" i="25"/>
  <c r="R142" i="9"/>
  <c r="D106" i="29"/>
  <c r="AC106" i="29"/>
  <c r="E106" i="29"/>
  <c r="U141" i="9"/>
  <c r="F108" i="25"/>
  <c r="G108" i="25"/>
  <c r="V108" i="25"/>
  <c r="E109" i="25"/>
  <c r="U109" i="25"/>
  <c r="K109" i="25"/>
  <c r="T109" i="25"/>
  <c r="H109" i="25"/>
  <c r="A110" i="25"/>
  <c r="D110" i="25"/>
  <c r="B107" i="29"/>
  <c r="C144" i="9"/>
  <c r="B144" i="9"/>
  <c r="W143" i="9"/>
  <c r="P143" i="9"/>
  <c r="Q143" i="9"/>
  <c r="T142" i="9"/>
  <c r="V142" i="9"/>
  <c r="X142" i="9"/>
  <c r="U142" i="9"/>
  <c r="F109" i="25"/>
  <c r="G109" i="25"/>
  <c r="V109" i="25"/>
  <c r="E110" i="25"/>
  <c r="U110" i="25"/>
  <c r="K110" i="25"/>
  <c r="T110" i="25"/>
  <c r="AD106" i="29"/>
  <c r="F106" i="29"/>
  <c r="AE106" i="29"/>
  <c r="A111" i="25"/>
  <c r="D111" i="25"/>
  <c r="B108" i="29"/>
  <c r="B145" i="9"/>
  <c r="C145" i="9"/>
  <c r="W144" i="9"/>
  <c r="P144" i="9"/>
  <c r="Q144" i="9"/>
  <c r="S144" i="9"/>
  <c r="N144" i="9"/>
  <c r="R143" i="9"/>
  <c r="D107" i="29"/>
  <c r="AC107" i="29"/>
  <c r="E107" i="29"/>
  <c r="I108" i="25"/>
  <c r="W108" i="25"/>
  <c r="T143" i="9"/>
  <c r="V143" i="9"/>
  <c r="X143" i="9"/>
  <c r="U143" i="9"/>
  <c r="F110" i="25"/>
  <c r="G110" i="25"/>
  <c r="V110" i="25"/>
  <c r="A112" i="25"/>
  <c r="D112" i="25"/>
  <c r="B109" i="29"/>
  <c r="C146" i="9"/>
  <c r="B146" i="9"/>
  <c r="W145" i="9"/>
  <c r="P145" i="9"/>
  <c r="Q145" i="9"/>
  <c r="R144" i="9"/>
  <c r="E108" i="29"/>
  <c r="D108" i="29"/>
  <c r="AC108" i="29"/>
  <c r="F107" i="29"/>
  <c r="AE107" i="29"/>
  <c r="AD107" i="29"/>
  <c r="E111" i="25"/>
  <c r="U111" i="25"/>
  <c r="K111" i="25"/>
  <c r="T111" i="25"/>
  <c r="H111" i="25"/>
  <c r="S145" i="9"/>
  <c r="N145" i="9"/>
  <c r="H110" i="25"/>
  <c r="I109" i="25"/>
  <c r="W109" i="25"/>
  <c r="T144" i="9"/>
  <c r="V144" i="9"/>
  <c r="X144" i="9"/>
  <c r="U144" i="9"/>
  <c r="F111" i="25"/>
  <c r="G111" i="25"/>
  <c r="V111" i="25"/>
  <c r="I110" i="25"/>
  <c r="W110" i="25"/>
  <c r="F108" i="29"/>
  <c r="AE108" i="29"/>
  <c r="AD108" i="29"/>
  <c r="S146" i="9"/>
  <c r="N146" i="9"/>
  <c r="R145" i="9"/>
  <c r="D109" i="29"/>
  <c r="AC109" i="29"/>
  <c r="E109" i="29"/>
  <c r="E112" i="25"/>
  <c r="U112" i="25"/>
  <c r="K112" i="25"/>
  <c r="T112" i="25"/>
  <c r="H112" i="25"/>
  <c r="A113" i="25"/>
  <c r="D113" i="25"/>
  <c r="B110" i="29"/>
  <c r="B147" i="9"/>
  <c r="C147" i="9"/>
  <c r="W146" i="9"/>
  <c r="P146" i="9"/>
  <c r="Q146" i="9"/>
  <c r="T145" i="9"/>
  <c r="V145" i="9"/>
  <c r="X145" i="9"/>
  <c r="F109" i="29"/>
  <c r="AE109" i="29"/>
  <c r="AD109" i="29"/>
  <c r="S147" i="9"/>
  <c r="N147" i="9"/>
  <c r="A114" i="25"/>
  <c r="D114" i="25"/>
  <c r="B111" i="29"/>
  <c r="C148" i="9"/>
  <c r="B148" i="9"/>
  <c r="W147" i="9"/>
  <c r="P147" i="9"/>
  <c r="Q147" i="9"/>
  <c r="R146" i="9"/>
  <c r="D110" i="29"/>
  <c r="AC110" i="29"/>
  <c r="E110" i="29"/>
  <c r="I111" i="25"/>
  <c r="W111" i="25"/>
  <c r="E113" i="25"/>
  <c r="U113" i="25"/>
  <c r="K113" i="25"/>
  <c r="T113" i="25"/>
  <c r="H113" i="25"/>
  <c r="U145" i="9"/>
  <c r="F112" i="25"/>
  <c r="G112" i="25"/>
  <c r="V112" i="25"/>
  <c r="T146" i="9"/>
  <c r="V146" i="9"/>
  <c r="X146" i="9"/>
  <c r="U146" i="9"/>
  <c r="F113" i="25"/>
  <c r="G113" i="25"/>
  <c r="V113" i="25"/>
  <c r="E114" i="25"/>
  <c r="U114" i="25"/>
  <c r="K114" i="25"/>
  <c r="T114" i="25"/>
  <c r="A115" i="25"/>
  <c r="D115" i="25"/>
  <c r="B112" i="29"/>
  <c r="B149" i="9"/>
  <c r="C149" i="9"/>
  <c r="W148" i="9"/>
  <c r="P148" i="9"/>
  <c r="Q148" i="9"/>
  <c r="S148" i="9"/>
  <c r="N148" i="9"/>
  <c r="AD110" i="29"/>
  <c r="F110" i="29"/>
  <c r="AE110" i="29"/>
  <c r="R147" i="9"/>
  <c r="D111" i="29"/>
  <c r="AC111" i="29"/>
  <c r="E111" i="29"/>
  <c r="I112" i="25"/>
  <c r="W112" i="25"/>
  <c r="T147" i="9"/>
  <c r="V147" i="9"/>
  <c r="X147" i="9"/>
  <c r="U147" i="9"/>
  <c r="F114" i="25"/>
  <c r="G114" i="25"/>
  <c r="V114" i="25"/>
  <c r="S149" i="9"/>
  <c r="N149" i="9"/>
  <c r="A116" i="25"/>
  <c r="D116" i="25"/>
  <c r="B113" i="29"/>
  <c r="C150" i="9"/>
  <c r="B150" i="9"/>
  <c r="W149" i="9"/>
  <c r="P149" i="9"/>
  <c r="F111" i="29"/>
  <c r="AE111" i="29"/>
  <c r="AD111" i="29"/>
  <c r="R148" i="9"/>
  <c r="E112" i="29"/>
  <c r="D112" i="29"/>
  <c r="AC112" i="29"/>
  <c r="E115" i="25"/>
  <c r="T115" i="25"/>
  <c r="U115" i="25"/>
  <c r="K115" i="25"/>
  <c r="H115" i="25"/>
  <c r="H114" i="25"/>
  <c r="I113" i="25"/>
  <c r="W113" i="25"/>
  <c r="T148" i="9"/>
  <c r="V148" i="9"/>
  <c r="X148" i="9"/>
  <c r="U148" i="9"/>
  <c r="F115" i="25"/>
  <c r="G115" i="25"/>
  <c r="V115" i="25"/>
  <c r="F112" i="29"/>
  <c r="AE112" i="29"/>
  <c r="AD112" i="29"/>
  <c r="S150" i="9"/>
  <c r="N150" i="9"/>
  <c r="R149" i="9"/>
  <c r="E113" i="29"/>
  <c r="D113" i="29"/>
  <c r="AC113" i="29"/>
  <c r="E116" i="25"/>
  <c r="U116" i="25"/>
  <c r="K116" i="25"/>
  <c r="T116" i="25"/>
  <c r="I114" i="25"/>
  <c r="W114" i="25"/>
  <c r="A117" i="25"/>
  <c r="D117" i="25"/>
  <c r="B114" i="29"/>
  <c r="C151" i="9"/>
  <c r="B151" i="9"/>
  <c r="W150" i="9"/>
  <c r="P150" i="9"/>
  <c r="Q150" i="9"/>
  <c r="Q149" i="9"/>
  <c r="T149" i="9"/>
  <c r="V149" i="9"/>
  <c r="X149" i="9"/>
  <c r="AD113" i="29"/>
  <c r="F113" i="29"/>
  <c r="AE113" i="29"/>
  <c r="A118" i="25"/>
  <c r="D118" i="25"/>
  <c r="B115" i="29"/>
  <c r="C152" i="9"/>
  <c r="B152" i="9"/>
  <c r="W151" i="9"/>
  <c r="P151" i="9"/>
  <c r="Q151" i="9"/>
  <c r="U149" i="9"/>
  <c r="F116" i="25"/>
  <c r="G116" i="25"/>
  <c r="V116" i="25"/>
  <c r="E117" i="25"/>
  <c r="U117" i="25"/>
  <c r="K117" i="25"/>
  <c r="T117" i="25"/>
  <c r="S151" i="9"/>
  <c r="N151" i="9"/>
  <c r="R150" i="9"/>
  <c r="E114" i="29"/>
  <c r="D114" i="29"/>
  <c r="AC114" i="29"/>
  <c r="H116" i="25"/>
  <c r="I115" i="25"/>
  <c r="W115" i="25"/>
  <c r="T150" i="9"/>
  <c r="V150" i="9"/>
  <c r="X150" i="9"/>
  <c r="E118" i="25"/>
  <c r="U118" i="25"/>
  <c r="K118" i="25"/>
  <c r="T118" i="25"/>
  <c r="A119" i="25"/>
  <c r="D119" i="25"/>
  <c r="B116" i="29"/>
  <c r="B153" i="9"/>
  <c r="C153" i="9"/>
  <c r="W152" i="9"/>
  <c r="P152" i="9"/>
  <c r="Q152" i="9"/>
  <c r="F114" i="29"/>
  <c r="AE114" i="29"/>
  <c r="AD114" i="29"/>
  <c r="S152" i="9"/>
  <c r="N152" i="9"/>
  <c r="I116" i="25"/>
  <c r="W116" i="25"/>
  <c r="U150" i="9"/>
  <c r="F117" i="25"/>
  <c r="G117" i="25"/>
  <c r="V117" i="25"/>
  <c r="H117" i="25"/>
  <c r="R151" i="9"/>
  <c r="E115" i="29"/>
  <c r="D115" i="29"/>
  <c r="AC115" i="29"/>
  <c r="T151" i="9"/>
  <c r="V151" i="9"/>
  <c r="X151" i="9"/>
  <c r="U151" i="9"/>
  <c r="F118" i="25"/>
  <c r="G118" i="25"/>
  <c r="V118" i="25"/>
  <c r="S153" i="9"/>
  <c r="N153" i="9"/>
  <c r="A120" i="25"/>
  <c r="D120" i="25"/>
  <c r="B117" i="29"/>
  <c r="C154" i="9"/>
  <c r="B154" i="9"/>
  <c r="W153" i="9"/>
  <c r="P153" i="9"/>
  <c r="R152" i="9"/>
  <c r="D116" i="29"/>
  <c r="AC116" i="29"/>
  <c r="E116" i="29"/>
  <c r="H119" i="25"/>
  <c r="AD115" i="29"/>
  <c r="F115" i="29"/>
  <c r="AE115" i="29"/>
  <c r="E119" i="25"/>
  <c r="U119" i="25"/>
  <c r="K119" i="25"/>
  <c r="T119" i="25"/>
  <c r="H118" i="25"/>
  <c r="I117" i="25"/>
  <c r="W117" i="25"/>
  <c r="T152" i="9"/>
  <c r="V152" i="9"/>
  <c r="X152" i="9"/>
  <c r="U152" i="9"/>
  <c r="F119" i="25"/>
  <c r="G119" i="25"/>
  <c r="V119" i="25"/>
  <c r="E120" i="25"/>
  <c r="U120" i="25"/>
  <c r="K120" i="25"/>
  <c r="T120" i="25"/>
  <c r="A121" i="25"/>
  <c r="D121" i="25"/>
  <c r="B118" i="29"/>
  <c r="C155" i="9"/>
  <c r="B155" i="9"/>
  <c r="W154" i="9"/>
  <c r="P154" i="9"/>
  <c r="Q154" i="9"/>
  <c r="F116" i="29"/>
  <c r="AE116" i="29"/>
  <c r="AD116" i="29"/>
  <c r="S154" i="9"/>
  <c r="N154" i="9"/>
  <c r="I118" i="25"/>
  <c r="W118" i="25"/>
  <c r="R153" i="9"/>
  <c r="E117" i="29"/>
  <c r="D117" i="29"/>
  <c r="AC117" i="29"/>
  <c r="Q153" i="9"/>
  <c r="T153" i="9"/>
  <c r="V153" i="9"/>
  <c r="X153" i="9"/>
  <c r="A122" i="25"/>
  <c r="D122" i="25"/>
  <c r="B119" i="29"/>
  <c r="B156" i="9"/>
  <c r="C156" i="9"/>
  <c r="W155" i="9"/>
  <c r="P155" i="9"/>
  <c r="Q155" i="9"/>
  <c r="AD117" i="29"/>
  <c r="F117" i="29"/>
  <c r="AE117" i="29"/>
  <c r="S155" i="9"/>
  <c r="N155" i="9"/>
  <c r="R154" i="9"/>
  <c r="D118" i="29"/>
  <c r="AC118" i="29"/>
  <c r="E118" i="29"/>
  <c r="U153" i="9"/>
  <c r="F120" i="25"/>
  <c r="G120" i="25"/>
  <c r="V120" i="25"/>
  <c r="E121" i="25"/>
  <c r="U121" i="25"/>
  <c r="K121" i="25"/>
  <c r="T121" i="25"/>
  <c r="H121" i="25"/>
  <c r="H120" i="25"/>
  <c r="I119" i="25"/>
  <c r="W119" i="25"/>
  <c r="T154" i="9"/>
  <c r="V154" i="9"/>
  <c r="X154" i="9"/>
  <c r="I120" i="25"/>
  <c r="W120" i="25"/>
  <c r="R155" i="9"/>
  <c r="E119" i="29"/>
  <c r="H122" i="25"/>
  <c r="D119" i="29"/>
  <c r="AC119" i="29"/>
  <c r="U154" i="9"/>
  <c r="F121" i="25"/>
  <c r="G121" i="25"/>
  <c r="V121" i="25"/>
  <c r="E122" i="25"/>
  <c r="U122" i="25"/>
  <c r="K122" i="25"/>
  <c r="T122" i="25"/>
  <c r="S156" i="9"/>
  <c r="N156" i="9"/>
  <c r="F118" i="29"/>
  <c r="AE118" i="29"/>
  <c r="AD118" i="29"/>
  <c r="A123" i="25"/>
  <c r="D123" i="25"/>
  <c r="B120" i="29"/>
  <c r="B157" i="9"/>
  <c r="C157" i="9"/>
  <c r="W156" i="9"/>
  <c r="P156" i="9"/>
  <c r="T155" i="9"/>
  <c r="V155" i="9"/>
  <c r="X155" i="9"/>
  <c r="A124" i="25"/>
  <c r="D124" i="25"/>
  <c r="B121" i="29"/>
  <c r="C158" i="9"/>
  <c r="B158" i="9"/>
  <c r="W157" i="9"/>
  <c r="P157" i="9"/>
  <c r="Q157" i="9"/>
  <c r="R156" i="9"/>
  <c r="D120" i="29"/>
  <c r="AC120" i="29"/>
  <c r="E120" i="29"/>
  <c r="Q156" i="9"/>
  <c r="E123" i="25"/>
  <c r="U123" i="25"/>
  <c r="K123" i="25"/>
  <c r="T123" i="25"/>
  <c r="H123" i="25"/>
  <c r="S157" i="9"/>
  <c r="N157" i="9"/>
  <c r="U155" i="9"/>
  <c r="F122" i="25"/>
  <c r="G122" i="25"/>
  <c r="V122" i="25"/>
  <c r="I121" i="25"/>
  <c r="W121" i="25"/>
  <c r="AD119" i="29"/>
  <c r="F119" i="29"/>
  <c r="AE119" i="29"/>
  <c r="T156" i="9"/>
  <c r="V156" i="9"/>
  <c r="X156" i="9"/>
  <c r="S158" i="9"/>
  <c r="N158" i="9"/>
  <c r="AD120" i="29"/>
  <c r="F120" i="29"/>
  <c r="AE120" i="29"/>
  <c r="R157" i="9"/>
  <c r="E121" i="29"/>
  <c r="D121" i="29"/>
  <c r="AC121" i="29"/>
  <c r="E124" i="25"/>
  <c r="U124" i="25"/>
  <c r="K124" i="25"/>
  <c r="T124" i="25"/>
  <c r="H124" i="25"/>
  <c r="U156" i="9"/>
  <c r="F123" i="25"/>
  <c r="G123" i="25"/>
  <c r="V123" i="25"/>
  <c r="A125" i="25"/>
  <c r="D125" i="25"/>
  <c r="B122" i="29"/>
  <c r="C159" i="9"/>
  <c r="B159" i="9"/>
  <c r="W158" i="9"/>
  <c r="P158" i="9"/>
  <c r="Q158" i="9"/>
  <c r="I122" i="25"/>
  <c r="W122" i="25"/>
  <c r="T157" i="9"/>
  <c r="V157" i="9"/>
  <c r="X157" i="9"/>
  <c r="U157" i="9"/>
  <c r="F124" i="25"/>
  <c r="G124" i="25"/>
  <c r="V124" i="25"/>
  <c r="S159" i="9"/>
  <c r="N159" i="9"/>
  <c r="R158" i="9"/>
  <c r="D122" i="29"/>
  <c r="AC122" i="29"/>
  <c r="E122" i="29"/>
  <c r="E125" i="25"/>
  <c r="U125" i="25"/>
  <c r="K125" i="25"/>
  <c r="T125" i="25"/>
  <c r="H125" i="25"/>
  <c r="A126" i="25"/>
  <c r="D126" i="25"/>
  <c r="B123" i="29"/>
  <c r="C160" i="9"/>
  <c r="B160" i="9"/>
  <c r="W159" i="9"/>
  <c r="P159" i="9"/>
  <c r="AD121" i="29"/>
  <c r="F121" i="29"/>
  <c r="AE121" i="29"/>
  <c r="I123" i="25"/>
  <c r="W123" i="25"/>
  <c r="T158" i="9"/>
  <c r="V158" i="9"/>
  <c r="X158" i="9"/>
  <c r="U158" i="9"/>
  <c r="F125" i="25"/>
  <c r="G125" i="25"/>
  <c r="V125" i="25"/>
  <c r="A127" i="25"/>
  <c r="D127" i="25"/>
  <c r="B124" i="29"/>
  <c r="B161" i="9"/>
  <c r="C161" i="9"/>
  <c r="W160" i="9"/>
  <c r="P160" i="9"/>
  <c r="Q160" i="9"/>
  <c r="S160" i="9"/>
  <c r="N160" i="9"/>
  <c r="R159" i="9"/>
  <c r="E123" i="29"/>
  <c r="D123" i="29"/>
  <c r="AC123" i="29"/>
  <c r="E126" i="25"/>
  <c r="U126" i="25"/>
  <c r="K126" i="25"/>
  <c r="T126" i="25"/>
  <c r="H126" i="25"/>
  <c r="AD122" i="29"/>
  <c r="F122" i="29"/>
  <c r="AE122" i="29"/>
  <c r="Q159" i="9"/>
  <c r="I124" i="25"/>
  <c r="W124" i="25"/>
  <c r="T159" i="9"/>
  <c r="V159" i="9"/>
  <c r="X159" i="9"/>
  <c r="F123" i="29"/>
  <c r="AE123" i="29"/>
  <c r="AD123" i="29"/>
  <c r="R160" i="9"/>
  <c r="D124" i="29"/>
  <c r="AC124" i="29"/>
  <c r="E124" i="29"/>
  <c r="U159" i="9"/>
  <c r="F126" i="25"/>
  <c r="G126" i="25"/>
  <c r="V126" i="25"/>
  <c r="E127" i="25"/>
  <c r="U127" i="25"/>
  <c r="K127" i="25"/>
  <c r="T127" i="25"/>
  <c r="H127" i="25"/>
  <c r="S161" i="9"/>
  <c r="N161" i="9"/>
  <c r="I125" i="25"/>
  <c r="W125" i="25"/>
  <c r="A128" i="25"/>
  <c r="D128" i="25"/>
  <c r="B125" i="29"/>
  <c r="C162" i="9"/>
  <c r="B162" i="9"/>
  <c r="W161" i="9"/>
  <c r="P161" i="9"/>
  <c r="Q161" i="9"/>
  <c r="T160" i="9"/>
  <c r="V160" i="9"/>
  <c r="X160" i="9"/>
  <c r="I126" i="25"/>
  <c r="W126" i="25"/>
  <c r="S162" i="9"/>
  <c r="N162" i="9"/>
  <c r="R161" i="9"/>
  <c r="E125" i="29"/>
  <c r="H128" i="25"/>
  <c r="D125" i="29"/>
  <c r="AC125" i="29"/>
  <c r="U160" i="9"/>
  <c r="F127" i="25"/>
  <c r="G127" i="25"/>
  <c r="V127" i="25"/>
  <c r="A129" i="25"/>
  <c r="D129" i="25"/>
  <c r="B126" i="29"/>
  <c r="B163" i="9"/>
  <c r="C163" i="9"/>
  <c r="W162" i="9"/>
  <c r="P162" i="9"/>
  <c r="Q162" i="9"/>
  <c r="E128" i="25"/>
  <c r="U128" i="25"/>
  <c r="K128" i="25"/>
  <c r="T128" i="25"/>
  <c r="AD124" i="29"/>
  <c r="F124" i="29"/>
  <c r="AE124" i="29"/>
  <c r="T161" i="9"/>
  <c r="V161" i="9"/>
  <c r="X161" i="9"/>
  <c r="E129" i="25"/>
  <c r="U129" i="25"/>
  <c r="K129" i="25"/>
  <c r="T129" i="25"/>
  <c r="U161" i="9"/>
  <c r="F128" i="25"/>
  <c r="G128" i="25"/>
  <c r="V128" i="25"/>
  <c r="S163" i="9"/>
  <c r="N163" i="9"/>
  <c r="A130" i="25"/>
  <c r="D130" i="25"/>
  <c r="B127" i="29"/>
  <c r="C164" i="9"/>
  <c r="B164" i="9"/>
  <c r="W163" i="9"/>
  <c r="P163" i="9"/>
  <c r="Q163" i="9"/>
  <c r="R162" i="9"/>
  <c r="U162" i="9"/>
  <c r="F129" i="25"/>
  <c r="E126" i="29"/>
  <c r="D126" i="29"/>
  <c r="AC126" i="29"/>
  <c r="F125" i="29"/>
  <c r="AE125" i="29"/>
  <c r="AD125" i="29"/>
  <c r="I127" i="25"/>
  <c r="W127" i="25"/>
  <c r="G129" i="25"/>
  <c r="V129" i="25"/>
  <c r="T162" i="9"/>
  <c r="V162" i="9"/>
  <c r="X162" i="9"/>
  <c r="A131" i="25"/>
  <c r="D131" i="25"/>
  <c r="B128" i="29"/>
  <c r="B165" i="9"/>
  <c r="C165" i="9"/>
  <c r="W164" i="9"/>
  <c r="P164" i="9"/>
  <c r="S164" i="9"/>
  <c r="N164" i="9"/>
  <c r="R163" i="9"/>
  <c r="D127" i="29"/>
  <c r="AC127" i="29"/>
  <c r="E127" i="29"/>
  <c r="H130" i="25"/>
  <c r="AD126" i="29"/>
  <c r="F126" i="29"/>
  <c r="AE126" i="29"/>
  <c r="E130" i="25"/>
  <c r="U130" i="25"/>
  <c r="K130" i="25"/>
  <c r="T130" i="25"/>
  <c r="H129" i="25"/>
  <c r="I128" i="25"/>
  <c r="W128" i="25"/>
  <c r="T163" i="9"/>
  <c r="V163" i="9"/>
  <c r="X163" i="9"/>
  <c r="U163" i="9"/>
  <c r="F130" i="25"/>
  <c r="G130" i="25"/>
  <c r="V130" i="25"/>
  <c r="A132" i="25"/>
  <c r="D132" i="25"/>
  <c r="B129" i="29"/>
  <c r="C166" i="9"/>
  <c r="B166" i="9"/>
  <c r="W165" i="9"/>
  <c r="P165" i="9"/>
  <c r="R164" i="9"/>
  <c r="D128" i="29"/>
  <c r="AC128" i="29"/>
  <c r="E128" i="29"/>
  <c r="H131" i="25"/>
  <c r="F127" i="29"/>
  <c r="AE127" i="29"/>
  <c r="AD127" i="29"/>
  <c r="Q164" i="9"/>
  <c r="E131" i="25"/>
  <c r="U131" i="25"/>
  <c r="K131" i="25"/>
  <c r="T131" i="25"/>
  <c r="S165" i="9"/>
  <c r="N165" i="9"/>
  <c r="Q165" i="9"/>
  <c r="I129" i="25"/>
  <c r="W129" i="25"/>
  <c r="T164" i="9"/>
  <c r="V164" i="9"/>
  <c r="X164" i="9"/>
  <c r="U164" i="9"/>
  <c r="F131" i="25"/>
  <c r="G131" i="25"/>
  <c r="V131" i="25"/>
  <c r="AD128" i="29"/>
  <c r="F128" i="29"/>
  <c r="AE128" i="29"/>
  <c r="R165" i="9"/>
  <c r="D129" i="29"/>
  <c r="AC129" i="29"/>
  <c r="E129" i="29"/>
  <c r="H132" i="25"/>
  <c r="E132" i="25"/>
  <c r="U132" i="25"/>
  <c r="K132" i="25"/>
  <c r="T132" i="25"/>
  <c r="A133" i="25"/>
  <c r="D133" i="25"/>
  <c r="B130" i="29"/>
  <c r="C167" i="9"/>
  <c r="B167" i="9"/>
  <c r="W166" i="9"/>
  <c r="P166" i="9"/>
  <c r="S166" i="9"/>
  <c r="N166" i="9"/>
  <c r="I130" i="25"/>
  <c r="W130" i="25"/>
  <c r="T165" i="9"/>
  <c r="V165" i="9"/>
  <c r="X165" i="9"/>
  <c r="U165" i="9"/>
  <c r="F132" i="25"/>
  <c r="G132" i="25"/>
  <c r="V132" i="25"/>
  <c r="R166" i="9"/>
  <c r="E130" i="29"/>
  <c r="H133" i="25"/>
  <c r="D130" i="29"/>
  <c r="AC130" i="29"/>
  <c r="Q166" i="9"/>
  <c r="E133" i="25"/>
  <c r="U133" i="25"/>
  <c r="K133" i="25"/>
  <c r="T133" i="25"/>
  <c r="F129" i="29"/>
  <c r="AE129" i="29"/>
  <c r="AD129" i="29"/>
  <c r="S167" i="9"/>
  <c r="N167" i="9"/>
  <c r="A134" i="25"/>
  <c r="D134" i="25"/>
  <c r="B131" i="29"/>
  <c r="C168" i="9"/>
  <c r="B168" i="9"/>
  <c r="W167" i="9"/>
  <c r="P167" i="9"/>
  <c r="Q167" i="9"/>
  <c r="I131" i="25"/>
  <c r="W131" i="25"/>
  <c r="T166" i="9"/>
  <c r="V166" i="9"/>
  <c r="X166" i="9"/>
  <c r="U166" i="9"/>
  <c r="F133" i="25"/>
  <c r="G133" i="25"/>
  <c r="V133" i="25"/>
  <c r="A135" i="25"/>
  <c r="D135" i="25"/>
  <c r="B132" i="29"/>
  <c r="B169" i="9"/>
  <c r="C169" i="9"/>
  <c r="W168" i="9"/>
  <c r="P168" i="9"/>
  <c r="Q168" i="9"/>
  <c r="E134" i="25"/>
  <c r="T134" i="25"/>
  <c r="U134" i="25"/>
  <c r="K134" i="25"/>
  <c r="AD130" i="29"/>
  <c r="F130" i="29"/>
  <c r="AE130" i="29"/>
  <c r="S168" i="9"/>
  <c r="N168" i="9"/>
  <c r="R167" i="9"/>
  <c r="D131" i="29"/>
  <c r="AC131" i="29"/>
  <c r="E131" i="29"/>
  <c r="I132" i="25"/>
  <c r="W132" i="25"/>
  <c r="T167" i="9"/>
  <c r="V167" i="9"/>
  <c r="X167" i="9"/>
  <c r="U167" i="9"/>
  <c r="F134" i="25"/>
  <c r="G134" i="25"/>
  <c r="V134" i="25"/>
  <c r="F131" i="29"/>
  <c r="AE131" i="29"/>
  <c r="AD131" i="29"/>
  <c r="S169" i="9"/>
  <c r="N169" i="9"/>
  <c r="A136" i="25"/>
  <c r="D136" i="25"/>
  <c r="B133" i="29"/>
  <c r="C170" i="9"/>
  <c r="B170" i="9"/>
  <c r="W169" i="9"/>
  <c r="P169" i="9"/>
  <c r="H134" i="25"/>
  <c r="R168" i="9"/>
  <c r="E132" i="29"/>
  <c r="H135" i="25"/>
  <c r="D132" i="29"/>
  <c r="AC132" i="29"/>
  <c r="I133" i="25"/>
  <c r="W133" i="25"/>
  <c r="E135" i="25"/>
  <c r="U135" i="25"/>
  <c r="K135" i="25"/>
  <c r="T135" i="25"/>
  <c r="T168" i="9"/>
  <c r="V168" i="9"/>
  <c r="X168" i="9"/>
  <c r="U168" i="9"/>
  <c r="F135" i="25"/>
  <c r="G135" i="25"/>
  <c r="V135" i="25"/>
  <c r="AD132" i="29"/>
  <c r="F132" i="29"/>
  <c r="AE132" i="29"/>
  <c r="R169" i="9"/>
  <c r="D133" i="29"/>
  <c r="AC133" i="29"/>
  <c r="E133" i="29"/>
  <c r="E136" i="25"/>
  <c r="U136" i="25"/>
  <c r="K136" i="25"/>
  <c r="T136" i="25"/>
  <c r="H136" i="25"/>
  <c r="A137" i="25"/>
  <c r="D137" i="25"/>
  <c r="B134" i="29"/>
  <c r="C171" i="9"/>
  <c r="B171" i="9"/>
  <c r="W170" i="9"/>
  <c r="P170" i="9"/>
  <c r="Q170" i="9"/>
  <c r="Q169" i="9"/>
  <c r="S170" i="9"/>
  <c r="N170" i="9"/>
  <c r="I134" i="25"/>
  <c r="W134" i="25"/>
  <c r="T169" i="9"/>
  <c r="V169" i="9"/>
  <c r="X169" i="9"/>
  <c r="U169" i="9"/>
  <c r="F136" i="25"/>
  <c r="G136" i="25"/>
  <c r="V136" i="25"/>
  <c r="R170" i="9"/>
  <c r="E134" i="29"/>
  <c r="H137" i="25"/>
  <c r="D134" i="29"/>
  <c r="AC134" i="29"/>
  <c r="E137" i="25"/>
  <c r="U137" i="25"/>
  <c r="K137" i="25"/>
  <c r="T137" i="25"/>
  <c r="AD133" i="29"/>
  <c r="F133" i="29"/>
  <c r="AE133" i="29"/>
  <c r="S171" i="9"/>
  <c r="N171" i="9"/>
  <c r="A138" i="25"/>
  <c r="D138" i="25"/>
  <c r="B135" i="29"/>
  <c r="B172" i="9"/>
  <c r="C172" i="9"/>
  <c r="W171" i="9"/>
  <c r="P171" i="9"/>
  <c r="Q171" i="9"/>
  <c r="I135" i="25"/>
  <c r="W135" i="25"/>
  <c r="T170" i="9"/>
  <c r="V170" i="9"/>
  <c r="X170" i="9"/>
  <c r="S172" i="9"/>
  <c r="N172" i="9"/>
  <c r="F134" i="29"/>
  <c r="AE134" i="29"/>
  <c r="AD134" i="29"/>
  <c r="A139" i="25"/>
  <c r="D139" i="25"/>
  <c r="B136" i="29"/>
  <c r="B173" i="9"/>
  <c r="C173" i="9"/>
  <c r="W172" i="9"/>
  <c r="P172" i="9"/>
  <c r="Q172" i="9"/>
  <c r="U170" i="9"/>
  <c r="F137" i="25"/>
  <c r="G137" i="25"/>
  <c r="V137" i="25"/>
  <c r="R171" i="9"/>
  <c r="D135" i="29"/>
  <c r="AC135" i="29"/>
  <c r="E135" i="29"/>
  <c r="H138" i="25"/>
  <c r="I136" i="25"/>
  <c r="W136" i="25"/>
  <c r="E138" i="25"/>
  <c r="U138" i="25"/>
  <c r="K138" i="25"/>
  <c r="T138" i="25"/>
  <c r="T171" i="9"/>
  <c r="V171" i="9"/>
  <c r="X171" i="9"/>
  <c r="U171" i="9"/>
  <c r="F138" i="25"/>
  <c r="G138" i="25"/>
  <c r="V138" i="25"/>
  <c r="AD135" i="29"/>
  <c r="F135" i="29"/>
  <c r="AE135" i="29"/>
  <c r="S173" i="9"/>
  <c r="N173" i="9"/>
  <c r="I137" i="25"/>
  <c r="W137" i="25"/>
  <c r="A140" i="25"/>
  <c r="D140" i="25"/>
  <c r="B137" i="29"/>
  <c r="C174" i="9"/>
  <c r="B174" i="9"/>
  <c r="W173" i="9"/>
  <c r="P173" i="9"/>
  <c r="Q173" i="9"/>
  <c r="R172" i="9"/>
  <c r="D136" i="29"/>
  <c r="AC136" i="29"/>
  <c r="E136" i="29"/>
  <c r="E139" i="25"/>
  <c r="U139" i="25"/>
  <c r="K139" i="25"/>
  <c r="T139" i="25"/>
  <c r="H139" i="25"/>
  <c r="T172" i="9"/>
  <c r="V172" i="9"/>
  <c r="X172" i="9"/>
  <c r="U172" i="9"/>
  <c r="F139" i="25"/>
  <c r="G139" i="25"/>
  <c r="V139" i="25"/>
  <c r="E140" i="25"/>
  <c r="U140" i="25"/>
  <c r="K140" i="25"/>
  <c r="T140" i="25"/>
  <c r="A141" i="25"/>
  <c r="D141" i="25"/>
  <c r="B138" i="29"/>
  <c r="C175" i="9"/>
  <c r="B175" i="9"/>
  <c r="W174" i="9"/>
  <c r="P174" i="9"/>
  <c r="Q174" i="9"/>
  <c r="I138" i="25"/>
  <c r="W138" i="25"/>
  <c r="S174" i="9"/>
  <c r="N174" i="9"/>
  <c r="F136" i="29"/>
  <c r="AE136" i="29"/>
  <c r="AD136" i="29"/>
  <c r="R173" i="9"/>
  <c r="E137" i="29"/>
  <c r="H140" i="25"/>
  <c r="D137" i="29"/>
  <c r="AC137" i="29"/>
  <c r="T173" i="9"/>
  <c r="V173" i="9"/>
  <c r="X173" i="9"/>
  <c r="E141" i="25"/>
  <c r="T141" i="25"/>
  <c r="U141" i="25"/>
  <c r="K141" i="25"/>
  <c r="AD137" i="29"/>
  <c r="F137" i="29"/>
  <c r="AE137" i="29"/>
  <c r="I139" i="25"/>
  <c r="W139" i="25"/>
  <c r="A142" i="25"/>
  <c r="D142" i="25"/>
  <c r="B139" i="29"/>
  <c r="C176" i="9"/>
  <c r="B176" i="9"/>
  <c r="W175" i="9"/>
  <c r="P175" i="9"/>
  <c r="Q175" i="9"/>
  <c r="S175" i="9"/>
  <c r="N175" i="9"/>
  <c r="U173" i="9"/>
  <c r="F140" i="25"/>
  <c r="G140" i="25"/>
  <c r="V140" i="25"/>
  <c r="R174" i="9"/>
  <c r="D138" i="29"/>
  <c r="AC138" i="29"/>
  <c r="E138" i="29"/>
  <c r="T174" i="9"/>
  <c r="V174" i="9"/>
  <c r="X174" i="9"/>
  <c r="U174" i="9"/>
  <c r="F141" i="25"/>
  <c r="G141" i="25"/>
  <c r="V141" i="25"/>
  <c r="A143" i="25"/>
  <c r="D143" i="25"/>
  <c r="B140" i="29"/>
  <c r="C177" i="9"/>
  <c r="B177" i="9"/>
  <c r="W176" i="9"/>
  <c r="P176" i="9"/>
  <c r="Q176" i="9"/>
  <c r="F138" i="29"/>
  <c r="AE138" i="29"/>
  <c r="AD138" i="29"/>
  <c r="S176" i="9"/>
  <c r="N176" i="9"/>
  <c r="R175" i="9"/>
  <c r="D139" i="29"/>
  <c r="AC139" i="29"/>
  <c r="E139" i="29"/>
  <c r="H142" i="25"/>
  <c r="E142" i="25"/>
  <c r="U142" i="25"/>
  <c r="K142" i="25"/>
  <c r="T142" i="25"/>
  <c r="H141" i="25"/>
  <c r="I140" i="25"/>
  <c r="W140" i="25"/>
  <c r="T175" i="9"/>
  <c r="V175" i="9"/>
  <c r="X175" i="9"/>
  <c r="F139" i="29"/>
  <c r="AE139" i="29"/>
  <c r="AD139" i="29"/>
  <c r="E143" i="25"/>
  <c r="U143" i="25"/>
  <c r="K143" i="25"/>
  <c r="T143" i="25"/>
  <c r="A144" i="25"/>
  <c r="D144" i="25"/>
  <c r="B141" i="29"/>
  <c r="B178" i="9"/>
  <c r="C178" i="9"/>
  <c r="W177" i="9"/>
  <c r="P177" i="9"/>
  <c r="S177" i="9"/>
  <c r="N177" i="9"/>
  <c r="I141" i="25"/>
  <c r="W141" i="25"/>
  <c r="U175" i="9"/>
  <c r="F142" i="25"/>
  <c r="G142" i="25"/>
  <c r="V142" i="25"/>
  <c r="R176" i="9"/>
  <c r="E140" i="29"/>
  <c r="H143" i="25"/>
  <c r="D140" i="29"/>
  <c r="AC140" i="29"/>
  <c r="T176" i="9"/>
  <c r="V176" i="9"/>
  <c r="X176" i="9"/>
  <c r="S178" i="9"/>
  <c r="N178" i="9"/>
  <c r="A145" i="25"/>
  <c r="D145" i="25"/>
  <c r="B142" i="29"/>
  <c r="C179" i="9"/>
  <c r="B179" i="9"/>
  <c r="W178" i="9"/>
  <c r="P178" i="9"/>
  <c r="Q178" i="9"/>
  <c r="AD140" i="29"/>
  <c r="F140" i="29"/>
  <c r="AE140" i="29"/>
  <c r="R177" i="9"/>
  <c r="D141" i="29"/>
  <c r="AC141" i="29"/>
  <c r="E141" i="29"/>
  <c r="U176" i="9"/>
  <c r="F143" i="25"/>
  <c r="G143" i="25"/>
  <c r="V143" i="25"/>
  <c r="Q177" i="9"/>
  <c r="E144" i="25"/>
  <c r="U144" i="25"/>
  <c r="K144" i="25"/>
  <c r="T144" i="25"/>
  <c r="H144" i="25"/>
  <c r="I142" i="25"/>
  <c r="W142" i="25"/>
  <c r="T177" i="9"/>
  <c r="V177" i="9"/>
  <c r="X177" i="9"/>
  <c r="AD141" i="29"/>
  <c r="F141" i="29"/>
  <c r="AE141" i="29"/>
  <c r="A146" i="25"/>
  <c r="D146" i="25"/>
  <c r="B143" i="29"/>
  <c r="C180" i="9"/>
  <c r="B180" i="9"/>
  <c r="W179" i="9"/>
  <c r="P179" i="9"/>
  <c r="Q179" i="9"/>
  <c r="I143" i="25"/>
  <c r="W143" i="25"/>
  <c r="S179" i="9"/>
  <c r="N179" i="9"/>
  <c r="U177" i="9"/>
  <c r="F144" i="25"/>
  <c r="G144" i="25"/>
  <c r="V144" i="25"/>
  <c r="R178" i="9"/>
  <c r="D142" i="29"/>
  <c r="AC142" i="29"/>
  <c r="E142" i="29"/>
  <c r="H145" i="25"/>
  <c r="E145" i="25"/>
  <c r="U145" i="25"/>
  <c r="K145" i="25"/>
  <c r="T145" i="25"/>
  <c r="T178" i="9"/>
  <c r="V178" i="9"/>
  <c r="X178" i="9"/>
  <c r="S180" i="9"/>
  <c r="N180" i="9"/>
  <c r="AD142" i="29"/>
  <c r="F142" i="29"/>
  <c r="AE142" i="29"/>
  <c r="R179" i="9"/>
  <c r="U179" i="9"/>
  <c r="F146" i="25"/>
  <c r="D143" i="29"/>
  <c r="AC143" i="29"/>
  <c r="E143" i="29"/>
  <c r="H146" i="25"/>
  <c r="E146" i="25"/>
  <c r="U146" i="25"/>
  <c r="K146" i="25"/>
  <c r="T146" i="25"/>
  <c r="I144" i="25"/>
  <c r="W144" i="25"/>
  <c r="U178" i="9"/>
  <c r="F145" i="25"/>
  <c r="G145" i="25"/>
  <c r="V145" i="25"/>
  <c r="A147" i="25"/>
  <c r="D147" i="25"/>
  <c r="B144" i="29"/>
  <c r="C181" i="9"/>
  <c r="B181" i="9"/>
  <c r="W180" i="9"/>
  <c r="P180" i="9"/>
  <c r="T179" i="9"/>
  <c r="V179" i="9"/>
  <c r="X179" i="9"/>
  <c r="S181" i="9"/>
  <c r="N181" i="9"/>
  <c r="I145" i="25"/>
  <c r="W145" i="25"/>
  <c r="R180" i="9"/>
  <c r="U180" i="9"/>
  <c r="F147" i="25"/>
  <c r="D144" i="29"/>
  <c r="AC144" i="29"/>
  <c r="E144" i="29"/>
  <c r="H147" i="25"/>
  <c r="G146" i="25"/>
  <c r="V146" i="25"/>
  <c r="Q180" i="9"/>
  <c r="E147" i="25"/>
  <c r="U147" i="25"/>
  <c r="K147" i="25"/>
  <c r="T147" i="25"/>
  <c r="A148" i="25"/>
  <c r="D148" i="25"/>
  <c r="B145" i="29"/>
  <c r="B182" i="9"/>
  <c r="C182" i="9"/>
  <c r="W181" i="9"/>
  <c r="P181" i="9"/>
  <c r="AD143" i="29"/>
  <c r="F143" i="29"/>
  <c r="AE143" i="29"/>
  <c r="T180" i="9"/>
  <c r="V180" i="9"/>
  <c r="X180" i="9"/>
  <c r="A149" i="25"/>
  <c r="D149" i="25"/>
  <c r="B146" i="29"/>
  <c r="C183" i="9"/>
  <c r="B183" i="9"/>
  <c r="W182" i="9"/>
  <c r="P182" i="9"/>
  <c r="Q182" i="9"/>
  <c r="R181" i="9"/>
  <c r="D145" i="29"/>
  <c r="AC145" i="29"/>
  <c r="E145" i="29"/>
  <c r="AD144" i="29"/>
  <c r="F144" i="29"/>
  <c r="AE144" i="29"/>
  <c r="E148" i="25"/>
  <c r="T148" i="25"/>
  <c r="U148" i="25"/>
  <c r="K148" i="25"/>
  <c r="H148" i="25"/>
  <c r="I146" i="25"/>
  <c r="W146" i="25"/>
  <c r="S182" i="9"/>
  <c r="N182" i="9"/>
  <c r="G147" i="25"/>
  <c r="V147" i="25"/>
  <c r="Q181" i="9"/>
  <c r="T181" i="9"/>
  <c r="V181" i="9"/>
  <c r="X181" i="9"/>
  <c r="R182" i="9"/>
  <c r="E146" i="29"/>
  <c r="H149" i="25"/>
  <c r="D146" i="29"/>
  <c r="AC146" i="29"/>
  <c r="U181" i="9"/>
  <c r="F148" i="25"/>
  <c r="G148" i="25"/>
  <c r="V148" i="25"/>
  <c r="E149" i="25"/>
  <c r="U149" i="25"/>
  <c r="K149" i="25"/>
  <c r="T149" i="25"/>
  <c r="A150" i="25"/>
  <c r="D150" i="25"/>
  <c r="B147" i="29"/>
  <c r="C184" i="9"/>
  <c r="B184" i="9"/>
  <c r="W183" i="9"/>
  <c r="P183" i="9"/>
  <c r="Q183" i="9"/>
  <c r="F145" i="29"/>
  <c r="AE145" i="29"/>
  <c r="AD145" i="29"/>
  <c r="S183" i="9"/>
  <c r="N183" i="9"/>
  <c r="I147" i="25"/>
  <c r="W147" i="25"/>
  <c r="T182" i="9"/>
  <c r="V182" i="9"/>
  <c r="X182" i="9"/>
  <c r="AD146" i="29"/>
  <c r="F146" i="29"/>
  <c r="AE146" i="29"/>
  <c r="E150" i="25"/>
  <c r="U150" i="25"/>
  <c r="K150" i="25"/>
  <c r="T150" i="25"/>
  <c r="A151" i="25"/>
  <c r="D151" i="25"/>
  <c r="B148" i="29"/>
  <c r="C185" i="9"/>
  <c r="B185" i="9"/>
  <c r="W184" i="9"/>
  <c r="P184" i="9"/>
  <c r="Q184" i="9"/>
  <c r="U182" i="9"/>
  <c r="F149" i="25"/>
  <c r="G149" i="25"/>
  <c r="V149" i="25"/>
  <c r="S184" i="9"/>
  <c r="N184" i="9"/>
  <c r="R183" i="9"/>
  <c r="D147" i="29"/>
  <c r="AC147" i="29"/>
  <c r="E147" i="29"/>
  <c r="I148" i="25"/>
  <c r="W148" i="25"/>
  <c r="T183" i="9"/>
  <c r="V183" i="9"/>
  <c r="X183" i="9"/>
  <c r="U183" i="9"/>
  <c r="F150" i="25"/>
  <c r="G150" i="25"/>
  <c r="V150" i="25"/>
  <c r="I149" i="25"/>
  <c r="W149" i="25"/>
  <c r="F147" i="29"/>
  <c r="AE147" i="29"/>
  <c r="AD147" i="29"/>
  <c r="E151" i="25"/>
  <c r="U151" i="25"/>
  <c r="K151" i="25"/>
  <c r="T151" i="25"/>
  <c r="A152" i="25"/>
  <c r="D152" i="25"/>
  <c r="B149" i="29"/>
  <c r="B186" i="9"/>
  <c r="C186" i="9"/>
  <c r="W185" i="9"/>
  <c r="P185" i="9"/>
  <c r="Q185" i="9"/>
  <c r="S185" i="9"/>
  <c r="N185" i="9"/>
  <c r="R184" i="9"/>
  <c r="E148" i="29"/>
  <c r="D148" i="29"/>
  <c r="AC148" i="29"/>
  <c r="H150" i="25"/>
  <c r="T184" i="9"/>
  <c r="V184" i="9"/>
  <c r="X184" i="9"/>
  <c r="AD148" i="29"/>
  <c r="F148" i="29"/>
  <c r="AE148" i="29"/>
  <c r="E152" i="25"/>
  <c r="U152" i="25"/>
  <c r="K152" i="25"/>
  <c r="T152" i="25"/>
  <c r="H151" i="25"/>
  <c r="U184" i="9"/>
  <c r="F151" i="25"/>
  <c r="G151" i="25"/>
  <c r="V151" i="25"/>
  <c r="S186" i="9"/>
  <c r="N186" i="9"/>
  <c r="A153" i="25"/>
  <c r="D153" i="25"/>
  <c r="B150" i="29"/>
  <c r="C187" i="9"/>
  <c r="B187" i="9"/>
  <c r="W186" i="9"/>
  <c r="P186" i="9"/>
  <c r="I150" i="25"/>
  <c r="W150" i="25"/>
  <c r="R185" i="9"/>
  <c r="E149" i="29"/>
  <c r="H152" i="25"/>
  <c r="D149" i="29"/>
  <c r="AC149" i="29"/>
  <c r="T185" i="9"/>
  <c r="V185" i="9"/>
  <c r="X185" i="9"/>
  <c r="A154" i="25"/>
  <c r="D154" i="25"/>
  <c r="B151" i="29"/>
  <c r="C188" i="9"/>
  <c r="B188" i="9"/>
  <c r="W187" i="9"/>
  <c r="P187" i="9"/>
  <c r="Q187" i="9"/>
  <c r="S187" i="9"/>
  <c r="N187" i="9"/>
  <c r="F149" i="29"/>
  <c r="AE149" i="29"/>
  <c r="AD149" i="29"/>
  <c r="R186" i="9"/>
  <c r="E150" i="29"/>
  <c r="D150" i="29"/>
  <c r="AC150" i="29"/>
  <c r="U185" i="9"/>
  <c r="F152" i="25"/>
  <c r="G152" i="25"/>
  <c r="V152" i="25"/>
  <c r="E153" i="25"/>
  <c r="U153" i="25"/>
  <c r="K153" i="25"/>
  <c r="T153" i="25"/>
  <c r="H153" i="25"/>
  <c r="Q186" i="9"/>
  <c r="I151" i="25"/>
  <c r="W151" i="25"/>
  <c r="T186" i="9"/>
  <c r="V186" i="9"/>
  <c r="X186" i="9"/>
  <c r="I152" i="25"/>
  <c r="W152" i="25"/>
  <c r="S188" i="9"/>
  <c r="N188" i="9"/>
  <c r="F150" i="29"/>
  <c r="AE150" i="29"/>
  <c r="AD150" i="29"/>
  <c r="R187" i="9"/>
  <c r="D151" i="29"/>
  <c r="AC151" i="29"/>
  <c r="E151" i="29"/>
  <c r="U186" i="9"/>
  <c r="F153" i="25"/>
  <c r="G153" i="25"/>
  <c r="V153" i="25"/>
  <c r="E154" i="25"/>
  <c r="U154" i="25"/>
  <c r="K154" i="25"/>
  <c r="T154" i="25"/>
  <c r="H154" i="25"/>
  <c r="A155" i="25"/>
  <c r="D155" i="25"/>
  <c r="B152" i="29"/>
  <c r="C189" i="9"/>
  <c r="B189" i="9"/>
  <c r="W188" i="9"/>
  <c r="P188" i="9"/>
  <c r="T187" i="9"/>
  <c r="V187" i="9"/>
  <c r="X187" i="9"/>
  <c r="R188" i="9"/>
  <c r="D152" i="29"/>
  <c r="AC152" i="29"/>
  <c r="E152" i="29"/>
  <c r="H155" i="25"/>
  <c r="E155" i="25"/>
  <c r="U155" i="25"/>
  <c r="K155" i="25"/>
  <c r="T155" i="25"/>
  <c r="F151" i="29"/>
  <c r="AE151" i="29"/>
  <c r="AD151" i="29"/>
  <c r="A156" i="25"/>
  <c r="D156" i="25"/>
  <c r="B153" i="29"/>
  <c r="B190" i="9"/>
  <c r="C190" i="9"/>
  <c r="W189" i="9"/>
  <c r="P189" i="9"/>
  <c r="Q189" i="9"/>
  <c r="I153" i="25"/>
  <c r="W153" i="25"/>
  <c r="S189" i="9"/>
  <c r="N189" i="9"/>
  <c r="U187" i="9"/>
  <c r="F154" i="25"/>
  <c r="G154" i="25"/>
  <c r="V154" i="25"/>
  <c r="Q188" i="9"/>
  <c r="T188" i="9"/>
  <c r="V188" i="9"/>
  <c r="X188" i="9"/>
  <c r="S190" i="9"/>
  <c r="N190" i="9"/>
  <c r="A157" i="25"/>
  <c r="D157" i="25"/>
  <c r="B154" i="29"/>
  <c r="C191" i="9"/>
  <c r="B191" i="9"/>
  <c r="W190" i="9"/>
  <c r="P190" i="9"/>
  <c r="R189" i="9"/>
  <c r="E153" i="29"/>
  <c r="H156" i="25"/>
  <c r="D153" i="29"/>
  <c r="AC153" i="29"/>
  <c r="U188" i="9"/>
  <c r="F155" i="25"/>
  <c r="G155" i="25"/>
  <c r="V155" i="25"/>
  <c r="E156" i="25"/>
  <c r="U156" i="25"/>
  <c r="K156" i="25"/>
  <c r="T156" i="25"/>
  <c r="F152" i="29"/>
  <c r="AE152" i="29"/>
  <c r="AD152" i="29"/>
  <c r="I154" i="25"/>
  <c r="W154" i="25"/>
  <c r="T189" i="9"/>
  <c r="V189" i="9"/>
  <c r="X189" i="9"/>
  <c r="U189" i="9"/>
  <c r="F156" i="25"/>
  <c r="G156" i="25"/>
  <c r="V156" i="25"/>
  <c r="A158" i="25"/>
  <c r="D158" i="25"/>
  <c r="B155" i="29"/>
  <c r="C192" i="9"/>
  <c r="B192" i="9"/>
  <c r="W191" i="9"/>
  <c r="P191" i="9"/>
  <c r="Q191" i="9"/>
  <c r="AD153" i="29"/>
  <c r="F153" i="29"/>
  <c r="AE153" i="29"/>
  <c r="S191" i="9"/>
  <c r="N191" i="9"/>
  <c r="R190" i="9"/>
  <c r="D154" i="29"/>
  <c r="AC154" i="29"/>
  <c r="E154" i="29"/>
  <c r="H157" i="25"/>
  <c r="I155" i="25"/>
  <c r="W155" i="25"/>
  <c r="T157" i="25"/>
  <c r="E157" i="25"/>
  <c r="U157" i="25"/>
  <c r="K157" i="25"/>
  <c r="Q190" i="9"/>
  <c r="T190" i="9"/>
  <c r="V190" i="9"/>
  <c r="X190" i="9"/>
  <c r="I156" i="25"/>
  <c r="W156" i="25"/>
  <c r="S192" i="9"/>
  <c r="N192" i="9"/>
  <c r="AD154" i="29"/>
  <c r="F154" i="29"/>
  <c r="AE154" i="29"/>
  <c r="R191" i="9"/>
  <c r="E155" i="29"/>
  <c r="H158" i="25"/>
  <c r="D155" i="29"/>
  <c r="AC155" i="29"/>
  <c r="T158" i="25"/>
  <c r="E158" i="25"/>
  <c r="U158" i="25"/>
  <c r="K158" i="25"/>
  <c r="U190" i="9"/>
  <c r="F157" i="25"/>
  <c r="G157" i="25"/>
  <c r="V157" i="25"/>
  <c r="A159" i="25"/>
  <c r="D159" i="25"/>
  <c r="B156" i="29"/>
  <c r="C193" i="9"/>
  <c r="B193" i="9"/>
  <c r="W192" i="9"/>
  <c r="P192" i="9"/>
  <c r="T191" i="9"/>
  <c r="V191" i="9"/>
  <c r="X191" i="9"/>
  <c r="AD155" i="29"/>
  <c r="F155" i="29"/>
  <c r="AE155" i="29"/>
  <c r="I157" i="25"/>
  <c r="W157" i="25"/>
  <c r="S193" i="9"/>
  <c r="N193" i="9"/>
  <c r="R192" i="9"/>
  <c r="E156" i="29"/>
  <c r="D156" i="29"/>
  <c r="AC156" i="29"/>
  <c r="T159" i="25"/>
  <c r="E159" i="25"/>
  <c r="U159" i="25"/>
  <c r="K159" i="25"/>
  <c r="H159" i="25"/>
  <c r="A160" i="25"/>
  <c r="D160" i="25"/>
  <c r="B157" i="29"/>
  <c r="B194" i="9"/>
  <c r="C194" i="9"/>
  <c r="W193" i="9"/>
  <c r="P193" i="9"/>
  <c r="U191" i="9"/>
  <c r="F158" i="25"/>
  <c r="G158" i="25"/>
  <c r="V158" i="25"/>
  <c r="Q192" i="9"/>
  <c r="T192" i="9"/>
  <c r="V192" i="9"/>
  <c r="X192" i="9"/>
  <c r="U192" i="9"/>
  <c r="F159" i="25"/>
  <c r="G159" i="25"/>
  <c r="V159" i="25"/>
  <c r="T160" i="25"/>
  <c r="E160" i="25"/>
  <c r="U160" i="25"/>
  <c r="K160" i="25"/>
  <c r="AD156" i="29"/>
  <c r="F156" i="29"/>
  <c r="AE156" i="29"/>
  <c r="S194" i="9"/>
  <c r="N194" i="9"/>
  <c r="A161" i="25"/>
  <c r="D161" i="25"/>
  <c r="B158" i="29"/>
  <c r="C195" i="9"/>
  <c r="B195" i="9"/>
  <c r="W194" i="9"/>
  <c r="P194" i="9"/>
  <c r="I158" i="25"/>
  <c r="W158" i="25"/>
  <c r="R193" i="9"/>
  <c r="E157" i="29"/>
  <c r="H160" i="25"/>
  <c r="D157" i="29"/>
  <c r="AC157" i="29"/>
  <c r="Q193" i="9"/>
  <c r="T193" i="9"/>
  <c r="V193" i="9"/>
  <c r="X193" i="9"/>
  <c r="U193" i="9"/>
  <c r="F160" i="25"/>
  <c r="G160" i="25"/>
  <c r="V160" i="25"/>
  <c r="R194" i="9"/>
  <c r="D158" i="29"/>
  <c r="AC158" i="29"/>
  <c r="E158" i="29"/>
  <c r="H161" i="25"/>
  <c r="Q194" i="9"/>
  <c r="F157" i="29"/>
  <c r="AE157" i="29"/>
  <c r="AD157" i="29"/>
  <c r="T161" i="25"/>
  <c r="E161" i="25"/>
  <c r="U161" i="25"/>
  <c r="K161" i="25"/>
  <c r="I159" i="25"/>
  <c r="W159" i="25"/>
  <c r="A162" i="25"/>
  <c r="D162" i="25"/>
  <c r="B159" i="29"/>
  <c r="C196" i="9"/>
  <c r="B196" i="9"/>
  <c r="W195" i="9"/>
  <c r="P195" i="9"/>
  <c r="Q195" i="9"/>
  <c r="S195" i="9"/>
  <c r="N195" i="9"/>
  <c r="T194" i="9"/>
  <c r="V194" i="9"/>
  <c r="X194" i="9"/>
  <c r="U194" i="9"/>
  <c r="F161" i="25"/>
  <c r="G161" i="25"/>
  <c r="V161" i="25"/>
  <c r="T162" i="25"/>
  <c r="E162" i="25"/>
  <c r="U162" i="25"/>
  <c r="K162" i="25"/>
  <c r="A163" i="25"/>
  <c r="D163" i="25"/>
  <c r="B160" i="29"/>
  <c r="C197" i="9"/>
  <c r="B197" i="9"/>
  <c r="W196" i="9"/>
  <c r="P196" i="9"/>
  <c r="Q196" i="9"/>
  <c r="I160" i="25"/>
  <c r="W160" i="25"/>
  <c r="S196" i="9"/>
  <c r="N196" i="9"/>
  <c r="R195" i="9"/>
  <c r="E159" i="29"/>
  <c r="H162" i="25"/>
  <c r="D159" i="29"/>
  <c r="AC159" i="29"/>
  <c r="F158" i="29"/>
  <c r="AE158" i="29"/>
  <c r="AD158" i="29"/>
  <c r="T195" i="9"/>
  <c r="V195" i="9"/>
  <c r="X195" i="9"/>
  <c r="T163" i="25"/>
  <c r="E163" i="25"/>
  <c r="U163" i="25"/>
  <c r="K163" i="25"/>
  <c r="I161" i="25"/>
  <c r="W161" i="25"/>
  <c r="A164" i="25"/>
  <c r="D164" i="25"/>
  <c r="B161" i="29"/>
  <c r="B198" i="9"/>
  <c r="C198" i="9"/>
  <c r="W197" i="9"/>
  <c r="P197" i="9"/>
  <c r="Q197" i="9"/>
  <c r="AD159" i="29"/>
  <c r="F159" i="29"/>
  <c r="AE159" i="29"/>
  <c r="S197" i="9"/>
  <c r="N197" i="9"/>
  <c r="U195" i="9"/>
  <c r="F162" i="25"/>
  <c r="G162" i="25"/>
  <c r="V162" i="25"/>
  <c r="R196" i="9"/>
  <c r="D160" i="29"/>
  <c r="AC160" i="29"/>
  <c r="E160" i="29"/>
  <c r="H163" i="25"/>
  <c r="T196" i="9"/>
  <c r="V196" i="9"/>
  <c r="X196" i="9"/>
  <c r="U196" i="9"/>
  <c r="F163" i="25"/>
  <c r="G163" i="25"/>
  <c r="V163" i="25"/>
  <c r="S198" i="9"/>
  <c r="N198" i="9"/>
  <c r="I162" i="25"/>
  <c r="W162" i="25"/>
  <c r="A165" i="25"/>
  <c r="D165" i="25"/>
  <c r="B162" i="29"/>
  <c r="C199" i="9"/>
  <c r="B199" i="9"/>
  <c r="W198" i="9"/>
  <c r="P198" i="9"/>
  <c r="F160" i="29"/>
  <c r="AE160" i="29"/>
  <c r="AD160" i="29"/>
  <c r="R197" i="9"/>
  <c r="U197" i="9"/>
  <c r="F164" i="25"/>
  <c r="D161" i="29"/>
  <c r="AC161" i="29"/>
  <c r="E161" i="29"/>
  <c r="T164" i="25"/>
  <c r="E164" i="25"/>
  <c r="U164" i="25"/>
  <c r="K164" i="25"/>
  <c r="H164" i="25"/>
  <c r="T197" i="9"/>
  <c r="V197" i="9"/>
  <c r="X197" i="9"/>
  <c r="T165" i="25"/>
  <c r="E165" i="25"/>
  <c r="U165" i="25"/>
  <c r="K165" i="25"/>
  <c r="AD161" i="29"/>
  <c r="F161" i="29"/>
  <c r="AE161" i="29"/>
  <c r="A166" i="25"/>
  <c r="D166" i="25"/>
  <c r="B163" i="29"/>
  <c r="C200" i="9"/>
  <c r="B200" i="9"/>
  <c r="W199" i="9"/>
  <c r="P199" i="9"/>
  <c r="I163" i="25"/>
  <c r="W163" i="25"/>
  <c r="S199" i="9"/>
  <c r="N199" i="9"/>
  <c r="G164" i="25"/>
  <c r="V164" i="25"/>
  <c r="R198" i="9"/>
  <c r="E162" i="29"/>
  <c r="H165" i="25"/>
  <c r="D162" i="29"/>
  <c r="AC162" i="29"/>
  <c r="Q198" i="9"/>
  <c r="T198" i="9"/>
  <c r="V198" i="9"/>
  <c r="X198" i="9"/>
  <c r="U198" i="9"/>
  <c r="F165" i="25"/>
  <c r="G165" i="25"/>
  <c r="V165" i="25"/>
  <c r="A167" i="25"/>
  <c r="D167" i="25"/>
  <c r="B164" i="29"/>
  <c r="C201" i="9"/>
  <c r="B201" i="9"/>
  <c r="W200" i="9"/>
  <c r="P200" i="9"/>
  <c r="Q200" i="9"/>
  <c r="S200" i="9"/>
  <c r="N200" i="9"/>
  <c r="AD162" i="29"/>
  <c r="F162" i="29"/>
  <c r="AE162" i="29"/>
  <c r="I164" i="25"/>
  <c r="W164" i="25"/>
  <c r="R199" i="9"/>
  <c r="E163" i="29"/>
  <c r="H166" i="25"/>
  <c r="D163" i="29"/>
  <c r="AC163" i="29"/>
  <c r="Q199" i="9"/>
  <c r="T166" i="25"/>
  <c r="E166" i="25"/>
  <c r="U166" i="25"/>
  <c r="K166" i="25"/>
  <c r="T199" i="9"/>
  <c r="V199" i="9"/>
  <c r="X199" i="9"/>
  <c r="I165" i="25"/>
  <c r="W165" i="25"/>
  <c r="S201" i="9"/>
  <c r="N201" i="9"/>
  <c r="AD163" i="29"/>
  <c r="F163" i="29"/>
  <c r="AE163" i="29"/>
  <c r="R200" i="9"/>
  <c r="E164" i="29"/>
  <c r="H167" i="25"/>
  <c r="D164" i="29"/>
  <c r="AC164" i="29"/>
  <c r="U199" i="9"/>
  <c r="F166" i="25"/>
  <c r="G166" i="25"/>
  <c r="V166" i="25"/>
  <c r="T167" i="25"/>
  <c r="E167" i="25"/>
  <c r="U167" i="25"/>
  <c r="K167" i="25"/>
  <c r="A168" i="25"/>
  <c r="D168" i="25"/>
  <c r="B165" i="29"/>
  <c r="B202" i="9"/>
  <c r="C202" i="9"/>
  <c r="W201" i="9"/>
  <c r="P201" i="9"/>
  <c r="T200" i="9"/>
  <c r="V200" i="9"/>
  <c r="X200" i="9"/>
  <c r="AD164" i="29"/>
  <c r="F164" i="29"/>
  <c r="AE164" i="29"/>
  <c r="I166" i="25"/>
  <c r="W166" i="25"/>
  <c r="S202" i="9"/>
  <c r="N202" i="9"/>
  <c r="A169" i="25"/>
  <c r="D169" i="25"/>
  <c r="B166" i="29"/>
  <c r="C203" i="9"/>
  <c r="B203" i="9"/>
  <c r="W202" i="9"/>
  <c r="P202" i="9"/>
  <c r="Q202" i="9"/>
  <c r="R201" i="9"/>
  <c r="D165" i="29"/>
  <c r="AC165" i="29"/>
  <c r="E165" i="29"/>
  <c r="H168" i="25"/>
  <c r="T168" i="25"/>
  <c r="E168" i="25"/>
  <c r="U168" i="25"/>
  <c r="K168" i="25"/>
  <c r="U200" i="9"/>
  <c r="F167" i="25"/>
  <c r="G167" i="25"/>
  <c r="V167" i="25"/>
  <c r="Q201" i="9"/>
  <c r="T201" i="9"/>
  <c r="V201" i="9"/>
  <c r="X201" i="9"/>
  <c r="T169" i="25"/>
  <c r="E169" i="25"/>
  <c r="U169" i="25"/>
  <c r="K169" i="25"/>
  <c r="I167" i="25"/>
  <c r="W167" i="25"/>
  <c r="U201" i="9"/>
  <c r="F168" i="25"/>
  <c r="G168" i="25"/>
  <c r="V168" i="25"/>
  <c r="A170" i="25"/>
  <c r="D170" i="25"/>
  <c r="B167" i="29"/>
  <c r="C204" i="9"/>
  <c r="B204" i="9"/>
  <c r="W203" i="9"/>
  <c r="P203" i="9"/>
  <c r="Q203" i="9"/>
  <c r="S203" i="9"/>
  <c r="N203" i="9"/>
  <c r="F165" i="29"/>
  <c r="AE165" i="29"/>
  <c r="AD165" i="29"/>
  <c r="R202" i="9"/>
  <c r="E166" i="29"/>
  <c r="H169" i="25"/>
  <c r="D166" i="29"/>
  <c r="AC166" i="29"/>
  <c r="T202" i="9"/>
  <c r="V202" i="9"/>
  <c r="X202" i="9"/>
  <c r="R203" i="9"/>
  <c r="D167" i="29"/>
  <c r="AC167" i="29"/>
  <c r="E167" i="29"/>
  <c r="H170" i="25"/>
  <c r="T170" i="25"/>
  <c r="E170" i="25"/>
  <c r="U170" i="25"/>
  <c r="K170" i="25"/>
  <c r="AD166" i="29"/>
  <c r="F166" i="29"/>
  <c r="AE166" i="29"/>
  <c r="A171" i="25"/>
  <c r="D171" i="25"/>
  <c r="B168" i="29"/>
  <c r="C205" i="9"/>
  <c r="B205" i="9"/>
  <c r="W204" i="9"/>
  <c r="P204" i="9"/>
  <c r="Q204" i="9"/>
  <c r="I168" i="25"/>
  <c r="W168" i="25"/>
  <c r="U202" i="9"/>
  <c r="F169" i="25"/>
  <c r="G169" i="25"/>
  <c r="V169" i="25"/>
  <c r="S204" i="9"/>
  <c r="N204" i="9"/>
  <c r="T203" i="9"/>
  <c r="V203" i="9"/>
  <c r="X203" i="9"/>
  <c r="S205" i="9"/>
  <c r="N205" i="9"/>
  <c r="R204" i="9"/>
  <c r="E168" i="29"/>
  <c r="H171" i="25"/>
  <c r="D168" i="29"/>
  <c r="AC168" i="29"/>
  <c r="I169" i="25"/>
  <c r="W169" i="25"/>
  <c r="T171" i="25"/>
  <c r="E171" i="25"/>
  <c r="U171" i="25"/>
  <c r="K171" i="25"/>
  <c r="U203" i="9"/>
  <c r="F170" i="25"/>
  <c r="G170" i="25"/>
  <c r="V170" i="25"/>
  <c r="A172" i="25"/>
  <c r="D172" i="25"/>
  <c r="B169" i="29"/>
  <c r="B206" i="9"/>
  <c r="C206" i="9"/>
  <c r="W205" i="9"/>
  <c r="P205" i="9"/>
  <c r="F167" i="29"/>
  <c r="AE167" i="29"/>
  <c r="AD167" i="29"/>
  <c r="T204" i="9"/>
  <c r="V204" i="9"/>
  <c r="X204" i="9"/>
  <c r="U204" i="9"/>
  <c r="F171" i="25"/>
  <c r="G171" i="25"/>
  <c r="V171" i="25"/>
  <c r="R205" i="9"/>
  <c r="D169" i="29"/>
  <c r="AC169" i="29"/>
  <c r="E169" i="29"/>
  <c r="H172" i="25"/>
  <c r="Q205" i="9"/>
  <c r="T172" i="25"/>
  <c r="E172" i="25"/>
  <c r="U172" i="25"/>
  <c r="K172" i="25"/>
  <c r="S206" i="9"/>
  <c r="N206" i="9"/>
  <c r="AD168" i="29"/>
  <c r="F168" i="29"/>
  <c r="AE168" i="29"/>
  <c r="A173" i="25"/>
  <c r="D173" i="25"/>
  <c r="B170" i="29"/>
  <c r="C207" i="9"/>
  <c r="B207" i="9"/>
  <c r="W206" i="9"/>
  <c r="P206" i="9"/>
  <c r="I170" i="25"/>
  <c r="W170" i="25"/>
  <c r="T205" i="9"/>
  <c r="V205" i="9"/>
  <c r="X205" i="9"/>
  <c r="A174" i="25"/>
  <c r="D174" i="25"/>
  <c r="B171" i="29"/>
  <c r="C208" i="9"/>
  <c r="B208" i="9"/>
  <c r="W207" i="9"/>
  <c r="P207" i="9"/>
  <c r="Q207" i="9"/>
  <c r="U205" i="9"/>
  <c r="F172" i="25"/>
  <c r="G172" i="25"/>
  <c r="V172" i="25"/>
  <c r="I171" i="25"/>
  <c r="W171" i="25"/>
  <c r="S207" i="9"/>
  <c r="N207" i="9"/>
  <c r="R206" i="9"/>
  <c r="D170" i="29"/>
  <c r="AC170" i="29"/>
  <c r="E170" i="29"/>
  <c r="H173" i="25"/>
  <c r="Q206" i="9"/>
  <c r="F169" i="29"/>
  <c r="AE169" i="29"/>
  <c r="AD169" i="29"/>
  <c r="T173" i="25"/>
  <c r="E173" i="25"/>
  <c r="U173" i="25"/>
  <c r="K173" i="25"/>
  <c r="T206" i="9"/>
  <c r="V206" i="9"/>
  <c r="X206" i="9"/>
  <c r="U206" i="9"/>
  <c r="F173" i="25"/>
  <c r="G173" i="25"/>
  <c r="V173" i="25"/>
  <c r="I172" i="25"/>
  <c r="W172" i="25"/>
  <c r="S208" i="9"/>
  <c r="N208" i="9"/>
  <c r="AD170" i="29"/>
  <c r="F170" i="29"/>
  <c r="AE170" i="29"/>
  <c r="R207" i="9"/>
  <c r="E171" i="29"/>
  <c r="H174" i="25"/>
  <c r="D171" i="29"/>
  <c r="AC171" i="29"/>
  <c r="T174" i="25"/>
  <c r="E174" i="25"/>
  <c r="U174" i="25"/>
  <c r="K174" i="25"/>
  <c r="A175" i="25"/>
  <c r="D175" i="25"/>
  <c r="B172" i="29"/>
  <c r="C209" i="9"/>
  <c r="B209" i="9"/>
  <c r="W208" i="9"/>
  <c r="P208" i="9"/>
  <c r="Q208" i="9"/>
  <c r="T207" i="9"/>
  <c r="V207" i="9"/>
  <c r="X207" i="9"/>
  <c r="U207" i="9"/>
  <c r="F174" i="25"/>
  <c r="G174" i="25"/>
  <c r="V174" i="25"/>
  <c r="AD171" i="29"/>
  <c r="F171" i="29"/>
  <c r="AE171" i="29"/>
  <c r="I173" i="25"/>
  <c r="W173" i="25"/>
  <c r="A176" i="25"/>
  <c r="D176" i="25"/>
  <c r="B173" i="29"/>
  <c r="B210" i="9"/>
  <c r="C210" i="9"/>
  <c r="W209" i="9"/>
  <c r="P209" i="9"/>
  <c r="Q209" i="9"/>
  <c r="S209" i="9"/>
  <c r="N209" i="9"/>
  <c r="R208" i="9"/>
  <c r="E172" i="29"/>
  <c r="H175" i="25"/>
  <c r="D172" i="29"/>
  <c r="AC172" i="29"/>
  <c r="T175" i="25"/>
  <c r="E175" i="25"/>
  <c r="U175" i="25"/>
  <c r="K175" i="25"/>
  <c r="T208" i="9"/>
  <c r="V208" i="9"/>
  <c r="X208" i="9"/>
  <c r="U208" i="9"/>
  <c r="F175" i="25"/>
  <c r="G175" i="25"/>
  <c r="V175" i="25"/>
  <c r="AD172" i="29"/>
  <c r="F172" i="29"/>
  <c r="AE172" i="29"/>
  <c r="A177" i="25"/>
  <c r="D177" i="25"/>
  <c r="B174" i="29"/>
  <c r="C211" i="9"/>
  <c r="B211" i="9"/>
  <c r="W210" i="9"/>
  <c r="P210" i="9"/>
  <c r="Q210" i="9"/>
  <c r="R209" i="9"/>
  <c r="D173" i="29"/>
  <c r="AC173" i="29"/>
  <c r="E173" i="29"/>
  <c r="H176" i="25"/>
  <c r="T176" i="25"/>
  <c r="E176" i="25"/>
  <c r="U176" i="25"/>
  <c r="K176" i="25"/>
  <c r="S210" i="9"/>
  <c r="N210" i="9"/>
  <c r="I174" i="25"/>
  <c r="W174" i="25"/>
  <c r="T209" i="9"/>
  <c r="V209" i="9"/>
  <c r="X209" i="9"/>
  <c r="U209" i="9"/>
  <c r="F176" i="25"/>
  <c r="G176" i="25"/>
  <c r="V176" i="25"/>
  <c r="T177" i="25"/>
  <c r="E177" i="25"/>
  <c r="U177" i="25"/>
  <c r="K177" i="25"/>
  <c r="I175" i="25"/>
  <c r="W175" i="25"/>
  <c r="AD173" i="29"/>
  <c r="F173" i="29"/>
  <c r="AE173" i="29"/>
  <c r="A178" i="25"/>
  <c r="D178" i="25"/>
  <c r="B175" i="29"/>
  <c r="C212" i="9"/>
  <c r="B212" i="9"/>
  <c r="W211" i="9"/>
  <c r="P211" i="9"/>
  <c r="S211" i="9"/>
  <c r="N211" i="9"/>
  <c r="R210" i="9"/>
  <c r="D174" i="29"/>
  <c r="AC174" i="29"/>
  <c r="E174" i="29"/>
  <c r="H177" i="25"/>
  <c r="T210" i="9"/>
  <c r="V210" i="9"/>
  <c r="X210" i="9"/>
  <c r="A179" i="25"/>
  <c r="D179" i="25"/>
  <c r="B176" i="29"/>
  <c r="C213" i="9"/>
  <c r="B213" i="9"/>
  <c r="W212" i="9"/>
  <c r="P212" i="9"/>
  <c r="Q212" i="9"/>
  <c r="U210" i="9"/>
  <c r="F177" i="25"/>
  <c r="G177" i="25"/>
  <c r="V177" i="25"/>
  <c r="S212" i="9"/>
  <c r="N212" i="9"/>
  <c r="AD174" i="29"/>
  <c r="F174" i="29"/>
  <c r="AE174" i="29"/>
  <c r="R211" i="9"/>
  <c r="E175" i="29"/>
  <c r="H178" i="25"/>
  <c r="D175" i="29"/>
  <c r="AC175" i="29"/>
  <c r="I176" i="25"/>
  <c r="W176" i="25"/>
  <c r="Q211" i="9"/>
  <c r="T178" i="25"/>
  <c r="E178" i="25"/>
  <c r="U178" i="25"/>
  <c r="K178" i="25"/>
  <c r="T211" i="9"/>
  <c r="V211" i="9"/>
  <c r="X211" i="9"/>
  <c r="F175" i="29"/>
  <c r="AE175" i="29"/>
  <c r="AD175" i="29"/>
  <c r="S213" i="9"/>
  <c r="N213" i="9"/>
  <c r="I177" i="25"/>
  <c r="W177" i="25"/>
  <c r="R212" i="9"/>
  <c r="E176" i="29"/>
  <c r="H179" i="25"/>
  <c r="D176" i="29"/>
  <c r="AC176" i="29"/>
  <c r="U211" i="9"/>
  <c r="F178" i="25"/>
  <c r="G178" i="25"/>
  <c r="V178" i="25"/>
  <c r="T179" i="25"/>
  <c r="E179" i="25"/>
  <c r="U179" i="25"/>
  <c r="K179" i="25"/>
  <c r="A180" i="25"/>
  <c r="D180" i="25"/>
  <c r="B177" i="29"/>
  <c r="B214" i="9"/>
  <c r="C214" i="9"/>
  <c r="W213" i="9"/>
  <c r="P213" i="9"/>
  <c r="T212" i="9"/>
  <c r="V212" i="9"/>
  <c r="X212" i="9"/>
  <c r="S214" i="9"/>
  <c r="N214" i="9"/>
  <c r="I178" i="25"/>
  <c r="W178" i="25"/>
  <c r="A181" i="25"/>
  <c r="D181" i="25"/>
  <c r="B178" i="29"/>
  <c r="C215" i="9"/>
  <c r="B215" i="9"/>
  <c r="W214" i="9"/>
  <c r="P214" i="9"/>
  <c r="AD176" i="29"/>
  <c r="F176" i="29"/>
  <c r="AE176" i="29"/>
  <c r="R213" i="9"/>
  <c r="U213" i="9"/>
  <c r="F180" i="25"/>
  <c r="D177" i="29"/>
  <c r="AC177" i="29"/>
  <c r="E177" i="29"/>
  <c r="H180" i="25"/>
  <c r="U212" i="9"/>
  <c r="F179" i="25"/>
  <c r="G179" i="25"/>
  <c r="V179" i="25"/>
  <c r="Q213" i="9"/>
  <c r="T180" i="25"/>
  <c r="E180" i="25"/>
  <c r="U180" i="25"/>
  <c r="K180" i="25"/>
  <c r="T213" i="9"/>
  <c r="V213" i="9"/>
  <c r="X213" i="9"/>
  <c r="F177" i="29"/>
  <c r="AE177" i="29"/>
  <c r="AD177" i="29"/>
  <c r="T181" i="25"/>
  <c r="E181" i="25"/>
  <c r="U181" i="25"/>
  <c r="K181" i="25"/>
  <c r="A182" i="25"/>
  <c r="D182" i="25"/>
  <c r="B179" i="29"/>
  <c r="C216" i="9"/>
  <c r="B216" i="9"/>
  <c r="W215" i="9"/>
  <c r="P215" i="9"/>
  <c r="Q215" i="9"/>
  <c r="I179" i="25"/>
  <c r="W179" i="25"/>
  <c r="G180" i="25"/>
  <c r="V180" i="25"/>
  <c r="S215" i="9"/>
  <c r="N215" i="9"/>
  <c r="R214" i="9"/>
  <c r="D178" i="29"/>
  <c r="AC178" i="29"/>
  <c r="E178" i="29"/>
  <c r="Q214" i="9"/>
  <c r="T214" i="9"/>
  <c r="V214" i="9"/>
  <c r="X214" i="9"/>
  <c r="S216" i="9"/>
  <c r="N216" i="9"/>
  <c r="R215" i="9"/>
  <c r="E179" i="29"/>
  <c r="D179" i="29"/>
  <c r="AC179" i="29"/>
  <c r="F178" i="29"/>
  <c r="AE178" i="29"/>
  <c r="AD178" i="29"/>
  <c r="I180" i="25"/>
  <c r="W180" i="25"/>
  <c r="T182" i="25"/>
  <c r="E182" i="25"/>
  <c r="U182" i="25"/>
  <c r="K182" i="25"/>
  <c r="H182" i="25"/>
  <c r="H181" i="25"/>
  <c r="U214" i="9"/>
  <c r="F181" i="25"/>
  <c r="G181" i="25"/>
  <c r="V181" i="25"/>
  <c r="A183" i="25"/>
  <c r="D183" i="25"/>
  <c r="B180" i="29"/>
  <c r="C217" i="9"/>
  <c r="B217" i="9"/>
  <c r="W216" i="9"/>
  <c r="P216" i="9"/>
  <c r="Q216" i="9"/>
  <c r="T215" i="9"/>
  <c r="V215" i="9"/>
  <c r="X215" i="9"/>
  <c r="A184" i="25"/>
  <c r="D184" i="25"/>
  <c r="B181" i="29"/>
  <c r="B218" i="9"/>
  <c r="C218" i="9"/>
  <c r="W217" i="9"/>
  <c r="P217" i="9"/>
  <c r="Q217" i="9"/>
  <c r="R216" i="9"/>
  <c r="E180" i="29"/>
  <c r="D180" i="29"/>
  <c r="AC180" i="29"/>
  <c r="S217" i="9"/>
  <c r="N217" i="9"/>
  <c r="I181" i="25"/>
  <c r="W181" i="25"/>
  <c r="AD179" i="29"/>
  <c r="F179" i="29"/>
  <c r="AE179" i="29"/>
  <c r="U215" i="9"/>
  <c r="F182" i="25"/>
  <c r="G182" i="25"/>
  <c r="V182" i="25"/>
  <c r="T183" i="25"/>
  <c r="E183" i="25"/>
  <c r="U183" i="25"/>
  <c r="K183" i="25"/>
  <c r="H183" i="25"/>
  <c r="T216" i="9"/>
  <c r="V216" i="9"/>
  <c r="X216" i="9"/>
  <c r="R217" i="9"/>
  <c r="D181" i="29"/>
  <c r="AC181" i="29"/>
  <c r="E181" i="29"/>
  <c r="H184" i="25"/>
  <c r="U216" i="9"/>
  <c r="F183" i="25"/>
  <c r="G183" i="25"/>
  <c r="V183" i="25"/>
  <c r="T184" i="25"/>
  <c r="E184" i="25"/>
  <c r="U184" i="25"/>
  <c r="K184" i="25"/>
  <c r="S218" i="9"/>
  <c r="N218" i="9"/>
  <c r="I182" i="25"/>
  <c r="W182" i="25"/>
  <c r="AD180" i="29"/>
  <c r="F180" i="29"/>
  <c r="AE180" i="29"/>
  <c r="A185" i="25"/>
  <c r="D185" i="25"/>
  <c r="B182" i="29"/>
  <c r="C219" i="9"/>
  <c r="B219" i="9"/>
  <c r="W218" i="9"/>
  <c r="P218" i="9"/>
  <c r="Q218" i="9"/>
  <c r="T217" i="9"/>
  <c r="V217" i="9"/>
  <c r="X217" i="9"/>
  <c r="AD181" i="29"/>
  <c r="F181" i="29"/>
  <c r="AE181" i="29"/>
  <c r="T185" i="25"/>
  <c r="E185" i="25"/>
  <c r="U185" i="25"/>
  <c r="K185" i="25"/>
  <c r="A186" i="25"/>
  <c r="D186" i="25"/>
  <c r="B183" i="29"/>
  <c r="C220" i="9"/>
  <c r="B220" i="9"/>
  <c r="W219" i="9"/>
  <c r="P219" i="9"/>
  <c r="Q219" i="9"/>
  <c r="S219" i="9"/>
  <c r="N219" i="9"/>
  <c r="R218" i="9"/>
  <c r="U218" i="9"/>
  <c r="F185" i="25"/>
  <c r="G185" i="25"/>
  <c r="E182" i="29"/>
  <c r="D182" i="29"/>
  <c r="AC182" i="29"/>
  <c r="I183" i="25"/>
  <c r="W183" i="25"/>
  <c r="U217" i="9"/>
  <c r="F184" i="25"/>
  <c r="G184" i="25"/>
  <c r="V184" i="25"/>
  <c r="T218" i="9"/>
  <c r="V218" i="9"/>
  <c r="X218" i="9"/>
  <c r="R219" i="9"/>
  <c r="D183" i="29"/>
  <c r="AC183" i="29"/>
  <c r="E183" i="29"/>
  <c r="H186" i="25"/>
  <c r="AD182" i="29"/>
  <c r="F182" i="29"/>
  <c r="AE182" i="29"/>
  <c r="A187" i="25"/>
  <c r="D187" i="25"/>
  <c r="B184" i="29"/>
  <c r="C221" i="9"/>
  <c r="B221" i="9"/>
  <c r="W220" i="9"/>
  <c r="P220" i="9"/>
  <c r="I184" i="25"/>
  <c r="W184" i="25"/>
  <c r="V185" i="25"/>
  <c r="S220" i="9"/>
  <c r="N220" i="9"/>
  <c r="T186" i="25"/>
  <c r="E186" i="25"/>
  <c r="U186" i="25"/>
  <c r="K186" i="25"/>
  <c r="H185" i="25"/>
  <c r="T219" i="9"/>
  <c r="V219" i="9"/>
  <c r="X219" i="9"/>
  <c r="T187" i="25"/>
  <c r="E187" i="25"/>
  <c r="U187" i="25"/>
  <c r="K187" i="25"/>
  <c r="AD183" i="29"/>
  <c r="F183" i="29"/>
  <c r="AE183" i="29"/>
  <c r="R220" i="9"/>
  <c r="D184" i="29"/>
  <c r="AC184" i="29"/>
  <c r="E184" i="29"/>
  <c r="Q220" i="9"/>
  <c r="I185" i="25"/>
  <c r="W185" i="25"/>
  <c r="A188" i="25"/>
  <c r="D188" i="25"/>
  <c r="B185" i="29"/>
  <c r="B222" i="9"/>
  <c r="C222" i="9"/>
  <c r="W221" i="9"/>
  <c r="P221" i="9"/>
  <c r="Q221" i="9"/>
  <c r="S221" i="9"/>
  <c r="N221" i="9"/>
  <c r="U219" i="9"/>
  <c r="F186" i="25"/>
  <c r="G186" i="25"/>
  <c r="V186" i="25"/>
  <c r="T220" i="9"/>
  <c r="V220" i="9"/>
  <c r="X220" i="9"/>
  <c r="T188" i="25"/>
  <c r="E188" i="25"/>
  <c r="U188" i="25"/>
  <c r="K188" i="25"/>
  <c r="AD184" i="29"/>
  <c r="F184" i="29"/>
  <c r="AE184" i="29"/>
  <c r="S222" i="9"/>
  <c r="N222" i="9"/>
  <c r="I186" i="25"/>
  <c r="W186" i="25"/>
  <c r="A189" i="25"/>
  <c r="D189" i="25"/>
  <c r="B186" i="29"/>
  <c r="C223" i="9"/>
  <c r="B223" i="9"/>
  <c r="W222" i="9"/>
  <c r="P222" i="9"/>
  <c r="Q222" i="9"/>
  <c r="H187" i="25"/>
  <c r="R221" i="9"/>
  <c r="E185" i="29"/>
  <c r="H188" i="25"/>
  <c r="D185" i="29"/>
  <c r="AC185" i="29"/>
  <c r="U220" i="9"/>
  <c r="F187" i="25"/>
  <c r="G187" i="25"/>
  <c r="V187" i="25"/>
  <c r="T221" i="9"/>
  <c r="V221" i="9"/>
  <c r="X221" i="9"/>
  <c r="U221" i="9"/>
  <c r="F188" i="25"/>
  <c r="G188" i="25"/>
  <c r="V188" i="25"/>
  <c r="T189" i="25"/>
  <c r="E189" i="25"/>
  <c r="U189" i="25"/>
  <c r="K189" i="25"/>
  <c r="A190" i="25"/>
  <c r="D190" i="25"/>
  <c r="B187" i="29"/>
  <c r="C224" i="9"/>
  <c r="B224" i="9"/>
  <c r="W223" i="9"/>
  <c r="P223" i="9"/>
  <c r="Q223" i="9"/>
  <c r="S223" i="9"/>
  <c r="N223" i="9"/>
  <c r="AD185" i="29"/>
  <c r="F185" i="29"/>
  <c r="AE185" i="29"/>
  <c r="R222" i="9"/>
  <c r="D186" i="29"/>
  <c r="AC186" i="29"/>
  <c r="E186" i="29"/>
  <c r="H189" i="25"/>
  <c r="I187" i="25"/>
  <c r="W187" i="25"/>
  <c r="T222" i="9"/>
  <c r="V222" i="9"/>
  <c r="X222" i="9"/>
  <c r="U222" i="9"/>
  <c r="F189" i="25"/>
  <c r="G189" i="25"/>
  <c r="V189" i="25"/>
  <c r="I188" i="25"/>
  <c r="W188" i="25"/>
  <c r="A191" i="25"/>
  <c r="D191" i="25"/>
  <c r="B188" i="29"/>
  <c r="C225" i="9"/>
  <c r="B225" i="9"/>
  <c r="W224" i="9"/>
  <c r="P224" i="9"/>
  <c r="Q224" i="9"/>
  <c r="AD186" i="29"/>
  <c r="F186" i="29"/>
  <c r="AE186" i="29"/>
  <c r="S224" i="9"/>
  <c r="N224" i="9"/>
  <c r="R223" i="9"/>
  <c r="D187" i="29"/>
  <c r="AC187" i="29"/>
  <c r="E187" i="29"/>
  <c r="H190" i="25"/>
  <c r="T190" i="25"/>
  <c r="E190" i="25"/>
  <c r="U190" i="25"/>
  <c r="K190" i="25"/>
  <c r="T223" i="9"/>
  <c r="V223" i="9"/>
  <c r="X223" i="9"/>
  <c r="F187" i="29"/>
  <c r="AE187" i="29"/>
  <c r="AD187" i="29"/>
  <c r="T191" i="25"/>
  <c r="E191" i="25"/>
  <c r="U191" i="25"/>
  <c r="K191" i="25"/>
  <c r="A192" i="25"/>
  <c r="D192" i="25"/>
  <c r="B189" i="29"/>
  <c r="B226" i="9"/>
  <c r="C226" i="9"/>
  <c r="W225" i="9"/>
  <c r="P225" i="9"/>
  <c r="Q225" i="9"/>
  <c r="I189" i="25"/>
  <c r="W189" i="25"/>
  <c r="S225" i="9"/>
  <c r="N225" i="9"/>
  <c r="U223" i="9"/>
  <c r="F190" i="25"/>
  <c r="G190" i="25"/>
  <c r="V190" i="25"/>
  <c r="R224" i="9"/>
  <c r="E188" i="29"/>
  <c r="D188" i="29"/>
  <c r="AC188" i="29"/>
  <c r="T224" i="9"/>
  <c r="V224" i="9"/>
  <c r="X224" i="9"/>
  <c r="I190" i="25"/>
  <c r="W190" i="25"/>
  <c r="S226" i="9"/>
  <c r="N226" i="9"/>
  <c r="F188" i="29"/>
  <c r="AE188" i="29"/>
  <c r="AD188" i="29"/>
  <c r="A193" i="25"/>
  <c r="D193" i="25"/>
  <c r="B190" i="29"/>
  <c r="C227" i="9"/>
  <c r="B227" i="9"/>
  <c r="W226" i="9"/>
  <c r="P226" i="9"/>
  <c r="U224" i="9"/>
  <c r="F191" i="25"/>
  <c r="G191" i="25"/>
  <c r="V191" i="25"/>
  <c r="R225" i="9"/>
  <c r="D189" i="29"/>
  <c r="AC189" i="29"/>
  <c r="E189" i="29"/>
  <c r="H192" i="25"/>
  <c r="T192" i="25"/>
  <c r="E192" i="25"/>
  <c r="U192" i="25"/>
  <c r="K192" i="25"/>
  <c r="H191" i="25"/>
  <c r="T225" i="9"/>
  <c r="V225" i="9"/>
  <c r="X225" i="9"/>
  <c r="U225" i="9"/>
  <c r="F192" i="25"/>
  <c r="G192" i="25"/>
  <c r="V192" i="25"/>
  <c r="T193" i="25"/>
  <c r="E193" i="25"/>
  <c r="U193" i="25"/>
  <c r="K193" i="25"/>
  <c r="A194" i="25"/>
  <c r="D194" i="25"/>
  <c r="B191" i="29"/>
  <c r="C228" i="9"/>
  <c r="B228" i="9"/>
  <c r="W227" i="9"/>
  <c r="P227" i="9"/>
  <c r="Q227" i="9"/>
  <c r="F189" i="29"/>
  <c r="AE189" i="29"/>
  <c r="AD189" i="29"/>
  <c r="S227" i="9"/>
  <c r="N227" i="9"/>
  <c r="I191" i="25"/>
  <c r="W191" i="25"/>
  <c r="R226" i="9"/>
  <c r="D190" i="29"/>
  <c r="AC190" i="29"/>
  <c r="E190" i="29"/>
  <c r="Q226" i="9"/>
  <c r="T226" i="9"/>
  <c r="V226" i="9"/>
  <c r="X226" i="9"/>
  <c r="F190" i="29"/>
  <c r="AE190" i="29"/>
  <c r="AD190" i="29"/>
  <c r="S228" i="9"/>
  <c r="N228" i="9"/>
  <c r="I192" i="25"/>
  <c r="W192" i="25"/>
  <c r="R227" i="9"/>
  <c r="E191" i="29"/>
  <c r="H194" i="25"/>
  <c r="D191" i="29"/>
  <c r="AC191" i="29"/>
  <c r="U226" i="9"/>
  <c r="F193" i="25"/>
  <c r="G193" i="25"/>
  <c r="V193" i="25"/>
  <c r="T194" i="25"/>
  <c r="E194" i="25"/>
  <c r="U194" i="25"/>
  <c r="K194" i="25"/>
  <c r="A195" i="25"/>
  <c r="D195" i="25"/>
  <c r="B192" i="29"/>
  <c r="C229" i="9"/>
  <c r="B229" i="9"/>
  <c r="W228" i="9"/>
  <c r="P228" i="9"/>
  <c r="H193" i="25"/>
  <c r="T227" i="9"/>
  <c r="V227" i="9"/>
  <c r="X227" i="9"/>
  <c r="A196" i="25"/>
  <c r="D196" i="25"/>
  <c r="B193" i="29"/>
  <c r="B230" i="9"/>
  <c r="C230" i="9"/>
  <c r="W229" i="9"/>
  <c r="P229" i="9"/>
  <c r="Q229" i="9"/>
  <c r="U227" i="9"/>
  <c r="F194" i="25"/>
  <c r="G194" i="25"/>
  <c r="V194" i="25"/>
  <c r="S229" i="9"/>
  <c r="N229" i="9"/>
  <c r="I193" i="25"/>
  <c r="W193" i="25"/>
  <c r="R228" i="9"/>
  <c r="U228" i="9"/>
  <c r="F195" i="25"/>
  <c r="D192" i="29"/>
  <c r="AC192" i="29"/>
  <c r="E192" i="29"/>
  <c r="H195" i="25"/>
  <c r="T195" i="25"/>
  <c r="E195" i="25"/>
  <c r="U195" i="25"/>
  <c r="K195" i="25"/>
  <c r="F191" i="29"/>
  <c r="AE191" i="29"/>
  <c r="AD191" i="29"/>
  <c r="Q228" i="9"/>
  <c r="T228" i="9"/>
  <c r="V228" i="9"/>
  <c r="X228" i="9"/>
  <c r="AD192" i="29"/>
  <c r="F192" i="29"/>
  <c r="AE192" i="29"/>
  <c r="I194" i="25"/>
  <c r="W194" i="25"/>
  <c r="A197" i="25"/>
  <c r="D197" i="25"/>
  <c r="B194" i="29"/>
  <c r="C231" i="9"/>
  <c r="B231" i="9"/>
  <c r="W230" i="9"/>
  <c r="P230" i="9"/>
  <c r="Q230" i="9"/>
  <c r="R229" i="9"/>
  <c r="E193" i="29"/>
  <c r="D193" i="29"/>
  <c r="AC193" i="29"/>
  <c r="G195" i="25"/>
  <c r="V195" i="25"/>
  <c r="T196" i="25"/>
  <c r="E196" i="25"/>
  <c r="U196" i="25"/>
  <c r="K196" i="25"/>
  <c r="H196" i="25"/>
  <c r="S230" i="9"/>
  <c r="N230" i="9"/>
  <c r="T229" i="9"/>
  <c r="V229" i="9"/>
  <c r="X229" i="9"/>
  <c r="A198" i="25"/>
  <c r="D198" i="25"/>
  <c r="B195" i="29"/>
  <c r="C232" i="9"/>
  <c r="B232" i="9"/>
  <c r="W231" i="9"/>
  <c r="P231" i="9"/>
  <c r="Q231" i="9"/>
  <c r="I195" i="25"/>
  <c r="W195" i="25"/>
  <c r="U229" i="9"/>
  <c r="F196" i="25"/>
  <c r="G196" i="25"/>
  <c r="V196" i="25"/>
  <c r="S231" i="9"/>
  <c r="N231" i="9"/>
  <c r="R230" i="9"/>
  <c r="D194" i="29"/>
  <c r="AC194" i="29"/>
  <c r="E194" i="29"/>
  <c r="H197" i="25"/>
  <c r="AD193" i="29"/>
  <c r="F193" i="29"/>
  <c r="AE193" i="29"/>
  <c r="T197" i="25"/>
  <c r="E197" i="25"/>
  <c r="U197" i="25"/>
  <c r="K197" i="25"/>
  <c r="T230" i="9"/>
  <c r="V230" i="9"/>
  <c r="X230" i="9"/>
  <c r="AD194" i="29"/>
  <c r="F194" i="29"/>
  <c r="AE194" i="29"/>
  <c r="I196" i="25"/>
  <c r="W196" i="25"/>
  <c r="A199" i="25"/>
  <c r="D199" i="25"/>
  <c r="B196" i="29"/>
  <c r="C233" i="9"/>
  <c r="B233" i="9"/>
  <c r="W232" i="9"/>
  <c r="P232" i="9"/>
  <c r="S232" i="9"/>
  <c r="N232" i="9"/>
  <c r="U230" i="9"/>
  <c r="F197" i="25"/>
  <c r="G197" i="25"/>
  <c r="V197" i="25"/>
  <c r="R231" i="9"/>
  <c r="E195" i="29"/>
  <c r="H198" i="25"/>
  <c r="D195" i="29"/>
  <c r="AC195" i="29"/>
  <c r="T198" i="25"/>
  <c r="E198" i="25"/>
  <c r="U198" i="25"/>
  <c r="K198" i="25"/>
  <c r="T231" i="9"/>
  <c r="V231" i="9"/>
  <c r="X231" i="9"/>
  <c r="U231" i="9"/>
  <c r="F198" i="25"/>
  <c r="G198" i="25"/>
  <c r="V198" i="25"/>
  <c r="A200" i="25"/>
  <c r="D200" i="25"/>
  <c r="B197" i="29"/>
  <c r="B234" i="9"/>
  <c r="C234" i="9"/>
  <c r="W233" i="9"/>
  <c r="P233" i="9"/>
  <c r="Q233" i="9"/>
  <c r="I197" i="25"/>
  <c r="W197" i="25"/>
  <c r="S233" i="9"/>
  <c r="N233" i="9"/>
  <c r="R232" i="9"/>
  <c r="D196" i="29"/>
  <c r="AC196" i="29"/>
  <c r="E196" i="29"/>
  <c r="H199" i="25"/>
  <c r="F195" i="29"/>
  <c r="AE195" i="29"/>
  <c r="AD195" i="29"/>
  <c r="Q232" i="9"/>
  <c r="T199" i="25"/>
  <c r="E199" i="25"/>
  <c r="U199" i="25"/>
  <c r="K199" i="25"/>
  <c r="T232" i="9"/>
  <c r="V232" i="9"/>
  <c r="X232" i="9"/>
  <c r="U232" i="9"/>
  <c r="F199" i="25"/>
  <c r="AD196" i="29"/>
  <c r="F196" i="29"/>
  <c r="AE196" i="29"/>
  <c r="A201" i="25"/>
  <c r="D201" i="25"/>
  <c r="B198" i="29"/>
  <c r="C235" i="9"/>
  <c r="B235" i="9"/>
  <c r="W234" i="9"/>
  <c r="P234" i="9"/>
  <c r="Q234" i="9"/>
  <c r="R233" i="9"/>
  <c r="E197" i="29"/>
  <c r="D197" i="29"/>
  <c r="AC197" i="29"/>
  <c r="G199" i="25"/>
  <c r="V199" i="25"/>
  <c r="T200" i="25"/>
  <c r="E200" i="25"/>
  <c r="U200" i="25"/>
  <c r="K200" i="25"/>
  <c r="H200" i="25"/>
  <c r="I198" i="25"/>
  <c r="W198" i="25"/>
  <c r="S234" i="9"/>
  <c r="N234" i="9"/>
  <c r="T233" i="9"/>
  <c r="V233" i="9"/>
  <c r="X233" i="9"/>
  <c r="U233" i="9"/>
  <c r="F200" i="25"/>
  <c r="G200" i="25"/>
  <c r="V200" i="25"/>
  <c r="R234" i="9"/>
  <c r="E198" i="29"/>
  <c r="H201" i="25"/>
  <c r="D198" i="29"/>
  <c r="AC198" i="29"/>
  <c r="AD197" i="29"/>
  <c r="F197" i="29"/>
  <c r="AE197" i="29"/>
  <c r="T201" i="25"/>
  <c r="E201" i="25"/>
  <c r="U201" i="25"/>
  <c r="K201" i="25"/>
  <c r="I199" i="25"/>
  <c r="W199" i="25"/>
  <c r="A202" i="25"/>
  <c r="D202" i="25"/>
  <c r="B199" i="29"/>
  <c r="C236" i="9"/>
  <c r="B236" i="9"/>
  <c r="W235" i="9"/>
  <c r="P235" i="9"/>
  <c r="Q235" i="9"/>
  <c r="S235" i="9"/>
  <c r="N235" i="9"/>
  <c r="T234" i="9"/>
  <c r="V234" i="9"/>
  <c r="X234" i="9"/>
  <c r="U234" i="9"/>
  <c r="F201" i="25"/>
  <c r="G201" i="25"/>
  <c r="V201" i="25"/>
  <c r="A203" i="25"/>
  <c r="D203" i="25"/>
  <c r="B200" i="29"/>
  <c r="C237" i="9"/>
  <c r="B237" i="9"/>
  <c r="W236" i="9"/>
  <c r="P236" i="9"/>
  <c r="Q236" i="9"/>
  <c r="S236" i="9"/>
  <c r="N236" i="9"/>
  <c r="I200" i="25"/>
  <c r="W200" i="25"/>
  <c r="AD198" i="29"/>
  <c r="F198" i="29"/>
  <c r="AE198" i="29"/>
  <c r="T202" i="25"/>
  <c r="E202" i="25"/>
  <c r="U202" i="25"/>
  <c r="K202" i="25"/>
  <c r="R235" i="9"/>
  <c r="D199" i="29"/>
  <c r="AC199" i="29"/>
  <c r="E199" i="29"/>
  <c r="T235" i="9"/>
  <c r="V235" i="9"/>
  <c r="X235" i="9"/>
  <c r="U235" i="9"/>
  <c r="F202" i="25"/>
  <c r="G202" i="25"/>
  <c r="V202" i="25"/>
  <c r="I201" i="25"/>
  <c r="W201" i="25"/>
  <c r="S237" i="9"/>
  <c r="N237" i="9"/>
  <c r="R236" i="9"/>
  <c r="D200" i="29"/>
  <c r="AC200" i="29"/>
  <c r="E200" i="29"/>
  <c r="T203" i="25"/>
  <c r="E203" i="25"/>
  <c r="U203" i="25"/>
  <c r="K203" i="25"/>
  <c r="H203" i="25"/>
  <c r="F199" i="29"/>
  <c r="AE199" i="29"/>
  <c r="AD199" i="29"/>
  <c r="H202" i="25"/>
  <c r="A204" i="25"/>
  <c r="D204" i="25"/>
  <c r="B201" i="29"/>
  <c r="B238" i="9"/>
  <c r="C238" i="9"/>
  <c r="W237" i="9"/>
  <c r="P237" i="9"/>
  <c r="T236" i="9"/>
  <c r="V236" i="9"/>
  <c r="X236" i="9"/>
  <c r="R237" i="9"/>
  <c r="U237" i="9"/>
  <c r="F204" i="25"/>
  <c r="E201" i="29"/>
  <c r="H204" i="25"/>
  <c r="D201" i="29"/>
  <c r="AC201" i="29"/>
  <c r="F200" i="29"/>
  <c r="AE200" i="29"/>
  <c r="AD200" i="29"/>
  <c r="T204" i="25"/>
  <c r="E204" i="25"/>
  <c r="U204" i="25"/>
  <c r="K204" i="25"/>
  <c r="I202" i="25"/>
  <c r="W202" i="25"/>
  <c r="S238" i="9"/>
  <c r="N238" i="9"/>
  <c r="U236" i="9"/>
  <c r="F203" i="25"/>
  <c r="G203" i="25"/>
  <c r="V203" i="25"/>
  <c r="Q237" i="9"/>
  <c r="A205" i="25"/>
  <c r="D205" i="25"/>
  <c r="B202" i="29"/>
  <c r="C239" i="9"/>
  <c r="B239" i="9"/>
  <c r="W238" i="9"/>
  <c r="P238" i="9"/>
  <c r="T237" i="9"/>
  <c r="V237" i="9"/>
  <c r="X237" i="9"/>
  <c r="S239" i="9"/>
  <c r="N239" i="9"/>
  <c r="R238" i="9"/>
  <c r="E202" i="29"/>
  <c r="D202" i="29"/>
  <c r="AC202" i="29"/>
  <c r="T205" i="25"/>
  <c r="E205" i="25"/>
  <c r="U205" i="25"/>
  <c r="K205" i="25"/>
  <c r="H205" i="25"/>
  <c r="AD201" i="29"/>
  <c r="F201" i="29"/>
  <c r="AE201" i="29"/>
  <c r="A206" i="25"/>
  <c r="D206" i="25"/>
  <c r="B203" i="29"/>
  <c r="C240" i="9"/>
  <c r="B240" i="9"/>
  <c r="W239" i="9"/>
  <c r="P239" i="9"/>
  <c r="Q239" i="9"/>
  <c r="Q238" i="9"/>
  <c r="I203" i="25"/>
  <c r="W203" i="25"/>
  <c r="G204" i="25"/>
  <c r="V204" i="25"/>
  <c r="T238" i="9"/>
  <c r="V238" i="9"/>
  <c r="X238" i="9"/>
  <c r="U238" i="9"/>
  <c r="F205" i="25"/>
  <c r="G205" i="25"/>
  <c r="V205" i="25"/>
  <c r="I204" i="25"/>
  <c r="W204" i="25"/>
  <c r="T206" i="25"/>
  <c r="E206" i="25"/>
  <c r="U206" i="25"/>
  <c r="F202" i="29"/>
  <c r="AE202" i="29"/>
  <c r="AD202" i="29"/>
  <c r="A207" i="25"/>
  <c r="D207" i="25"/>
  <c r="B204" i="29"/>
  <c r="C241" i="9"/>
  <c r="B241" i="9"/>
  <c r="W240" i="9"/>
  <c r="P240" i="9"/>
  <c r="Q240" i="9"/>
  <c r="S240" i="9"/>
  <c r="N240" i="9"/>
  <c r="R239" i="9"/>
  <c r="U239" i="9"/>
  <c r="F206" i="25"/>
  <c r="D203" i="29"/>
  <c r="AC203" i="29"/>
  <c r="E203" i="29"/>
  <c r="G206" i="25"/>
  <c r="V206" i="25"/>
  <c r="T239" i="9"/>
  <c r="V239" i="9"/>
  <c r="X239" i="9"/>
  <c r="F203" i="29"/>
  <c r="AE203" i="29"/>
  <c r="AD203" i="29"/>
  <c r="R240" i="9"/>
  <c r="D204" i="29"/>
  <c r="AC204" i="29"/>
  <c r="E204" i="29"/>
  <c r="T207" i="25"/>
  <c r="E207" i="25"/>
  <c r="U207" i="25"/>
  <c r="K207" i="25"/>
  <c r="H207" i="25"/>
  <c r="A208" i="25"/>
  <c r="D208" i="25"/>
  <c r="B205" i="29"/>
  <c r="B242" i="9"/>
  <c r="C242" i="9"/>
  <c r="W241" i="9"/>
  <c r="P241" i="9"/>
  <c r="Q241" i="9"/>
  <c r="H206" i="25"/>
  <c r="I205" i="25"/>
  <c r="W205" i="25"/>
  <c r="S241" i="9"/>
  <c r="N241" i="9"/>
  <c r="T240" i="9"/>
  <c r="V240" i="9"/>
  <c r="X240" i="9"/>
  <c r="T208" i="25"/>
  <c r="E208" i="25"/>
  <c r="U208" i="25"/>
  <c r="K208" i="25"/>
  <c r="S242" i="9"/>
  <c r="N242" i="9"/>
  <c r="U240" i="9"/>
  <c r="F207" i="25"/>
  <c r="G207" i="25"/>
  <c r="V207" i="25"/>
  <c r="A209" i="25"/>
  <c r="D209" i="25"/>
  <c r="B206" i="29"/>
  <c r="C243" i="9"/>
  <c r="B243" i="9"/>
  <c r="W242" i="9"/>
  <c r="P242" i="9"/>
  <c r="Q242" i="9"/>
  <c r="R241" i="9"/>
  <c r="E205" i="29"/>
  <c r="H208" i="25"/>
  <c r="D205" i="29"/>
  <c r="AC205" i="29"/>
  <c r="F204" i="29"/>
  <c r="AE204" i="29"/>
  <c r="AD204" i="29"/>
  <c r="K206" i="25"/>
  <c r="I206" i="25"/>
  <c r="W206" i="25"/>
  <c r="T241" i="9"/>
  <c r="V241" i="9"/>
  <c r="X241" i="9"/>
  <c r="U241" i="9"/>
  <c r="F208" i="25"/>
  <c r="G208" i="25"/>
  <c r="V208" i="25"/>
  <c r="T209" i="25"/>
  <c r="E209" i="25"/>
  <c r="U209" i="25"/>
  <c r="K209" i="25"/>
  <c r="F205" i="29"/>
  <c r="AE205" i="29"/>
  <c r="AD205" i="29"/>
  <c r="A210" i="25"/>
  <c r="D210" i="25"/>
  <c r="B207" i="29"/>
  <c r="C244" i="9"/>
  <c r="B244" i="9"/>
  <c r="W243" i="9"/>
  <c r="P243" i="9"/>
  <c r="Q243" i="9"/>
  <c r="S243" i="9"/>
  <c r="N243" i="9"/>
  <c r="I207" i="25"/>
  <c r="W207" i="25"/>
  <c r="R242" i="9"/>
  <c r="D206" i="29"/>
  <c r="AC206" i="29"/>
  <c r="E206" i="29"/>
  <c r="T242" i="9"/>
  <c r="V242" i="9"/>
  <c r="X242" i="9"/>
  <c r="AD206" i="29"/>
  <c r="F206" i="29"/>
  <c r="AE206" i="29"/>
  <c r="S244" i="9"/>
  <c r="N244" i="9"/>
  <c r="H209" i="25"/>
  <c r="I208" i="25"/>
  <c r="W208" i="25"/>
  <c r="R243" i="9"/>
  <c r="E207" i="29"/>
  <c r="D207" i="29"/>
  <c r="AC207" i="29"/>
  <c r="T210" i="25"/>
  <c r="E210" i="25"/>
  <c r="U210" i="25"/>
  <c r="K210" i="25"/>
  <c r="H210" i="25"/>
  <c r="U242" i="9"/>
  <c r="F209" i="25"/>
  <c r="G209" i="25"/>
  <c r="V209" i="25"/>
  <c r="A211" i="25"/>
  <c r="D211" i="25"/>
  <c r="B208" i="29"/>
  <c r="C245" i="9"/>
  <c r="B245" i="9"/>
  <c r="W244" i="9"/>
  <c r="P244" i="9"/>
  <c r="Q244" i="9"/>
  <c r="T243" i="9"/>
  <c r="V243" i="9"/>
  <c r="X243" i="9"/>
  <c r="A212" i="25"/>
  <c r="D212" i="25"/>
  <c r="B209" i="29"/>
  <c r="B246" i="9"/>
  <c r="C246" i="9"/>
  <c r="W245" i="9"/>
  <c r="P245" i="9"/>
  <c r="Q245" i="9"/>
  <c r="S245" i="9"/>
  <c r="N245" i="9"/>
  <c r="F207" i="29"/>
  <c r="AE207" i="29"/>
  <c r="AD207" i="29"/>
  <c r="I209" i="25"/>
  <c r="W209" i="25"/>
  <c r="R244" i="9"/>
  <c r="U244" i="9"/>
  <c r="F211" i="25"/>
  <c r="D208" i="29"/>
  <c r="AC208" i="29"/>
  <c r="E208" i="29"/>
  <c r="H211" i="25"/>
  <c r="U243" i="9"/>
  <c r="F210" i="25"/>
  <c r="G210" i="25"/>
  <c r="V210" i="25"/>
  <c r="T211" i="25"/>
  <c r="E211" i="25"/>
  <c r="U211" i="25"/>
  <c r="K211" i="25"/>
  <c r="T244" i="9"/>
  <c r="V244" i="9"/>
  <c r="X244" i="9"/>
  <c r="AD208" i="29"/>
  <c r="F208" i="29"/>
  <c r="AE208" i="29"/>
  <c r="A213" i="25"/>
  <c r="D213" i="25"/>
  <c r="B210" i="29"/>
  <c r="C247" i="9"/>
  <c r="B247" i="9"/>
  <c r="W246" i="9"/>
  <c r="P246" i="9"/>
  <c r="Q246" i="9"/>
  <c r="I210" i="25"/>
  <c r="W210" i="25"/>
  <c r="R245" i="9"/>
  <c r="D209" i="29"/>
  <c r="AC209" i="29"/>
  <c r="E209" i="29"/>
  <c r="G211" i="25"/>
  <c r="V211" i="25"/>
  <c r="T212" i="25"/>
  <c r="E212" i="25"/>
  <c r="U212" i="25"/>
  <c r="K212" i="25"/>
  <c r="H212" i="25"/>
  <c r="S246" i="9"/>
  <c r="N246" i="9"/>
  <c r="T245" i="9"/>
  <c r="V245" i="9"/>
  <c r="X245" i="9"/>
  <c r="R246" i="9"/>
  <c r="E210" i="29"/>
  <c r="H213" i="25"/>
  <c r="D210" i="29"/>
  <c r="AC210" i="29"/>
  <c r="U245" i="9"/>
  <c r="F212" i="25"/>
  <c r="G212" i="25"/>
  <c r="V212" i="25"/>
  <c r="T213" i="25"/>
  <c r="E213" i="25"/>
  <c r="U213" i="25"/>
  <c r="K213" i="25"/>
  <c r="F209" i="29"/>
  <c r="AE209" i="29"/>
  <c r="AD209" i="29"/>
  <c r="I211" i="25"/>
  <c r="W211" i="25"/>
  <c r="A214" i="25"/>
  <c r="D214" i="25"/>
  <c r="B211" i="29"/>
  <c r="C248" i="9"/>
  <c r="B248" i="9"/>
  <c r="W247" i="9"/>
  <c r="P247" i="9"/>
  <c r="S247" i="9"/>
  <c r="N247" i="9"/>
  <c r="T246" i="9"/>
  <c r="V246" i="9"/>
  <c r="X246" i="9"/>
  <c r="S248" i="9"/>
  <c r="N248" i="9"/>
  <c r="R247" i="9"/>
  <c r="D211" i="29"/>
  <c r="AC211" i="29"/>
  <c r="E211" i="29"/>
  <c r="Q247" i="9"/>
  <c r="T214" i="25"/>
  <c r="E214" i="25"/>
  <c r="U214" i="25"/>
  <c r="K214" i="25"/>
  <c r="H214" i="25"/>
  <c r="A215" i="25"/>
  <c r="D215" i="25"/>
  <c r="B212" i="29"/>
  <c r="C249" i="9"/>
  <c r="B249" i="9"/>
  <c r="W248" i="9"/>
  <c r="P248" i="9"/>
  <c r="I212" i="25"/>
  <c r="W212" i="25"/>
  <c r="AD210" i="29"/>
  <c r="F210" i="29"/>
  <c r="AE210" i="29"/>
  <c r="U246" i="9"/>
  <c r="F213" i="25"/>
  <c r="G213" i="25"/>
  <c r="V213" i="25"/>
  <c r="T247" i="9"/>
  <c r="V247" i="9"/>
  <c r="X247" i="9"/>
  <c r="R248" i="9"/>
  <c r="E212" i="29"/>
  <c r="D212" i="29"/>
  <c r="AC212" i="29"/>
  <c r="T215" i="25"/>
  <c r="E215" i="25"/>
  <c r="U215" i="25"/>
  <c r="K215" i="25"/>
  <c r="H215" i="25"/>
  <c r="AD211" i="29"/>
  <c r="F211" i="29"/>
  <c r="AE211" i="29"/>
  <c r="Q248" i="9"/>
  <c r="I213" i="25"/>
  <c r="W213" i="25"/>
  <c r="A216" i="25"/>
  <c r="D216" i="25"/>
  <c r="B213" i="29"/>
  <c r="B250" i="9"/>
  <c r="C250" i="9"/>
  <c r="W249" i="9"/>
  <c r="P249" i="9"/>
  <c r="Q249" i="9"/>
  <c r="S249" i="9"/>
  <c r="N249" i="9"/>
  <c r="U247" i="9"/>
  <c r="F214" i="25"/>
  <c r="G214" i="25"/>
  <c r="V214" i="25"/>
  <c r="T248" i="9"/>
  <c r="V248" i="9"/>
  <c r="X248" i="9"/>
  <c r="T216" i="25"/>
  <c r="E216" i="25"/>
  <c r="U216" i="25"/>
  <c r="K216" i="25"/>
  <c r="AD212" i="29"/>
  <c r="F212" i="29"/>
  <c r="AE212" i="29"/>
  <c r="S250" i="9"/>
  <c r="N250" i="9"/>
  <c r="I214" i="25"/>
  <c r="W214" i="25"/>
  <c r="A217" i="25"/>
  <c r="D217" i="25"/>
  <c r="B214" i="29"/>
  <c r="C251" i="9"/>
  <c r="B251" i="9"/>
  <c r="W250" i="9"/>
  <c r="P250" i="9"/>
  <c r="U248" i="9"/>
  <c r="F215" i="25"/>
  <c r="G215" i="25"/>
  <c r="V215" i="25"/>
  <c r="R249" i="9"/>
  <c r="D213" i="29"/>
  <c r="AC213" i="29"/>
  <c r="E213" i="29"/>
  <c r="T249" i="9"/>
  <c r="V249" i="9"/>
  <c r="X249" i="9"/>
  <c r="U249" i="9"/>
  <c r="F216" i="25"/>
  <c r="G216" i="25"/>
  <c r="V216" i="25"/>
  <c r="F213" i="29"/>
  <c r="AE213" i="29"/>
  <c r="AD213" i="29"/>
  <c r="R250" i="9"/>
  <c r="D214" i="29"/>
  <c r="AC214" i="29"/>
  <c r="E214" i="29"/>
  <c r="H217" i="25"/>
  <c r="I215" i="25"/>
  <c r="W215" i="25"/>
  <c r="H216" i="25"/>
  <c r="T217" i="25"/>
  <c r="E217" i="25"/>
  <c r="U217" i="25"/>
  <c r="K217" i="25"/>
  <c r="A218" i="25"/>
  <c r="D218" i="25"/>
  <c r="B215" i="29"/>
  <c r="C252" i="9"/>
  <c r="B252" i="9"/>
  <c r="W251" i="9"/>
  <c r="P251" i="9"/>
  <c r="Q251" i="9"/>
  <c r="Q250" i="9"/>
  <c r="S251" i="9"/>
  <c r="N251" i="9"/>
  <c r="T250" i="9"/>
  <c r="V250" i="9"/>
  <c r="X250" i="9"/>
  <c r="U250" i="9"/>
  <c r="F217" i="25"/>
  <c r="G217" i="25"/>
  <c r="V217" i="25"/>
  <c r="S252" i="9"/>
  <c r="N252" i="9"/>
  <c r="I216" i="25"/>
  <c r="W216" i="25"/>
  <c r="F214" i="29"/>
  <c r="AE214" i="29"/>
  <c r="AD214" i="29"/>
  <c r="R251" i="9"/>
  <c r="E215" i="29"/>
  <c r="D215" i="29"/>
  <c r="AC215" i="29"/>
  <c r="T218" i="25"/>
  <c r="E218" i="25"/>
  <c r="U218" i="25"/>
  <c r="K218" i="25"/>
  <c r="H218" i="25"/>
  <c r="A219" i="25"/>
  <c r="D219" i="25"/>
  <c r="B216" i="29"/>
  <c r="C253" i="9"/>
  <c r="B253" i="9"/>
  <c r="W252" i="9"/>
  <c r="P252" i="9"/>
  <c r="T251" i="9"/>
  <c r="V251" i="9"/>
  <c r="X251" i="9"/>
  <c r="U251" i="9"/>
  <c r="F218" i="25"/>
  <c r="S253" i="9"/>
  <c r="N253" i="9"/>
  <c r="I217" i="25"/>
  <c r="W217" i="25"/>
  <c r="R252" i="9"/>
  <c r="E216" i="29"/>
  <c r="H219" i="25"/>
  <c r="D216" i="29"/>
  <c r="AC216" i="29"/>
  <c r="F215" i="29"/>
  <c r="AE215" i="29"/>
  <c r="AD215" i="29"/>
  <c r="T219" i="25"/>
  <c r="E219" i="25"/>
  <c r="U219" i="25"/>
  <c r="K219" i="25"/>
  <c r="G218" i="25"/>
  <c r="V218" i="25"/>
  <c r="A220" i="25"/>
  <c r="D220" i="25"/>
  <c r="B217" i="29"/>
  <c r="B254" i="9"/>
  <c r="C254" i="9"/>
  <c r="W253" i="9"/>
  <c r="P253" i="9"/>
  <c r="Q253" i="9"/>
  <c r="Q252" i="9"/>
  <c r="T252" i="9"/>
  <c r="V252" i="9"/>
  <c r="X252" i="9"/>
  <c r="U252" i="9"/>
  <c r="F219" i="25"/>
  <c r="G219" i="25"/>
  <c r="V219" i="25"/>
  <c r="S254" i="9"/>
  <c r="N254" i="9"/>
  <c r="A221" i="25"/>
  <c r="D221" i="25"/>
  <c r="B218" i="29"/>
  <c r="C255" i="9"/>
  <c r="B255" i="9"/>
  <c r="W254" i="9"/>
  <c r="P254" i="9"/>
  <c r="Q254" i="9"/>
  <c r="AD216" i="29"/>
  <c r="F216" i="29"/>
  <c r="AE216" i="29"/>
  <c r="I218" i="25"/>
  <c r="W218" i="25"/>
  <c r="R253" i="9"/>
  <c r="D217" i="29"/>
  <c r="AC217" i="29"/>
  <c r="E217" i="29"/>
  <c r="H220" i="25"/>
  <c r="T220" i="25"/>
  <c r="E220" i="25"/>
  <c r="U220" i="25"/>
  <c r="K220" i="25"/>
  <c r="T253" i="9"/>
  <c r="V253" i="9"/>
  <c r="X253" i="9"/>
  <c r="U253" i="9"/>
  <c r="F220" i="25"/>
  <c r="G220" i="25"/>
  <c r="V220" i="25"/>
  <c r="AD217" i="29"/>
  <c r="F217" i="29"/>
  <c r="AE217" i="29"/>
  <c r="A222" i="25"/>
  <c r="D222" i="25"/>
  <c r="B219" i="29"/>
  <c r="C256" i="9"/>
  <c r="B256" i="9"/>
  <c r="W255" i="9"/>
  <c r="P255" i="9"/>
  <c r="Q255" i="9"/>
  <c r="S255" i="9"/>
  <c r="N255" i="9"/>
  <c r="R254" i="9"/>
  <c r="E218" i="29"/>
  <c r="H221" i="25"/>
  <c r="D218" i="29"/>
  <c r="AC218" i="29"/>
  <c r="I219" i="25"/>
  <c r="W219" i="25"/>
  <c r="T221" i="25"/>
  <c r="E221" i="25"/>
  <c r="U221" i="25"/>
  <c r="K221" i="25"/>
  <c r="T254" i="9"/>
  <c r="V254" i="9"/>
  <c r="X254" i="9"/>
  <c r="U254" i="9"/>
  <c r="F221" i="25"/>
  <c r="G221" i="25"/>
  <c r="V221" i="25"/>
  <c r="I220" i="25"/>
  <c r="W220" i="25"/>
  <c r="A223" i="25"/>
  <c r="D223" i="25"/>
  <c r="B220" i="29"/>
  <c r="C257" i="9"/>
  <c r="B257" i="9"/>
  <c r="W256" i="9"/>
  <c r="P256" i="9"/>
  <c r="Q256" i="9"/>
  <c r="S256" i="9"/>
  <c r="N256" i="9"/>
  <c r="R255" i="9"/>
  <c r="E219" i="29"/>
  <c r="H222" i="25"/>
  <c r="D219" i="29"/>
  <c r="AC219" i="29"/>
  <c r="F218" i="29"/>
  <c r="AE218" i="29"/>
  <c r="AD218" i="29"/>
  <c r="T222" i="25"/>
  <c r="E222" i="25"/>
  <c r="U222" i="25"/>
  <c r="K222" i="25"/>
  <c r="T255" i="9"/>
  <c r="V255" i="9"/>
  <c r="X255" i="9"/>
  <c r="A224" i="25"/>
  <c r="D224" i="25"/>
  <c r="B221" i="29"/>
  <c r="B258" i="9"/>
  <c r="C258" i="9"/>
  <c r="W257" i="9"/>
  <c r="P257" i="9"/>
  <c r="Q257" i="9"/>
  <c r="S257" i="9"/>
  <c r="N257" i="9"/>
  <c r="I221" i="25"/>
  <c r="W221" i="25"/>
  <c r="F219" i="29"/>
  <c r="AE219" i="29"/>
  <c r="AD219" i="29"/>
  <c r="R256" i="9"/>
  <c r="D220" i="29"/>
  <c r="AC220" i="29"/>
  <c r="E220" i="29"/>
  <c r="U255" i="9"/>
  <c r="F222" i="25"/>
  <c r="G222" i="25"/>
  <c r="V222" i="25"/>
  <c r="T223" i="25"/>
  <c r="E223" i="25"/>
  <c r="U223" i="25"/>
  <c r="K223" i="25"/>
  <c r="H223" i="25"/>
  <c r="T256" i="9"/>
  <c r="V256" i="9"/>
  <c r="X256" i="9"/>
  <c r="U256" i="9"/>
  <c r="F223" i="25"/>
  <c r="G223" i="25"/>
  <c r="V223" i="25"/>
  <c r="F220" i="29"/>
  <c r="AE220" i="29"/>
  <c r="AD220" i="29"/>
  <c r="R257" i="9"/>
  <c r="E221" i="29"/>
  <c r="D221" i="29"/>
  <c r="AC221" i="29"/>
  <c r="T224" i="25"/>
  <c r="E224" i="25"/>
  <c r="U224" i="25"/>
  <c r="K224" i="25"/>
  <c r="H224" i="25"/>
  <c r="I222" i="25"/>
  <c r="W222" i="25"/>
  <c r="S258" i="9"/>
  <c r="N258" i="9"/>
  <c r="A225" i="25"/>
  <c r="D225" i="25"/>
  <c r="B222" i="29"/>
  <c r="C259" i="9"/>
  <c r="B259" i="9"/>
  <c r="W258" i="9"/>
  <c r="P258" i="9"/>
  <c r="T257" i="9"/>
  <c r="V257" i="9"/>
  <c r="X257" i="9"/>
  <c r="R258" i="9"/>
  <c r="E222" i="29"/>
  <c r="D222" i="29"/>
  <c r="AC222" i="29"/>
  <c r="T225" i="25"/>
  <c r="E225" i="25"/>
  <c r="U225" i="25"/>
  <c r="K225" i="25"/>
  <c r="H225" i="25"/>
  <c r="A226" i="25"/>
  <c r="D226" i="25"/>
  <c r="B223" i="29"/>
  <c r="C260" i="9"/>
  <c r="B260" i="9"/>
  <c r="W259" i="9"/>
  <c r="P259" i="9"/>
  <c r="Q259" i="9"/>
  <c r="I223" i="25"/>
  <c r="W223" i="25"/>
  <c r="S259" i="9"/>
  <c r="N259" i="9"/>
  <c r="Q258" i="9"/>
  <c r="U257" i="9"/>
  <c r="F224" i="25"/>
  <c r="G224" i="25"/>
  <c r="V224" i="25"/>
  <c r="AD221" i="29"/>
  <c r="F221" i="29"/>
  <c r="AE221" i="29"/>
  <c r="T258" i="9"/>
  <c r="V258" i="9"/>
  <c r="X258" i="9"/>
  <c r="U258" i="9"/>
  <c r="F225" i="25"/>
  <c r="G225" i="25"/>
  <c r="V225" i="25"/>
  <c r="I224" i="25"/>
  <c r="W224" i="25"/>
  <c r="A227" i="25"/>
  <c r="D227" i="25"/>
  <c r="B224" i="29"/>
  <c r="C261" i="9"/>
  <c r="B261" i="9"/>
  <c r="W260" i="9"/>
  <c r="P260" i="9"/>
  <c r="Q260" i="9"/>
  <c r="F222" i="29"/>
  <c r="AE222" i="29"/>
  <c r="AD222" i="29"/>
  <c r="S260" i="9"/>
  <c r="N260" i="9"/>
  <c r="R259" i="9"/>
  <c r="E223" i="29"/>
  <c r="D223" i="29"/>
  <c r="AC223" i="29"/>
  <c r="T226" i="25"/>
  <c r="E226" i="25"/>
  <c r="U226" i="25"/>
  <c r="K226" i="25"/>
  <c r="H226" i="25"/>
  <c r="T259" i="9"/>
  <c r="V259" i="9"/>
  <c r="X259" i="9"/>
  <c r="U259" i="9"/>
  <c r="F226" i="25"/>
  <c r="G226" i="25"/>
  <c r="V226" i="25"/>
  <c r="T227" i="25"/>
  <c r="E227" i="25"/>
  <c r="U227" i="25"/>
  <c r="K227" i="25"/>
  <c r="A228" i="25"/>
  <c r="D228" i="25"/>
  <c r="B225" i="29"/>
  <c r="B262" i="9"/>
  <c r="C262" i="9"/>
  <c r="W261" i="9"/>
  <c r="P261" i="9"/>
  <c r="Q261" i="9"/>
  <c r="I225" i="25"/>
  <c r="W225" i="25"/>
  <c r="S261" i="9"/>
  <c r="N261" i="9"/>
  <c r="AD223" i="29"/>
  <c r="F223" i="29"/>
  <c r="AE223" i="29"/>
  <c r="R260" i="9"/>
  <c r="E224" i="29"/>
  <c r="D224" i="29"/>
  <c r="AC224" i="29"/>
  <c r="T260" i="9"/>
  <c r="V260" i="9"/>
  <c r="X260" i="9"/>
  <c r="T228" i="25"/>
  <c r="E228" i="25"/>
  <c r="U228" i="25"/>
  <c r="K228" i="25"/>
  <c r="AD224" i="29"/>
  <c r="F224" i="29"/>
  <c r="AE224" i="29"/>
  <c r="I226" i="25"/>
  <c r="W226" i="25"/>
  <c r="S262" i="9"/>
  <c r="N262" i="9"/>
  <c r="A229" i="25"/>
  <c r="D229" i="25"/>
  <c r="B226" i="29"/>
  <c r="C263" i="9"/>
  <c r="B263" i="9"/>
  <c r="W262" i="9"/>
  <c r="P262" i="9"/>
  <c r="Q262" i="9"/>
  <c r="U260" i="9"/>
  <c r="F227" i="25"/>
  <c r="G227" i="25"/>
  <c r="V227" i="25"/>
  <c r="R261" i="9"/>
  <c r="D225" i="29"/>
  <c r="AC225" i="29"/>
  <c r="E225" i="29"/>
  <c r="H228" i="25"/>
  <c r="H227" i="25"/>
  <c r="T261" i="9"/>
  <c r="V261" i="9"/>
  <c r="X261" i="9"/>
  <c r="A230" i="25"/>
  <c r="D230" i="25"/>
  <c r="B227" i="29"/>
  <c r="C264" i="9"/>
  <c r="B264" i="9"/>
  <c r="W263" i="9"/>
  <c r="P263" i="9"/>
  <c r="Q263" i="9"/>
  <c r="F225" i="29"/>
  <c r="AE225" i="29"/>
  <c r="AD225" i="29"/>
  <c r="S263" i="9"/>
  <c r="N263" i="9"/>
  <c r="R262" i="9"/>
  <c r="E226" i="29"/>
  <c r="H229" i="25"/>
  <c r="D226" i="29"/>
  <c r="AC226" i="29"/>
  <c r="U261" i="9"/>
  <c r="F228" i="25"/>
  <c r="G228" i="25"/>
  <c r="V228" i="25"/>
  <c r="T229" i="25"/>
  <c r="E229" i="25"/>
  <c r="U229" i="25"/>
  <c r="K229" i="25"/>
  <c r="I227" i="25"/>
  <c r="W227" i="25"/>
  <c r="T262" i="9"/>
  <c r="V262" i="9"/>
  <c r="X262" i="9"/>
  <c r="U262" i="9"/>
  <c r="F229" i="25"/>
  <c r="G229" i="25"/>
  <c r="V229" i="25"/>
  <c r="I228" i="25"/>
  <c r="W228" i="25"/>
  <c r="S264" i="9"/>
  <c r="N264" i="9"/>
  <c r="AD226" i="29"/>
  <c r="F226" i="29"/>
  <c r="AE226" i="29"/>
  <c r="R263" i="9"/>
  <c r="E227" i="29"/>
  <c r="D227" i="29"/>
  <c r="AC227" i="29"/>
  <c r="T230" i="25"/>
  <c r="E230" i="25"/>
  <c r="U230" i="25"/>
  <c r="K230" i="25"/>
  <c r="H230" i="25"/>
  <c r="A231" i="25"/>
  <c r="D231" i="25"/>
  <c r="B228" i="29"/>
  <c r="C265" i="9"/>
  <c r="B265" i="9"/>
  <c r="W264" i="9"/>
  <c r="P264" i="9"/>
  <c r="T263" i="9"/>
  <c r="V263" i="9"/>
  <c r="X263" i="9"/>
  <c r="R264" i="9"/>
  <c r="E228" i="29"/>
  <c r="H231" i="25"/>
  <c r="D228" i="29"/>
  <c r="AC228" i="29"/>
  <c r="AD227" i="29"/>
  <c r="F227" i="29"/>
  <c r="AE227" i="29"/>
  <c r="I229" i="25"/>
  <c r="W229" i="25"/>
  <c r="S265" i="9"/>
  <c r="N265" i="9"/>
  <c r="T231" i="25"/>
  <c r="E231" i="25"/>
  <c r="U231" i="25"/>
  <c r="K231" i="25"/>
  <c r="A232" i="25"/>
  <c r="D232" i="25"/>
  <c r="B229" i="29"/>
  <c r="B266" i="9"/>
  <c r="C266" i="9"/>
  <c r="W265" i="9"/>
  <c r="P265" i="9"/>
  <c r="U263" i="9"/>
  <c r="F230" i="25"/>
  <c r="G230" i="25"/>
  <c r="V230" i="25"/>
  <c r="Q264" i="9"/>
  <c r="T264" i="9"/>
  <c r="V264" i="9"/>
  <c r="X264" i="9"/>
  <c r="S266" i="9"/>
  <c r="N266" i="9"/>
  <c r="A233" i="25"/>
  <c r="D233" i="25"/>
  <c r="B230" i="29"/>
  <c r="C267" i="9"/>
  <c r="B267" i="9"/>
  <c r="W266" i="9"/>
  <c r="P266" i="9"/>
  <c r="Q266" i="9"/>
  <c r="I230" i="25"/>
  <c r="W230" i="25"/>
  <c r="U264" i="9"/>
  <c r="F231" i="25"/>
  <c r="G231" i="25"/>
  <c r="V231" i="25"/>
  <c r="R265" i="9"/>
  <c r="E229" i="29"/>
  <c r="D229" i="29"/>
  <c r="AC229" i="29"/>
  <c r="Q265" i="9"/>
  <c r="T232" i="25"/>
  <c r="E232" i="25"/>
  <c r="U232" i="25"/>
  <c r="K232" i="25"/>
  <c r="H232" i="25"/>
  <c r="AD228" i="29"/>
  <c r="F228" i="29"/>
  <c r="AE228" i="29"/>
  <c r="T265" i="9"/>
  <c r="V265" i="9"/>
  <c r="X265" i="9"/>
  <c r="U265" i="9"/>
  <c r="F232" i="25"/>
  <c r="G232" i="25"/>
  <c r="V232" i="25"/>
  <c r="S267" i="9"/>
  <c r="N267" i="9"/>
  <c r="I231" i="25"/>
  <c r="W231" i="25"/>
  <c r="R266" i="9"/>
  <c r="E230" i="29"/>
  <c r="H233" i="25"/>
  <c r="D230" i="29"/>
  <c r="AC230" i="29"/>
  <c r="AD229" i="29"/>
  <c r="F229" i="29"/>
  <c r="AE229" i="29"/>
  <c r="T233" i="25"/>
  <c r="E233" i="25"/>
  <c r="U233" i="25"/>
  <c r="K233" i="25"/>
  <c r="A234" i="25"/>
  <c r="D234" i="25"/>
  <c r="B231" i="29"/>
  <c r="C268" i="9"/>
  <c r="B268" i="9"/>
  <c r="W267" i="9"/>
  <c r="P267" i="9"/>
  <c r="Q267" i="9"/>
  <c r="T266" i="9"/>
  <c r="V266" i="9"/>
  <c r="X266" i="9"/>
  <c r="S268" i="9"/>
  <c r="N268" i="9"/>
  <c r="U266" i="9"/>
  <c r="F233" i="25"/>
  <c r="G233" i="25"/>
  <c r="V233" i="25"/>
  <c r="R267" i="9"/>
  <c r="E231" i="29"/>
  <c r="D231" i="29"/>
  <c r="AC231" i="29"/>
  <c r="I232" i="25"/>
  <c r="W232" i="25"/>
  <c r="T234" i="25"/>
  <c r="E234" i="25"/>
  <c r="U234" i="25"/>
  <c r="K234" i="25"/>
  <c r="H234" i="25"/>
  <c r="F230" i="29"/>
  <c r="AE230" i="29"/>
  <c r="AD230" i="29"/>
  <c r="A235" i="25"/>
  <c r="D235" i="25"/>
  <c r="B232" i="29"/>
  <c r="C269" i="9"/>
  <c r="B269" i="9"/>
  <c r="W268" i="9"/>
  <c r="P268" i="9"/>
  <c r="Q268" i="9"/>
  <c r="T267" i="9"/>
  <c r="V267" i="9"/>
  <c r="X267" i="9"/>
  <c r="U267" i="9"/>
  <c r="F234" i="25"/>
  <c r="G234" i="25"/>
  <c r="V234" i="25"/>
  <c r="T235" i="25"/>
  <c r="E235" i="25"/>
  <c r="U235" i="25"/>
  <c r="K235" i="25"/>
  <c r="A236" i="25"/>
  <c r="D236" i="25"/>
  <c r="B233" i="29"/>
  <c r="B270" i="9"/>
  <c r="C270" i="9"/>
  <c r="W269" i="9"/>
  <c r="P269" i="9"/>
  <c r="Q269" i="9"/>
  <c r="I233" i="25"/>
  <c r="W233" i="25"/>
  <c r="S269" i="9"/>
  <c r="N269" i="9"/>
  <c r="F231" i="29"/>
  <c r="AE231" i="29"/>
  <c r="AD231" i="29"/>
  <c r="R268" i="9"/>
  <c r="D232" i="29"/>
  <c r="AC232" i="29"/>
  <c r="E232" i="29"/>
  <c r="T268" i="9"/>
  <c r="V268" i="9"/>
  <c r="X268" i="9"/>
  <c r="F232" i="29"/>
  <c r="AE232" i="29"/>
  <c r="AD232" i="29"/>
  <c r="S270" i="9"/>
  <c r="N270" i="9"/>
  <c r="H235" i="25"/>
  <c r="I234" i="25"/>
  <c r="W234" i="25"/>
  <c r="A237" i="25"/>
  <c r="D237" i="25"/>
  <c r="B234" i="29"/>
  <c r="C271" i="9"/>
  <c r="B271" i="9"/>
  <c r="W270" i="9"/>
  <c r="P270" i="9"/>
  <c r="U268" i="9"/>
  <c r="F235" i="25"/>
  <c r="G235" i="25"/>
  <c r="V235" i="25"/>
  <c r="R269" i="9"/>
  <c r="D233" i="29"/>
  <c r="AC233" i="29"/>
  <c r="E233" i="29"/>
  <c r="T236" i="25"/>
  <c r="E236" i="25"/>
  <c r="U236" i="25"/>
  <c r="K236" i="25"/>
  <c r="H236" i="25"/>
  <c r="T269" i="9"/>
  <c r="V269" i="9"/>
  <c r="X269" i="9"/>
  <c r="U269" i="9"/>
  <c r="F236" i="25"/>
  <c r="G236" i="25"/>
  <c r="V236" i="25"/>
  <c r="R270" i="9"/>
  <c r="E234" i="29"/>
  <c r="D234" i="29"/>
  <c r="AC234" i="29"/>
  <c r="T237" i="25"/>
  <c r="E237" i="25"/>
  <c r="U237" i="25"/>
  <c r="K237" i="25"/>
  <c r="H237" i="25"/>
  <c r="F233" i="29"/>
  <c r="AE233" i="29"/>
  <c r="AD233" i="29"/>
  <c r="A238" i="25"/>
  <c r="D238" i="25"/>
  <c r="B235" i="29"/>
  <c r="C272" i="9"/>
  <c r="B272" i="9"/>
  <c r="W271" i="9"/>
  <c r="P271" i="9"/>
  <c r="Q271" i="9"/>
  <c r="I235" i="25"/>
  <c r="W235" i="25"/>
  <c r="Q270" i="9"/>
  <c r="S271" i="9"/>
  <c r="N271" i="9"/>
  <c r="T270" i="9"/>
  <c r="V270" i="9"/>
  <c r="X270" i="9"/>
  <c r="U270" i="9"/>
  <c r="F237" i="25"/>
  <c r="R271" i="9"/>
  <c r="D235" i="29"/>
  <c r="AC235" i="29"/>
  <c r="E235" i="29"/>
  <c r="H238" i="25"/>
  <c r="T238" i="25"/>
  <c r="E238" i="25"/>
  <c r="U238" i="25"/>
  <c r="K238" i="25"/>
  <c r="I236" i="25"/>
  <c r="W236" i="25"/>
  <c r="A239" i="25"/>
  <c r="D239" i="25"/>
  <c r="B236" i="29"/>
  <c r="C273" i="9"/>
  <c r="B273" i="9"/>
  <c r="W272" i="9"/>
  <c r="P272" i="9"/>
  <c r="Q272" i="9"/>
  <c r="AD234" i="29"/>
  <c r="F234" i="29"/>
  <c r="AE234" i="29"/>
  <c r="S272" i="9"/>
  <c r="N272" i="9"/>
  <c r="G237" i="25"/>
  <c r="V237" i="25"/>
  <c r="T271" i="9"/>
  <c r="V271" i="9"/>
  <c r="X271" i="9"/>
  <c r="R272" i="9"/>
  <c r="E236" i="29"/>
  <c r="D236" i="29"/>
  <c r="AC236" i="29"/>
  <c r="U271" i="9"/>
  <c r="F238" i="25"/>
  <c r="G238" i="25"/>
  <c r="V238" i="25"/>
  <c r="T239" i="25"/>
  <c r="E239" i="25"/>
  <c r="U239" i="25"/>
  <c r="K239" i="25"/>
  <c r="H239" i="25"/>
  <c r="AD235" i="29"/>
  <c r="F235" i="29"/>
  <c r="AE235" i="29"/>
  <c r="A240" i="25"/>
  <c r="D240" i="25"/>
  <c r="B237" i="29"/>
  <c r="B274" i="9"/>
  <c r="C274" i="9"/>
  <c r="W273" i="9"/>
  <c r="P273" i="9"/>
  <c r="Q273" i="9"/>
  <c r="I237" i="25"/>
  <c r="W237" i="25"/>
  <c r="S273" i="9"/>
  <c r="N273" i="9"/>
  <c r="T272" i="9"/>
  <c r="V272" i="9"/>
  <c r="X272" i="9"/>
  <c r="I238" i="25"/>
  <c r="W238" i="25"/>
  <c r="S274" i="9"/>
  <c r="N274" i="9"/>
  <c r="U272" i="9"/>
  <c r="F239" i="25"/>
  <c r="G239" i="25"/>
  <c r="V239" i="25"/>
  <c r="A241" i="25"/>
  <c r="D241" i="25"/>
  <c r="B238" i="29"/>
  <c r="C275" i="9"/>
  <c r="B275" i="9"/>
  <c r="W274" i="9"/>
  <c r="P274" i="9"/>
  <c r="Q274" i="9"/>
  <c r="R273" i="9"/>
  <c r="D237" i="29"/>
  <c r="AC237" i="29"/>
  <c r="E237" i="29"/>
  <c r="H240" i="25"/>
  <c r="T240" i="25"/>
  <c r="E240" i="25"/>
  <c r="U240" i="25"/>
  <c r="K240" i="25"/>
  <c r="AD236" i="29"/>
  <c r="F236" i="29"/>
  <c r="AE236" i="29"/>
  <c r="T273" i="9"/>
  <c r="V273" i="9"/>
  <c r="X273" i="9"/>
  <c r="U273" i="9"/>
  <c r="F240" i="25"/>
  <c r="G240" i="25"/>
  <c r="V240" i="25"/>
  <c r="T241" i="25"/>
  <c r="E241" i="25"/>
  <c r="U241" i="25"/>
  <c r="K241" i="25"/>
  <c r="A242" i="25"/>
  <c r="D242" i="25"/>
  <c r="B239" i="29"/>
  <c r="B276" i="9"/>
  <c r="C276" i="9"/>
  <c r="W275" i="9"/>
  <c r="P275" i="9"/>
  <c r="Q275" i="9"/>
  <c r="I239" i="25"/>
  <c r="W239" i="25"/>
  <c r="F237" i="29"/>
  <c r="AE237" i="29"/>
  <c r="AD237" i="29"/>
  <c r="S275" i="9"/>
  <c r="N275" i="9"/>
  <c r="R274" i="9"/>
  <c r="U274" i="9"/>
  <c r="F241" i="25"/>
  <c r="E238" i="29"/>
  <c r="D238" i="29"/>
  <c r="AC238" i="29"/>
  <c r="G241" i="25"/>
  <c r="T274" i="9"/>
  <c r="V274" i="9"/>
  <c r="X274" i="9"/>
  <c r="V241" i="25"/>
  <c r="A243" i="25"/>
  <c r="D243" i="25"/>
  <c r="B240" i="29"/>
  <c r="C277" i="9"/>
  <c r="B277" i="9"/>
  <c r="W276" i="9"/>
  <c r="P276" i="9"/>
  <c r="Q276" i="9"/>
  <c r="AD238" i="29"/>
  <c r="F238" i="29"/>
  <c r="AE238" i="29"/>
  <c r="S276" i="9"/>
  <c r="N276" i="9"/>
  <c r="I240" i="25"/>
  <c r="W240" i="25"/>
  <c r="R275" i="9"/>
  <c r="D239" i="29"/>
  <c r="AC239" i="29"/>
  <c r="E239" i="29"/>
  <c r="H242" i="25"/>
  <c r="T242" i="25"/>
  <c r="E242" i="25"/>
  <c r="U242" i="25"/>
  <c r="K242" i="25"/>
  <c r="H241" i="25"/>
  <c r="T275" i="9"/>
  <c r="V275" i="9"/>
  <c r="X275" i="9"/>
  <c r="S277" i="9"/>
  <c r="N277" i="9"/>
  <c r="U275" i="9"/>
  <c r="F242" i="25"/>
  <c r="G242" i="25"/>
  <c r="V242" i="25"/>
  <c r="R276" i="9"/>
  <c r="D240" i="29"/>
  <c r="AC240" i="29"/>
  <c r="E240" i="29"/>
  <c r="T243" i="25"/>
  <c r="E243" i="25"/>
  <c r="U243" i="25"/>
  <c r="K243" i="25"/>
  <c r="H243" i="25"/>
  <c r="AD239" i="29"/>
  <c r="F239" i="29"/>
  <c r="AE239" i="29"/>
  <c r="I241" i="25"/>
  <c r="W241" i="25"/>
  <c r="A244" i="25"/>
  <c r="D244" i="25"/>
  <c r="B241" i="29"/>
  <c r="B278" i="9"/>
  <c r="C278" i="9"/>
  <c r="W277" i="9"/>
  <c r="P277" i="9"/>
  <c r="Q277" i="9"/>
  <c r="T276" i="9"/>
  <c r="V276" i="9"/>
  <c r="X276" i="9"/>
  <c r="T244" i="25"/>
  <c r="E244" i="25"/>
  <c r="U244" i="25"/>
  <c r="K244" i="25"/>
  <c r="R277" i="9"/>
  <c r="D241" i="29"/>
  <c r="AC241" i="29"/>
  <c r="E241" i="29"/>
  <c r="S278" i="9"/>
  <c r="N278" i="9"/>
  <c r="I242" i="25"/>
  <c r="W242" i="25"/>
  <c r="U276" i="9"/>
  <c r="F243" i="25"/>
  <c r="G243" i="25"/>
  <c r="V243" i="25"/>
  <c r="A245" i="25"/>
  <c r="D245" i="25"/>
  <c r="B242" i="29"/>
  <c r="C279" i="9"/>
  <c r="B279" i="9"/>
  <c r="W278" i="9"/>
  <c r="P278" i="9"/>
  <c r="Q278" i="9"/>
  <c r="F240" i="29"/>
  <c r="AE240" i="29"/>
  <c r="AD240" i="29"/>
  <c r="T277" i="9"/>
  <c r="V277" i="9"/>
  <c r="X277" i="9"/>
  <c r="U277" i="9"/>
  <c r="F244" i="25"/>
  <c r="G244" i="25"/>
  <c r="V244" i="25"/>
  <c r="T245" i="25"/>
  <c r="E245" i="25"/>
  <c r="U245" i="25"/>
  <c r="K245" i="25"/>
  <c r="F241" i="29"/>
  <c r="AE241" i="29"/>
  <c r="AD241" i="29"/>
  <c r="H244" i="25"/>
  <c r="A246" i="25"/>
  <c r="D246" i="25"/>
  <c r="B243" i="29"/>
  <c r="C280" i="9"/>
  <c r="B280" i="9"/>
  <c r="W279" i="9"/>
  <c r="P279" i="9"/>
  <c r="Q279" i="9"/>
  <c r="S279" i="9"/>
  <c r="N279" i="9"/>
  <c r="R278" i="9"/>
  <c r="D242" i="29"/>
  <c r="AC242" i="29"/>
  <c r="E242" i="29"/>
  <c r="H245" i="25"/>
  <c r="I243" i="25"/>
  <c r="W243" i="25"/>
  <c r="T278" i="9"/>
  <c r="V278" i="9"/>
  <c r="X278" i="9"/>
  <c r="U278" i="9"/>
  <c r="F245" i="25"/>
  <c r="G245" i="25"/>
  <c r="V245" i="25"/>
  <c r="A247" i="25"/>
  <c r="D247" i="25"/>
  <c r="B244" i="29"/>
  <c r="C281" i="9"/>
  <c r="B281" i="9"/>
  <c r="W280" i="9"/>
  <c r="P280" i="9"/>
  <c r="Q280" i="9"/>
  <c r="S280" i="9"/>
  <c r="N280" i="9"/>
  <c r="R279" i="9"/>
  <c r="D243" i="29"/>
  <c r="AC243" i="29"/>
  <c r="E243" i="29"/>
  <c r="I244" i="25"/>
  <c r="W244" i="25"/>
  <c r="F242" i="29"/>
  <c r="AE242" i="29"/>
  <c r="AD242" i="29"/>
  <c r="T246" i="25"/>
  <c r="E246" i="25"/>
  <c r="U246" i="25"/>
  <c r="K246" i="25"/>
  <c r="H246" i="25"/>
  <c r="T279" i="9"/>
  <c r="V279" i="9"/>
  <c r="X279" i="9"/>
  <c r="I245" i="25"/>
  <c r="W245" i="25"/>
  <c r="S281" i="9"/>
  <c r="N281" i="9"/>
  <c r="U279" i="9"/>
  <c r="F246" i="25"/>
  <c r="G246" i="25"/>
  <c r="V246" i="25"/>
  <c r="R280" i="9"/>
  <c r="E244" i="29"/>
  <c r="H247" i="25"/>
  <c r="D244" i="29"/>
  <c r="AC244" i="29"/>
  <c r="T247" i="25"/>
  <c r="E247" i="25"/>
  <c r="U247" i="25"/>
  <c r="K247" i="25"/>
  <c r="F243" i="29"/>
  <c r="AE243" i="29"/>
  <c r="AD243" i="29"/>
  <c r="A248" i="25"/>
  <c r="D248" i="25"/>
  <c r="B245" i="29"/>
  <c r="B282" i="9"/>
  <c r="C282" i="9"/>
  <c r="W281" i="9"/>
  <c r="P281" i="9"/>
  <c r="T280" i="9"/>
  <c r="V280" i="9"/>
  <c r="X280" i="9"/>
  <c r="U280" i="9"/>
  <c r="F247" i="25"/>
  <c r="G247" i="25"/>
  <c r="V247" i="25"/>
  <c r="T248" i="25"/>
  <c r="E248" i="25"/>
  <c r="U248" i="25"/>
  <c r="K248" i="25"/>
  <c r="S282" i="9"/>
  <c r="N282" i="9"/>
  <c r="A249" i="25"/>
  <c r="D249" i="25"/>
  <c r="B246" i="29"/>
  <c r="C283" i="9"/>
  <c r="B283" i="9"/>
  <c r="W282" i="9"/>
  <c r="P282" i="9"/>
  <c r="R281" i="9"/>
  <c r="E245" i="29"/>
  <c r="H248" i="25"/>
  <c r="D245" i="29"/>
  <c r="AC245" i="29"/>
  <c r="I246" i="25"/>
  <c r="W246" i="25"/>
  <c r="F244" i="29"/>
  <c r="AE244" i="29"/>
  <c r="AD244" i="29"/>
  <c r="Q281" i="9"/>
  <c r="T281" i="9"/>
  <c r="V281" i="9"/>
  <c r="X281" i="9"/>
  <c r="U281" i="9"/>
  <c r="F248" i="25"/>
  <c r="G248" i="25"/>
  <c r="V248" i="25"/>
  <c r="I247" i="25"/>
  <c r="W247" i="25"/>
  <c r="S283" i="9"/>
  <c r="N283" i="9"/>
  <c r="R282" i="9"/>
  <c r="E246" i="29"/>
  <c r="H249" i="25"/>
  <c r="D246" i="29"/>
  <c r="AC246" i="29"/>
  <c r="F245" i="29"/>
  <c r="AE245" i="29"/>
  <c r="AD245" i="29"/>
  <c r="T249" i="25"/>
  <c r="E249" i="25"/>
  <c r="U249" i="25"/>
  <c r="A250" i="25"/>
  <c r="D250" i="25"/>
  <c r="B247" i="29"/>
  <c r="C284" i="9"/>
  <c r="B284" i="9"/>
  <c r="W283" i="9"/>
  <c r="P283" i="9"/>
  <c r="Q283" i="9"/>
  <c r="Q282" i="9"/>
  <c r="T282" i="9"/>
  <c r="V282" i="9"/>
  <c r="X282" i="9"/>
  <c r="U282" i="9"/>
  <c r="F249" i="25"/>
  <c r="G249" i="25"/>
  <c r="V249" i="25"/>
  <c r="K249" i="25"/>
  <c r="A251" i="25"/>
  <c r="D251" i="25"/>
  <c r="B248" i="29"/>
  <c r="B285" i="9"/>
  <c r="C285" i="9"/>
  <c r="W284" i="9"/>
  <c r="P284" i="9"/>
  <c r="Q284" i="9"/>
  <c r="S284" i="9"/>
  <c r="N284" i="9"/>
  <c r="I248" i="25"/>
  <c r="W248" i="25"/>
  <c r="R283" i="9"/>
  <c r="E247" i="29"/>
  <c r="H250" i="25"/>
  <c r="D247" i="29"/>
  <c r="AC247" i="29"/>
  <c r="F246" i="29"/>
  <c r="AE246" i="29"/>
  <c r="AD246" i="29"/>
  <c r="T250" i="25"/>
  <c r="E250" i="25"/>
  <c r="U250" i="25"/>
  <c r="T283" i="9"/>
  <c r="V283" i="9"/>
  <c r="X283" i="9"/>
  <c r="K250" i="25"/>
  <c r="T251" i="25"/>
  <c r="E251" i="25"/>
  <c r="U251" i="25"/>
  <c r="F247" i="29"/>
  <c r="AE247" i="29"/>
  <c r="AD247" i="29"/>
  <c r="I249" i="25"/>
  <c r="W249" i="25"/>
  <c r="S285" i="9"/>
  <c r="N285" i="9"/>
  <c r="U283" i="9"/>
  <c r="F250" i="25"/>
  <c r="G250" i="25"/>
  <c r="V250" i="25"/>
  <c r="A252" i="25"/>
  <c r="D252" i="25"/>
  <c r="B249" i="29"/>
  <c r="B286" i="9"/>
  <c r="C286" i="9"/>
  <c r="W285" i="9"/>
  <c r="P285" i="9"/>
  <c r="Q285" i="9"/>
  <c r="R284" i="9"/>
  <c r="E248" i="29"/>
  <c r="D248" i="29"/>
  <c r="AC248" i="29"/>
  <c r="T284" i="9"/>
  <c r="V284" i="9"/>
  <c r="X284" i="9"/>
  <c r="K251" i="25"/>
  <c r="S286" i="9"/>
  <c r="N286" i="9"/>
  <c r="I250" i="25"/>
  <c r="W250" i="25"/>
  <c r="A253" i="25"/>
  <c r="D253" i="25"/>
  <c r="B250" i="29"/>
  <c r="C287" i="9"/>
  <c r="B287" i="9"/>
  <c r="W286" i="9"/>
  <c r="P286" i="9"/>
  <c r="F248" i="29"/>
  <c r="AE248" i="29"/>
  <c r="AD248" i="29"/>
  <c r="R285" i="9"/>
  <c r="D249" i="29"/>
  <c r="AC249" i="29"/>
  <c r="E249" i="29"/>
  <c r="U284" i="9"/>
  <c r="F251" i="25"/>
  <c r="G251" i="25"/>
  <c r="V251" i="25"/>
  <c r="T252" i="25"/>
  <c r="E252" i="25"/>
  <c r="U252" i="25"/>
  <c r="H252" i="25"/>
  <c r="H251" i="25"/>
  <c r="T285" i="9"/>
  <c r="V285" i="9"/>
  <c r="X285" i="9"/>
  <c r="K252" i="25"/>
  <c r="F249" i="29"/>
  <c r="AE249" i="29"/>
  <c r="AD249" i="29"/>
  <c r="A254" i="25"/>
  <c r="D254" i="25"/>
  <c r="B251" i="29"/>
  <c r="C288" i="9"/>
  <c r="B288" i="9"/>
  <c r="W287" i="9"/>
  <c r="P287" i="9"/>
  <c r="Q287" i="9"/>
  <c r="I251" i="25"/>
  <c r="W251" i="25"/>
  <c r="S287" i="9"/>
  <c r="N287" i="9"/>
  <c r="U285" i="9"/>
  <c r="F252" i="25"/>
  <c r="G252" i="25"/>
  <c r="V252" i="25"/>
  <c r="R286" i="9"/>
  <c r="E250" i="29"/>
  <c r="H253" i="25"/>
  <c r="D250" i="29"/>
  <c r="AC250" i="29"/>
  <c r="Q286" i="9"/>
  <c r="T253" i="25"/>
  <c r="E253" i="25"/>
  <c r="U253" i="25"/>
  <c r="K253" i="25"/>
  <c r="T286" i="9"/>
  <c r="V286" i="9"/>
  <c r="X286" i="9"/>
  <c r="R287" i="9"/>
  <c r="D251" i="29"/>
  <c r="AC251" i="29"/>
  <c r="E251" i="29"/>
  <c r="H254" i="25"/>
  <c r="AD250" i="29"/>
  <c r="F250" i="29"/>
  <c r="AE250" i="29"/>
  <c r="T254" i="25"/>
  <c r="E254" i="25"/>
  <c r="U254" i="25"/>
  <c r="K254" i="25"/>
  <c r="U286" i="9"/>
  <c r="F253" i="25"/>
  <c r="G253" i="25"/>
  <c r="V253" i="25"/>
  <c r="I252" i="25"/>
  <c r="W252" i="25"/>
  <c r="A255" i="25"/>
  <c r="D255" i="25"/>
  <c r="B252" i="29"/>
  <c r="C289" i="9"/>
  <c r="B289" i="9"/>
  <c r="W288" i="9"/>
  <c r="P288" i="9"/>
  <c r="S288" i="9"/>
  <c r="N288" i="9"/>
  <c r="T287" i="9"/>
  <c r="V287" i="9"/>
  <c r="X287" i="9"/>
  <c r="U287" i="9"/>
  <c r="F254" i="25"/>
  <c r="G254" i="25"/>
  <c r="V254" i="25"/>
  <c r="T255" i="25"/>
  <c r="E255" i="25"/>
  <c r="U255" i="25"/>
  <c r="K255" i="25"/>
  <c r="A256" i="25"/>
  <c r="D256" i="25"/>
  <c r="B253" i="29"/>
  <c r="B290" i="9"/>
  <c r="C290" i="9"/>
  <c r="W289" i="9"/>
  <c r="P289" i="9"/>
  <c r="Q289" i="9"/>
  <c r="I253" i="25"/>
  <c r="W253" i="25"/>
  <c r="AD251" i="29"/>
  <c r="F251" i="29"/>
  <c r="AE251" i="29"/>
  <c r="R288" i="9"/>
  <c r="E252" i="29"/>
  <c r="D252" i="29"/>
  <c r="AC252" i="29"/>
  <c r="Q288" i="9"/>
  <c r="S289" i="9"/>
  <c r="N289" i="9"/>
  <c r="T288" i="9"/>
  <c r="V288" i="9"/>
  <c r="X288" i="9"/>
  <c r="U288" i="9"/>
  <c r="F255" i="25"/>
  <c r="G255" i="25"/>
  <c r="V255" i="25"/>
  <c r="A257" i="25"/>
  <c r="D257" i="25"/>
  <c r="B254" i="29"/>
  <c r="C291" i="9"/>
  <c r="B291" i="9"/>
  <c r="W290" i="9"/>
  <c r="P290" i="9"/>
  <c r="Q290" i="9"/>
  <c r="AD252" i="29"/>
  <c r="F252" i="29"/>
  <c r="AE252" i="29"/>
  <c r="R289" i="9"/>
  <c r="U289" i="9"/>
  <c r="F256" i="25"/>
  <c r="D253" i="29"/>
  <c r="AC253" i="29"/>
  <c r="E253" i="29"/>
  <c r="H255" i="25"/>
  <c r="T256" i="25"/>
  <c r="E256" i="25"/>
  <c r="U256" i="25"/>
  <c r="K256" i="25"/>
  <c r="H256" i="25"/>
  <c r="I254" i="25"/>
  <c r="W254" i="25"/>
  <c r="S290" i="9"/>
  <c r="N290" i="9"/>
  <c r="T289" i="9"/>
  <c r="V289" i="9"/>
  <c r="X289" i="9"/>
  <c r="I255" i="25"/>
  <c r="W255" i="25"/>
  <c r="R290" i="9"/>
  <c r="E254" i="29"/>
  <c r="H257" i="25"/>
  <c r="D254" i="29"/>
  <c r="AC254" i="29"/>
  <c r="AD253" i="29"/>
  <c r="F253" i="29"/>
  <c r="AE253" i="29"/>
  <c r="T257" i="25"/>
  <c r="E257" i="25"/>
  <c r="U257" i="25"/>
  <c r="K257" i="25"/>
  <c r="A258" i="25"/>
  <c r="D258" i="25"/>
  <c r="B255" i="29"/>
  <c r="B292" i="9"/>
  <c r="C292" i="9"/>
  <c r="W291" i="9"/>
  <c r="P291" i="9"/>
  <c r="Q291" i="9"/>
  <c r="G256" i="25"/>
  <c r="V256" i="25"/>
  <c r="S291" i="9"/>
  <c r="N291" i="9"/>
  <c r="T290" i="9"/>
  <c r="V290" i="9"/>
  <c r="X290" i="9"/>
  <c r="T258" i="25"/>
  <c r="E258" i="25"/>
  <c r="U258" i="25"/>
  <c r="K258" i="25"/>
  <c r="A259" i="25"/>
  <c r="D259" i="25"/>
  <c r="B256" i="29"/>
  <c r="C293" i="9"/>
  <c r="B293" i="9"/>
  <c r="W292" i="9"/>
  <c r="P292" i="9"/>
  <c r="Q292" i="9"/>
  <c r="R291" i="9"/>
  <c r="E255" i="29"/>
  <c r="H258" i="25"/>
  <c r="D255" i="29"/>
  <c r="AC255" i="29"/>
  <c r="U290" i="9"/>
  <c r="F257" i="25"/>
  <c r="G257" i="25"/>
  <c r="V257" i="25"/>
  <c r="I256" i="25"/>
  <c r="W256" i="25"/>
  <c r="S292" i="9"/>
  <c r="N292" i="9"/>
  <c r="AD254" i="29"/>
  <c r="F254" i="29"/>
  <c r="AE254" i="29"/>
  <c r="T291" i="9"/>
  <c r="V291" i="9"/>
  <c r="X291" i="9"/>
  <c r="U291" i="9"/>
  <c r="F258" i="25"/>
  <c r="G258" i="25"/>
  <c r="V258" i="25"/>
  <c r="A260" i="25"/>
  <c r="D260" i="25"/>
  <c r="B257" i="29"/>
  <c r="B294" i="9"/>
  <c r="C294" i="9"/>
  <c r="W293" i="9"/>
  <c r="P293" i="9"/>
  <c r="Q293" i="9"/>
  <c r="S293" i="9"/>
  <c r="N293" i="9"/>
  <c r="R292" i="9"/>
  <c r="E256" i="29"/>
  <c r="D256" i="29"/>
  <c r="AC256" i="29"/>
  <c r="I257" i="25"/>
  <c r="W257" i="25"/>
  <c r="F255" i="29"/>
  <c r="AE255" i="29"/>
  <c r="AD255" i="29"/>
  <c r="T259" i="25"/>
  <c r="E259" i="25"/>
  <c r="U259" i="25"/>
  <c r="K259" i="25"/>
  <c r="H259" i="25"/>
  <c r="T292" i="9"/>
  <c r="V292" i="9"/>
  <c r="X292" i="9"/>
  <c r="U292" i="9"/>
  <c r="F259" i="25"/>
  <c r="G259" i="25"/>
  <c r="V259" i="25"/>
  <c r="R293" i="9"/>
  <c r="E257" i="29"/>
  <c r="H260" i="25"/>
  <c r="D257" i="29"/>
  <c r="AC257" i="29"/>
  <c r="T260" i="25"/>
  <c r="E260" i="25"/>
  <c r="U260" i="25"/>
  <c r="K260" i="25"/>
  <c r="S294" i="9"/>
  <c r="N294" i="9"/>
  <c r="I258" i="25"/>
  <c r="W258" i="25"/>
  <c r="AD256" i="29"/>
  <c r="F256" i="29"/>
  <c r="AE256" i="29"/>
  <c r="A261" i="25"/>
  <c r="D261" i="25"/>
  <c r="B258" i="29"/>
  <c r="C295" i="9"/>
  <c r="B295" i="9"/>
  <c r="W294" i="9"/>
  <c r="P294" i="9"/>
  <c r="Q294" i="9"/>
  <c r="T293" i="9"/>
  <c r="V293" i="9"/>
  <c r="X293" i="9"/>
  <c r="AD257" i="29"/>
  <c r="F257" i="29"/>
  <c r="AE257" i="29"/>
  <c r="A262" i="25"/>
  <c r="D262" i="25"/>
  <c r="B259" i="29"/>
  <c r="C296" i="9"/>
  <c r="B296" i="9"/>
  <c r="W295" i="9"/>
  <c r="P295" i="9"/>
  <c r="Q295" i="9"/>
  <c r="U293" i="9"/>
  <c r="F260" i="25"/>
  <c r="G260" i="25"/>
  <c r="V260" i="25"/>
  <c r="T261" i="25"/>
  <c r="E261" i="25"/>
  <c r="U261" i="25"/>
  <c r="K261" i="25"/>
  <c r="S295" i="9"/>
  <c r="N295" i="9"/>
  <c r="R294" i="9"/>
  <c r="E258" i="29"/>
  <c r="H261" i="25"/>
  <c r="D258" i="29"/>
  <c r="AC258" i="29"/>
  <c r="I259" i="25"/>
  <c r="W259" i="25"/>
  <c r="T294" i="9"/>
  <c r="V294" i="9"/>
  <c r="X294" i="9"/>
  <c r="U294" i="9"/>
  <c r="F261" i="25"/>
  <c r="G261" i="25"/>
  <c r="V261" i="25"/>
  <c r="A263" i="25"/>
  <c r="D263" i="25"/>
  <c r="B260" i="29"/>
  <c r="C297" i="9"/>
  <c r="B297" i="9"/>
  <c r="W296" i="9"/>
  <c r="P296" i="9"/>
  <c r="Q296" i="9"/>
  <c r="S296" i="9"/>
  <c r="N296" i="9"/>
  <c r="AD258" i="29"/>
  <c r="F258" i="29"/>
  <c r="AE258" i="29"/>
  <c r="R295" i="9"/>
  <c r="E259" i="29"/>
  <c r="H262" i="25"/>
  <c r="D259" i="29"/>
  <c r="AC259" i="29"/>
  <c r="I260" i="25"/>
  <c r="W260" i="25"/>
  <c r="T262" i="25"/>
  <c r="E262" i="25"/>
  <c r="U262" i="25"/>
  <c r="K262" i="25"/>
  <c r="T295" i="9"/>
  <c r="V295" i="9"/>
  <c r="X295" i="9"/>
  <c r="U295" i="9"/>
  <c r="F262" i="25"/>
  <c r="G262" i="25"/>
  <c r="V262" i="25"/>
  <c r="T263" i="25"/>
  <c r="E263" i="25"/>
  <c r="U263" i="25"/>
  <c r="K263" i="25"/>
  <c r="I261" i="25"/>
  <c r="W261" i="25"/>
  <c r="A264" i="25"/>
  <c r="D264" i="25"/>
  <c r="B261" i="29"/>
  <c r="B298" i="9"/>
  <c r="C298" i="9"/>
  <c r="W297" i="9"/>
  <c r="P297" i="9"/>
  <c r="AD259" i="29"/>
  <c r="F259" i="29"/>
  <c r="AE259" i="29"/>
  <c r="S297" i="9"/>
  <c r="N297" i="9"/>
  <c r="R296" i="9"/>
  <c r="D260" i="29"/>
  <c r="AC260" i="29"/>
  <c r="E260" i="29"/>
  <c r="T296" i="9"/>
  <c r="V296" i="9"/>
  <c r="X296" i="9"/>
  <c r="U296" i="9"/>
  <c r="F263" i="25"/>
  <c r="G263" i="25"/>
  <c r="V263" i="25"/>
  <c r="R297" i="9"/>
  <c r="T264" i="25"/>
  <c r="E264" i="25"/>
  <c r="U264" i="25"/>
  <c r="K264" i="25"/>
  <c r="E261" i="29"/>
  <c r="H264" i="25"/>
  <c r="D261" i="29"/>
  <c r="AC261" i="29"/>
  <c r="S298" i="9"/>
  <c r="N298" i="9"/>
  <c r="I262" i="25"/>
  <c r="W262" i="25"/>
  <c r="AD260" i="29"/>
  <c r="F260" i="29"/>
  <c r="AE260" i="29"/>
  <c r="Q297" i="9"/>
  <c r="A265" i="25"/>
  <c r="D265" i="25"/>
  <c r="B262" i="29"/>
  <c r="C299" i="9"/>
  <c r="B299" i="9"/>
  <c r="W298" i="9"/>
  <c r="P298" i="9"/>
  <c r="H263" i="25"/>
  <c r="T297" i="9"/>
  <c r="V297" i="9"/>
  <c r="X297" i="9"/>
  <c r="U297" i="9"/>
  <c r="F264" i="25"/>
  <c r="G264" i="25"/>
  <c r="V264" i="25"/>
  <c r="R298" i="9"/>
  <c r="D262" i="29"/>
  <c r="AC262" i="29"/>
  <c r="E262" i="29"/>
  <c r="T265" i="25"/>
  <c r="E265" i="25"/>
  <c r="U265" i="25"/>
  <c r="K265" i="25"/>
  <c r="H265" i="25"/>
  <c r="I263" i="25"/>
  <c r="W263" i="25"/>
  <c r="A266" i="25"/>
  <c r="D266" i="25"/>
  <c r="B263" i="29"/>
  <c r="C300" i="9"/>
  <c r="B300" i="9"/>
  <c r="W299" i="9"/>
  <c r="P299" i="9"/>
  <c r="Q299" i="9"/>
  <c r="S299" i="9"/>
  <c r="N299" i="9"/>
  <c r="Q298" i="9"/>
  <c r="AD261" i="29"/>
  <c r="F261" i="29"/>
  <c r="AE261" i="29"/>
  <c r="T298" i="9"/>
  <c r="V298" i="9"/>
  <c r="X298" i="9"/>
  <c r="U298" i="9"/>
  <c r="F265" i="25"/>
  <c r="G265" i="25"/>
  <c r="V265" i="25"/>
  <c r="S300" i="9"/>
  <c r="N300" i="9"/>
  <c r="R299" i="9"/>
  <c r="E263" i="29"/>
  <c r="D263" i="29"/>
  <c r="AC263" i="29"/>
  <c r="T266" i="25"/>
  <c r="E266" i="25"/>
  <c r="U266" i="25"/>
  <c r="K266" i="25"/>
  <c r="H266" i="25"/>
  <c r="I264" i="25"/>
  <c r="W264" i="25"/>
  <c r="A267" i="25"/>
  <c r="D267" i="25"/>
  <c r="B264" i="29"/>
  <c r="B301" i="9"/>
  <c r="C301" i="9"/>
  <c r="W300" i="9"/>
  <c r="P300" i="9"/>
  <c r="Q300" i="9"/>
  <c r="AD262" i="29"/>
  <c r="F262" i="29"/>
  <c r="AE262" i="29"/>
  <c r="T299" i="9"/>
  <c r="V299" i="9"/>
  <c r="X299" i="9"/>
  <c r="U299" i="9"/>
  <c r="F266" i="25"/>
  <c r="G266" i="25"/>
  <c r="V266" i="25"/>
  <c r="A268" i="25"/>
  <c r="D268" i="25"/>
  <c r="B265" i="29"/>
  <c r="B302" i="9"/>
  <c r="C302" i="9"/>
  <c r="W301" i="9"/>
  <c r="P301" i="9"/>
  <c r="Q301" i="9"/>
  <c r="R300" i="9"/>
  <c r="D264" i="29"/>
  <c r="AC264" i="29"/>
  <c r="E264" i="29"/>
  <c r="H267" i="25"/>
  <c r="I265" i="25"/>
  <c r="W265" i="25"/>
  <c r="T267" i="25"/>
  <c r="E267" i="25"/>
  <c r="U267" i="25"/>
  <c r="K267" i="25"/>
  <c r="AD263" i="29"/>
  <c r="F263" i="29"/>
  <c r="AE263" i="29"/>
  <c r="S301" i="9"/>
  <c r="N301" i="9"/>
  <c r="T300" i="9"/>
  <c r="V300" i="9"/>
  <c r="X300" i="9"/>
  <c r="I266" i="25"/>
  <c r="W266" i="25"/>
  <c r="AD264" i="29"/>
  <c r="F264" i="29"/>
  <c r="AE264" i="29"/>
  <c r="A269" i="25"/>
  <c r="D269" i="25"/>
  <c r="B266" i="29"/>
  <c r="C303" i="9"/>
  <c r="B303" i="9"/>
  <c r="W302" i="9"/>
  <c r="P302" i="9"/>
  <c r="Q302" i="9"/>
  <c r="R301" i="9"/>
  <c r="E265" i="29"/>
  <c r="H268" i="25"/>
  <c r="D265" i="29"/>
  <c r="AC265" i="29"/>
  <c r="U300" i="9"/>
  <c r="F267" i="25"/>
  <c r="G267" i="25"/>
  <c r="V267" i="25"/>
  <c r="T268" i="25"/>
  <c r="E268" i="25"/>
  <c r="U268" i="25"/>
  <c r="K268" i="25"/>
  <c r="S302" i="9"/>
  <c r="N302" i="9"/>
  <c r="T301" i="9"/>
  <c r="V301" i="9"/>
  <c r="X301" i="9"/>
  <c r="U301" i="9"/>
  <c r="F268" i="25"/>
  <c r="G268" i="25"/>
  <c r="V268" i="25"/>
  <c r="A270" i="25"/>
  <c r="D270" i="25"/>
  <c r="B267" i="29"/>
  <c r="C304" i="9"/>
  <c r="B304" i="9"/>
  <c r="W303" i="9"/>
  <c r="P303" i="9"/>
  <c r="S303" i="9"/>
  <c r="N303" i="9"/>
  <c r="R302" i="9"/>
  <c r="D266" i="29"/>
  <c r="AC266" i="29"/>
  <c r="E266" i="29"/>
  <c r="H269" i="25"/>
  <c r="I267" i="25"/>
  <c r="W267" i="25"/>
  <c r="F265" i="29"/>
  <c r="AE265" i="29"/>
  <c r="AD265" i="29"/>
  <c r="T269" i="25"/>
  <c r="E269" i="25"/>
  <c r="U269" i="25"/>
  <c r="K269" i="25"/>
  <c r="T302" i="9"/>
  <c r="V302" i="9"/>
  <c r="X302" i="9"/>
  <c r="I268" i="25"/>
  <c r="W268" i="25"/>
  <c r="S304" i="9"/>
  <c r="N304" i="9"/>
  <c r="U302" i="9"/>
  <c r="F269" i="25"/>
  <c r="G269" i="25"/>
  <c r="V269" i="25"/>
  <c r="R303" i="9"/>
  <c r="E267" i="29"/>
  <c r="H270" i="25"/>
  <c r="D267" i="29"/>
  <c r="AC267" i="29"/>
  <c r="F266" i="29"/>
  <c r="AE266" i="29"/>
  <c r="AD266" i="29"/>
  <c r="Q303" i="9"/>
  <c r="T270" i="25"/>
  <c r="E270" i="25"/>
  <c r="U270" i="25"/>
  <c r="K270" i="25"/>
  <c r="A271" i="25"/>
  <c r="D271" i="25"/>
  <c r="B268" i="29"/>
  <c r="C305" i="9"/>
  <c r="B305" i="9"/>
  <c r="W304" i="9"/>
  <c r="P304" i="9"/>
  <c r="T303" i="9"/>
  <c r="V303" i="9"/>
  <c r="X303" i="9"/>
  <c r="U303" i="9"/>
  <c r="F270" i="25"/>
  <c r="G270" i="25"/>
  <c r="V270" i="25"/>
  <c r="D268" i="29"/>
  <c r="AC268" i="29"/>
  <c r="E268" i="29"/>
  <c r="H271" i="25"/>
  <c r="I269" i="25"/>
  <c r="W269" i="25"/>
  <c r="R304" i="9"/>
  <c r="T271" i="25"/>
  <c r="E271" i="25"/>
  <c r="U271" i="25"/>
  <c r="K271" i="25"/>
  <c r="A272" i="25"/>
  <c r="D272" i="25"/>
  <c r="B269" i="29"/>
  <c r="B306" i="9"/>
  <c r="C306" i="9"/>
  <c r="W305" i="9"/>
  <c r="P305" i="9"/>
  <c r="Q305" i="9"/>
  <c r="S305" i="9"/>
  <c r="N305" i="9"/>
  <c r="F267" i="29"/>
  <c r="AE267" i="29"/>
  <c r="AD267" i="29"/>
  <c r="Q304" i="9"/>
  <c r="T304" i="9"/>
  <c r="V304" i="9"/>
  <c r="X304" i="9"/>
  <c r="U304" i="9"/>
  <c r="F271" i="25"/>
  <c r="G271" i="25"/>
  <c r="V271" i="25"/>
  <c r="T272" i="25"/>
  <c r="E272" i="25"/>
  <c r="U272" i="25"/>
  <c r="K272" i="25"/>
  <c r="I270" i="25"/>
  <c r="W270" i="25"/>
  <c r="A273" i="25"/>
  <c r="D273" i="25"/>
  <c r="B270" i="29"/>
  <c r="C307" i="9"/>
  <c r="B307" i="9"/>
  <c r="W306" i="9"/>
  <c r="P306" i="9"/>
  <c r="Q306" i="9"/>
  <c r="AD268" i="29"/>
  <c r="F268" i="29"/>
  <c r="AE268" i="29"/>
  <c r="S306" i="9"/>
  <c r="N306" i="9"/>
  <c r="R305" i="9"/>
  <c r="E269" i="29"/>
  <c r="H272" i="25"/>
  <c r="D269" i="29"/>
  <c r="AC269" i="29"/>
  <c r="T305" i="9"/>
  <c r="V305" i="9"/>
  <c r="X305" i="9"/>
  <c r="U305" i="9"/>
  <c r="F272" i="25"/>
  <c r="G272" i="25"/>
  <c r="V272" i="25"/>
  <c r="R306" i="9"/>
  <c r="D270" i="29"/>
  <c r="AC270" i="29"/>
  <c r="E270" i="29"/>
  <c r="H273" i="25"/>
  <c r="I271" i="25"/>
  <c r="W271" i="25"/>
  <c r="T273" i="25"/>
  <c r="E273" i="25"/>
  <c r="U273" i="25"/>
  <c r="K273" i="25"/>
  <c r="A274" i="25"/>
  <c r="D274" i="25"/>
  <c r="B271" i="29"/>
  <c r="B308" i="9"/>
  <c r="C308" i="9"/>
  <c r="W307" i="9"/>
  <c r="P307" i="9"/>
  <c r="Q307" i="9"/>
  <c r="AD269" i="29"/>
  <c r="F269" i="29"/>
  <c r="AE269" i="29"/>
  <c r="S307" i="9"/>
  <c r="N307" i="9"/>
  <c r="T306" i="9"/>
  <c r="V306" i="9"/>
  <c r="X306" i="9"/>
  <c r="T274" i="25"/>
  <c r="E274" i="25"/>
  <c r="U274" i="25"/>
  <c r="K274" i="25"/>
  <c r="U306" i="9"/>
  <c r="F273" i="25"/>
  <c r="G273" i="25"/>
  <c r="V273" i="25"/>
  <c r="S308" i="9"/>
  <c r="N308" i="9"/>
  <c r="A275" i="25"/>
  <c r="D275" i="25"/>
  <c r="B272" i="29"/>
  <c r="C309" i="9"/>
  <c r="B309" i="9"/>
  <c r="W308" i="9"/>
  <c r="P308" i="9"/>
  <c r="AD270" i="29"/>
  <c r="F270" i="29"/>
  <c r="AE270" i="29"/>
  <c r="R307" i="9"/>
  <c r="D271" i="29"/>
  <c r="AC271" i="29"/>
  <c r="E271" i="29"/>
  <c r="H274" i="25"/>
  <c r="I272" i="25"/>
  <c r="W272" i="25"/>
  <c r="T307" i="9"/>
  <c r="V307" i="9"/>
  <c r="X307" i="9"/>
  <c r="S309" i="9"/>
  <c r="N309" i="9"/>
  <c r="I273" i="25"/>
  <c r="W273" i="25"/>
  <c r="AD271" i="29"/>
  <c r="F271" i="29"/>
  <c r="AE271" i="29"/>
  <c r="R308" i="9"/>
  <c r="D272" i="29"/>
  <c r="AC272" i="29"/>
  <c r="E272" i="29"/>
  <c r="T275" i="25"/>
  <c r="E275" i="25"/>
  <c r="U275" i="25"/>
  <c r="K275" i="25"/>
  <c r="H275" i="25"/>
  <c r="U307" i="9"/>
  <c r="F274" i="25"/>
  <c r="G274" i="25"/>
  <c r="V274" i="25"/>
  <c r="A276" i="25"/>
  <c r="D276" i="25"/>
  <c r="B273" i="29"/>
  <c r="B310" i="9"/>
  <c r="C310" i="9"/>
  <c r="W309" i="9"/>
  <c r="P309" i="9"/>
  <c r="Q309" i="9"/>
  <c r="Q308" i="9"/>
  <c r="T308" i="9"/>
  <c r="V308" i="9"/>
  <c r="X308" i="9"/>
  <c r="S310" i="9"/>
  <c r="N310" i="9"/>
  <c r="A277" i="25"/>
  <c r="D277" i="25"/>
  <c r="B274" i="29"/>
  <c r="C311" i="9"/>
  <c r="B311" i="9"/>
  <c r="W310" i="9"/>
  <c r="P310" i="9"/>
  <c r="U308" i="9"/>
  <c r="F275" i="25"/>
  <c r="G275" i="25"/>
  <c r="V275" i="25"/>
  <c r="I274" i="25"/>
  <c r="W274" i="25"/>
  <c r="R309" i="9"/>
  <c r="D273" i="29"/>
  <c r="AC273" i="29"/>
  <c r="E273" i="29"/>
  <c r="H276" i="25"/>
  <c r="T276" i="25"/>
  <c r="E276" i="25"/>
  <c r="U276" i="25"/>
  <c r="K276" i="25"/>
  <c r="AD272" i="29"/>
  <c r="F272" i="29"/>
  <c r="AE272" i="29"/>
  <c r="T309" i="9"/>
  <c r="V309" i="9"/>
  <c r="X309" i="9"/>
  <c r="U309" i="9"/>
  <c r="F276" i="25"/>
  <c r="G276" i="25"/>
  <c r="V276" i="25"/>
  <c r="A278" i="25"/>
  <c r="D278" i="25"/>
  <c r="B275" i="29"/>
  <c r="C312" i="9"/>
  <c r="B312" i="9"/>
  <c r="W311" i="9"/>
  <c r="P311" i="9"/>
  <c r="Q311" i="9"/>
  <c r="S311" i="9"/>
  <c r="N311" i="9"/>
  <c r="AD273" i="29"/>
  <c r="F273" i="29"/>
  <c r="AE273" i="29"/>
  <c r="R310" i="9"/>
  <c r="E274" i="29"/>
  <c r="H277" i="25"/>
  <c r="D274" i="29"/>
  <c r="AC274" i="29"/>
  <c r="I275" i="25"/>
  <c r="W275" i="25"/>
  <c r="T277" i="25"/>
  <c r="E277" i="25"/>
  <c r="U277" i="25"/>
  <c r="K277" i="25"/>
  <c r="Q310" i="9"/>
  <c r="T310" i="9"/>
  <c r="V310" i="9"/>
  <c r="X310" i="9"/>
  <c r="U310" i="9"/>
  <c r="F277" i="25"/>
  <c r="G277" i="25"/>
  <c r="V277" i="25"/>
  <c r="R311" i="9"/>
  <c r="E275" i="29"/>
  <c r="D275" i="29"/>
  <c r="AC275" i="29"/>
  <c r="T278" i="25"/>
  <c r="E278" i="25"/>
  <c r="U278" i="25"/>
  <c r="K278" i="25"/>
  <c r="H278" i="25"/>
  <c r="F274" i="29"/>
  <c r="AE274" i="29"/>
  <c r="AD274" i="29"/>
  <c r="A279" i="25"/>
  <c r="D279" i="25"/>
  <c r="B276" i="29"/>
  <c r="C313" i="9"/>
  <c r="B313" i="9"/>
  <c r="W312" i="9"/>
  <c r="P312" i="9"/>
  <c r="Q312" i="9"/>
  <c r="I276" i="25"/>
  <c r="W276" i="25"/>
  <c r="S312" i="9"/>
  <c r="N312" i="9"/>
  <c r="T311" i="9"/>
  <c r="V311" i="9"/>
  <c r="X311" i="9"/>
  <c r="AD275" i="29"/>
  <c r="F275" i="29"/>
  <c r="AE275" i="29"/>
  <c r="U311" i="9"/>
  <c r="F278" i="25"/>
  <c r="G278" i="25"/>
  <c r="V278" i="25"/>
  <c r="T279" i="25"/>
  <c r="E279" i="25"/>
  <c r="U279" i="25"/>
  <c r="K279" i="25"/>
  <c r="I277" i="25"/>
  <c r="W277" i="25"/>
  <c r="A280" i="25"/>
  <c r="D280" i="25"/>
  <c r="B277" i="29"/>
  <c r="B314" i="9"/>
  <c r="C314" i="9"/>
  <c r="W313" i="9"/>
  <c r="P313" i="9"/>
  <c r="Q313" i="9"/>
  <c r="S313" i="9"/>
  <c r="N313" i="9"/>
  <c r="R312" i="9"/>
  <c r="D276" i="29"/>
  <c r="AC276" i="29"/>
  <c r="E276" i="29"/>
  <c r="T312" i="9"/>
  <c r="V312" i="9"/>
  <c r="X312" i="9"/>
  <c r="F276" i="29"/>
  <c r="AE276" i="29"/>
  <c r="AD276" i="29"/>
  <c r="T280" i="25"/>
  <c r="E280" i="25"/>
  <c r="U280" i="25"/>
  <c r="K280" i="25"/>
  <c r="S314" i="9"/>
  <c r="N314" i="9"/>
  <c r="I278" i="25"/>
  <c r="W278" i="25"/>
  <c r="H279" i="25"/>
  <c r="U312" i="9"/>
  <c r="F279" i="25"/>
  <c r="G279" i="25"/>
  <c r="V279" i="25"/>
  <c r="A281" i="25"/>
  <c r="D281" i="25"/>
  <c r="B278" i="29"/>
  <c r="C315" i="9"/>
  <c r="B315" i="9"/>
  <c r="W314" i="9"/>
  <c r="P314" i="9"/>
  <c r="R313" i="9"/>
  <c r="D277" i="29"/>
  <c r="AC277" i="29"/>
  <c r="E277" i="29"/>
  <c r="T313" i="9"/>
  <c r="V313" i="9"/>
  <c r="X313" i="9"/>
  <c r="U313" i="9"/>
  <c r="F280" i="25"/>
  <c r="G280" i="25"/>
  <c r="V280" i="25"/>
  <c r="R314" i="9"/>
  <c r="D278" i="29"/>
  <c r="AC278" i="29"/>
  <c r="E278" i="29"/>
  <c r="H281" i="25"/>
  <c r="AD277" i="29"/>
  <c r="F277" i="29"/>
  <c r="AE277" i="29"/>
  <c r="T281" i="25"/>
  <c r="E281" i="25"/>
  <c r="U281" i="25"/>
  <c r="K281" i="25"/>
  <c r="Q314" i="9"/>
  <c r="A282" i="25"/>
  <c r="D282" i="25"/>
  <c r="B279" i="29"/>
  <c r="C316" i="9"/>
  <c r="B316" i="9"/>
  <c r="W315" i="9"/>
  <c r="P315" i="9"/>
  <c r="Q315" i="9"/>
  <c r="H280" i="25"/>
  <c r="S315" i="9"/>
  <c r="N315" i="9"/>
  <c r="I279" i="25"/>
  <c r="W279" i="25"/>
  <c r="T314" i="9"/>
  <c r="V314" i="9"/>
  <c r="X314" i="9"/>
  <c r="R315" i="9"/>
  <c r="E279" i="29"/>
  <c r="H282" i="25"/>
  <c r="D279" i="29"/>
  <c r="AC279" i="29"/>
  <c r="I280" i="25"/>
  <c r="W280" i="25"/>
  <c r="T282" i="25"/>
  <c r="E282" i="25"/>
  <c r="U282" i="25"/>
  <c r="K282" i="25"/>
  <c r="U314" i="9"/>
  <c r="F281" i="25"/>
  <c r="G281" i="25"/>
  <c r="V281" i="25"/>
  <c r="A283" i="25"/>
  <c r="D283" i="25"/>
  <c r="B280" i="29"/>
  <c r="B317" i="9"/>
  <c r="C317" i="9"/>
  <c r="W316" i="9"/>
  <c r="P316" i="9"/>
  <c r="Q316" i="9"/>
  <c r="S316" i="9"/>
  <c r="N316" i="9"/>
  <c r="AD278" i="29"/>
  <c r="F278" i="29"/>
  <c r="AE278" i="29"/>
  <c r="T315" i="9"/>
  <c r="V315" i="9"/>
  <c r="X315" i="9"/>
  <c r="S317" i="9"/>
  <c r="N317" i="9"/>
  <c r="AD279" i="29"/>
  <c r="F279" i="29"/>
  <c r="AE279" i="29"/>
  <c r="A284" i="25"/>
  <c r="D284" i="25"/>
  <c r="B281" i="29"/>
  <c r="B318" i="9"/>
  <c r="C318" i="9"/>
  <c r="W317" i="9"/>
  <c r="P317" i="9"/>
  <c r="Q317" i="9"/>
  <c r="R316" i="9"/>
  <c r="D280" i="29"/>
  <c r="AC280" i="29"/>
  <c r="E280" i="29"/>
  <c r="H283" i="25"/>
  <c r="I281" i="25"/>
  <c r="W281" i="25"/>
  <c r="U315" i="9"/>
  <c r="F282" i="25"/>
  <c r="G282" i="25"/>
  <c r="V282" i="25"/>
  <c r="T283" i="25"/>
  <c r="E283" i="25"/>
  <c r="U283" i="25"/>
  <c r="K283" i="25"/>
  <c r="T316" i="9"/>
  <c r="V316" i="9"/>
  <c r="X316" i="9"/>
  <c r="AD280" i="29"/>
  <c r="F280" i="29"/>
  <c r="AE280" i="29"/>
  <c r="S318" i="9"/>
  <c r="N318" i="9"/>
  <c r="A285" i="25"/>
  <c r="D285" i="25"/>
  <c r="B282" i="29"/>
  <c r="C319" i="9"/>
  <c r="B319" i="9"/>
  <c r="W318" i="9"/>
  <c r="P318" i="9"/>
  <c r="Q318" i="9"/>
  <c r="I282" i="25"/>
  <c r="W282" i="25"/>
  <c r="U316" i="9"/>
  <c r="F283" i="25"/>
  <c r="G283" i="25"/>
  <c r="V283" i="25"/>
  <c r="R317" i="9"/>
  <c r="E281" i="29"/>
  <c r="H284" i="25"/>
  <c r="D281" i="29"/>
  <c r="AC281" i="29"/>
  <c r="T284" i="25"/>
  <c r="E284" i="25"/>
  <c r="U284" i="25"/>
  <c r="K284" i="25"/>
  <c r="T317" i="9"/>
  <c r="V317" i="9"/>
  <c r="X317" i="9"/>
  <c r="A286" i="25"/>
  <c r="D286" i="25"/>
  <c r="B283" i="29"/>
  <c r="C320" i="9"/>
  <c r="B320" i="9"/>
  <c r="W319" i="9"/>
  <c r="P319" i="9"/>
  <c r="Q319" i="9"/>
  <c r="AD281" i="29"/>
  <c r="F281" i="29"/>
  <c r="AE281" i="29"/>
  <c r="S319" i="9"/>
  <c r="N319" i="9"/>
  <c r="U317" i="9"/>
  <c r="F284" i="25"/>
  <c r="G284" i="25"/>
  <c r="V284" i="25"/>
  <c r="I283" i="25"/>
  <c r="W283" i="25"/>
  <c r="R318" i="9"/>
  <c r="D282" i="29"/>
  <c r="AC282" i="29"/>
  <c r="E282" i="29"/>
  <c r="H285" i="25"/>
  <c r="T285" i="25"/>
  <c r="E285" i="25"/>
  <c r="U285" i="25"/>
  <c r="K285" i="25"/>
  <c r="T318" i="9"/>
  <c r="V318" i="9"/>
  <c r="X318" i="9"/>
  <c r="R319" i="9"/>
  <c r="E283" i="29"/>
  <c r="H286" i="25"/>
  <c r="D283" i="29"/>
  <c r="AC283" i="29"/>
  <c r="AD282" i="29"/>
  <c r="F282" i="29"/>
  <c r="AE282" i="29"/>
  <c r="T286" i="25"/>
  <c r="E286" i="25"/>
  <c r="U286" i="25"/>
  <c r="K286" i="25"/>
  <c r="A287" i="25"/>
  <c r="D287" i="25"/>
  <c r="B284" i="29"/>
  <c r="C321" i="9"/>
  <c r="B321" i="9"/>
  <c r="W320" i="9"/>
  <c r="P320" i="9"/>
  <c r="Q320" i="9"/>
  <c r="U318" i="9"/>
  <c r="F285" i="25"/>
  <c r="G285" i="25"/>
  <c r="V285" i="25"/>
  <c r="I284" i="25"/>
  <c r="W284" i="25"/>
  <c r="S320" i="9"/>
  <c r="N320" i="9"/>
  <c r="T319" i="9"/>
  <c r="V319" i="9"/>
  <c r="X319" i="9"/>
  <c r="R320" i="9"/>
  <c r="U320" i="9"/>
  <c r="F287" i="25"/>
  <c r="D284" i="29"/>
  <c r="AC284" i="29"/>
  <c r="E284" i="29"/>
  <c r="F283" i="29"/>
  <c r="AE283" i="29"/>
  <c r="AD283" i="29"/>
  <c r="A288" i="25"/>
  <c r="D288" i="25"/>
  <c r="B285" i="29"/>
  <c r="B322" i="9"/>
  <c r="C322" i="9"/>
  <c r="W321" i="9"/>
  <c r="P321" i="9"/>
  <c r="S321" i="9"/>
  <c r="N321" i="9"/>
  <c r="I285" i="25"/>
  <c r="W285" i="25"/>
  <c r="T287" i="25"/>
  <c r="E287" i="25"/>
  <c r="U287" i="25"/>
  <c r="K287" i="25"/>
  <c r="H287" i="25"/>
  <c r="U319" i="9"/>
  <c r="F286" i="25"/>
  <c r="G286" i="25"/>
  <c r="V286" i="25"/>
  <c r="T320" i="9"/>
  <c r="V320" i="9"/>
  <c r="X320" i="9"/>
  <c r="S322" i="9"/>
  <c r="N322" i="9"/>
  <c r="F284" i="29"/>
  <c r="AE284" i="29"/>
  <c r="AD284" i="29"/>
  <c r="I286" i="25"/>
  <c r="W286" i="25"/>
  <c r="A289" i="25"/>
  <c r="D289" i="25"/>
  <c r="B286" i="29"/>
  <c r="C323" i="9"/>
  <c r="B323" i="9"/>
  <c r="W322" i="9"/>
  <c r="P322" i="9"/>
  <c r="R321" i="9"/>
  <c r="E285" i="29"/>
  <c r="H288" i="25"/>
  <c r="D285" i="29"/>
  <c r="AC285" i="29"/>
  <c r="G287" i="25"/>
  <c r="V287" i="25"/>
  <c r="Q321" i="9"/>
  <c r="T288" i="25"/>
  <c r="E288" i="25"/>
  <c r="U288" i="25"/>
  <c r="K288" i="25"/>
  <c r="T321" i="9"/>
  <c r="V321" i="9"/>
  <c r="X321" i="9"/>
  <c r="T289" i="25"/>
  <c r="E289" i="25"/>
  <c r="U289" i="25"/>
  <c r="K289" i="25"/>
  <c r="U321" i="9"/>
  <c r="F288" i="25"/>
  <c r="G288" i="25"/>
  <c r="V288" i="25"/>
  <c r="A290" i="25"/>
  <c r="D290" i="25"/>
  <c r="B287" i="29"/>
  <c r="B324" i="9"/>
  <c r="C324" i="9"/>
  <c r="W323" i="9"/>
  <c r="P323" i="9"/>
  <c r="Q323" i="9"/>
  <c r="I287" i="25"/>
  <c r="W287" i="25"/>
  <c r="S323" i="9"/>
  <c r="N323" i="9"/>
  <c r="F285" i="29"/>
  <c r="AE285" i="29"/>
  <c r="AD285" i="29"/>
  <c r="R322" i="9"/>
  <c r="E286" i="29"/>
  <c r="D286" i="29"/>
  <c r="AC286" i="29"/>
  <c r="Q322" i="9"/>
  <c r="T322" i="9"/>
  <c r="V322" i="9"/>
  <c r="X322" i="9"/>
  <c r="U322" i="9"/>
  <c r="F289" i="25"/>
  <c r="G289" i="25"/>
  <c r="V289" i="25"/>
  <c r="AD286" i="29"/>
  <c r="F286" i="29"/>
  <c r="AE286" i="29"/>
  <c r="A291" i="25"/>
  <c r="D291" i="25"/>
  <c r="B288" i="29"/>
  <c r="C325" i="9"/>
  <c r="B325" i="9"/>
  <c r="W324" i="9"/>
  <c r="P324" i="9"/>
  <c r="Q324" i="9"/>
  <c r="H289" i="25"/>
  <c r="R323" i="9"/>
  <c r="D287" i="29"/>
  <c r="AC287" i="29"/>
  <c r="E287" i="29"/>
  <c r="H290" i="25"/>
  <c r="T290" i="25"/>
  <c r="E290" i="25"/>
  <c r="U290" i="25"/>
  <c r="K290" i="25"/>
  <c r="I288" i="25"/>
  <c r="W288" i="25"/>
  <c r="S324" i="9"/>
  <c r="N324" i="9"/>
  <c r="T323" i="9"/>
  <c r="V323" i="9"/>
  <c r="X323" i="9"/>
  <c r="U323" i="9"/>
  <c r="F290" i="25"/>
  <c r="G290" i="25"/>
  <c r="V290" i="25"/>
  <c r="A292" i="25"/>
  <c r="D292" i="25"/>
  <c r="B289" i="29"/>
  <c r="B326" i="9"/>
  <c r="C326" i="9"/>
  <c r="W325" i="9"/>
  <c r="P325" i="9"/>
  <c r="Q325" i="9"/>
  <c r="I289" i="25"/>
  <c r="W289" i="25"/>
  <c r="S325" i="9"/>
  <c r="N325" i="9"/>
  <c r="R324" i="9"/>
  <c r="D288" i="29"/>
  <c r="AC288" i="29"/>
  <c r="E288" i="29"/>
  <c r="H291" i="25"/>
  <c r="F287" i="29"/>
  <c r="AE287" i="29"/>
  <c r="AD287" i="29"/>
  <c r="T291" i="25"/>
  <c r="E291" i="25"/>
  <c r="U291" i="25"/>
  <c r="K291" i="25"/>
  <c r="T324" i="9"/>
  <c r="V324" i="9"/>
  <c r="X324" i="9"/>
  <c r="A293" i="25"/>
  <c r="D293" i="25"/>
  <c r="B290" i="29"/>
  <c r="C327" i="9"/>
  <c r="B327" i="9"/>
  <c r="W326" i="9"/>
  <c r="P326" i="9"/>
  <c r="Q326" i="9"/>
  <c r="AD288" i="29"/>
  <c r="F288" i="29"/>
  <c r="AE288" i="29"/>
  <c r="R325" i="9"/>
  <c r="U325" i="9"/>
  <c r="F292" i="25"/>
  <c r="G292" i="25"/>
  <c r="D289" i="29"/>
  <c r="AC289" i="29"/>
  <c r="E289" i="29"/>
  <c r="H292" i="25"/>
  <c r="I290" i="25"/>
  <c r="W290" i="25"/>
  <c r="T292" i="25"/>
  <c r="E292" i="25"/>
  <c r="U292" i="25"/>
  <c r="K292" i="25"/>
  <c r="U324" i="9"/>
  <c r="F291" i="25"/>
  <c r="G291" i="25"/>
  <c r="V291" i="25"/>
  <c r="S326" i="9"/>
  <c r="N326" i="9"/>
  <c r="T325" i="9"/>
  <c r="V325" i="9"/>
  <c r="X325" i="9"/>
  <c r="AD289" i="29"/>
  <c r="F289" i="29"/>
  <c r="AE289" i="29"/>
  <c r="A294" i="25"/>
  <c r="D294" i="25"/>
  <c r="B291" i="29"/>
  <c r="C328" i="9"/>
  <c r="B328" i="9"/>
  <c r="W327" i="9"/>
  <c r="P327" i="9"/>
  <c r="S327" i="9"/>
  <c r="N327" i="9"/>
  <c r="I291" i="25"/>
  <c r="W291" i="25"/>
  <c r="V292" i="25"/>
  <c r="R326" i="9"/>
  <c r="E290" i="29"/>
  <c r="H293" i="25"/>
  <c r="D290" i="29"/>
  <c r="AC290" i="29"/>
  <c r="T293" i="25"/>
  <c r="E293" i="25"/>
  <c r="U293" i="25"/>
  <c r="K293" i="25"/>
  <c r="T326" i="9"/>
  <c r="V326" i="9"/>
  <c r="X326" i="9"/>
  <c r="U326" i="9"/>
  <c r="F293" i="25"/>
  <c r="G293" i="25"/>
  <c r="V293" i="25"/>
  <c r="R327" i="9"/>
  <c r="D291" i="29"/>
  <c r="AC291" i="29"/>
  <c r="E291" i="29"/>
  <c r="H294" i="25"/>
  <c r="Q327" i="9"/>
  <c r="T294" i="25"/>
  <c r="E294" i="25"/>
  <c r="U294" i="25"/>
  <c r="K294" i="25"/>
  <c r="A295" i="25"/>
  <c r="D295" i="25"/>
  <c r="B292" i="29"/>
  <c r="C329" i="9"/>
  <c r="B329" i="9"/>
  <c r="W328" i="9"/>
  <c r="P328" i="9"/>
  <c r="Q328" i="9"/>
  <c r="F290" i="29"/>
  <c r="AE290" i="29"/>
  <c r="AD290" i="29"/>
  <c r="I292" i="25"/>
  <c r="W292" i="25"/>
  <c r="S328" i="9"/>
  <c r="N328" i="9"/>
  <c r="T327" i="9"/>
  <c r="V327" i="9"/>
  <c r="X327" i="9"/>
  <c r="T295" i="25"/>
  <c r="E295" i="25"/>
  <c r="U295" i="25"/>
  <c r="K295" i="25"/>
  <c r="A296" i="25"/>
  <c r="D296" i="25"/>
  <c r="B293" i="29"/>
  <c r="B330" i="9"/>
  <c r="C330" i="9"/>
  <c r="W329" i="9"/>
  <c r="P329" i="9"/>
  <c r="Q329" i="9"/>
  <c r="U327" i="9"/>
  <c r="F294" i="25"/>
  <c r="G294" i="25"/>
  <c r="V294" i="25"/>
  <c r="S329" i="9"/>
  <c r="N329" i="9"/>
  <c r="I293" i="25"/>
  <c r="W293" i="25"/>
  <c r="R328" i="9"/>
  <c r="D292" i="29"/>
  <c r="AC292" i="29"/>
  <c r="E292" i="29"/>
  <c r="F291" i="29"/>
  <c r="AE291" i="29"/>
  <c r="AD291" i="29"/>
  <c r="T328" i="9"/>
  <c r="V328" i="9"/>
  <c r="X328" i="9"/>
  <c r="T296" i="25"/>
  <c r="E296" i="25"/>
  <c r="U296" i="25"/>
  <c r="K296" i="25"/>
  <c r="U328" i="9"/>
  <c r="F295" i="25"/>
  <c r="G295" i="25"/>
  <c r="V295" i="25"/>
  <c r="S330" i="9"/>
  <c r="N330" i="9"/>
  <c r="A297" i="25"/>
  <c r="D297" i="25"/>
  <c r="B294" i="29"/>
  <c r="C331" i="9"/>
  <c r="B331" i="9"/>
  <c r="W330" i="9"/>
  <c r="P330" i="9"/>
  <c r="Q330" i="9"/>
  <c r="F292" i="29"/>
  <c r="AE292" i="29"/>
  <c r="AD292" i="29"/>
  <c r="I294" i="25"/>
  <c r="W294" i="25"/>
  <c r="R329" i="9"/>
  <c r="D293" i="29"/>
  <c r="AC293" i="29"/>
  <c r="E293" i="29"/>
  <c r="H296" i="25"/>
  <c r="H295" i="25"/>
  <c r="T329" i="9"/>
  <c r="V329" i="9"/>
  <c r="X329" i="9"/>
  <c r="S331" i="9"/>
  <c r="N331" i="9"/>
  <c r="U329" i="9"/>
  <c r="F296" i="25"/>
  <c r="G296" i="25"/>
  <c r="V296" i="25"/>
  <c r="R330" i="9"/>
  <c r="E294" i="29"/>
  <c r="D294" i="29"/>
  <c r="AC294" i="29"/>
  <c r="AD293" i="29"/>
  <c r="F293" i="29"/>
  <c r="AE293" i="29"/>
  <c r="I295" i="25"/>
  <c r="W295" i="25"/>
  <c r="T297" i="25"/>
  <c r="E297" i="25"/>
  <c r="U297" i="25"/>
  <c r="K297" i="25"/>
  <c r="H297" i="25"/>
  <c r="A298" i="25"/>
  <c r="D298" i="25"/>
  <c r="B295" i="29"/>
  <c r="C332" i="9"/>
  <c r="B332" i="9"/>
  <c r="W331" i="9"/>
  <c r="P331" i="9"/>
  <c r="Q331" i="9"/>
  <c r="T330" i="9"/>
  <c r="V330" i="9"/>
  <c r="X330" i="9"/>
  <c r="U330" i="9"/>
  <c r="F297" i="25"/>
  <c r="G297" i="25"/>
  <c r="V297" i="25"/>
  <c r="S332" i="9"/>
  <c r="N332" i="9"/>
  <c r="I296" i="25"/>
  <c r="W296" i="25"/>
  <c r="R331" i="9"/>
  <c r="D295" i="29"/>
  <c r="AC295" i="29"/>
  <c r="E295" i="29"/>
  <c r="H298" i="25"/>
  <c r="T298" i="25"/>
  <c r="E298" i="25"/>
  <c r="U298" i="25"/>
  <c r="K298" i="25"/>
  <c r="F294" i="29"/>
  <c r="AE294" i="29"/>
  <c r="AD294" i="29"/>
  <c r="A299" i="25"/>
  <c r="D299" i="25"/>
  <c r="B296" i="29"/>
  <c r="B333" i="9"/>
  <c r="C333" i="9"/>
  <c r="W332" i="9"/>
  <c r="P332" i="9"/>
  <c r="Q332" i="9"/>
  <c r="T331" i="9"/>
  <c r="V331" i="9"/>
  <c r="X331" i="9"/>
  <c r="U331" i="9"/>
  <c r="F298" i="25"/>
  <c r="G298" i="25"/>
  <c r="V298" i="25"/>
  <c r="S333" i="9"/>
  <c r="N333" i="9"/>
  <c r="I297" i="25"/>
  <c r="W297" i="25"/>
  <c r="A300" i="25"/>
  <c r="D300" i="25"/>
  <c r="B297" i="29"/>
  <c r="B334" i="9"/>
  <c r="C334" i="9"/>
  <c r="W333" i="9"/>
  <c r="P333" i="9"/>
  <c r="R332" i="9"/>
  <c r="E296" i="29"/>
  <c r="D296" i="29"/>
  <c r="AC296" i="29"/>
  <c r="AD295" i="29"/>
  <c r="F295" i="29"/>
  <c r="AE295" i="29"/>
  <c r="T299" i="25"/>
  <c r="E299" i="25"/>
  <c r="U299" i="25"/>
  <c r="K299" i="25"/>
  <c r="H299" i="25"/>
  <c r="T332" i="9"/>
  <c r="V332" i="9"/>
  <c r="X332" i="9"/>
  <c r="U332" i="9"/>
  <c r="F299" i="25"/>
  <c r="G299" i="25"/>
  <c r="V299" i="25"/>
  <c r="R333" i="9"/>
  <c r="D297" i="29"/>
  <c r="AC297" i="29"/>
  <c r="E297" i="29"/>
  <c r="I298" i="25"/>
  <c r="W298" i="25"/>
  <c r="T300" i="25"/>
  <c r="E300" i="25"/>
  <c r="U300" i="25"/>
  <c r="K300" i="25"/>
  <c r="H300" i="25"/>
  <c r="S334" i="9"/>
  <c r="N334" i="9"/>
  <c r="Q333" i="9"/>
  <c r="F296" i="29"/>
  <c r="AE296" i="29"/>
  <c r="AD296" i="29"/>
  <c r="A301" i="25"/>
  <c r="D301" i="25"/>
  <c r="B298" i="29"/>
  <c r="C335" i="9"/>
  <c r="B335" i="9"/>
  <c r="W334" i="9"/>
  <c r="P334" i="9"/>
  <c r="Q334" i="9"/>
  <c r="T333" i="9"/>
  <c r="V333" i="9"/>
  <c r="X333" i="9"/>
  <c r="S335" i="9"/>
  <c r="N335" i="9"/>
  <c r="U333" i="9"/>
  <c r="F300" i="25"/>
  <c r="G300" i="25"/>
  <c r="V300" i="25"/>
  <c r="R334" i="9"/>
  <c r="E298" i="29"/>
  <c r="D298" i="29"/>
  <c r="AC298" i="29"/>
  <c r="I299" i="25"/>
  <c r="W299" i="25"/>
  <c r="T301" i="25"/>
  <c r="E301" i="25"/>
  <c r="U301" i="25"/>
  <c r="K301" i="25"/>
  <c r="H301" i="25"/>
  <c r="F297" i="29"/>
  <c r="AE297" i="29"/>
  <c r="AD297" i="29"/>
  <c r="A302" i="25"/>
  <c r="D302" i="25"/>
  <c r="B299" i="29"/>
  <c r="C336" i="9"/>
  <c r="B336" i="9"/>
  <c r="W335" i="9"/>
  <c r="P335" i="9"/>
  <c r="T334" i="9"/>
  <c r="V334" i="9"/>
  <c r="X334" i="9"/>
  <c r="U334" i="9"/>
  <c r="F301" i="25"/>
  <c r="G301" i="25"/>
  <c r="V301" i="25"/>
  <c r="R335" i="9"/>
  <c r="E299" i="29"/>
  <c r="D299" i="29"/>
  <c r="AC299" i="29"/>
  <c r="I300" i="25"/>
  <c r="W300" i="25"/>
  <c r="Q335" i="9"/>
  <c r="T302" i="25"/>
  <c r="E302" i="25"/>
  <c r="U302" i="25"/>
  <c r="K302" i="25"/>
  <c r="H302" i="25"/>
  <c r="F298" i="29"/>
  <c r="AE298" i="29"/>
  <c r="AD298" i="29"/>
  <c r="A303" i="25"/>
  <c r="D303" i="25"/>
  <c r="B300" i="29"/>
  <c r="C337" i="9"/>
  <c r="B337" i="9"/>
  <c r="W336" i="9"/>
  <c r="P336" i="9"/>
  <c r="Q336" i="9"/>
  <c r="S336" i="9"/>
  <c r="N336" i="9"/>
  <c r="T335" i="9"/>
  <c r="V335" i="9"/>
  <c r="X335" i="9"/>
  <c r="U335" i="9"/>
  <c r="F302" i="25"/>
  <c r="G302" i="25"/>
  <c r="V302" i="25"/>
  <c r="A304" i="25"/>
  <c r="D304" i="25"/>
  <c r="B301" i="29"/>
  <c r="B338" i="9"/>
  <c r="C338" i="9"/>
  <c r="X337" i="9"/>
  <c r="P337" i="9"/>
  <c r="Q337" i="9"/>
  <c r="W337" i="9"/>
  <c r="S337" i="9"/>
  <c r="N337" i="9"/>
  <c r="AD299" i="29"/>
  <c r="F299" i="29"/>
  <c r="AE299" i="29"/>
  <c r="R336" i="9"/>
  <c r="E300" i="29"/>
  <c r="H303" i="25"/>
  <c r="D300" i="29"/>
  <c r="AC300" i="29"/>
  <c r="I301" i="25"/>
  <c r="W301" i="25"/>
  <c r="E303" i="25"/>
  <c r="U303" i="25"/>
  <c r="K303" i="25"/>
  <c r="T303" i="25"/>
  <c r="T336" i="9"/>
  <c r="V336" i="9"/>
  <c r="X336" i="9"/>
  <c r="I302" i="25"/>
  <c r="W302" i="25"/>
  <c r="AD300" i="29"/>
  <c r="F300" i="29"/>
  <c r="AE300" i="29"/>
  <c r="A305" i="25"/>
  <c r="D305" i="25"/>
  <c r="B302" i="29"/>
  <c r="C339" i="9"/>
  <c r="B339" i="9"/>
  <c r="X338" i="9"/>
  <c r="P338" i="9"/>
  <c r="Q338" i="9"/>
  <c r="W338" i="9"/>
  <c r="U336" i="9"/>
  <c r="F303" i="25"/>
  <c r="G303" i="25"/>
  <c r="V303" i="25"/>
  <c r="U337" i="9"/>
  <c r="R337" i="9"/>
  <c r="D301" i="29"/>
  <c r="AC301" i="29"/>
  <c r="E301" i="29"/>
  <c r="E304" i="25"/>
  <c r="U304" i="25"/>
  <c r="K304" i="25"/>
  <c r="G304" i="25"/>
  <c r="V304" i="25"/>
  <c r="I304" i="25"/>
  <c r="W304" i="25"/>
  <c r="H304" i="25"/>
  <c r="F304" i="25"/>
  <c r="T304" i="25"/>
  <c r="S338" i="9"/>
  <c r="N338" i="9"/>
  <c r="T337" i="9"/>
  <c r="V337" i="9"/>
  <c r="AD301" i="29"/>
  <c r="F301" i="29"/>
  <c r="AE301" i="29"/>
  <c r="A306" i="25"/>
  <c r="D306" i="25"/>
  <c r="B303" i="29"/>
  <c r="B340" i="9"/>
  <c r="C340" i="9"/>
  <c r="X339" i="9"/>
  <c r="W339" i="9"/>
  <c r="P339" i="9"/>
  <c r="Q339" i="9"/>
  <c r="S339" i="9"/>
  <c r="N339" i="9"/>
  <c r="U338" i="9"/>
  <c r="R338" i="9"/>
  <c r="E302" i="29"/>
  <c r="D302" i="29"/>
  <c r="AC302" i="29"/>
  <c r="I303" i="25"/>
  <c r="W303" i="25"/>
  <c r="G305" i="25"/>
  <c r="V305" i="25"/>
  <c r="I305" i="25"/>
  <c r="W305" i="25"/>
  <c r="F305" i="25"/>
  <c r="H305" i="25"/>
  <c r="E305" i="25"/>
  <c r="U305" i="25"/>
  <c r="K305" i="25"/>
  <c r="T305" i="25"/>
  <c r="T338" i="9"/>
  <c r="V338" i="9"/>
  <c r="E303" i="29"/>
  <c r="D303" i="29"/>
  <c r="AC303" i="29"/>
  <c r="AD302" i="29"/>
  <c r="F302" i="29"/>
  <c r="AE302" i="29"/>
  <c r="F306" i="25"/>
  <c r="H306" i="25"/>
  <c r="U306" i="25"/>
  <c r="K306" i="25"/>
  <c r="I306" i="25"/>
  <c r="W306" i="25"/>
  <c r="E306" i="25"/>
  <c r="G306" i="25"/>
  <c r="V306" i="25"/>
  <c r="T306" i="25"/>
  <c r="S340" i="9"/>
  <c r="N340" i="9"/>
  <c r="U339" i="9"/>
  <c r="R339" i="9"/>
  <c r="A307" i="25"/>
  <c r="D307" i="25"/>
  <c r="B304" i="29"/>
  <c r="C341" i="9"/>
  <c r="B341" i="9"/>
  <c r="X340" i="9"/>
  <c r="W340" i="9"/>
  <c r="P340" i="9"/>
  <c r="T339" i="9"/>
  <c r="V339" i="9"/>
  <c r="S341" i="9"/>
  <c r="N341" i="9"/>
  <c r="A308" i="25"/>
  <c r="D308" i="25"/>
  <c r="B305" i="29"/>
  <c r="B342" i="9"/>
  <c r="C342" i="9"/>
  <c r="X341" i="9"/>
  <c r="W341" i="9"/>
  <c r="P341" i="9"/>
  <c r="Q341" i="9"/>
  <c r="U340" i="9"/>
  <c r="R340" i="9"/>
  <c r="D304" i="29"/>
  <c r="AC304" i="29"/>
  <c r="E304" i="29"/>
  <c r="Q340" i="9"/>
  <c r="E307" i="25"/>
  <c r="I307" i="25"/>
  <c r="W307" i="25"/>
  <c r="G307" i="25"/>
  <c r="V307" i="25"/>
  <c r="U307" i="25"/>
  <c r="K307" i="25"/>
  <c r="H307" i="25"/>
  <c r="F307" i="25"/>
  <c r="T307" i="25"/>
  <c r="F303" i="29"/>
  <c r="AE303" i="29"/>
  <c r="AD303" i="29"/>
  <c r="T340" i="9"/>
  <c r="V340" i="9"/>
  <c r="E308" i="25"/>
  <c r="G308" i="25"/>
  <c r="V308" i="25"/>
  <c r="I308" i="25"/>
  <c r="W308" i="25"/>
  <c r="U308" i="25"/>
  <c r="K308" i="25"/>
  <c r="H308" i="25"/>
  <c r="F308" i="25"/>
  <c r="T308" i="25"/>
  <c r="S342" i="9"/>
  <c r="N342" i="9"/>
  <c r="AD304" i="29"/>
  <c r="F304" i="29"/>
  <c r="AE304" i="29"/>
  <c r="U341" i="9"/>
  <c r="R341" i="9"/>
  <c r="A309" i="25"/>
  <c r="D309" i="25"/>
  <c r="B306" i="29"/>
  <c r="C343" i="9"/>
  <c r="B343" i="9"/>
  <c r="X342" i="9"/>
  <c r="W342" i="9"/>
  <c r="P342" i="9"/>
  <c r="D305" i="29"/>
  <c r="AC305" i="29"/>
  <c r="E305" i="29"/>
  <c r="T341" i="9"/>
  <c r="V341" i="9"/>
  <c r="F305" i="29"/>
  <c r="AE305" i="29"/>
  <c r="AD305" i="29"/>
  <c r="A310" i="25"/>
  <c r="D310" i="25"/>
  <c r="B307" i="29"/>
  <c r="C344" i="9"/>
  <c r="B344" i="9"/>
  <c r="X343" i="9"/>
  <c r="W343" i="9"/>
  <c r="P343" i="9"/>
  <c r="Q343" i="9"/>
  <c r="U342" i="9"/>
  <c r="R342" i="9"/>
  <c r="S343" i="9"/>
  <c r="N343" i="9"/>
  <c r="E306" i="29"/>
  <c r="D306" i="29"/>
  <c r="AC306" i="29"/>
  <c r="I309" i="25"/>
  <c r="W309" i="25"/>
  <c r="F309" i="25"/>
  <c r="G309" i="25"/>
  <c r="V309" i="25"/>
  <c r="H309" i="25"/>
  <c r="U309" i="25"/>
  <c r="K309" i="25"/>
  <c r="E309" i="25"/>
  <c r="T309" i="25"/>
  <c r="Q342" i="9"/>
  <c r="T342" i="9"/>
  <c r="V342" i="9"/>
  <c r="H310" i="25"/>
  <c r="F310" i="25"/>
  <c r="U310" i="25"/>
  <c r="K310" i="25"/>
  <c r="E310" i="25"/>
  <c r="G310" i="25"/>
  <c r="V310" i="25"/>
  <c r="I310" i="25"/>
  <c r="W310" i="25"/>
  <c r="T310" i="25"/>
  <c r="A311" i="25"/>
  <c r="D311" i="25"/>
  <c r="B308" i="29"/>
  <c r="C345" i="9"/>
  <c r="B345" i="9"/>
  <c r="X344" i="9"/>
  <c r="P344" i="9"/>
  <c r="Q344" i="9"/>
  <c r="W344" i="9"/>
  <c r="AD306" i="29"/>
  <c r="F306" i="29"/>
  <c r="AE306" i="29"/>
  <c r="U343" i="9"/>
  <c r="R343" i="9"/>
  <c r="S344" i="9"/>
  <c r="N344" i="9"/>
  <c r="D307" i="29"/>
  <c r="AC307" i="29"/>
  <c r="E307" i="29"/>
  <c r="T343" i="9"/>
  <c r="V343" i="9"/>
  <c r="AD307" i="29"/>
  <c r="F307" i="29"/>
  <c r="AE307" i="29"/>
  <c r="A312" i="25"/>
  <c r="D312" i="25"/>
  <c r="B309" i="29"/>
  <c r="B346" i="9"/>
  <c r="C346" i="9"/>
  <c r="X345" i="9"/>
  <c r="W345" i="9"/>
  <c r="P345" i="9"/>
  <c r="E311" i="25"/>
  <c r="G311" i="25"/>
  <c r="V311" i="25"/>
  <c r="H311" i="25"/>
  <c r="F311" i="25"/>
  <c r="I311" i="25"/>
  <c r="W311" i="25"/>
  <c r="U311" i="25"/>
  <c r="K311" i="25"/>
  <c r="T311" i="25"/>
  <c r="S345" i="9"/>
  <c r="N345" i="9"/>
  <c r="Q345" i="9"/>
  <c r="U344" i="9"/>
  <c r="R344" i="9"/>
  <c r="E308" i="29"/>
  <c r="D308" i="29"/>
  <c r="AC308" i="29"/>
  <c r="T344" i="9"/>
  <c r="V344" i="9"/>
  <c r="E312" i="25"/>
  <c r="I312" i="25"/>
  <c r="W312" i="25"/>
  <c r="G312" i="25"/>
  <c r="V312" i="25"/>
  <c r="F312" i="25"/>
  <c r="H312" i="25"/>
  <c r="U312" i="25"/>
  <c r="K312" i="25"/>
  <c r="T312" i="25"/>
  <c r="F308" i="29"/>
  <c r="AE308" i="29"/>
  <c r="AD308" i="29"/>
  <c r="S346" i="9"/>
  <c r="N346" i="9"/>
  <c r="U345" i="9"/>
  <c r="R345" i="9"/>
  <c r="A313" i="25"/>
  <c r="D313" i="25"/>
  <c r="B310" i="29"/>
  <c r="C347" i="9"/>
  <c r="B347" i="9"/>
  <c r="X346" i="9"/>
  <c r="P346" i="9"/>
  <c r="Q346" i="9"/>
  <c r="W346" i="9"/>
  <c r="E309" i="29"/>
  <c r="D309" i="29"/>
  <c r="AC309" i="29"/>
  <c r="T345" i="9"/>
  <c r="V345" i="9"/>
  <c r="A314" i="25"/>
  <c r="D314" i="25"/>
  <c r="B311" i="29"/>
  <c r="C348" i="9"/>
  <c r="B348" i="9"/>
  <c r="X347" i="9"/>
  <c r="P347" i="9"/>
  <c r="W347" i="9"/>
  <c r="F309" i="29"/>
  <c r="AE309" i="29"/>
  <c r="AD309" i="29"/>
  <c r="S347" i="9"/>
  <c r="N347" i="9"/>
  <c r="U346" i="9"/>
  <c r="R346" i="9"/>
  <c r="D310" i="29"/>
  <c r="AC310" i="29"/>
  <c r="E310" i="29"/>
  <c r="G313" i="25"/>
  <c r="V313" i="25"/>
  <c r="I313" i="25"/>
  <c r="W313" i="25"/>
  <c r="H313" i="25"/>
  <c r="F313" i="25"/>
  <c r="U313" i="25"/>
  <c r="K313" i="25"/>
  <c r="E313" i="25"/>
  <c r="T313" i="25"/>
  <c r="T346" i="9"/>
  <c r="V346" i="9"/>
  <c r="A315" i="25"/>
  <c r="D315" i="25"/>
  <c r="B312" i="29"/>
  <c r="B349" i="9"/>
  <c r="C349" i="9"/>
  <c r="X348" i="9"/>
  <c r="W348" i="9"/>
  <c r="P348" i="9"/>
  <c r="Q348" i="9"/>
  <c r="S348" i="9"/>
  <c r="N348" i="9"/>
  <c r="U347" i="9"/>
  <c r="R347" i="9"/>
  <c r="E311" i="29"/>
  <c r="D311" i="29"/>
  <c r="AC311" i="29"/>
  <c r="AD310" i="29"/>
  <c r="F310" i="29"/>
  <c r="AE310" i="29"/>
  <c r="Q347" i="9"/>
  <c r="E314" i="25"/>
  <c r="H314" i="25"/>
  <c r="U314" i="25"/>
  <c r="K314" i="25"/>
  <c r="F314" i="25"/>
  <c r="G314" i="25"/>
  <c r="V314" i="25"/>
  <c r="I314" i="25"/>
  <c r="W314" i="25"/>
  <c r="T314" i="25"/>
  <c r="T347" i="9"/>
  <c r="V347" i="9"/>
  <c r="AD311" i="29"/>
  <c r="F311" i="29"/>
  <c r="AE311" i="29"/>
  <c r="U348" i="9"/>
  <c r="R348" i="9"/>
  <c r="A316" i="25"/>
  <c r="D316" i="25"/>
  <c r="B313" i="29"/>
  <c r="B350" i="9"/>
  <c r="C350" i="9"/>
  <c r="X349" i="9"/>
  <c r="P349" i="9"/>
  <c r="Q349" i="9"/>
  <c r="W349" i="9"/>
  <c r="E312" i="29"/>
  <c r="D312" i="29"/>
  <c r="AC312" i="29"/>
  <c r="E315" i="25"/>
  <c r="U315" i="25"/>
  <c r="K315" i="25"/>
  <c r="I315" i="25"/>
  <c r="W315" i="25"/>
  <c r="G315" i="25"/>
  <c r="V315" i="25"/>
  <c r="F315" i="25"/>
  <c r="H315" i="25"/>
  <c r="T315" i="25"/>
  <c r="S349" i="9"/>
  <c r="N349" i="9"/>
  <c r="T348" i="9"/>
  <c r="V348" i="9"/>
  <c r="AD312" i="29"/>
  <c r="F312" i="29"/>
  <c r="AE312" i="29"/>
  <c r="S350" i="9"/>
  <c r="N350" i="9"/>
  <c r="A317" i="25"/>
  <c r="D317" i="25"/>
  <c r="B314" i="29"/>
  <c r="C351" i="9"/>
  <c r="B351" i="9"/>
  <c r="X350" i="9"/>
  <c r="W350" i="9"/>
  <c r="P350" i="9"/>
  <c r="U349" i="9"/>
  <c r="R349" i="9"/>
  <c r="E313" i="29"/>
  <c r="D313" i="29"/>
  <c r="AC313" i="29"/>
  <c r="E316" i="25"/>
  <c r="I316" i="25"/>
  <c r="W316" i="25"/>
  <c r="G316" i="25"/>
  <c r="V316" i="25"/>
  <c r="H316" i="25"/>
  <c r="U316" i="25"/>
  <c r="K316" i="25"/>
  <c r="F316" i="25"/>
  <c r="T316" i="25"/>
  <c r="T349" i="9"/>
  <c r="V349" i="9"/>
  <c r="U350" i="9"/>
  <c r="R350" i="9"/>
  <c r="S351" i="9"/>
  <c r="N351" i="9"/>
  <c r="AD313" i="29"/>
  <c r="F313" i="29"/>
  <c r="AE313" i="29"/>
  <c r="E314" i="29"/>
  <c r="D314" i="29"/>
  <c r="AC314" i="29"/>
  <c r="F317" i="25"/>
  <c r="U317" i="25"/>
  <c r="K317" i="25"/>
  <c r="G317" i="25"/>
  <c r="V317" i="25"/>
  <c r="E317" i="25"/>
  <c r="H317" i="25"/>
  <c r="I317" i="25"/>
  <c r="W317" i="25"/>
  <c r="T317" i="25"/>
  <c r="A318" i="25"/>
  <c r="D318" i="25"/>
  <c r="B315" i="29"/>
  <c r="C352" i="9"/>
  <c r="B352" i="9"/>
  <c r="X351" i="9"/>
  <c r="P351" i="9"/>
  <c r="W351" i="9"/>
  <c r="Q350" i="9"/>
  <c r="T350" i="9"/>
  <c r="V350" i="9"/>
  <c r="S352" i="9"/>
  <c r="N352" i="9"/>
  <c r="F314" i="29"/>
  <c r="AE314" i="29"/>
  <c r="AD314" i="29"/>
  <c r="I318" i="25"/>
  <c r="W318" i="25"/>
  <c r="E318" i="25"/>
  <c r="G318" i="25"/>
  <c r="V318" i="25"/>
  <c r="U318" i="25"/>
  <c r="K318" i="25"/>
  <c r="F318" i="25"/>
  <c r="H318" i="25"/>
  <c r="T318" i="25"/>
  <c r="A319" i="25"/>
  <c r="D319" i="25"/>
  <c r="B316" i="29"/>
  <c r="C353" i="9"/>
  <c r="B353" i="9"/>
  <c r="X352" i="9"/>
  <c r="W352" i="9"/>
  <c r="P352" i="9"/>
  <c r="U351" i="9"/>
  <c r="R351" i="9"/>
  <c r="D315" i="29"/>
  <c r="AC315" i="29"/>
  <c r="E315" i="29"/>
  <c r="Q351" i="9"/>
  <c r="T351" i="9"/>
  <c r="V351" i="9"/>
  <c r="F315" i="29"/>
  <c r="AE315" i="29"/>
  <c r="AD315" i="29"/>
  <c r="U352" i="9"/>
  <c r="R352" i="9"/>
  <c r="S353" i="9"/>
  <c r="N353" i="9"/>
  <c r="Q352" i="9"/>
  <c r="D316" i="29"/>
  <c r="AC316" i="29"/>
  <c r="E316" i="29"/>
  <c r="E319" i="25"/>
  <c r="F319" i="25"/>
  <c r="G319" i="25"/>
  <c r="V319" i="25"/>
  <c r="I319" i="25"/>
  <c r="W319" i="25"/>
  <c r="H319" i="25"/>
  <c r="U319" i="25"/>
  <c r="K319" i="25"/>
  <c r="T319" i="25"/>
  <c r="A320" i="25"/>
  <c r="D320" i="25"/>
  <c r="B317" i="29"/>
  <c r="B354" i="9"/>
  <c r="C354" i="9"/>
  <c r="X353" i="9"/>
  <c r="W353" i="9"/>
  <c r="P353" i="9"/>
  <c r="Q353" i="9"/>
  <c r="T352" i="9"/>
  <c r="V352" i="9"/>
  <c r="F320" i="25"/>
  <c r="I320" i="25"/>
  <c r="W320" i="25"/>
  <c r="G320" i="25"/>
  <c r="V320" i="25"/>
  <c r="E320" i="25"/>
  <c r="H320" i="25"/>
  <c r="U320" i="25"/>
  <c r="K320" i="25"/>
  <c r="T320" i="25"/>
  <c r="S354" i="9"/>
  <c r="N354" i="9"/>
  <c r="U353" i="9"/>
  <c r="R353" i="9"/>
  <c r="A321" i="25"/>
  <c r="D321" i="25"/>
  <c r="B318" i="29"/>
  <c r="C355" i="9"/>
  <c r="B355" i="9"/>
  <c r="X354" i="9"/>
  <c r="W354" i="9"/>
  <c r="P354" i="9"/>
  <c r="Q354" i="9"/>
  <c r="AD316" i="29"/>
  <c r="F316" i="29"/>
  <c r="AE316" i="29"/>
  <c r="D317" i="29"/>
  <c r="AC317" i="29"/>
  <c r="E317" i="29"/>
  <c r="T353" i="9"/>
  <c r="V353" i="9"/>
  <c r="A322" i="25"/>
  <c r="D322" i="25"/>
  <c r="B319" i="29"/>
  <c r="B356" i="9"/>
  <c r="C356" i="9"/>
  <c r="X355" i="9"/>
  <c r="W355" i="9"/>
  <c r="P355" i="9"/>
  <c r="Q355" i="9"/>
  <c r="U354" i="9"/>
  <c r="R354" i="9"/>
  <c r="S355" i="9"/>
  <c r="N355" i="9"/>
  <c r="E318" i="29"/>
  <c r="D318" i="29"/>
  <c r="AC318" i="29"/>
  <c r="F317" i="29"/>
  <c r="AE317" i="29"/>
  <c r="AD317" i="29"/>
  <c r="E321" i="25"/>
  <c r="U321" i="25"/>
  <c r="K321" i="25"/>
  <c r="H321" i="25"/>
  <c r="F321" i="25"/>
  <c r="I321" i="25"/>
  <c r="W321" i="25"/>
  <c r="G321" i="25"/>
  <c r="V321" i="25"/>
  <c r="T321" i="25"/>
  <c r="T354" i="9"/>
  <c r="V354" i="9"/>
  <c r="U355" i="9"/>
  <c r="R355" i="9"/>
  <c r="A323" i="25"/>
  <c r="D323" i="25"/>
  <c r="B320" i="29"/>
  <c r="C357" i="9"/>
  <c r="B357" i="9"/>
  <c r="X356" i="9"/>
  <c r="W356" i="9"/>
  <c r="P356" i="9"/>
  <c r="E319" i="29"/>
  <c r="D319" i="29"/>
  <c r="AC319" i="29"/>
  <c r="F318" i="29"/>
  <c r="AE318" i="29"/>
  <c r="AD318" i="29"/>
  <c r="E322" i="25"/>
  <c r="G322" i="25"/>
  <c r="V322" i="25"/>
  <c r="U322" i="25"/>
  <c r="K322" i="25"/>
  <c r="I322" i="25"/>
  <c r="W322" i="25"/>
  <c r="F322" i="25"/>
  <c r="H322" i="25"/>
  <c r="T322" i="25"/>
  <c r="S356" i="9"/>
  <c r="N356" i="9"/>
  <c r="Q356" i="9"/>
  <c r="T355" i="9"/>
  <c r="V355" i="9"/>
  <c r="E320" i="29"/>
  <c r="D320" i="29"/>
  <c r="AC320" i="29"/>
  <c r="E323" i="25"/>
  <c r="U323" i="25"/>
  <c r="K323" i="25"/>
  <c r="G323" i="25"/>
  <c r="V323" i="25"/>
  <c r="I323" i="25"/>
  <c r="W323" i="25"/>
  <c r="H323" i="25"/>
  <c r="F323" i="25"/>
  <c r="T323" i="25"/>
  <c r="F319" i="29"/>
  <c r="AE319" i="29"/>
  <c r="AD319" i="29"/>
  <c r="A324" i="25"/>
  <c r="D324" i="25"/>
  <c r="B321" i="29"/>
  <c r="B358" i="9"/>
  <c r="C358" i="9"/>
  <c r="X357" i="9"/>
  <c r="P357" i="9"/>
  <c r="Q357" i="9"/>
  <c r="W357" i="9"/>
  <c r="U356" i="9"/>
  <c r="R356" i="9"/>
  <c r="S357" i="9"/>
  <c r="N357" i="9"/>
  <c r="T356" i="9"/>
  <c r="V356" i="9"/>
  <c r="A325" i="25"/>
  <c r="D325" i="25"/>
  <c r="B322" i="29"/>
  <c r="C359" i="9"/>
  <c r="B359" i="9"/>
  <c r="X358" i="9"/>
  <c r="W358" i="9"/>
  <c r="P358" i="9"/>
  <c r="Q358" i="9"/>
  <c r="E324" i="25"/>
  <c r="G324" i="25"/>
  <c r="V324" i="25"/>
  <c r="H324" i="25"/>
  <c r="I324" i="25"/>
  <c r="W324" i="25"/>
  <c r="U324" i="25"/>
  <c r="K324" i="25"/>
  <c r="F324" i="25"/>
  <c r="T324" i="25"/>
  <c r="S358" i="9"/>
  <c r="N358" i="9"/>
  <c r="U357" i="9"/>
  <c r="R357" i="9"/>
  <c r="E321" i="29"/>
  <c r="D321" i="29"/>
  <c r="AC321" i="29"/>
  <c r="AD320" i="29"/>
  <c r="F320" i="29"/>
  <c r="AE320" i="29"/>
  <c r="T357" i="9"/>
  <c r="V357" i="9"/>
  <c r="F321" i="29"/>
  <c r="AE321" i="29"/>
  <c r="AD321" i="29"/>
  <c r="U358" i="9"/>
  <c r="R358" i="9"/>
  <c r="S359" i="9"/>
  <c r="N359" i="9"/>
  <c r="E322" i="29"/>
  <c r="D322" i="29"/>
  <c r="AC322" i="29"/>
  <c r="H325" i="25"/>
  <c r="E325" i="25"/>
  <c r="I325" i="25"/>
  <c r="W325" i="25"/>
  <c r="F325" i="25"/>
  <c r="G325" i="25"/>
  <c r="V325" i="25"/>
  <c r="U325" i="25"/>
  <c r="K325" i="25"/>
  <c r="T325" i="25"/>
  <c r="A326" i="25"/>
  <c r="D326" i="25"/>
  <c r="B323" i="29"/>
  <c r="C360" i="9"/>
  <c r="B360" i="9"/>
  <c r="X359" i="9"/>
  <c r="W359" i="9"/>
  <c r="P359" i="9"/>
  <c r="Q359" i="9"/>
  <c r="T358" i="9"/>
  <c r="V358" i="9"/>
  <c r="A327" i="25"/>
  <c r="D327" i="25"/>
  <c r="B324" i="29"/>
  <c r="C361" i="9"/>
  <c r="B361" i="9"/>
  <c r="X360" i="9"/>
  <c r="W360" i="9"/>
  <c r="P360" i="9"/>
  <c r="Q360" i="9"/>
  <c r="U359" i="9"/>
  <c r="R359" i="9"/>
  <c r="S360" i="9"/>
  <c r="N360" i="9"/>
  <c r="D323" i="29"/>
  <c r="AC323" i="29"/>
  <c r="E323" i="29"/>
  <c r="E326" i="25"/>
  <c r="I326" i="25"/>
  <c r="W326" i="25"/>
  <c r="U326" i="25"/>
  <c r="K326" i="25"/>
  <c r="G326" i="25"/>
  <c r="V326" i="25"/>
  <c r="F326" i="25"/>
  <c r="H326" i="25"/>
  <c r="T326" i="25"/>
  <c r="AD322" i="29"/>
  <c r="F322" i="29"/>
  <c r="AE322" i="29"/>
  <c r="T359" i="9"/>
  <c r="V359" i="9"/>
  <c r="E324" i="29"/>
  <c r="D324" i="29"/>
  <c r="AC324" i="29"/>
  <c r="F323" i="29"/>
  <c r="AE323" i="29"/>
  <c r="AD323" i="29"/>
  <c r="E327" i="25"/>
  <c r="G327" i="25"/>
  <c r="V327" i="25"/>
  <c r="H327" i="25"/>
  <c r="F327" i="25"/>
  <c r="I327" i="25"/>
  <c r="W327" i="25"/>
  <c r="U327" i="25"/>
  <c r="K327" i="25"/>
  <c r="T327" i="25"/>
  <c r="A328" i="25"/>
  <c r="D328" i="25"/>
  <c r="B325" i="29"/>
  <c r="B362" i="9"/>
  <c r="C362" i="9"/>
  <c r="X361" i="9"/>
  <c r="W361" i="9"/>
  <c r="P361" i="9"/>
  <c r="Q361" i="9"/>
  <c r="U360" i="9"/>
  <c r="R360" i="9"/>
  <c r="S361" i="9"/>
  <c r="N361" i="9"/>
  <c r="T360" i="9"/>
  <c r="V360" i="9"/>
  <c r="I328" i="25"/>
  <c r="W328" i="25"/>
  <c r="G328" i="25"/>
  <c r="V328" i="25"/>
  <c r="E328" i="25"/>
  <c r="F328" i="25"/>
  <c r="H328" i="25"/>
  <c r="U328" i="25"/>
  <c r="K328" i="25"/>
  <c r="T328" i="25"/>
  <c r="S362" i="9"/>
  <c r="N362" i="9"/>
  <c r="U361" i="9"/>
  <c r="R361" i="9"/>
  <c r="A329" i="25"/>
  <c r="D329" i="25"/>
  <c r="B326" i="29"/>
  <c r="C363" i="9"/>
  <c r="B363" i="9"/>
  <c r="X362" i="9"/>
  <c r="P362" i="9"/>
  <c r="Q362" i="9"/>
  <c r="W362" i="9"/>
  <c r="D325" i="29"/>
  <c r="AC325" i="29"/>
  <c r="E325" i="29"/>
  <c r="F324" i="29"/>
  <c r="AE324" i="29"/>
  <c r="AD324" i="29"/>
  <c r="T361" i="9"/>
  <c r="V361" i="9"/>
  <c r="E329" i="25"/>
  <c r="F329" i="25"/>
  <c r="H329" i="25"/>
  <c r="U329" i="25"/>
  <c r="K329" i="25"/>
  <c r="I329" i="25"/>
  <c r="W329" i="25"/>
  <c r="G329" i="25"/>
  <c r="V329" i="25"/>
  <c r="T329" i="25"/>
  <c r="A330" i="25"/>
  <c r="D330" i="25"/>
  <c r="B327" i="29"/>
  <c r="C364" i="9"/>
  <c r="B364" i="9"/>
  <c r="X363" i="9"/>
  <c r="P363" i="9"/>
  <c r="Q363" i="9"/>
  <c r="W363" i="9"/>
  <c r="AD325" i="29"/>
  <c r="F325" i="29"/>
  <c r="AE325" i="29"/>
  <c r="S363" i="9"/>
  <c r="N363" i="9"/>
  <c r="U362" i="9"/>
  <c r="R362" i="9"/>
  <c r="D326" i="29"/>
  <c r="AC326" i="29"/>
  <c r="E326" i="29"/>
  <c r="T362" i="9"/>
  <c r="V362" i="9"/>
  <c r="S364" i="9"/>
  <c r="N364" i="9"/>
  <c r="U363" i="9"/>
  <c r="R363" i="9"/>
  <c r="E327" i="29"/>
  <c r="D327" i="29"/>
  <c r="AC327" i="29"/>
  <c r="E330" i="25"/>
  <c r="G330" i="25"/>
  <c r="V330" i="25"/>
  <c r="I330" i="25"/>
  <c r="W330" i="25"/>
  <c r="F330" i="25"/>
  <c r="U330" i="25"/>
  <c r="K330" i="25"/>
  <c r="H330" i="25"/>
  <c r="T330" i="25"/>
  <c r="F326" i="29"/>
  <c r="AE326" i="29"/>
  <c r="AD326" i="29"/>
  <c r="A331" i="25"/>
  <c r="D331" i="25"/>
  <c r="B328" i="29"/>
  <c r="B365" i="9"/>
  <c r="C365" i="9"/>
  <c r="X364" i="9"/>
  <c r="W364" i="9"/>
  <c r="P364" i="9"/>
  <c r="Q364" i="9"/>
  <c r="T363" i="9"/>
  <c r="V363" i="9"/>
  <c r="S365" i="9"/>
  <c r="N365" i="9"/>
  <c r="AD327" i="29"/>
  <c r="F327" i="29"/>
  <c r="AE327" i="29"/>
  <c r="U364" i="9"/>
  <c r="R364" i="9"/>
  <c r="A332" i="25"/>
  <c r="D332" i="25"/>
  <c r="B329" i="29"/>
  <c r="B366" i="9"/>
  <c r="C366" i="9"/>
  <c r="X365" i="9"/>
  <c r="P365" i="9"/>
  <c r="Q365" i="9"/>
  <c r="W365" i="9"/>
  <c r="E328" i="29"/>
  <c r="D328" i="29"/>
  <c r="AC328" i="29"/>
  <c r="E331" i="25"/>
  <c r="U331" i="25"/>
  <c r="K331" i="25"/>
  <c r="I331" i="25"/>
  <c r="W331" i="25"/>
  <c r="F331" i="25"/>
  <c r="H331" i="25"/>
  <c r="G331" i="25"/>
  <c r="V331" i="25"/>
  <c r="T331" i="25"/>
  <c r="T364" i="9"/>
  <c r="V364" i="9"/>
  <c r="E332" i="25"/>
  <c r="G332" i="25"/>
  <c r="V332" i="25"/>
  <c r="H332" i="25"/>
  <c r="I332" i="25"/>
  <c r="W332" i="25"/>
  <c r="U332" i="25"/>
  <c r="K332" i="25"/>
  <c r="F332" i="25"/>
  <c r="T332" i="25"/>
  <c r="S366" i="9"/>
  <c r="N366" i="9"/>
  <c r="AD328" i="29"/>
  <c r="F328" i="29"/>
  <c r="AE328" i="29"/>
  <c r="A333" i="25"/>
  <c r="D333" i="25"/>
  <c r="B330" i="29"/>
  <c r="C367" i="9"/>
  <c r="B367" i="9"/>
  <c r="X366" i="9"/>
  <c r="W366" i="9"/>
  <c r="P366" i="9"/>
  <c r="U365" i="9"/>
  <c r="R365" i="9"/>
  <c r="E329" i="29"/>
  <c r="D329" i="29"/>
  <c r="AC329" i="29"/>
  <c r="T365" i="9"/>
  <c r="V365" i="9"/>
  <c r="F333" i="25"/>
  <c r="U333" i="25"/>
  <c r="K333" i="25"/>
  <c r="E333" i="25"/>
  <c r="H333" i="25"/>
  <c r="I333" i="25"/>
  <c r="W333" i="25"/>
  <c r="G333" i="25"/>
  <c r="V333" i="25"/>
  <c r="T333" i="25"/>
  <c r="A334" i="25"/>
  <c r="D334" i="25"/>
  <c r="B331" i="29"/>
  <c r="C368" i="9"/>
  <c r="B368" i="9"/>
  <c r="X367" i="9"/>
  <c r="P367" i="9"/>
  <c r="Q367" i="9"/>
  <c r="W367" i="9"/>
  <c r="AD329" i="29"/>
  <c r="F329" i="29"/>
  <c r="AE329" i="29"/>
  <c r="U366" i="9"/>
  <c r="R366" i="9"/>
  <c r="S367" i="9"/>
  <c r="N367" i="9"/>
  <c r="Q366" i="9"/>
  <c r="E330" i="29"/>
  <c r="D330" i="29"/>
  <c r="AC330" i="29"/>
  <c r="T366" i="9"/>
  <c r="V366" i="9"/>
  <c r="A335" i="25"/>
  <c r="D335" i="25"/>
  <c r="B332" i="29"/>
  <c r="C369" i="9"/>
  <c r="B369" i="9"/>
  <c r="X368" i="9"/>
  <c r="W368" i="9"/>
  <c r="P368" i="9"/>
  <c r="Q368" i="9"/>
  <c r="S368" i="9"/>
  <c r="N368" i="9"/>
  <c r="AD330" i="29"/>
  <c r="F330" i="29"/>
  <c r="AE330" i="29"/>
  <c r="U367" i="9"/>
  <c r="R367" i="9"/>
  <c r="D331" i="29"/>
  <c r="AC331" i="29"/>
  <c r="E331" i="29"/>
  <c r="I334" i="25"/>
  <c r="W334" i="25"/>
  <c r="E334" i="25"/>
  <c r="G334" i="25"/>
  <c r="V334" i="25"/>
  <c r="H334" i="25"/>
  <c r="U334" i="25"/>
  <c r="K334" i="25"/>
  <c r="F334" i="25"/>
  <c r="T334" i="25"/>
  <c r="T367" i="9"/>
  <c r="V367" i="9"/>
  <c r="U368" i="9"/>
  <c r="R368" i="9"/>
  <c r="S369" i="9"/>
  <c r="N369" i="9"/>
  <c r="AD331" i="29"/>
  <c r="F331" i="29"/>
  <c r="AE331" i="29"/>
  <c r="D332" i="29"/>
  <c r="AC332" i="29"/>
  <c r="E332" i="29"/>
  <c r="E335" i="25"/>
  <c r="G335" i="25"/>
  <c r="V335" i="25"/>
  <c r="F335" i="25"/>
  <c r="U335" i="25"/>
  <c r="K335" i="25"/>
  <c r="H335" i="25"/>
  <c r="I335" i="25"/>
  <c r="W335" i="25"/>
  <c r="T335" i="25"/>
  <c r="A336" i="25"/>
  <c r="D336" i="25"/>
  <c r="B333" i="29"/>
  <c r="B370" i="9"/>
  <c r="C370" i="9"/>
  <c r="X369" i="9"/>
  <c r="W369" i="9"/>
  <c r="P369" i="9"/>
  <c r="T368" i="9"/>
  <c r="V368" i="9"/>
  <c r="U369" i="9"/>
  <c r="R369" i="9"/>
  <c r="A337" i="25"/>
  <c r="D337" i="25"/>
  <c r="B334" i="29"/>
  <c r="C371" i="9"/>
  <c r="B371" i="9"/>
  <c r="X370" i="9"/>
  <c r="W370" i="9"/>
  <c r="P370" i="9"/>
  <c r="Q370" i="9"/>
  <c r="D333" i="29"/>
  <c r="AC333" i="29"/>
  <c r="E333" i="29"/>
  <c r="S370" i="9"/>
  <c r="N370" i="9"/>
  <c r="I336" i="25"/>
  <c r="W336" i="25"/>
  <c r="G336" i="25"/>
  <c r="V336" i="25"/>
  <c r="F336" i="25"/>
  <c r="E336" i="25"/>
  <c r="H336" i="25"/>
  <c r="U336" i="25"/>
  <c r="K336" i="25"/>
  <c r="T336" i="25"/>
  <c r="AD332" i="29"/>
  <c r="F332" i="29"/>
  <c r="AE332" i="29"/>
  <c r="Q369" i="9"/>
  <c r="T369" i="9"/>
  <c r="V369" i="9"/>
  <c r="AD333" i="29"/>
  <c r="F333" i="29"/>
  <c r="AE333" i="29"/>
  <c r="E337" i="25"/>
  <c r="H337" i="25"/>
  <c r="F337" i="25"/>
  <c r="U337" i="25"/>
  <c r="K337" i="25"/>
  <c r="I337" i="25"/>
  <c r="W337" i="25"/>
  <c r="G337" i="25"/>
  <c r="V337" i="25"/>
  <c r="T337" i="25"/>
  <c r="A338" i="25"/>
  <c r="D338" i="25"/>
  <c r="B335" i="29"/>
  <c r="B372" i="9"/>
  <c r="C372" i="9"/>
  <c r="X371" i="9"/>
  <c r="W371" i="9"/>
  <c r="P371" i="9"/>
  <c r="Q371" i="9"/>
  <c r="U370" i="9"/>
  <c r="R370" i="9"/>
  <c r="S371" i="9"/>
  <c r="N371" i="9"/>
  <c r="E334" i="29"/>
  <c r="D334" i="29"/>
  <c r="AC334" i="29"/>
  <c r="T370" i="9"/>
  <c r="V370" i="9"/>
  <c r="U371" i="9"/>
  <c r="R371" i="9"/>
  <c r="A339" i="25"/>
  <c r="D339" i="25"/>
  <c r="B336" i="29"/>
  <c r="C373" i="9"/>
  <c r="B373" i="9"/>
  <c r="X372" i="9"/>
  <c r="W372" i="9"/>
  <c r="P372" i="9"/>
  <c r="AD334" i="29"/>
  <c r="F334" i="29"/>
  <c r="AE334" i="29"/>
  <c r="E338" i="25"/>
  <c r="G338" i="25"/>
  <c r="V338" i="25"/>
  <c r="H338" i="25"/>
  <c r="I338" i="25"/>
  <c r="W338" i="25"/>
  <c r="F338" i="25"/>
  <c r="U338" i="25"/>
  <c r="K338" i="25"/>
  <c r="T338" i="25"/>
  <c r="S372" i="9"/>
  <c r="N372" i="9"/>
  <c r="Q372" i="9"/>
  <c r="E335" i="29"/>
  <c r="D335" i="29"/>
  <c r="AC335" i="29"/>
  <c r="T371" i="9"/>
  <c r="V371" i="9"/>
  <c r="F335" i="29"/>
  <c r="AE335" i="29"/>
  <c r="AD335" i="29"/>
  <c r="D336" i="29"/>
  <c r="AC336" i="29"/>
  <c r="E336" i="29"/>
  <c r="E339" i="25"/>
  <c r="U339" i="25"/>
  <c r="K339" i="25"/>
  <c r="I339" i="25"/>
  <c r="W339" i="25"/>
  <c r="G339" i="25"/>
  <c r="V339" i="25"/>
  <c r="F339" i="25"/>
  <c r="H339" i="25"/>
  <c r="T339" i="25"/>
  <c r="A340" i="25"/>
  <c r="D340" i="25"/>
  <c r="B337" i="29"/>
  <c r="B374" i="9"/>
  <c r="C374" i="9"/>
  <c r="X373" i="9"/>
  <c r="P373" i="9"/>
  <c r="Q373" i="9"/>
  <c r="W373" i="9"/>
  <c r="U372" i="9"/>
  <c r="R372" i="9"/>
  <c r="S373" i="9"/>
  <c r="N373" i="9"/>
  <c r="T372" i="9"/>
  <c r="V372" i="9"/>
  <c r="AD336" i="29"/>
  <c r="F336" i="29"/>
  <c r="AE336" i="29"/>
  <c r="A341" i="25"/>
  <c r="D341" i="25"/>
  <c r="B338" i="29"/>
  <c r="C375" i="9"/>
  <c r="B375" i="9"/>
  <c r="X374" i="9"/>
  <c r="W374" i="9"/>
  <c r="P374" i="9"/>
  <c r="Q374" i="9"/>
  <c r="U373" i="9"/>
  <c r="R373" i="9"/>
  <c r="E337" i="29"/>
  <c r="D337" i="29"/>
  <c r="AC337" i="29"/>
  <c r="S374" i="9"/>
  <c r="N374" i="9"/>
  <c r="F340" i="25"/>
  <c r="E340" i="25"/>
  <c r="H340" i="25"/>
  <c r="U340" i="25"/>
  <c r="K340" i="25"/>
  <c r="I340" i="25"/>
  <c r="W340" i="25"/>
  <c r="G340" i="25"/>
  <c r="V340" i="25"/>
  <c r="T340" i="25"/>
  <c r="T373" i="9"/>
  <c r="V373" i="9"/>
  <c r="AD337" i="29"/>
  <c r="F337" i="29"/>
  <c r="AE337" i="29"/>
  <c r="E338" i="29"/>
  <c r="D338" i="29"/>
  <c r="AC338" i="29"/>
  <c r="H341" i="25"/>
  <c r="I341" i="25"/>
  <c r="W341" i="25"/>
  <c r="U341" i="25"/>
  <c r="K341" i="25"/>
  <c r="F341" i="25"/>
  <c r="G341" i="25"/>
  <c r="V341" i="25"/>
  <c r="E341" i="25"/>
  <c r="T341" i="25"/>
  <c r="A342" i="25"/>
  <c r="D342" i="25"/>
  <c r="B339" i="29"/>
  <c r="C376" i="9"/>
  <c r="B376" i="9"/>
  <c r="X375" i="9"/>
  <c r="P375" i="9"/>
  <c r="Q375" i="9"/>
  <c r="W375" i="9"/>
  <c r="U374" i="9"/>
  <c r="R374" i="9"/>
  <c r="S375" i="9"/>
  <c r="N375" i="9"/>
  <c r="T374" i="9"/>
  <c r="V374" i="9"/>
  <c r="U375" i="9"/>
  <c r="R375" i="9"/>
  <c r="E339" i="29"/>
  <c r="D339" i="29"/>
  <c r="AC339" i="29"/>
  <c r="AD338" i="29"/>
  <c r="F338" i="29"/>
  <c r="AE338" i="29"/>
  <c r="A343" i="25"/>
  <c r="D343" i="25"/>
  <c r="B340" i="29"/>
  <c r="C377" i="9"/>
  <c r="B377" i="9"/>
  <c r="X376" i="9"/>
  <c r="W376" i="9"/>
  <c r="P376" i="9"/>
  <c r="Q376" i="9"/>
  <c r="S376" i="9"/>
  <c r="N376" i="9"/>
  <c r="H342" i="25"/>
  <c r="G342" i="25"/>
  <c r="V342" i="25"/>
  <c r="U342" i="25"/>
  <c r="K342" i="25"/>
  <c r="I342" i="25"/>
  <c r="W342" i="25"/>
  <c r="F342" i="25"/>
  <c r="E342" i="25"/>
  <c r="T342" i="25"/>
  <c r="T375" i="9"/>
  <c r="V375" i="9"/>
  <c r="E340" i="29"/>
  <c r="D340" i="29"/>
  <c r="AC340" i="29"/>
  <c r="F343" i="25"/>
  <c r="G343" i="25"/>
  <c r="V343" i="25"/>
  <c r="E343" i="25"/>
  <c r="I343" i="25"/>
  <c r="W343" i="25"/>
  <c r="U343" i="25"/>
  <c r="K343" i="25"/>
  <c r="H343" i="25"/>
  <c r="T343" i="25"/>
  <c r="F339" i="29"/>
  <c r="AE339" i="29"/>
  <c r="AD339" i="29"/>
  <c r="A344" i="25"/>
  <c r="D344" i="25"/>
  <c r="B341" i="29"/>
  <c r="B378" i="9"/>
  <c r="C378" i="9"/>
  <c r="X377" i="9"/>
  <c r="W377" i="9"/>
  <c r="P377" i="9"/>
  <c r="U376" i="9"/>
  <c r="R376" i="9"/>
  <c r="S377" i="9"/>
  <c r="N377" i="9"/>
  <c r="T376" i="9"/>
  <c r="V376" i="9"/>
  <c r="U377" i="9"/>
  <c r="R377" i="9"/>
  <c r="A345" i="25"/>
  <c r="D345" i="25"/>
  <c r="B342" i="29"/>
  <c r="C379" i="9"/>
  <c r="B379" i="9"/>
  <c r="X378" i="9"/>
  <c r="W378" i="9"/>
  <c r="P378" i="9"/>
  <c r="E341" i="29"/>
  <c r="D341" i="29"/>
  <c r="AC341" i="29"/>
  <c r="G344" i="25"/>
  <c r="V344" i="25"/>
  <c r="E344" i="25"/>
  <c r="F344" i="25"/>
  <c r="H344" i="25"/>
  <c r="U344" i="25"/>
  <c r="K344" i="25"/>
  <c r="I344" i="25"/>
  <c r="W344" i="25"/>
  <c r="T344" i="25"/>
  <c r="Q377" i="9"/>
  <c r="S378" i="9"/>
  <c r="N378" i="9"/>
  <c r="Q378" i="9"/>
  <c r="F340" i="29"/>
  <c r="AE340" i="29"/>
  <c r="AD340" i="29"/>
  <c r="T377" i="9"/>
  <c r="V377" i="9"/>
  <c r="D342" i="29"/>
  <c r="AC342" i="29"/>
  <c r="E342" i="29"/>
  <c r="G345" i="25"/>
  <c r="V345" i="25"/>
  <c r="E345" i="25"/>
  <c r="U345" i="25"/>
  <c r="K345" i="25"/>
  <c r="I345" i="25"/>
  <c r="W345" i="25"/>
  <c r="F345" i="25"/>
  <c r="H345" i="25"/>
  <c r="T345" i="25"/>
  <c r="AD341" i="29"/>
  <c r="F341" i="29"/>
  <c r="AE341" i="29"/>
  <c r="A346" i="25"/>
  <c r="D346" i="25"/>
  <c r="B343" i="29"/>
  <c r="C380" i="9"/>
  <c r="B380" i="9"/>
  <c r="X379" i="9"/>
  <c r="P379" i="9"/>
  <c r="W379" i="9"/>
  <c r="U378" i="9"/>
  <c r="R378" i="9"/>
  <c r="S379" i="9"/>
  <c r="N379" i="9"/>
  <c r="T378" i="9"/>
  <c r="V378" i="9"/>
  <c r="U379" i="9"/>
  <c r="R379" i="9"/>
  <c r="E343" i="29"/>
  <c r="D343" i="29"/>
  <c r="AC343" i="29"/>
  <c r="I346" i="25"/>
  <c r="W346" i="25"/>
  <c r="H346" i="25"/>
  <c r="G346" i="25"/>
  <c r="V346" i="25"/>
  <c r="U346" i="25"/>
  <c r="K346" i="25"/>
  <c r="E346" i="25"/>
  <c r="F346" i="25"/>
  <c r="T346" i="25"/>
  <c r="S380" i="9"/>
  <c r="N380" i="9"/>
  <c r="F342" i="29"/>
  <c r="AE342" i="29"/>
  <c r="AD342" i="29"/>
  <c r="Q379" i="9"/>
  <c r="A347" i="25"/>
  <c r="D347" i="25"/>
  <c r="B344" i="29"/>
  <c r="B381" i="9"/>
  <c r="C381" i="9"/>
  <c r="X380" i="9"/>
  <c r="W380" i="9"/>
  <c r="P380" i="9"/>
  <c r="Q380" i="9"/>
  <c r="T379" i="9"/>
  <c r="V379" i="9"/>
  <c r="E347" i="25"/>
  <c r="F347" i="25"/>
  <c r="H347" i="25"/>
  <c r="G347" i="25"/>
  <c r="V347" i="25"/>
  <c r="U347" i="25"/>
  <c r="K347" i="25"/>
  <c r="I347" i="25"/>
  <c r="W347" i="25"/>
  <c r="T347" i="25"/>
  <c r="S381" i="9"/>
  <c r="N381" i="9"/>
  <c r="U380" i="9"/>
  <c r="R380" i="9"/>
  <c r="A348" i="25"/>
  <c r="D348" i="25"/>
  <c r="B345" i="29"/>
  <c r="B382" i="9"/>
  <c r="C382" i="9"/>
  <c r="X381" i="9"/>
  <c r="P381" i="9"/>
  <c r="Q381" i="9"/>
  <c r="W381" i="9"/>
  <c r="AD343" i="29"/>
  <c r="F343" i="29"/>
  <c r="AE343" i="29"/>
  <c r="D344" i="29"/>
  <c r="AC344" i="29"/>
  <c r="E344" i="29"/>
  <c r="T380" i="9"/>
  <c r="V380" i="9"/>
  <c r="S382" i="9"/>
  <c r="N382" i="9"/>
  <c r="A349" i="25"/>
  <c r="D349" i="25"/>
  <c r="B346" i="29"/>
  <c r="C383" i="9"/>
  <c r="B383" i="9"/>
  <c r="X382" i="9"/>
  <c r="W382" i="9"/>
  <c r="P382" i="9"/>
  <c r="U381" i="9"/>
  <c r="R381" i="9"/>
  <c r="E345" i="29"/>
  <c r="D345" i="29"/>
  <c r="AC345" i="29"/>
  <c r="AD344" i="29"/>
  <c r="F344" i="29"/>
  <c r="AE344" i="29"/>
  <c r="U348" i="25"/>
  <c r="K348" i="25"/>
  <c r="G348" i="25"/>
  <c r="V348" i="25"/>
  <c r="E348" i="25"/>
  <c r="I348" i="25"/>
  <c r="W348" i="25"/>
  <c r="H348" i="25"/>
  <c r="F348" i="25"/>
  <c r="T348" i="25"/>
  <c r="T381" i="9"/>
  <c r="V381" i="9"/>
  <c r="E346" i="29"/>
  <c r="D346" i="29"/>
  <c r="AC346" i="29"/>
  <c r="U382" i="9"/>
  <c r="R382" i="9"/>
  <c r="S383" i="9"/>
  <c r="N383" i="9"/>
  <c r="E349" i="25"/>
  <c r="G349" i="25"/>
  <c r="V349" i="25"/>
  <c r="F349" i="25"/>
  <c r="I349" i="25"/>
  <c r="W349" i="25"/>
  <c r="U349" i="25"/>
  <c r="K349" i="25"/>
  <c r="H349" i="25"/>
  <c r="T349" i="25"/>
  <c r="AD345" i="29"/>
  <c r="F345" i="29"/>
  <c r="AE345" i="29"/>
  <c r="A350" i="25"/>
  <c r="D350" i="25"/>
  <c r="B347" i="29"/>
  <c r="C384" i="9"/>
  <c r="B384" i="9"/>
  <c r="X383" i="9"/>
  <c r="P383" i="9"/>
  <c r="W383" i="9"/>
  <c r="Q382" i="9"/>
  <c r="T382" i="9"/>
  <c r="V382" i="9"/>
  <c r="F350" i="25"/>
  <c r="G350" i="25"/>
  <c r="V350" i="25"/>
  <c r="I350" i="25"/>
  <c r="W350" i="25"/>
  <c r="H350" i="25"/>
  <c r="U350" i="25"/>
  <c r="K350" i="25"/>
  <c r="E350" i="25"/>
  <c r="T350" i="25"/>
  <c r="U383" i="9"/>
  <c r="R383" i="9"/>
  <c r="E347" i="29"/>
  <c r="D347" i="29"/>
  <c r="AC347" i="29"/>
  <c r="A351" i="25"/>
  <c r="D351" i="25"/>
  <c r="B348" i="29"/>
  <c r="C385" i="9"/>
  <c r="B385" i="9"/>
  <c r="X384" i="9"/>
  <c r="W384" i="9"/>
  <c r="P384" i="9"/>
  <c r="Q384" i="9"/>
  <c r="AD346" i="29"/>
  <c r="F346" i="29"/>
  <c r="AE346" i="29"/>
  <c r="S384" i="9"/>
  <c r="N384" i="9"/>
  <c r="Q383" i="9"/>
  <c r="T383" i="9"/>
  <c r="V383" i="9"/>
  <c r="G351" i="25"/>
  <c r="V351" i="25"/>
  <c r="F351" i="25"/>
  <c r="H351" i="25"/>
  <c r="E351" i="25"/>
  <c r="I351" i="25"/>
  <c r="W351" i="25"/>
  <c r="U351" i="25"/>
  <c r="K351" i="25"/>
  <c r="T351" i="25"/>
  <c r="AD347" i="29"/>
  <c r="F347" i="29"/>
  <c r="AE347" i="29"/>
  <c r="A352" i="25"/>
  <c r="D352" i="25"/>
  <c r="B349" i="29"/>
  <c r="B386" i="9"/>
  <c r="C386" i="9"/>
  <c r="X385" i="9"/>
  <c r="P385" i="9"/>
  <c r="Q385" i="9"/>
  <c r="W385" i="9"/>
  <c r="U384" i="9"/>
  <c r="R384" i="9"/>
  <c r="S385" i="9"/>
  <c r="N385" i="9"/>
  <c r="D348" i="29"/>
  <c r="AC348" i="29"/>
  <c r="E348" i="29"/>
  <c r="T384" i="9"/>
  <c r="V384" i="9"/>
  <c r="S386" i="9"/>
  <c r="N386" i="9"/>
  <c r="A353" i="25"/>
  <c r="D353" i="25"/>
  <c r="B350" i="29"/>
  <c r="C387" i="9"/>
  <c r="B387" i="9"/>
  <c r="X386" i="9"/>
  <c r="W386" i="9"/>
  <c r="P386" i="9"/>
  <c r="Q386" i="9"/>
  <c r="F348" i="29"/>
  <c r="AE348" i="29"/>
  <c r="AD348" i="29"/>
  <c r="U385" i="9"/>
  <c r="R385" i="9"/>
  <c r="D349" i="29"/>
  <c r="AC349" i="29"/>
  <c r="E349" i="29"/>
  <c r="E352" i="25"/>
  <c r="I352" i="25"/>
  <c r="W352" i="25"/>
  <c r="U352" i="25"/>
  <c r="K352" i="25"/>
  <c r="F352" i="25"/>
  <c r="H352" i="25"/>
  <c r="G352" i="25"/>
  <c r="V352" i="25"/>
  <c r="T352" i="25"/>
  <c r="T385" i="9"/>
  <c r="V385" i="9"/>
  <c r="E350" i="29"/>
  <c r="D350" i="29"/>
  <c r="AC350" i="29"/>
  <c r="I353" i="25"/>
  <c r="W353" i="25"/>
  <c r="G353" i="25"/>
  <c r="V353" i="25"/>
  <c r="H353" i="25"/>
  <c r="E353" i="25"/>
  <c r="U353" i="25"/>
  <c r="K353" i="25"/>
  <c r="F353" i="25"/>
  <c r="T353" i="25"/>
  <c r="A354" i="25"/>
  <c r="D354" i="25"/>
  <c r="B351" i="29"/>
  <c r="B388" i="9"/>
  <c r="C388" i="9"/>
  <c r="X387" i="9"/>
  <c r="P387" i="9"/>
  <c r="Q387" i="9"/>
  <c r="W387" i="9"/>
  <c r="F349" i="29"/>
  <c r="AE349" i="29"/>
  <c r="AD349" i="29"/>
  <c r="U386" i="9"/>
  <c r="R386" i="9"/>
  <c r="S387" i="9"/>
  <c r="N387" i="9"/>
  <c r="T386" i="9"/>
  <c r="V386" i="9"/>
  <c r="S388" i="9"/>
  <c r="N388" i="9"/>
  <c r="A355" i="25"/>
  <c r="D355" i="25"/>
  <c r="B352" i="29"/>
  <c r="C389" i="9"/>
  <c r="B389" i="9"/>
  <c r="X388" i="9"/>
  <c r="W388" i="9"/>
  <c r="P388" i="9"/>
  <c r="U387" i="9"/>
  <c r="R387" i="9"/>
  <c r="E351" i="29"/>
  <c r="D351" i="29"/>
  <c r="AC351" i="29"/>
  <c r="AD350" i="29"/>
  <c r="F350" i="29"/>
  <c r="AE350" i="29"/>
  <c r="I354" i="25"/>
  <c r="W354" i="25"/>
  <c r="H354" i="25"/>
  <c r="G354" i="25"/>
  <c r="V354" i="25"/>
  <c r="U354" i="25"/>
  <c r="K354" i="25"/>
  <c r="E354" i="25"/>
  <c r="F354" i="25"/>
  <c r="T354" i="25"/>
  <c r="T387" i="9"/>
  <c r="V387" i="9"/>
  <c r="U388" i="9"/>
  <c r="R388" i="9"/>
  <c r="S389" i="9"/>
  <c r="N389" i="9"/>
  <c r="Q388" i="9"/>
  <c r="AD351" i="29"/>
  <c r="F351" i="29"/>
  <c r="AE351" i="29"/>
  <c r="E352" i="29"/>
  <c r="D352" i="29"/>
  <c r="AC352" i="29"/>
  <c r="F355" i="25"/>
  <c r="E355" i="25"/>
  <c r="H355" i="25"/>
  <c r="U355" i="25"/>
  <c r="K355" i="25"/>
  <c r="G355" i="25"/>
  <c r="V355" i="25"/>
  <c r="I355" i="25"/>
  <c r="W355" i="25"/>
  <c r="T355" i="25"/>
  <c r="A356" i="25"/>
  <c r="D356" i="25"/>
  <c r="B353" i="29"/>
  <c r="B390" i="9"/>
  <c r="C390" i="9"/>
  <c r="X389" i="9"/>
  <c r="P389" i="9"/>
  <c r="W389" i="9"/>
  <c r="T388" i="9"/>
  <c r="V388" i="9"/>
  <c r="S390" i="9"/>
  <c r="N390" i="9"/>
  <c r="A357" i="25"/>
  <c r="D357" i="25"/>
  <c r="B354" i="29"/>
  <c r="C391" i="9"/>
  <c r="B391" i="9"/>
  <c r="X390" i="9"/>
  <c r="P390" i="9"/>
  <c r="Q390" i="9"/>
  <c r="W390" i="9"/>
  <c r="U389" i="9"/>
  <c r="R389" i="9"/>
  <c r="E353" i="29"/>
  <c r="D353" i="29"/>
  <c r="AC353" i="29"/>
  <c r="F352" i="29"/>
  <c r="AE352" i="29"/>
  <c r="AD352" i="29"/>
  <c r="Q389" i="9"/>
  <c r="U356" i="25"/>
  <c r="K356" i="25"/>
  <c r="I356" i="25"/>
  <c r="W356" i="25"/>
  <c r="G356" i="25"/>
  <c r="V356" i="25"/>
  <c r="E356" i="25"/>
  <c r="H356" i="25"/>
  <c r="F356" i="25"/>
  <c r="T356" i="25"/>
  <c r="T389" i="9"/>
  <c r="V389" i="9"/>
  <c r="F353" i="29"/>
  <c r="AE353" i="29"/>
  <c r="AD353" i="29"/>
  <c r="A358" i="25"/>
  <c r="D358" i="25"/>
  <c r="B355" i="29"/>
  <c r="C392" i="9"/>
  <c r="B392" i="9"/>
  <c r="X391" i="9"/>
  <c r="P391" i="9"/>
  <c r="Q391" i="9"/>
  <c r="W391" i="9"/>
  <c r="S391" i="9"/>
  <c r="N391" i="9"/>
  <c r="U390" i="9"/>
  <c r="R390" i="9"/>
  <c r="D354" i="29"/>
  <c r="AC354" i="29"/>
  <c r="E354" i="29"/>
  <c r="E357" i="25"/>
  <c r="I357" i="25"/>
  <c r="W357" i="25"/>
  <c r="G357" i="25"/>
  <c r="V357" i="25"/>
  <c r="H357" i="25"/>
  <c r="F357" i="25"/>
  <c r="U357" i="25"/>
  <c r="K357" i="25"/>
  <c r="T357" i="25"/>
  <c r="T390" i="9"/>
  <c r="V390" i="9"/>
  <c r="AD354" i="29"/>
  <c r="F354" i="29"/>
  <c r="AE354" i="29"/>
  <c r="A359" i="25"/>
  <c r="D359" i="25"/>
  <c r="B356" i="29"/>
  <c r="C393" i="9"/>
  <c r="B393" i="9"/>
  <c r="X392" i="9"/>
  <c r="W392" i="9"/>
  <c r="P392" i="9"/>
  <c r="Q392" i="9"/>
  <c r="S392" i="9"/>
  <c r="N392" i="9"/>
  <c r="U391" i="9"/>
  <c r="R391" i="9"/>
  <c r="D355" i="29"/>
  <c r="AC355" i="29"/>
  <c r="E355" i="29"/>
  <c r="F358" i="25"/>
  <c r="G358" i="25"/>
  <c r="V358" i="25"/>
  <c r="U358" i="25"/>
  <c r="K358" i="25"/>
  <c r="E358" i="25"/>
  <c r="I358" i="25"/>
  <c r="W358" i="25"/>
  <c r="H358" i="25"/>
  <c r="T358" i="25"/>
  <c r="T391" i="9"/>
  <c r="V391" i="9"/>
  <c r="H359" i="25"/>
  <c r="F359" i="25"/>
  <c r="U359" i="25"/>
  <c r="K359" i="25"/>
  <c r="G359" i="25"/>
  <c r="V359" i="25"/>
  <c r="E359" i="25"/>
  <c r="I359" i="25"/>
  <c r="W359" i="25"/>
  <c r="T359" i="25"/>
  <c r="F355" i="29"/>
  <c r="AE355" i="29"/>
  <c r="AD355" i="29"/>
  <c r="A360" i="25"/>
  <c r="D360" i="25"/>
  <c r="B357" i="29"/>
  <c r="B394" i="9"/>
  <c r="C394" i="9"/>
  <c r="X393" i="9"/>
  <c r="P393" i="9"/>
  <c r="W393" i="9"/>
  <c r="U392" i="9"/>
  <c r="R392" i="9"/>
  <c r="S393" i="9"/>
  <c r="N393" i="9"/>
  <c r="E356" i="29"/>
  <c r="D356" i="29"/>
  <c r="AC356" i="29"/>
  <c r="T392" i="9"/>
  <c r="V392" i="9"/>
  <c r="U393" i="9"/>
  <c r="R393" i="9"/>
  <c r="D357" i="29"/>
  <c r="AC357" i="29"/>
  <c r="E357" i="29"/>
  <c r="AD356" i="29"/>
  <c r="F356" i="29"/>
  <c r="AE356" i="29"/>
  <c r="E360" i="25"/>
  <c r="I360" i="25"/>
  <c r="W360" i="25"/>
  <c r="H360" i="25"/>
  <c r="G360" i="25"/>
  <c r="V360" i="25"/>
  <c r="F360" i="25"/>
  <c r="U360" i="25"/>
  <c r="K360" i="25"/>
  <c r="T360" i="25"/>
  <c r="Q393" i="9"/>
  <c r="S394" i="9"/>
  <c r="N394" i="9"/>
  <c r="A361" i="25"/>
  <c r="D361" i="25"/>
  <c r="B358" i="29"/>
  <c r="C395" i="9"/>
  <c r="B395" i="9"/>
  <c r="X394" i="9"/>
  <c r="P394" i="9"/>
  <c r="Q394" i="9"/>
  <c r="W394" i="9"/>
  <c r="T393" i="9"/>
  <c r="V393" i="9"/>
  <c r="U394" i="9"/>
  <c r="R394" i="9"/>
  <c r="E358" i="29"/>
  <c r="D358" i="29"/>
  <c r="AC358" i="29"/>
  <c r="I361" i="25"/>
  <c r="W361" i="25"/>
  <c r="G361" i="25"/>
  <c r="V361" i="25"/>
  <c r="E361" i="25"/>
  <c r="H361" i="25"/>
  <c r="U361" i="25"/>
  <c r="K361" i="25"/>
  <c r="F361" i="25"/>
  <c r="T361" i="25"/>
  <c r="F357" i="29"/>
  <c r="AE357" i="29"/>
  <c r="AD357" i="29"/>
  <c r="A362" i="25"/>
  <c r="D362" i="25"/>
  <c r="B359" i="29"/>
  <c r="C396" i="9"/>
  <c r="B396" i="9"/>
  <c r="X395" i="9"/>
  <c r="P395" i="9"/>
  <c r="Q395" i="9"/>
  <c r="W395" i="9"/>
  <c r="S395" i="9"/>
  <c r="N395" i="9"/>
  <c r="T394" i="9"/>
  <c r="V394" i="9"/>
  <c r="A363" i="25"/>
  <c r="D363" i="25"/>
  <c r="B360" i="29"/>
  <c r="B397" i="9"/>
  <c r="C397" i="9"/>
  <c r="X396" i="9"/>
  <c r="W396" i="9"/>
  <c r="P396" i="9"/>
  <c r="Q396" i="9"/>
  <c r="S396" i="9"/>
  <c r="N396" i="9"/>
  <c r="U395" i="9"/>
  <c r="R395" i="9"/>
  <c r="E359" i="29"/>
  <c r="D359" i="29"/>
  <c r="AC359" i="29"/>
  <c r="I362" i="25"/>
  <c r="W362" i="25"/>
  <c r="H362" i="25"/>
  <c r="U362" i="25"/>
  <c r="K362" i="25"/>
  <c r="G362" i="25"/>
  <c r="V362" i="25"/>
  <c r="E362" i="25"/>
  <c r="F362" i="25"/>
  <c r="T362" i="25"/>
  <c r="AD358" i="29"/>
  <c r="F358" i="29"/>
  <c r="AE358" i="29"/>
  <c r="T395" i="9"/>
  <c r="V395" i="9"/>
  <c r="U396" i="9"/>
  <c r="R396" i="9"/>
  <c r="A364" i="25"/>
  <c r="D364" i="25"/>
  <c r="B361" i="29"/>
  <c r="B398" i="9"/>
  <c r="C398" i="9"/>
  <c r="X397" i="9"/>
  <c r="P397" i="9"/>
  <c r="Q397" i="9"/>
  <c r="W397" i="9"/>
  <c r="D360" i="29"/>
  <c r="AC360" i="29"/>
  <c r="E360" i="29"/>
  <c r="F363" i="25"/>
  <c r="H363" i="25"/>
  <c r="E363" i="25"/>
  <c r="I363" i="25"/>
  <c r="W363" i="25"/>
  <c r="U363" i="25"/>
  <c r="K363" i="25"/>
  <c r="G363" i="25"/>
  <c r="V363" i="25"/>
  <c r="T363" i="25"/>
  <c r="AD359" i="29"/>
  <c r="F359" i="29"/>
  <c r="AE359" i="29"/>
  <c r="S397" i="9"/>
  <c r="N397" i="9"/>
  <c r="T396" i="9"/>
  <c r="V396" i="9"/>
  <c r="U397" i="9"/>
  <c r="R397" i="9"/>
  <c r="E361" i="29"/>
  <c r="D361" i="29"/>
  <c r="AC361" i="29"/>
  <c r="AD360" i="29"/>
  <c r="F360" i="29"/>
  <c r="AE360" i="29"/>
  <c r="U364" i="25"/>
  <c r="K364" i="25"/>
  <c r="E364" i="25"/>
  <c r="I364" i="25"/>
  <c r="W364" i="25"/>
  <c r="G364" i="25"/>
  <c r="V364" i="25"/>
  <c r="H364" i="25"/>
  <c r="F364" i="25"/>
  <c r="T364" i="25"/>
  <c r="S398" i="9"/>
  <c r="N398" i="9"/>
  <c r="A365" i="25"/>
  <c r="D365" i="25"/>
  <c r="B362" i="29"/>
  <c r="C399" i="9"/>
  <c r="B399" i="9"/>
  <c r="X398" i="9"/>
  <c r="W398" i="9"/>
  <c r="P398" i="9"/>
  <c r="Q398" i="9"/>
  <c r="T397" i="9"/>
  <c r="V397" i="9"/>
  <c r="D362" i="29"/>
  <c r="AC362" i="29"/>
  <c r="E362" i="29"/>
  <c r="AD361" i="29"/>
  <c r="F361" i="29"/>
  <c r="AE361" i="29"/>
  <c r="E365" i="25"/>
  <c r="G365" i="25"/>
  <c r="V365" i="25"/>
  <c r="I365" i="25"/>
  <c r="W365" i="25"/>
  <c r="H365" i="25"/>
  <c r="F365" i="25"/>
  <c r="U365" i="25"/>
  <c r="K365" i="25"/>
  <c r="T365" i="25"/>
  <c r="A366" i="25"/>
  <c r="D366" i="25"/>
  <c r="B363" i="29"/>
  <c r="C400" i="9"/>
  <c r="B400" i="9"/>
  <c r="X399" i="9"/>
  <c r="P399" i="9"/>
  <c r="Q399" i="9"/>
  <c r="W399" i="9"/>
  <c r="U398" i="9"/>
  <c r="R398" i="9"/>
  <c r="S399" i="9"/>
  <c r="N399" i="9"/>
  <c r="T398" i="9"/>
  <c r="V398" i="9"/>
  <c r="A367" i="25"/>
  <c r="D367" i="25"/>
  <c r="B364" i="29"/>
  <c r="C401" i="9"/>
  <c r="B401" i="9"/>
  <c r="X400" i="9"/>
  <c r="W400" i="9"/>
  <c r="P400" i="9"/>
  <c r="Q400" i="9"/>
  <c r="S400" i="9"/>
  <c r="N400" i="9"/>
  <c r="F362" i="29"/>
  <c r="AE362" i="29"/>
  <c r="AD362" i="29"/>
  <c r="U399" i="9"/>
  <c r="R399" i="9"/>
  <c r="D363" i="29"/>
  <c r="AC363" i="29"/>
  <c r="E363" i="29"/>
  <c r="F366" i="25"/>
  <c r="G366" i="25"/>
  <c r="V366" i="25"/>
  <c r="U366" i="25"/>
  <c r="K366" i="25"/>
  <c r="I366" i="25"/>
  <c r="W366" i="25"/>
  <c r="E366" i="25"/>
  <c r="H366" i="25"/>
  <c r="T366" i="25"/>
  <c r="T399" i="9"/>
  <c r="V399" i="9"/>
  <c r="A368" i="25"/>
  <c r="D368" i="25"/>
  <c r="B365" i="29"/>
  <c r="B402" i="9"/>
  <c r="C402" i="9"/>
  <c r="X401" i="9"/>
  <c r="P401" i="9"/>
  <c r="Q401" i="9"/>
  <c r="W401" i="9"/>
  <c r="U400" i="9"/>
  <c r="R400" i="9"/>
  <c r="S401" i="9"/>
  <c r="N401" i="9"/>
  <c r="AD363" i="29"/>
  <c r="F363" i="29"/>
  <c r="AE363" i="29"/>
  <c r="E364" i="29"/>
  <c r="D364" i="29"/>
  <c r="AC364" i="29"/>
  <c r="F367" i="25"/>
  <c r="H367" i="25"/>
  <c r="G367" i="25"/>
  <c r="V367" i="25"/>
  <c r="E367" i="25"/>
  <c r="I367" i="25"/>
  <c r="W367" i="25"/>
  <c r="U367" i="25"/>
  <c r="K367" i="25"/>
  <c r="T367" i="25"/>
  <c r="T400" i="9"/>
  <c r="V400" i="9"/>
  <c r="AD364" i="29"/>
  <c r="F364" i="29"/>
  <c r="AE364" i="29"/>
  <c r="A369" i="25"/>
  <c r="D369" i="25"/>
  <c r="B366" i="29"/>
  <c r="C403" i="9"/>
  <c r="B403" i="9"/>
  <c r="X402" i="9"/>
  <c r="P402" i="9"/>
  <c r="Q402" i="9"/>
  <c r="W402" i="9"/>
  <c r="U401" i="9"/>
  <c r="R401" i="9"/>
  <c r="E365" i="29"/>
  <c r="D365" i="29"/>
  <c r="AC365" i="29"/>
  <c r="E368" i="25"/>
  <c r="H368" i="25"/>
  <c r="I368" i="25"/>
  <c r="W368" i="25"/>
  <c r="F368" i="25"/>
  <c r="G368" i="25"/>
  <c r="V368" i="25"/>
  <c r="U368" i="25"/>
  <c r="K368" i="25"/>
  <c r="T368" i="25"/>
  <c r="S402" i="9"/>
  <c r="N402" i="9"/>
  <c r="T401" i="9"/>
  <c r="V401" i="9"/>
  <c r="F365" i="29"/>
  <c r="AE365" i="29"/>
  <c r="AD365" i="29"/>
  <c r="U402" i="9"/>
  <c r="R402" i="9"/>
  <c r="E366" i="29"/>
  <c r="D366" i="29"/>
  <c r="AC366" i="29"/>
  <c r="G369" i="25"/>
  <c r="V369" i="25"/>
  <c r="I369" i="25"/>
  <c r="W369" i="25"/>
  <c r="E369" i="25"/>
  <c r="U369" i="25"/>
  <c r="K369" i="25"/>
  <c r="H369" i="25"/>
  <c r="F369" i="25"/>
  <c r="T369" i="25"/>
  <c r="A370" i="25"/>
  <c r="D370" i="25"/>
  <c r="B367" i="29"/>
  <c r="B404" i="9"/>
  <c r="C404" i="9"/>
  <c r="X403" i="9"/>
  <c r="P403" i="9"/>
  <c r="Q403" i="9"/>
  <c r="W403" i="9"/>
  <c r="S403" i="9"/>
  <c r="N403" i="9"/>
  <c r="T402" i="9"/>
  <c r="V402" i="9"/>
  <c r="I370" i="25"/>
  <c r="W370" i="25"/>
  <c r="H370" i="25"/>
  <c r="U370" i="25"/>
  <c r="K370" i="25"/>
  <c r="G370" i="25"/>
  <c r="V370" i="25"/>
  <c r="F370" i="25"/>
  <c r="E370" i="25"/>
  <c r="T370" i="25"/>
  <c r="S404" i="9"/>
  <c r="N404" i="9"/>
  <c r="A371" i="25"/>
  <c r="D371" i="25"/>
  <c r="B368" i="29"/>
  <c r="C405" i="9"/>
  <c r="B405" i="9"/>
  <c r="X404" i="9"/>
  <c r="W404" i="9"/>
  <c r="P404" i="9"/>
  <c r="Q404" i="9"/>
  <c r="U403" i="9"/>
  <c r="R403" i="9"/>
  <c r="E367" i="29"/>
  <c r="D367" i="29"/>
  <c r="AC367" i="29"/>
  <c r="AD366" i="29"/>
  <c r="F366" i="29"/>
  <c r="AE366" i="29"/>
  <c r="T403" i="9"/>
  <c r="V403" i="9"/>
  <c r="A372" i="25"/>
  <c r="D372" i="25"/>
  <c r="B369" i="29"/>
  <c r="B406" i="9"/>
  <c r="C406" i="9"/>
  <c r="X405" i="9"/>
  <c r="P405" i="9"/>
  <c r="Q405" i="9"/>
  <c r="W405" i="9"/>
  <c r="U404" i="9"/>
  <c r="R404" i="9"/>
  <c r="S405" i="9"/>
  <c r="N405" i="9"/>
  <c r="F367" i="29"/>
  <c r="AE367" i="29"/>
  <c r="AD367" i="29"/>
  <c r="D368" i="29"/>
  <c r="AC368" i="29"/>
  <c r="E368" i="29"/>
  <c r="F371" i="25"/>
  <c r="E371" i="25"/>
  <c r="H371" i="25"/>
  <c r="I371" i="25"/>
  <c r="W371" i="25"/>
  <c r="U371" i="25"/>
  <c r="K371" i="25"/>
  <c r="G371" i="25"/>
  <c r="V371" i="25"/>
  <c r="T371" i="25"/>
  <c r="T404" i="9"/>
  <c r="V404" i="9"/>
  <c r="AD368" i="29"/>
  <c r="F368" i="29"/>
  <c r="AE368" i="29"/>
  <c r="U405" i="9"/>
  <c r="R405" i="9"/>
  <c r="E369" i="29"/>
  <c r="D369" i="29"/>
  <c r="AC369" i="29"/>
  <c r="G372" i="25"/>
  <c r="V372" i="25"/>
  <c r="U372" i="25"/>
  <c r="K372" i="25"/>
  <c r="I372" i="25"/>
  <c r="W372" i="25"/>
  <c r="E372" i="25"/>
  <c r="F372" i="25"/>
  <c r="H372" i="25"/>
  <c r="T372" i="25"/>
  <c r="S406" i="9"/>
  <c r="N406" i="9"/>
  <c r="A373" i="25"/>
  <c r="D373" i="25"/>
  <c r="B370" i="29"/>
  <c r="C407" i="9"/>
  <c r="B407" i="9"/>
  <c r="X406" i="9"/>
  <c r="W406" i="9"/>
  <c r="P406" i="9"/>
  <c r="Q406" i="9"/>
  <c r="T405" i="9"/>
  <c r="V405" i="9"/>
  <c r="E373" i="25"/>
  <c r="G373" i="25"/>
  <c r="V373" i="25"/>
  <c r="I373" i="25"/>
  <c r="W373" i="25"/>
  <c r="F373" i="25"/>
  <c r="H373" i="25"/>
  <c r="U373" i="25"/>
  <c r="K373" i="25"/>
  <c r="T373" i="25"/>
  <c r="E370" i="29"/>
  <c r="D370" i="29"/>
  <c r="AC370" i="29"/>
  <c r="A374" i="25"/>
  <c r="D374" i="25"/>
  <c r="B371" i="29"/>
  <c r="C408" i="9"/>
  <c r="B408" i="9"/>
  <c r="X407" i="9"/>
  <c r="W407" i="9"/>
  <c r="P407" i="9"/>
  <c r="Q407" i="9"/>
  <c r="U406" i="9"/>
  <c r="R406" i="9"/>
  <c r="S407" i="9"/>
  <c r="N407" i="9"/>
  <c r="F369" i="29"/>
  <c r="AE369" i="29"/>
  <c r="AD369" i="29"/>
  <c r="T406" i="9"/>
  <c r="V406" i="9"/>
  <c r="F374" i="25"/>
  <c r="G374" i="25"/>
  <c r="V374" i="25"/>
  <c r="I374" i="25"/>
  <c r="W374" i="25"/>
  <c r="E374" i="25"/>
  <c r="U374" i="25"/>
  <c r="K374" i="25"/>
  <c r="H374" i="25"/>
  <c r="T374" i="25"/>
  <c r="A375" i="25"/>
  <c r="D375" i="25"/>
  <c r="B372" i="29"/>
  <c r="C409" i="9"/>
  <c r="B409" i="9"/>
  <c r="X408" i="9"/>
  <c r="W408" i="9"/>
  <c r="P408" i="9"/>
  <c r="Q408" i="9"/>
  <c r="F370" i="29"/>
  <c r="AE370" i="29"/>
  <c r="AD370" i="29"/>
  <c r="U407" i="9"/>
  <c r="R407" i="9"/>
  <c r="S408" i="9"/>
  <c r="N408" i="9"/>
  <c r="D371" i="29"/>
  <c r="AC371" i="29"/>
  <c r="E371" i="29"/>
  <c r="T407" i="9"/>
  <c r="V407" i="9"/>
  <c r="H375" i="25"/>
  <c r="F375" i="25"/>
  <c r="G375" i="25"/>
  <c r="V375" i="25"/>
  <c r="E375" i="25"/>
  <c r="U375" i="25"/>
  <c r="K375" i="25"/>
  <c r="I375" i="25"/>
  <c r="W375" i="25"/>
  <c r="T375" i="25"/>
  <c r="A376" i="25"/>
  <c r="D376" i="25"/>
  <c r="B373" i="29"/>
  <c r="B410" i="9"/>
  <c r="C410" i="9"/>
  <c r="X409" i="9"/>
  <c r="P409" i="9"/>
  <c r="Q409" i="9"/>
  <c r="W409" i="9"/>
  <c r="AD371" i="29"/>
  <c r="F371" i="29"/>
  <c r="AE371" i="29"/>
  <c r="U408" i="9"/>
  <c r="R408" i="9"/>
  <c r="S409" i="9"/>
  <c r="N409" i="9"/>
  <c r="E372" i="29"/>
  <c r="D372" i="29"/>
  <c r="AC372" i="29"/>
  <c r="T408" i="9"/>
  <c r="V408" i="9"/>
  <c r="F372" i="29"/>
  <c r="AE372" i="29"/>
  <c r="AD372" i="29"/>
  <c r="A377" i="25"/>
  <c r="D377" i="25"/>
  <c r="B374" i="29"/>
  <c r="C411" i="9"/>
  <c r="B411" i="9"/>
  <c r="X410" i="9"/>
  <c r="P410" i="9"/>
  <c r="W410" i="9"/>
  <c r="U409" i="9"/>
  <c r="R409" i="9"/>
  <c r="D373" i="29"/>
  <c r="AC373" i="29"/>
  <c r="E373" i="29"/>
  <c r="E376" i="25"/>
  <c r="U376" i="25"/>
  <c r="K376" i="25"/>
  <c r="H376" i="25"/>
  <c r="I376" i="25"/>
  <c r="W376" i="25"/>
  <c r="G376" i="25"/>
  <c r="V376" i="25"/>
  <c r="F376" i="25"/>
  <c r="T376" i="25"/>
  <c r="S410" i="9"/>
  <c r="N410" i="9"/>
  <c r="Q410" i="9"/>
  <c r="T409" i="9"/>
  <c r="V409" i="9"/>
  <c r="I377" i="25"/>
  <c r="W377" i="25"/>
  <c r="H377" i="25"/>
  <c r="G377" i="25"/>
  <c r="V377" i="25"/>
  <c r="U377" i="25"/>
  <c r="K377" i="25"/>
  <c r="E377" i="25"/>
  <c r="F377" i="25"/>
  <c r="T377" i="25"/>
  <c r="AD373" i="29"/>
  <c r="F373" i="29"/>
  <c r="AE373" i="29"/>
  <c r="A378" i="25"/>
  <c r="D378" i="25"/>
  <c r="B375" i="29"/>
  <c r="C412" i="9"/>
  <c r="B412" i="9"/>
  <c r="X411" i="9"/>
  <c r="P411" i="9"/>
  <c r="W411" i="9"/>
  <c r="S411" i="9"/>
  <c r="N411" i="9"/>
  <c r="U410" i="9"/>
  <c r="R410" i="9"/>
  <c r="D374" i="29"/>
  <c r="AC374" i="29"/>
  <c r="E374" i="29"/>
  <c r="T410" i="9"/>
  <c r="V410" i="9"/>
  <c r="U411" i="9"/>
  <c r="R411" i="9"/>
  <c r="D375" i="29"/>
  <c r="AC375" i="29"/>
  <c r="E375" i="29"/>
  <c r="S412" i="9"/>
  <c r="N412" i="9"/>
  <c r="F374" i="29"/>
  <c r="AE374" i="29"/>
  <c r="AD374" i="29"/>
  <c r="Q411" i="9"/>
  <c r="I378" i="25"/>
  <c r="W378" i="25"/>
  <c r="H378" i="25"/>
  <c r="G378" i="25"/>
  <c r="V378" i="25"/>
  <c r="U378" i="25"/>
  <c r="K378" i="25"/>
  <c r="E378" i="25"/>
  <c r="F378" i="25"/>
  <c r="T378" i="25"/>
  <c r="A379" i="25"/>
  <c r="D379" i="25"/>
  <c r="B376" i="29"/>
  <c r="B413" i="9"/>
  <c r="C413" i="9"/>
  <c r="X412" i="9"/>
  <c r="W412" i="9"/>
  <c r="P412" i="9"/>
  <c r="Q412" i="9"/>
  <c r="T411" i="9"/>
  <c r="V411" i="9"/>
  <c r="S413" i="9"/>
  <c r="N413" i="9"/>
  <c r="U412" i="9"/>
  <c r="R412" i="9"/>
  <c r="A380" i="25"/>
  <c r="D380" i="25"/>
  <c r="B377" i="29"/>
  <c r="B414" i="9"/>
  <c r="C414" i="9"/>
  <c r="X413" i="9"/>
  <c r="W413" i="9"/>
  <c r="P413" i="9"/>
  <c r="Q413" i="9"/>
  <c r="AD375" i="29"/>
  <c r="F375" i="29"/>
  <c r="AE375" i="29"/>
  <c r="E376" i="29"/>
  <c r="D376" i="29"/>
  <c r="AC376" i="29"/>
  <c r="H379" i="25"/>
  <c r="F379" i="25"/>
  <c r="E379" i="25"/>
  <c r="I379" i="25"/>
  <c r="W379" i="25"/>
  <c r="U379" i="25"/>
  <c r="K379" i="25"/>
  <c r="G379" i="25"/>
  <c r="V379" i="25"/>
  <c r="T379" i="25"/>
  <c r="T412" i="9"/>
  <c r="V412" i="9"/>
  <c r="S414" i="9"/>
  <c r="N414" i="9"/>
  <c r="U413" i="9"/>
  <c r="R413" i="9"/>
  <c r="A381" i="25"/>
  <c r="D381" i="25"/>
  <c r="B378" i="29"/>
  <c r="C415" i="9"/>
  <c r="B415" i="9"/>
  <c r="X414" i="9"/>
  <c r="W414" i="9"/>
  <c r="P414" i="9"/>
  <c r="F376" i="29"/>
  <c r="AE376" i="29"/>
  <c r="AD376" i="29"/>
  <c r="E377" i="29"/>
  <c r="D377" i="29"/>
  <c r="AC377" i="29"/>
  <c r="G380" i="25"/>
  <c r="V380" i="25"/>
  <c r="U380" i="25"/>
  <c r="K380" i="25"/>
  <c r="H380" i="25"/>
  <c r="I380" i="25"/>
  <c r="W380" i="25"/>
  <c r="E380" i="25"/>
  <c r="F380" i="25"/>
  <c r="T380" i="25"/>
  <c r="T413" i="9"/>
  <c r="V413" i="9"/>
  <c r="E381" i="25"/>
  <c r="F381" i="25"/>
  <c r="G381" i="25"/>
  <c r="V381" i="25"/>
  <c r="I381" i="25"/>
  <c r="W381" i="25"/>
  <c r="U381" i="25"/>
  <c r="K381" i="25"/>
  <c r="H381" i="25"/>
  <c r="T381" i="25"/>
  <c r="AD377" i="29"/>
  <c r="F377" i="29"/>
  <c r="AE377" i="29"/>
  <c r="A382" i="25"/>
  <c r="D382" i="25"/>
  <c r="B379" i="29"/>
  <c r="C416" i="9"/>
  <c r="B416" i="9"/>
  <c r="X415" i="9"/>
  <c r="P415" i="9"/>
  <c r="Q415" i="9"/>
  <c r="W415" i="9"/>
  <c r="U414" i="9"/>
  <c r="R414" i="9"/>
  <c r="S415" i="9"/>
  <c r="N415" i="9"/>
  <c r="Q414" i="9"/>
  <c r="E378" i="29"/>
  <c r="D378" i="29"/>
  <c r="AC378" i="29"/>
  <c r="T414" i="9"/>
  <c r="V414" i="9"/>
  <c r="A383" i="25"/>
  <c r="D383" i="25"/>
  <c r="B380" i="29"/>
  <c r="C417" i="9"/>
  <c r="B417" i="9"/>
  <c r="X416" i="9"/>
  <c r="W416" i="9"/>
  <c r="P416" i="9"/>
  <c r="Q416" i="9"/>
  <c r="F378" i="29"/>
  <c r="AE378" i="29"/>
  <c r="AD378" i="29"/>
  <c r="S416" i="9"/>
  <c r="N416" i="9"/>
  <c r="U415" i="9"/>
  <c r="R415" i="9"/>
  <c r="D379" i="29"/>
  <c r="AC379" i="29"/>
  <c r="E379" i="29"/>
  <c r="F382" i="25"/>
  <c r="G382" i="25"/>
  <c r="V382" i="25"/>
  <c r="I382" i="25"/>
  <c r="W382" i="25"/>
  <c r="U382" i="25"/>
  <c r="K382" i="25"/>
  <c r="H382" i="25"/>
  <c r="E382" i="25"/>
  <c r="T382" i="25"/>
  <c r="T415" i="9"/>
  <c r="V415" i="9"/>
  <c r="U416" i="9"/>
  <c r="R416" i="9"/>
  <c r="S417" i="9"/>
  <c r="N417" i="9"/>
  <c r="AD379" i="29"/>
  <c r="F379" i="29"/>
  <c r="AE379" i="29"/>
  <c r="D380" i="29"/>
  <c r="AC380" i="29"/>
  <c r="E380" i="29"/>
  <c r="F383" i="25"/>
  <c r="H383" i="25"/>
  <c r="G383" i="25"/>
  <c r="V383" i="25"/>
  <c r="E383" i="25"/>
  <c r="U383" i="25"/>
  <c r="K383" i="25"/>
  <c r="I383" i="25"/>
  <c r="W383" i="25"/>
  <c r="T383" i="25"/>
  <c r="A384" i="25"/>
  <c r="D384" i="25"/>
  <c r="B381" i="29"/>
  <c r="B418" i="9"/>
  <c r="C418" i="9"/>
  <c r="X417" i="9"/>
  <c r="P417" i="9"/>
  <c r="W417" i="9"/>
  <c r="T416" i="9"/>
  <c r="V416" i="9"/>
  <c r="S418" i="9"/>
  <c r="N418" i="9"/>
  <c r="U417" i="9"/>
  <c r="R417" i="9"/>
  <c r="D381" i="29"/>
  <c r="AC381" i="29"/>
  <c r="E381" i="29"/>
  <c r="A385" i="25"/>
  <c r="D385" i="25"/>
  <c r="B382" i="29"/>
  <c r="C419" i="9"/>
  <c r="B419" i="9"/>
  <c r="X418" i="9"/>
  <c r="P418" i="9"/>
  <c r="W418" i="9"/>
  <c r="E384" i="25"/>
  <c r="U384" i="25"/>
  <c r="K384" i="25"/>
  <c r="I384" i="25"/>
  <c r="W384" i="25"/>
  <c r="H384" i="25"/>
  <c r="F384" i="25"/>
  <c r="G384" i="25"/>
  <c r="V384" i="25"/>
  <c r="T384" i="25"/>
  <c r="F380" i="29"/>
  <c r="AE380" i="29"/>
  <c r="AD380" i="29"/>
  <c r="Q417" i="9"/>
  <c r="T417" i="9"/>
  <c r="V417" i="9"/>
  <c r="U418" i="9"/>
  <c r="R418" i="9"/>
  <c r="E382" i="29"/>
  <c r="D382" i="29"/>
  <c r="AC382" i="29"/>
  <c r="AD381" i="29"/>
  <c r="F381" i="29"/>
  <c r="AE381" i="29"/>
  <c r="Q418" i="9"/>
  <c r="G385" i="25"/>
  <c r="V385" i="25"/>
  <c r="I385" i="25"/>
  <c r="W385" i="25"/>
  <c r="H385" i="25"/>
  <c r="E385" i="25"/>
  <c r="U385" i="25"/>
  <c r="K385" i="25"/>
  <c r="F385" i="25"/>
  <c r="T385" i="25"/>
  <c r="A386" i="25"/>
  <c r="D386" i="25"/>
  <c r="B383" i="29"/>
  <c r="B420" i="9"/>
  <c r="C420" i="9"/>
  <c r="X419" i="9"/>
  <c r="P419" i="9"/>
  <c r="Q419" i="9"/>
  <c r="W419" i="9"/>
  <c r="S419" i="9"/>
  <c r="N419" i="9"/>
  <c r="T418" i="9"/>
  <c r="V418" i="9"/>
  <c r="AD382" i="29"/>
  <c r="F382" i="29"/>
  <c r="AE382" i="29"/>
  <c r="A387" i="25"/>
  <c r="D387" i="25"/>
  <c r="B384" i="29"/>
  <c r="C421" i="9"/>
  <c r="B421" i="9"/>
  <c r="X420" i="9"/>
  <c r="W420" i="9"/>
  <c r="P420" i="9"/>
  <c r="Q420" i="9"/>
  <c r="S420" i="9"/>
  <c r="N420" i="9"/>
  <c r="U419" i="9"/>
  <c r="R419" i="9"/>
  <c r="E383" i="29"/>
  <c r="D383" i="29"/>
  <c r="AC383" i="29"/>
  <c r="I386" i="25"/>
  <c r="W386" i="25"/>
  <c r="H386" i="25"/>
  <c r="G386" i="25"/>
  <c r="V386" i="25"/>
  <c r="U386" i="25"/>
  <c r="K386" i="25"/>
  <c r="F386" i="25"/>
  <c r="E386" i="25"/>
  <c r="T386" i="25"/>
  <c r="T419" i="9"/>
  <c r="V419" i="9"/>
  <c r="E384" i="29"/>
  <c r="D384" i="29"/>
  <c r="AC384" i="29"/>
  <c r="F383" i="29"/>
  <c r="AE383" i="29"/>
  <c r="AD383" i="29"/>
  <c r="F387" i="25"/>
  <c r="H387" i="25"/>
  <c r="E387" i="25"/>
  <c r="G387" i="25"/>
  <c r="V387" i="25"/>
  <c r="I387" i="25"/>
  <c r="W387" i="25"/>
  <c r="U387" i="25"/>
  <c r="K387" i="25"/>
  <c r="T387" i="25"/>
  <c r="A388" i="25"/>
  <c r="D388" i="25"/>
  <c r="B385" i="29"/>
  <c r="B422" i="9"/>
  <c r="C422" i="9"/>
  <c r="X421" i="9"/>
  <c r="P421" i="9"/>
  <c r="Q421" i="9"/>
  <c r="W421" i="9"/>
  <c r="U420" i="9"/>
  <c r="R420" i="9"/>
  <c r="S421" i="9"/>
  <c r="N421" i="9"/>
  <c r="T420" i="9"/>
  <c r="V420" i="9"/>
  <c r="A389" i="25"/>
  <c r="D389" i="25"/>
  <c r="B386" i="29"/>
  <c r="C423" i="9"/>
  <c r="B423" i="9"/>
  <c r="X422" i="9"/>
  <c r="W422" i="9"/>
  <c r="P422" i="9"/>
  <c r="Q422" i="9"/>
  <c r="U421" i="9"/>
  <c r="R421" i="9"/>
  <c r="E385" i="29"/>
  <c r="D385" i="29"/>
  <c r="AC385" i="29"/>
  <c r="S422" i="9"/>
  <c r="N422" i="9"/>
  <c r="U388" i="25"/>
  <c r="K388" i="25"/>
  <c r="G388" i="25"/>
  <c r="V388" i="25"/>
  <c r="I388" i="25"/>
  <c r="W388" i="25"/>
  <c r="H388" i="25"/>
  <c r="E388" i="25"/>
  <c r="F388" i="25"/>
  <c r="T388" i="25"/>
  <c r="AD384" i="29"/>
  <c r="F384" i="29"/>
  <c r="AE384" i="29"/>
  <c r="T421" i="9"/>
  <c r="V421" i="9"/>
  <c r="A390" i="25"/>
  <c r="D390" i="25"/>
  <c r="B387" i="29"/>
  <c r="C424" i="9"/>
  <c r="B424" i="9"/>
  <c r="X423" i="9"/>
  <c r="P423" i="9"/>
  <c r="Q423" i="9"/>
  <c r="W423" i="9"/>
  <c r="U422" i="9"/>
  <c r="R422" i="9"/>
  <c r="S423" i="9"/>
  <c r="N423" i="9"/>
  <c r="AD385" i="29"/>
  <c r="F385" i="29"/>
  <c r="AE385" i="29"/>
  <c r="D386" i="29"/>
  <c r="AC386" i="29"/>
  <c r="E386" i="29"/>
  <c r="E389" i="25"/>
  <c r="I389" i="25"/>
  <c r="W389" i="25"/>
  <c r="G389" i="25"/>
  <c r="V389" i="25"/>
  <c r="F389" i="25"/>
  <c r="H389" i="25"/>
  <c r="U389" i="25"/>
  <c r="K389" i="25"/>
  <c r="T389" i="25"/>
  <c r="T422" i="9"/>
  <c r="V422" i="9"/>
  <c r="AD386" i="29"/>
  <c r="F386" i="29"/>
  <c r="AE386" i="29"/>
  <c r="A391" i="25"/>
  <c r="D391" i="25"/>
  <c r="B388" i="29"/>
  <c r="C425" i="9"/>
  <c r="B425" i="9"/>
  <c r="X424" i="9"/>
  <c r="W424" i="9"/>
  <c r="P424" i="9"/>
  <c r="Q424" i="9"/>
  <c r="S424" i="9"/>
  <c r="N424" i="9"/>
  <c r="U423" i="9"/>
  <c r="R423" i="9"/>
  <c r="E387" i="29"/>
  <c r="D387" i="29"/>
  <c r="AC387" i="29"/>
  <c r="F390" i="25"/>
  <c r="G390" i="25"/>
  <c r="V390" i="25"/>
  <c r="I390" i="25"/>
  <c r="W390" i="25"/>
  <c r="U390" i="25"/>
  <c r="K390" i="25"/>
  <c r="H390" i="25"/>
  <c r="E390" i="25"/>
  <c r="T390" i="25"/>
  <c r="T423" i="9"/>
  <c r="V423" i="9"/>
  <c r="E388" i="29"/>
  <c r="D388" i="29"/>
  <c r="AC388" i="29"/>
  <c r="AD387" i="29"/>
  <c r="F387" i="29"/>
  <c r="AE387" i="29"/>
  <c r="H391" i="25"/>
  <c r="F391" i="25"/>
  <c r="G391" i="25"/>
  <c r="V391" i="25"/>
  <c r="E391" i="25"/>
  <c r="U391" i="25"/>
  <c r="K391" i="25"/>
  <c r="I391" i="25"/>
  <c r="W391" i="25"/>
  <c r="T391" i="25"/>
  <c r="A392" i="25"/>
  <c r="D392" i="25"/>
  <c r="B389" i="29"/>
  <c r="B426" i="9"/>
  <c r="C426" i="9"/>
  <c r="X425" i="9"/>
  <c r="P425" i="9"/>
  <c r="Q425" i="9"/>
  <c r="W425" i="9"/>
  <c r="U424" i="9"/>
  <c r="R424" i="9"/>
  <c r="S425" i="9"/>
  <c r="N425" i="9"/>
  <c r="T424" i="9"/>
  <c r="V424" i="9"/>
  <c r="S426" i="9"/>
  <c r="N426" i="9"/>
  <c r="U425" i="9"/>
  <c r="R425" i="9"/>
  <c r="D389" i="29"/>
  <c r="AC389" i="29"/>
  <c r="E389" i="29"/>
  <c r="A393" i="25"/>
  <c r="D393" i="25"/>
  <c r="B390" i="29"/>
  <c r="C427" i="9"/>
  <c r="B427" i="9"/>
  <c r="X426" i="9"/>
  <c r="P426" i="9"/>
  <c r="Q426" i="9"/>
  <c r="W426" i="9"/>
  <c r="I392" i="25"/>
  <c r="W392" i="25"/>
  <c r="E392" i="25"/>
  <c r="U392" i="25"/>
  <c r="K392" i="25"/>
  <c r="H392" i="25"/>
  <c r="G392" i="25"/>
  <c r="V392" i="25"/>
  <c r="F392" i="25"/>
  <c r="T392" i="25"/>
  <c r="F388" i="29"/>
  <c r="AE388" i="29"/>
  <c r="AD388" i="29"/>
  <c r="T425" i="9"/>
  <c r="V425" i="9"/>
  <c r="I393" i="25"/>
  <c r="W393" i="25"/>
  <c r="G393" i="25"/>
  <c r="V393" i="25"/>
  <c r="E393" i="25"/>
  <c r="H393" i="25"/>
  <c r="U393" i="25"/>
  <c r="K393" i="25"/>
  <c r="F393" i="25"/>
  <c r="T393" i="25"/>
  <c r="A394" i="25"/>
  <c r="D394" i="25"/>
  <c r="B391" i="29"/>
  <c r="C428" i="9"/>
  <c r="B428" i="9"/>
  <c r="X427" i="9"/>
  <c r="P427" i="9"/>
  <c r="Q427" i="9"/>
  <c r="W427" i="9"/>
  <c r="AD389" i="29"/>
  <c r="F389" i="29"/>
  <c r="AE389" i="29"/>
  <c r="S427" i="9"/>
  <c r="N427" i="9"/>
  <c r="U426" i="9"/>
  <c r="R426" i="9"/>
  <c r="E390" i="29"/>
  <c r="D390" i="29"/>
  <c r="AC390" i="29"/>
  <c r="T426" i="9"/>
  <c r="V426" i="9"/>
  <c r="A395" i="25"/>
  <c r="D395" i="25"/>
  <c r="B392" i="29"/>
  <c r="B429" i="9"/>
  <c r="C429" i="9"/>
  <c r="X428" i="9"/>
  <c r="W428" i="9"/>
  <c r="P428" i="9"/>
  <c r="S428" i="9"/>
  <c r="N428" i="9"/>
  <c r="U427" i="9"/>
  <c r="R427" i="9"/>
  <c r="E391" i="29"/>
  <c r="D391" i="29"/>
  <c r="AC391" i="29"/>
  <c r="AD390" i="29"/>
  <c r="F390" i="29"/>
  <c r="AE390" i="29"/>
  <c r="I394" i="25"/>
  <c r="W394" i="25"/>
  <c r="H394" i="25"/>
  <c r="G394" i="25"/>
  <c r="V394" i="25"/>
  <c r="U394" i="25"/>
  <c r="K394" i="25"/>
  <c r="E394" i="25"/>
  <c r="F394" i="25"/>
  <c r="T394" i="25"/>
  <c r="T427" i="9"/>
  <c r="V427" i="9"/>
  <c r="S429" i="9"/>
  <c r="N429" i="9"/>
  <c r="U428" i="9"/>
  <c r="R428" i="9"/>
  <c r="A396" i="25"/>
  <c r="D396" i="25"/>
  <c r="B393" i="29"/>
  <c r="B430" i="9"/>
  <c r="C430" i="9"/>
  <c r="X429" i="9"/>
  <c r="P429" i="9"/>
  <c r="W429" i="9"/>
  <c r="Q428" i="9"/>
  <c r="E392" i="29"/>
  <c r="D392" i="29"/>
  <c r="AC392" i="29"/>
  <c r="F391" i="29"/>
  <c r="AE391" i="29"/>
  <c r="AD391" i="29"/>
  <c r="F395" i="25"/>
  <c r="E395" i="25"/>
  <c r="H395" i="25"/>
  <c r="U395" i="25"/>
  <c r="K395" i="25"/>
  <c r="G395" i="25"/>
  <c r="V395" i="25"/>
  <c r="I395" i="25"/>
  <c r="W395" i="25"/>
  <c r="T395" i="25"/>
  <c r="T428" i="9"/>
  <c r="V428" i="9"/>
  <c r="A397" i="25"/>
  <c r="D397" i="25"/>
  <c r="B394" i="29"/>
  <c r="C431" i="9"/>
  <c r="B431" i="9"/>
  <c r="X430" i="9"/>
  <c r="W430" i="9"/>
  <c r="P430" i="9"/>
  <c r="Q430" i="9"/>
  <c r="U429" i="9"/>
  <c r="R429" i="9"/>
  <c r="E393" i="29"/>
  <c r="D393" i="29"/>
  <c r="AC393" i="29"/>
  <c r="Q429" i="9"/>
  <c r="F392" i="29"/>
  <c r="AE392" i="29"/>
  <c r="AD392" i="29"/>
  <c r="G396" i="25"/>
  <c r="V396" i="25"/>
  <c r="H396" i="25"/>
  <c r="U396" i="25"/>
  <c r="K396" i="25"/>
  <c r="I396" i="25"/>
  <c r="W396" i="25"/>
  <c r="F396" i="25"/>
  <c r="E396" i="25"/>
  <c r="T396" i="25"/>
  <c r="S430" i="9"/>
  <c r="N430" i="9"/>
  <c r="T429" i="9"/>
  <c r="V429" i="9"/>
  <c r="A398" i="25"/>
  <c r="D398" i="25"/>
  <c r="B395" i="29"/>
  <c r="C432" i="9"/>
  <c r="B432" i="9"/>
  <c r="X431" i="9"/>
  <c r="P431" i="9"/>
  <c r="Q431" i="9"/>
  <c r="W431" i="9"/>
  <c r="U430" i="9"/>
  <c r="R430" i="9"/>
  <c r="S431" i="9"/>
  <c r="N431" i="9"/>
  <c r="AD393" i="29"/>
  <c r="F393" i="29"/>
  <c r="AE393" i="29"/>
  <c r="E394" i="29"/>
  <c r="D394" i="29"/>
  <c r="AC394" i="29"/>
  <c r="H397" i="25"/>
  <c r="F397" i="25"/>
  <c r="E397" i="25"/>
  <c r="U397" i="25"/>
  <c r="K397" i="25"/>
  <c r="G397" i="25"/>
  <c r="V397" i="25"/>
  <c r="I397" i="25"/>
  <c r="W397" i="25"/>
  <c r="T397" i="25"/>
  <c r="T430" i="9"/>
  <c r="V430" i="9"/>
  <c r="A399" i="25"/>
  <c r="D399" i="25"/>
  <c r="B396" i="29"/>
  <c r="C433" i="9"/>
  <c r="B433" i="9"/>
  <c r="X432" i="9"/>
  <c r="W432" i="9"/>
  <c r="P432" i="9"/>
  <c r="Q432" i="9"/>
  <c r="F394" i="29"/>
  <c r="AE394" i="29"/>
  <c r="AD394" i="29"/>
  <c r="S432" i="9"/>
  <c r="N432" i="9"/>
  <c r="U431" i="9"/>
  <c r="R431" i="9"/>
  <c r="D395" i="29"/>
  <c r="AC395" i="29"/>
  <c r="E395" i="29"/>
  <c r="H398" i="25"/>
  <c r="I398" i="25"/>
  <c r="W398" i="25"/>
  <c r="G398" i="25"/>
  <c r="V398" i="25"/>
  <c r="F398" i="25"/>
  <c r="E398" i="25"/>
  <c r="U398" i="25"/>
  <c r="K398" i="25"/>
  <c r="T398" i="25"/>
  <c r="T431" i="9"/>
  <c r="V431" i="9"/>
  <c r="AD395" i="29"/>
  <c r="F395" i="29"/>
  <c r="AE395" i="29"/>
  <c r="A400" i="25"/>
  <c r="D400" i="25"/>
  <c r="B397" i="29"/>
  <c r="B434" i="9"/>
  <c r="C434" i="9"/>
  <c r="X433" i="9"/>
  <c r="P433" i="9"/>
  <c r="Q433" i="9"/>
  <c r="W433" i="9"/>
  <c r="U432" i="9"/>
  <c r="R432" i="9"/>
  <c r="S433" i="9"/>
  <c r="N433" i="9"/>
  <c r="D396" i="29"/>
  <c r="AC396" i="29"/>
  <c r="E396" i="29"/>
  <c r="I399" i="25"/>
  <c r="W399" i="25"/>
  <c r="H399" i="25"/>
  <c r="F399" i="25"/>
  <c r="G399" i="25"/>
  <c r="V399" i="25"/>
  <c r="U399" i="25"/>
  <c r="K399" i="25"/>
  <c r="E399" i="25"/>
  <c r="T399" i="25"/>
  <c r="T432" i="9"/>
  <c r="V432" i="9"/>
  <c r="AD396" i="29"/>
  <c r="F396" i="29"/>
  <c r="AE396" i="29"/>
  <c r="U433" i="9"/>
  <c r="R433" i="9"/>
  <c r="D397" i="29"/>
  <c r="AC397" i="29"/>
  <c r="E397" i="29"/>
  <c r="F400" i="25"/>
  <c r="I400" i="25"/>
  <c r="W400" i="25"/>
  <c r="U400" i="25"/>
  <c r="K400" i="25"/>
  <c r="H400" i="25"/>
  <c r="E400" i="25"/>
  <c r="G400" i="25"/>
  <c r="V400" i="25"/>
  <c r="T400" i="25"/>
  <c r="S434" i="9"/>
  <c r="N434" i="9"/>
  <c r="A401" i="25"/>
  <c r="D401" i="25"/>
  <c r="B398" i="29"/>
  <c r="C435" i="9"/>
  <c r="B435" i="9"/>
  <c r="X434" i="9"/>
  <c r="P434" i="9"/>
  <c r="Q434" i="9"/>
  <c r="W434" i="9"/>
  <c r="T433" i="9"/>
  <c r="V433" i="9"/>
  <c r="A402" i="25"/>
  <c r="D402" i="25"/>
  <c r="B399" i="29"/>
  <c r="B436" i="9"/>
  <c r="C436" i="9"/>
  <c r="X435" i="9"/>
  <c r="P435" i="9"/>
  <c r="Q435" i="9"/>
  <c r="W435" i="9"/>
  <c r="S435" i="9"/>
  <c r="N435" i="9"/>
  <c r="AD397" i="29"/>
  <c r="F397" i="29"/>
  <c r="AE397" i="29"/>
  <c r="H401" i="25"/>
  <c r="F401" i="25"/>
  <c r="U401" i="25"/>
  <c r="K401" i="25"/>
  <c r="G401" i="25"/>
  <c r="V401" i="25"/>
  <c r="E401" i="25"/>
  <c r="I401" i="25"/>
  <c r="W401" i="25"/>
  <c r="T401" i="25"/>
  <c r="U434" i="9"/>
  <c r="R434" i="9"/>
  <c r="E398" i="29"/>
  <c r="D398" i="29"/>
  <c r="AC398" i="29"/>
  <c r="T434" i="9"/>
  <c r="V434" i="9"/>
  <c r="F402" i="25"/>
  <c r="G402" i="25"/>
  <c r="V402" i="25"/>
  <c r="U402" i="25"/>
  <c r="K402" i="25"/>
  <c r="H402" i="25"/>
  <c r="E402" i="25"/>
  <c r="I402" i="25"/>
  <c r="W402" i="25"/>
  <c r="T402" i="25"/>
  <c r="S436" i="9"/>
  <c r="N436" i="9"/>
  <c r="A403" i="25"/>
  <c r="D403" i="25"/>
  <c r="B400" i="29"/>
  <c r="C437" i="9"/>
  <c r="B437" i="9"/>
  <c r="X436" i="9"/>
  <c r="W436" i="9"/>
  <c r="P436" i="9"/>
  <c r="AD398" i="29"/>
  <c r="F398" i="29"/>
  <c r="AE398" i="29"/>
  <c r="U435" i="9"/>
  <c r="R435" i="9"/>
  <c r="E399" i="29"/>
  <c r="D399" i="29"/>
  <c r="AC399" i="29"/>
  <c r="T435" i="9"/>
  <c r="V435" i="9"/>
  <c r="A404" i="25"/>
  <c r="D404" i="25"/>
  <c r="B401" i="29"/>
  <c r="B438" i="9"/>
  <c r="C438" i="9"/>
  <c r="X437" i="9"/>
  <c r="P437" i="9"/>
  <c r="Q437" i="9"/>
  <c r="W437" i="9"/>
  <c r="F399" i="29"/>
  <c r="AE399" i="29"/>
  <c r="AD399" i="29"/>
  <c r="U436" i="9"/>
  <c r="R436" i="9"/>
  <c r="S437" i="9"/>
  <c r="N437" i="9"/>
  <c r="D400" i="29"/>
  <c r="AC400" i="29"/>
  <c r="E400" i="29"/>
  <c r="H403" i="25"/>
  <c r="F403" i="25"/>
  <c r="E403" i="25"/>
  <c r="U403" i="25"/>
  <c r="K403" i="25"/>
  <c r="G403" i="25"/>
  <c r="V403" i="25"/>
  <c r="I403" i="25"/>
  <c r="W403" i="25"/>
  <c r="T403" i="25"/>
  <c r="Q436" i="9"/>
  <c r="T436" i="9"/>
  <c r="V436" i="9"/>
  <c r="A405" i="25"/>
  <c r="D405" i="25"/>
  <c r="B402" i="29"/>
  <c r="C439" i="9"/>
  <c r="B439" i="9"/>
  <c r="X438" i="9"/>
  <c r="W438" i="9"/>
  <c r="P438" i="9"/>
  <c r="Q438" i="9"/>
  <c r="AD400" i="29"/>
  <c r="F400" i="29"/>
  <c r="AE400" i="29"/>
  <c r="U437" i="9"/>
  <c r="R437" i="9"/>
  <c r="E401" i="29"/>
  <c r="D401" i="29"/>
  <c r="AC401" i="29"/>
  <c r="G404" i="25"/>
  <c r="V404" i="25"/>
  <c r="H404" i="25"/>
  <c r="F404" i="25"/>
  <c r="U404" i="25"/>
  <c r="K404" i="25"/>
  <c r="I404" i="25"/>
  <c r="W404" i="25"/>
  <c r="E404" i="25"/>
  <c r="T404" i="25"/>
  <c r="S438" i="9"/>
  <c r="N438" i="9"/>
  <c r="T437" i="9"/>
  <c r="V437" i="9"/>
  <c r="F401" i="29"/>
  <c r="AE401" i="29"/>
  <c r="AD401" i="29"/>
  <c r="A406" i="25"/>
  <c r="D406" i="25"/>
  <c r="B403" i="29"/>
  <c r="C440" i="9"/>
  <c r="B440" i="9"/>
  <c r="X439" i="9"/>
  <c r="W439" i="9"/>
  <c r="P439" i="9"/>
  <c r="Q439" i="9"/>
  <c r="U438" i="9"/>
  <c r="R438" i="9"/>
  <c r="S439" i="9"/>
  <c r="N439" i="9"/>
  <c r="E402" i="29"/>
  <c r="D402" i="29"/>
  <c r="AC402" i="29"/>
  <c r="H405" i="25"/>
  <c r="E405" i="25"/>
  <c r="F405" i="25"/>
  <c r="I405" i="25"/>
  <c r="W405" i="25"/>
  <c r="G405" i="25"/>
  <c r="V405" i="25"/>
  <c r="U405" i="25"/>
  <c r="K405" i="25"/>
  <c r="T405" i="25"/>
  <c r="T438" i="9"/>
  <c r="V438" i="9"/>
  <c r="D403" i="29"/>
  <c r="AC403" i="29"/>
  <c r="E403" i="29"/>
  <c r="AD402" i="29"/>
  <c r="F402" i="29"/>
  <c r="AE402" i="29"/>
  <c r="I406" i="25"/>
  <c r="W406" i="25"/>
  <c r="H406" i="25"/>
  <c r="G406" i="25"/>
  <c r="V406" i="25"/>
  <c r="F406" i="25"/>
  <c r="U406" i="25"/>
  <c r="K406" i="25"/>
  <c r="E406" i="25"/>
  <c r="T406" i="25"/>
  <c r="A407" i="25"/>
  <c r="D407" i="25"/>
  <c r="B404" i="29"/>
  <c r="C441" i="9"/>
  <c r="B441" i="9"/>
  <c r="X440" i="9"/>
  <c r="W440" i="9"/>
  <c r="P440" i="9"/>
  <c r="Q440" i="9"/>
  <c r="U439" i="9"/>
  <c r="R439" i="9"/>
  <c r="S440" i="9"/>
  <c r="N440" i="9"/>
  <c r="T439" i="9"/>
  <c r="V439" i="9"/>
  <c r="H407" i="25"/>
  <c r="F407" i="25"/>
  <c r="U407" i="25"/>
  <c r="K407" i="25"/>
  <c r="G407" i="25"/>
  <c r="V407" i="25"/>
  <c r="I407" i="25"/>
  <c r="W407" i="25"/>
  <c r="E407" i="25"/>
  <c r="T407" i="25"/>
  <c r="A408" i="25"/>
  <c r="D408" i="25"/>
  <c r="B405" i="29"/>
  <c r="B442" i="9"/>
  <c r="C442" i="9"/>
  <c r="X441" i="9"/>
  <c r="P441" i="9"/>
  <c r="Q441" i="9"/>
  <c r="W441" i="9"/>
  <c r="U440" i="9"/>
  <c r="R440" i="9"/>
  <c r="F403" i="29"/>
  <c r="AE403" i="29"/>
  <c r="AD403" i="29"/>
  <c r="S441" i="9"/>
  <c r="N441" i="9"/>
  <c r="E404" i="29"/>
  <c r="D404" i="29"/>
  <c r="AC404" i="29"/>
  <c r="T440" i="9"/>
  <c r="V440" i="9"/>
  <c r="U441" i="9"/>
  <c r="R441" i="9"/>
  <c r="D405" i="29"/>
  <c r="AC405" i="29"/>
  <c r="E405" i="29"/>
  <c r="I408" i="25"/>
  <c r="W408" i="25"/>
  <c r="F408" i="25"/>
  <c r="E408" i="25"/>
  <c r="U408" i="25"/>
  <c r="K408" i="25"/>
  <c r="G408" i="25"/>
  <c r="V408" i="25"/>
  <c r="H408" i="25"/>
  <c r="T408" i="25"/>
  <c r="S442" i="9"/>
  <c r="N442" i="9"/>
  <c r="AD404" i="29"/>
  <c r="F404" i="29"/>
  <c r="AE404" i="29"/>
  <c r="A409" i="25"/>
  <c r="D409" i="25"/>
  <c r="B406" i="29"/>
  <c r="C443" i="9"/>
  <c r="B443" i="9"/>
  <c r="X442" i="9"/>
  <c r="P442" i="9"/>
  <c r="Q442" i="9"/>
  <c r="W442" i="9"/>
  <c r="T441" i="9"/>
  <c r="V441" i="9"/>
  <c r="H409" i="25"/>
  <c r="F409" i="25"/>
  <c r="G409" i="25"/>
  <c r="V409" i="25"/>
  <c r="U409" i="25"/>
  <c r="K409" i="25"/>
  <c r="I409" i="25"/>
  <c r="W409" i="25"/>
  <c r="E409" i="25"/>
  <c r="T409" i="25"/>
  <c r="A410" i="25"/>
  <c r="D410" i="25"/>
  <c r="B407" i="29"/>
  <c r="B444" i="9"/>
  <c r="C444" i="9"/>
  <c r="X443" i="9"/>
  <c r="P443" i="9"/>
  <c r="W443" i="9"/>
  <c r="S443" i="9"/>
  <c r="N443" i="9"/>
  <c r="U442" i="9"/>
  <c r="R442" i="9"/>
  <c r="D406" i="29"/>
  <c r="AC406" i="29"/>
  <c r="E406" i="29"/>
  <c r="F405" i="29"/>
  <c r="AE405" i="29"/>
  <c r="AD405" i="29"/>
  <c r="T442" i="9"/>
  <c r="V442" i="9"/>
  <c r="F406" i="29"/>
  <c r="AE406" i="29"/>
  <c r="AD406" i="29"/>
  <c r="G410" i="25"/>
  <c r="V410" i="25"/>
  <c r="F410" i="25"/>
  <c r="I410" i="25"/>
  <c r="W410" i="25"/>
  <c r="U410" i="25"/>
  <c r="K410" i="25"/>
  <c r="H410" i="25"/>
  <c r="E410" i="25"/>
  <c r="T410" i="25"/>
  <c r="S444" i="9"/>
  <c r="N444" i="9"/>
  <c r="U443" i="9"/>
  <c r="R443" i="9"/>
  <c r="E407" i="29"/>
  <c r="D407" i="29"/>
  <c r="AC407" i="29"/>
  <c r="Q443" i="9"/>
  <c r="A411" i="25"/>
  <c r="D411" i="25"/>
  <c r="B408" i="29"/>
  <c r="C445" i="9"/>
  <c r="B445" i="9"/>
  <c r="X444" i="9"/>
  <c r="W444" i="9"/>
  <c r="P444" i="9"/>
  <c r="T443" i="9"/>
  <c r="V443" i="9"/>
  <c r="F411" i="25"/>
  <c r="E411" i="25"/>
  <c r="H411" i="25"/>
  <c r="U411" i="25"/>
  <c r="K411" i="25"/>
  <c r="G411" i="25"/>
  <c r="V411" i="25"/>
  <c r="I411" i="25"/>
  <c r="W411" i="25"/>
  <c r="T411" i="25"/>
  <c r="U444" i="9"/>
  <c r="R444" i="9"/>
  <c r="S445" i="9"/>
  <c r="N445" i="9"/>
  <c r="A412" i="25"/>
  <c r="D412" i="25"/>
  <c r="B409" i="29"/>
  <c r="C446" i="9"/>
  <c r="B446" i="9"/>
  <c r="X445" i="9"/>
  <c r="W445" i="9"/>
  <c r="P445" i="9"/>
  <c r="D408" i="29"/>
  <c r="AC408" i="29"/>
  <c r="E408" i="29"/>
  <c r="AD407" i="29"/>
  <c r="F407" i="29"/>
  <c r="AE407" i="29"/>
  <c r="Q444" i="9"/>
  <c r="T444" i="9"/>
  <c r="V444" i="9"/>
  <c r="AD408" i="29"/>
  <c r="F408" i="29"/>
  <c r="AE408" i="29"/>
  <c r="G412" i="25"/>
  <c r="V412" i="25"/>
  <c r="H412" i="25"/>
  <c r="F412" i="25"/>
  <c r="U412" i="25"/>
  <c r="K412" i="25"/>
  <c r="I412" i="25"/>
  <c r="W412" i="25"/>
  <c r="E412" i="25"/>
  <c r="T412" i="25"/>
  <c r="U445" i="9"/>
  <c r="R445" i="9"/>
  <c r="S446" i="9"/>
  <c r="N446" i="9"/>
  <c r="A413" i="25"/>
  <c r="D413" i="25"/>
  <c r="B410" i="29"/>
  <c r="B447" i="9"/>
  <c r="C447" i="9"/>
  <c r="X446" i="9"/>
  <c r="W446" i="9"/>
  <c r="P446" i="9"/>
  <c r="E409" i="29"/>
  <c r="D409" i="29"/>
  <c r="AC409" i="29"/>
  <c r="Q445" i="9"/>
  <c r="T445" i="9"/>
  <c r="V445" i="9"/>
  <c r="U446" i="9"/>
  <c r="R446" i="9"/>
  <c r="A414" i="25"/>
  <c r="D414" i="25"/>
  <c r="B411" i="29"/>
  <c r="C448" i="9"/>
  <c r="B448" i="9"/>
  <c r="X447" i="9"/>
  <c r="P447" i="9"/>
  <c r="W447" i="9"/>
  <c r="AD409" i="29"/>
  <c r="F409" i="29"/>
  <c r="AE409" i="29"/>
  <c r="E410" i="29"/>
  <c r="D410" i="29"/>
  <c r="AC410" i="29"/>
  <c r="F413" i="25"/>
  <c r="E413" i="25"/>
  <c r="H413" i="25"/>
  <c r="I413" i="25"/>
  <c r="W413" i="25"/>
  <c r="G413" i="25"/>
  <c r="V413" i="25"/>
  <c r="U413" i="25"/>
  <c r="K413" i="25"/>
  <c r="T413" i="25"/>
  <c r="Q446" i="9"/>
  <c r="S447" i="9"/>
  <c r="N447" i="9"/>
  <c r="Q447" i="9"/>
  <c r="T446" i="9"/>
  <c r="V446" i="9"/>
  <c r="H414" i="25"/>
  <c r="I414" i="25"/>
  <c r="W414" i="25"/>
  <c r="G414" i="25"/>
  <c r="V414" i="25"/>
  <c r="F414" i="25"/>
  <c r="E414" i="25"/>
  <c r="U414" i="25"/>
  <c r="K414" i="25"/>
  <c r="T414" i="25"/>
  <c r="A415" i="25"/>
  <c r="D415" i="25"/>
  <c r="B412" i="29"/>
  <c r="C449" i="9"/>
  <c r="B449" i="9"/>
  <c r="X448" i="9"/>
  <c r="W448" i="9"/>
  <c r="P448" i="9"/>
  <c r="S448" i="9"/>
  <c r="N448" i="9"/>
  <c r="AD410" i="29"/>
  <c r="F410" i="29"/>
  <c r="AE410" i="29"/>
  <c r="U447" i="9"/>
  <c r="R447" i="9"/>
  <c r="D411" i="29"/>
  <c r="AC411" i="29"/>
  <c r="E411" i="29"/>
  <c r="T447" i="9"/>
  <c r="V447" i="9"/>
  <c r="A416" i="25"/>
  <c r="D416" i="25"/>
  <c r="B413" i="29"/>
  <c r="C450" i="9"/>
  <c r="B450" i="9"/>
  <c r="X449" i="9"/>
  <c r="P449" i="9"/>
  <c r="Q449" i="9"/>
  <c r="W449" i="9"/>
  <c r="F415" i="25"/>
  <c r="H415" i="25"/>
  <c r="I415" i="25"/>
  <c r="W415" i="25"/>
  <c r="U415" i="25"/>
  <c r="K415" i="25"/>
  <c r="G415" i="25"/>
  <c r="V415" i="25"/>
  <c r="E415" i="25"/>
  <c r="T415" i="25"/>
  <c r="F411" i="29"/>
  <c r="AE411" i="29"/>
  <c r="AD411" i="29"/>
  <c r="U448" i="9"/>
  <c r="R448" i="9"/>
  <c r="S449" i="9"/>
  <c r="N449" i="9"/>
  <c r="Q448" i="9"/>
  <c r="E412" i="29"/>
  <c r="D412" i="29"/>
  <c r="AC412" i="29"/>
  <c r="T448" i="9"/>
  <c r="V448" i="9"/>
  <c r="AD412" i="29"/>
  <c r="F412" i="29"/>
  <c r="AE412" i="29"/>
  <c r="F416" i="25"/>
  <c r="I416" i="25"/>
  <c r="W416" i="25"/>
  <c r="H416" i="25"/>
  <c r="E416" i="25"/>
  <c r="U416" i="25"/>
  <c r="K416" i="25"/>
  <c r="G416" i="25"/>
  <c r="V416" i="25"/>
  <c r="T416" i="25"/>
  <c r="A417" i="25"/>
  <c r="D417" i="25"/>
  <c r="B414" i="29"/>
  <c r="B451" i="9"/>
  <c r="C451" i="9"/>
  <c r="X450" i="9"/>
  <c r="P450" i="9"/>
  <c r="Q450" i="9"/>
  <c r="W450" i="9"/>
  <c r="S450" i="9"/>
  <c r="N450" i="9"/>
  <c r="U449" i="9"/>
  <c r="R449" i="9"/>
  <c r="E413" i="29"/>
  <c r="D413" i="29"/>
  <c r="AC413" i="29"/>
  <c r="T449" i="9"/>
  <c r="V449" i="9"/>
  <c r="A418" i="25"/>
  <c r="D418" i="25"/>
  <c r="B415" i="29"/>
  <c r="C452" i="9"/>
  <c r="B452" i="9"/>
  <c r="X451" i="9"/>
  <c r="P451" i="9"/>
  <c r="Q451" i="9"/>
  <c r="W451" i="9"/>
  <c r="U450" i="9"/>
  <c r="R450" i="9"/>
  <c r="E414" i="29"/>
  <c r="D414" i="29"/>
  <c r="AC414" i="29"/>
  <c r="AD413" i="29"/>
  <c r="F413" i="29"/>
  <c r="AE413" i="29"/>
  <c r="F417" i="25"/>
  <c r="H417" i="25"/>
  <c r="G417" i="25"/>
  <c r="V417" i="25"/>
  <c r="U417" i="25"/>
  <c r="K417" i="25"/>
  <c r="I417" i="25"/>
  <c r="W417" i="25"/>
  <c r="E417" i="25"/>
  <c r="T417" i="25"/>
  <c r="S451" i="9"/>
  <c r="N451" i="9"/>
  <c r="T450" i="9"/>
  <c r="V450" i="9"/>
  <c r="AD414" i="29"/>
  <c r="F414" i="29"/>
  <c r="AE414" i="29"/>
  <c r="S452" i="9"/>
  <c r="N452" i="9"/>
  <c r="U451" i="9"/>
  <c r="R451" i="9"/>
  <c r="D415" i="29"/>
  <c r="AC415" i="29"/>
  <c r="E415" i="29"/>
  <c r="G418" i="25"/>
  <c r="V418" i="25"/>
  <c r="F418" i="25"/>
  <c r="I418" i="25"/>
  <c r="W418" i="25"/>
  <c r="H418" i="25"/>
  <c r="E418" i="25"/>
  <c r="U418" i="25"/>
  <c r="K418" i="25"/>
  <c r="T418" i="25"/>
  <c r="A419" i="25"/>
  <c r="D419" i="25"/>
  <c r="B416" i="29"/>
  <c r="C453" i="9"/>
  <c r="B453" i="9"/>
  <c r="X452" i="9"/>
  <c r="W452" i="9"/>
  <c r="P452" i="9"/>
  <c r="T451" i="9"/>
  <c r="V451" i="9"/>
  <c r="A420" i="25"/>
  <c r="D420" i="25"/>
  <c r="B417" i="29"/>
  <c r="C454" i="9"/>
  <c r="B454" i="9"/>
  <c r="X453" i="9"/>
  <c r="P453" i="9"/>
  <c r="Q453" i="9"/>
  <c r="W453" i="9"/>
  <c r="U452" i="9"/>
  <c r="R452" i="9"/>
  <c r="E416" i="29"/>
  <c r="D416" i="29"/>
  <c r="AC416" i="29"/>
  <c r="S453" i="9"/>
  <c r="N453" i="9"/>
  <c r="E419" i="25"/>
  <c r="H419" i="25"/>
  <c r="G419" i="25"/>
  <c r="V419" i="25"/>
  <c r="F419" i="25"/>
  <c r="U419" i="25"/>
  <c r="K419" i="25"/>
  <c r="I419" i="25"/>
  <c r="W419" i="25"/>
  <c r="T419" i="25"/>
  <c r="AD415" i="29"/>
  <c r="F415" i="29"/>
  <c r="AE415" i="29"/>
  <c r="Q452" i="9"/>
  <c r="T452" i="9"/>
  <c r="V452" i="9"/>
  <c r="F416" i="29"/>
  <c r="AE416" i="29"/>
  <c r="AD416" i="29"/>
  <c r="S454" i="9"/>
  <c r="N454" i="9"/>
  <c r="U453" i="9"/>
  <c r="R453" i="9"/>
  <c r="E417" i="29"/>
  <c r="D417" i="29"/>
  <c r="AC417" i="29"/>
  <c r="G420" i="25"/>
  <c r="V420" i="25"/>
  <c r="F420" i="25"/>
  <c r="H420" i="25"/>
  <c r="U420" i="25"/>
  <c r="K420" i="25"/>
  <c r="I420" i="25"/>
  <c r="W420" i="25"/>
  <c r="E420" i="25"/>
  <c r="T420" i="25"/>
  <c r="A421" i="25"/>
  <c r="D421" i="25"/>
  <c r="B418" i="29"/>
  <c r="B455" i="9"/>
  <c r="C455" i="9"/>
  <c r="X454" i="9"/>
  <c r="W454" i="9"/>
  <c r="P454" i="9"/>
  <c r="T453" i="9"/>
  <c r="V453" i="9"/>
  <c r="U454" i="9"/>
  <c r="R454" i="9"/>
  <c r="A422" i="25"/>
  <c r="D422" i="25"/>
  <c r="B419" i="29"/>
  <c r="C456" i="9"/>
  <c r="B456" i="9"/>
  <c r="X455" i="9"/>
  <c r="P455" i="9"/>
  <c r="W455" i="9"/>
  <c r="F417" i="29"/>
  <c r="AE417" i="29"/>
  <c r="AD417" i="29"/>
  <c r="S455" i="9"/>
  <c r="N455" i="9"/>
  <c r="D418" i="29"/>
  <c r="AC418" i="29"/>
  <c r="E418" i="29"/>
  <c r="H421" i="25"/>
  <c r="F421" i="25"/>
  <c r="E421" i="25"/>
  <c r="U421" i="25"/>
  <c r="K421" i="25"/>
  <c r="I421" i="25"/>
  <c r="W421" i="25"/>
  <c r="G421" i="25"/>
  <c r="V421" i="25"/>
  <c r="T421" i="25"/>
  <c r="Q454" i="9"/>
  <c r="T454" i="9"/>
  <c r="V454" i="9"/>
  <c r="AD418" i="29"/>
  <c r="F418" i="29"/>
  <c r="AE418" i="29"/>
  <c r="U455" i="9"/>
  <c r="R455" i="9"/>
  <c r="E419" i="29"/>
  <c r="D419" i="29"/>
  <c r="AC419" i="29"/>
  <c r="G422" i="25"/>
  <c r="V422" i="25"/>
  <c r="H422" i="25"/>
  <c r="I422" i="25"/>
  <c r="W422" i="25"/>
  <c r="U422" i="25"/>
  <c r="K422" i="25"/>
  <c r="F422" i="25"/>
  <c r="E422" i="25"/>
  <c r="T422" i="25"/>
  <c r="Q455" i="9"/>
  <c r="A423" i="25"/>
  <c r="D423" i="25"/>
  <c r="B420" i="29"/>
  <c r="C457" i="9"/>
  <c r="B457" i="9"/>
  <c r="X456" i="9"/>
  <c r="W456" i="9"/>
  <c r="P456" i="9"/>
  <c r="S456" i="9"/>
  <c r="N456" i="9"/>
  <c r="T455" i="9"/>
  <c r="V455" i="9"/>
  <c r="F423" i="25"/>
  <c r="H423" i="25"/>
  <c r="I423" i="25"/>
  <c r="W423" i="25"/>
  <c r="G423" i="25"/>
  <c r="V423" i="25"/>
  <c r="E423" i="25"/>
  <c r="U423" i="25"/>
  <c r="K423" i="25"/>
  <c r="T423" i="25"/>
  <c r="U456" i="9"/>
  <c r="R456" i="9"/>
  <c r="A424" i="25"/>
  <c r="D424" i="25"/>
  <c r="B421" i="29"/>
  <c r="C458" i="9"/>
  <c r="B458" i="9"/>
  <c r="X457" i="9"/>
  <c r="P457" i="9"/>
  <c r="Q457" i="9"/>
  <c r="W457" i="9"/>
  <c r="S457" i="9"/>
  <c r="N457" i="9"/>
  <c r="Q456" i="9"/>
  <c r="D420" i="29"/>
  <c r="AC420" i="29"/>
  <c r="E420" i="29"/>
  <c r="AD419" i="29"/>
  <c r="F419" i="29"/>
  <c r="AE419" i="29"/>
  <c r="T456" i="9"/>
  <c r="V456" i="9"/>
  <c r="S458" i="9"/>
  <c r="N458" i="9"/>
  <c r="U457" i="9"/>
  <c r="R457" i="9"/>
  <c r="D421" i="29"/>
  <c r="AC421" i="29"/>
  <c r="E421" i="29"/>
  <c r="F420" i="29"/>
  <c r="AE420" i="29"/>
  <c r="AD420" i="29"/>
  <c r="I424" i="25"/>
  <c r="W424" i="25"/>
  <c r="F424" i="25"/>
  <c r="H424" i="25"/>
  <c r="G424" i="25"/>
  <c r="V424" i="25"/>
  <c r="U424" i="25"/>
  <c r="K424" i="25"/>
  <c r="E424" i="25"/>
  <c r="T424" i="25"/>
  <c r="A425" i="25"/>
  <c r="D425" i="25"/>
  <c r="B422" i="29"/>
  <c r="B459" i="9"/>
  <c r="C459" i="9"/>
  <c r="X458" i="9"/>
  <c r="P458" i="9"/>
  <c r="W458" i="9"/>
  <c r="T457" i="9"/>
  <c r="V457" i="9"/>
  <c r="A426" i="25"/>
  <c r="D426" i="25"/>
  <c r="B423" i="29"/>
  <c r="C460" i="9"/>
  <c r="B460" i="9"/>
  <c r="X459" i="9"/>
  <c r="P459" i="9"/>
  <c r="Q459" i="9"/>
  <c r="W459" i="9"/>
  <c r="U458" i="9"/>
  <c r="R458" i="9"/>
  <c r="D422" i="29"/>
  <c r="AC422" i="29"/>
  <c r="E422" i="29"/>
  <c r="AD421" i="29"/>
  <c r="F421" i="29"/>
  <c r="AE421" i="29"/>
  <c r="Q458" i="9"/>
  <c r="H425" i="25"/>
  <c r="G425" i="25"/>
  <c r="V425" i="25"/>
  <c r="F425" i="25"/>
  <c r="U425" i="25"/>
  <c r="K425" i="25"/>
  <c r="I425" i="25"/>
  <c r="W425" i="25"/>
  <c r="E425" i="25"/>
  <c r="T425" i="25"/>
  <c r="S459" i="9"/>
  <c r="N459" i="9"/>
  <c r="T458" i="9"/>
  <c r="V458" i="9"/>
  <c r="S460" i="9"/>
  <c r="N460" i="9"/>
  <c r="U459" i="9"/>
  <c r="R459" i="9"/>
  <c r="E423" i="29"/>
  <c r="D423" i="29"/>
  <c r="AC423" i="29"/>
  <c r="G426" i="25"/>
  <c r="V426" i="25"/>
  <c r="F426" i="25"/>
  <c r="H426" i="25"/>
  <c r="U426" i="25"/>
  <c r="K426" i="25"/>
  <c r="I426" i="25"/>
  <c r="W426" i="25"/>
  <c r="E426" i="25"/>
  <c r="T426" i="25"/>
  <c r="F422" i="29"/>
  <c r="AE422" i="29"/>
  <c r="AD422" i="29"/>
  <c r="A427" i="25"/>
  <c r="D427" i="25"/>
  <c r="B424" i="29"/>
  <c r="C461" i="9"/>
  <c r="B461" i="9"/>
  <c r="X460" i="9"/>
  <c r="W460" i="9"/>
  <c r="P460" i="9"/>
  <c r="T459" i="9"/>
  <c r="V459" i="9"/>
  <c r="U460" i="9"/>
  <c r="R460" i="9"/>
  <c r="S461" i="9"/>
  <c r="N461" i="9"/>
  <c r="Q460" i="9"/>
  <c r="F423" i="29"/>
  <c r="AE423" i="29"/>
  <c r="AD423" i="29"/>
  <c r="A428" i="25"/>
  <c r="D428" i="25"/>
  <c r="B425" i="29"/>
  <c r="C462" i="9"/>
  <c r="B462" i="9"/>
  <c r="X461" i="9"/>
  <c r="P461" i="9"/>
  <c r="W461" i="9"/>
  <c r="D424" i="29"/>
  <c r="AC424" i="29"/>
  <c r="E424" i="29"/>
  <c r="E427" i="25"/>
  <c r="U427" i="25"/>
  <c r="K427" i="25"/>
  <c r="I427" i="25"/>
  <c r="W427" i="25"/>
  <c r="G427" i="25"/>
  <c r="V427" i="25"/>
  <c r="H427" i="25"/>
  <c r="F427" i="25"/>
  <c r="T427" i="25"/>
  <c r="T460" i="9"/>
  <c r="V460" i="9"/>
  <c r="S462" i="9"/>
  <c r="N462" i="9"/>
  <c r="U461" i="9"/>
  <c r="R461" i="9"/>
  <c r="E425" i="29"/>
  <c r="D425" i="29"/>
  <c r="AC425" i="29"/>
  <c r="Q461" i="9"/>
  <c r="AD424" i="29"/>
  <c r="F424" i="29"/>
  <c r="AE424" i="29"/>
  <c r="I428" i="25"/>
  <c r="W428" i="25"/>
  <c r="E428" i="25"/>
  <c r="U428" i="25"/>
  <c r="K428" i="25"/>
  <c r="F428" i="25"/>
  <c r="G428" i="25"/>
  <c r="V428" i="25"/>
  <c r="H428" i="25"/>
  <c r="T428" i="25"/>
  <c r="A429" i="25"/>
  <c r="D429" i="25"/>
  <c r="B426" i="29"/>
  <c r="B463" i="9"/>
  <c r="C463" i="9"/>
  <c r="X462" i="9"/>
  <c r="W462" i="9"/>
  <c r="P462" i="9"/>
  <c r="T461" i="9"/>
  <c r="V461" i="9"/>
  <c r="U462" i="9"/>
  <c r="R462" i="9"/>
  <c r="A430" i="25"/>
  <c r="D430" i="25"/>
  <c r="B427" i="29"/>
  <c r="C464" i="9"/>
  <c r="B464" i="9"/>
  <c r="X463" i="9"/>
  <c r="P463" i="9"/>
  <c r="Q463" i="9"/>
  <c r="W463" i="9"/>
  <c r="AD425" i="29"/>
  <c r="F425" i="29"/>
  <c r="AE425" i="29"/>
  <c r="Q462" i="9"/>
  <c r="E426" i="29"/>
  <c r="D426" i="29"/>
  <c r="AC426" i="29"/>
  <c r="F429" i="25"/>
  <c r="H429" i="25"/>
  <c r="G429" i="25"/>
  <c r="V429" i="25"/>
  <c r="I429" i="25"/>
  <c r="W429" i="25"/>
  <c r="E429" i="25"/>
  <c r="U429" i="25"/>
  <c r="K429" i="25"/>
  <c r="T429" i="25"/>
  <c r="S463" i="9"/>
  <c r="N463" i="9"/>
  <c r="T462" i="9"/>
  <c r="V462" i="9"/>
  <c r="I430" i="25"/>
  <c r="W430" i="25"/>
  <c r="F430" i="25"/>
  <c r="H430" i="25"/>
  <c r="E430" i="25"/>
  <c r="U430" i="25"/>
  <c r="K430" i="25"/>
  <c r="G430" i="25"/>
  <c r="V430" i="25"/>
  <c r="T430" i="25"/>
  <c r="A431" i="25"/>
  <c r="D431" i="25"/>
  <c r="B428" i="29"/>
  <c r="C465" i="9"/>
  <c r="B465" i="9"/>
  <c r="X464" i="9"/>
  <c r="W464" i="9"/>
  <c r="P464" i="9"/>
  <c r="Q464" i="9"/>
  <c r="F426" i="29"/>
  <c r="AE426" i="29"/>
  <c r="AD426" i="29"/>
  <c r="S464" i="9"/>
  <c r="N464" i="9"/>
  <c r="U463" i="9"/>
  <c r="R463" i="9"/>
  <c r="E427" i="29"/>
  <c r="D427" i="29"/>
  <c r="AC427" i="29"/>
  <c r="T463" i="9"/>
  <c r="V463" i="9"/>
  <c r="AD427" i="29"/>
  <c r="F427" i="29"/>
  <c r="AE427" i="29"/>
  <c r="U464" i="9"/>
  <c r="R464" i="9"/>
  <c r="S465" i="9"/>
  <c r="N465" i="9"/>
  <c r="E428" i="29"/>
  <c r="D428" i="29"/>
  <c r="AC428" i="29"/>
  <c r="A432" i="25"/>
  <c r="D432" i="25"/>
  <c r="B429" i="29"/>
  <c r="C466" i="9"/>
  <c r="B466" i="9"/>
  <c r="X465" i="9"/>
  <c r="P465" i="9"/>
  <c r="W465" i="9"/>
  <c r="H431" i="25"/>
  <c r="E431" i="25"/>
  <c r="G431" i="25"/>
  <c r="V431" i="25"/>
  <c r="F431" i="25"/>
  <c r="U431" i="25"/>
  <c r="K431" i="25"/>
  <c r="I431" i="25"/>
  <c r="W431" i="25"/>
  <c r="T431" i="25"/>
  <c r="T464" i="9"/>
  <c r="V464" i="9"/>
  <c r="U465" i="9"/>
  <c r="R465" i="9"/>
  <c r="D429" i="29"/>
  <c r="AC429" i="29"/>
  <c r="E429" i="29"/>
  <c r="G432" i="25"/>
  <c r="V432" i="25"/>
  <c r="E432" i="25"/>
  <c r="I432" i="25"/>
  <c r="W432" i="25"/>
  <c r="F432" i="25"/>
  <c r="U432" i="25"/>
  <c r="K432" i="25"/>
  <c r="H432" i="25"/>
  <c r="T432" i="25"/>
  <c r="AD428" i="29"/>
  <c r="F428" i="29"/>
  <c r="AE428" i="29"/>
  <c r="Q465" i="9"/>
  <c r="A433" i="25"/>
  <c r="D433" i="25"/>
  <c r="B430" i="29"/>
  <c r="B467" i="9"/>
  <c r="C467" i="9"/>
  <c r="X466" i="9"/>
  <c r="P466" i="9"/>
  <c r="Q466" i="9"/>
  <c r="W466" i="9"/>
  <c r="S466" i="9"/>
  <c r="N466" i="9"/>
  <c r="T465" i="9"/>
  <c r="V465" i="9"/>
  <c r="S467" i="9"/>
  <c r="N467" i="9"/>
  <c r="A434" i="25"/>
  <c r="D434" i="25"/>
  <c r="B431" i="29"/>
  <c r="C468" i="9"/>
  <c r="B468" i="9"/>
  <c r="X467" i="9"/>
  <c r="P467" i="9"/>
  <c r="Q467" i="9"/>
  <c r="W467" i="9"/>
  <c r="U466" i="9"/>
  <c r="R466" i="9"/>
  <c r="D430" i="29"/>
  <c r="AC430" i="29"/>
  <c r="E430" i="29"/>
  <c r="AD429" i="29"/>
  <c r="F429" i="29"/>
  <c r="AE429" i="29"/>
  <c r="F433" i="25"/>
  <c r="U433" i="25"/>
  <c r="K433" i="25"/>
  <c r="G433" i="25"/>
  <c r="V433" i="25"/>
  <c r="I433" i="25"/>
  <c r="W433" i="25"/>
  <c r="H433" i="25"/>
  <c r="E433" i="25"/>
  <c r="T433" i="25"/>
  <c r="T466" i="9"/>
  <c r="V466" i="9"/>
  <c r="G434" i="25"/>
  <c r="V434" i="25"/>
  <c r="F434" i="25"/>
  <c r="U434" i="25"/>
  <c r="K434" i="25"/>
  <c r="H434" i="25"/>
  <c r="E434" i="25"/>
  <c r="I434" i="25"/>
  <c r="W434" i="25"/>
  <c r="T434" i="25"/>
  <c r="A435" i="25"/>
  <c r="D435" i="25"/>
  <c r="B432" i="29"/>
  <c r="C469" i="9"/>
  <c r="B469" i="9"/>
  <c r="X468" i="9"/>
  <c r="W468" i="9"/>
  <c r="P468" i="9"/>
  <c r="Q468" i="9"/>
  <c r="AD430" i="29"/>
  <c r="F430" i="29"/>
  <c r="AE430" i="29"/>
  <c r="S468" i="9"/>
  <c r="N468" i="9"/>
  <c r="U467" i="9"/>
  <c r="R467" i="9"/>
  <c r="D431" i="29"/>
  <c r="AC431" i="29"/>
  <c r="E431" i="29"/>
  <c r="T467" i="9"/>
  <c r="V467" i="9"/>
  <c r="S469" i="9"/>
  <c r="N469" i="9"/>
  <c r="U468" i="9"/>
  <c r="R468" i="9"/>
  <c r="D432" i="29"/>
  <c r="AC432" i="29"/>
  <c r="E432" i="29"/>
  <c r="F431" i="29"/>
  <c r="AE431" i="29"/>
  <c r="AD431" i="29"/>
  <c r="A436" i="25"/>
  <c r="D436" i="25"/>
  <c r="B433" i="29"/>
  <c r="C470" i="9"/>
  <c r="B470" i="9"/>
  <c r="X469" i="9"/>
  <c r="P469" i="9"/>
  <c r="W469" i="9"/>
  <c r="E435" i="25"/>
  <c r="I435" i="25"/>
  <c r="W435" i="25"/>
  <c r="F435" i="25"/>
  <c r="H435" i="25"/>
  <c r="U435" i="25"/>
  <c r="K435" i="25"/>
  <c r="G435" i="25"/>
  <c r="V435" i="25"/>
  <c r="T435" i="25"/>
  <c r="T468" i="9"/>
  <c r="V468" i="9"/>
  <c r="A437" i="25"/>
  <c r="D437" i="25"/>
  <c r="B434" i="29"/>
  <c r="B471" i="9"/>
  <c r="C471" i="9"/>
  <c r="X470" i="9"/>
  <c r="W470" i="9"/>
  <c r="P470" i="9"/>
  <c r="Q470" i="9"/>
  <c r="S470" i="9"/>
  <c r="N470" i="9"/>
  <c r="U469" i="9"/>
  <c r="R469" i="9"/>
  <c r="E433" i="29"/>
  <c r="D433" i="29"/>
  <c r="AC433" i="29"/>
  <c r="AD432" i="29"/>
  <c r="F432" i="29"/>
  <c r="AE432" i="29"/>
  <c r="I436" i="25"/>
  <c r="W436" i="25"/>
  <c r="G436" i="25"/>
  <c r="V436" i="25"/>
  <c r="E436" i="25"/>
  <c r="H436" i="25"/>
  <c r="F436" i="25"/>
  <c r="U436" i="25"/>
  <c r="K436" i="25"/>
  <c r="T436" i="25"/>
  <c r="Q469" i="9"/>
  <c r="T469" i="9"/>
  <c r="V469" i="9"/>
  <c r="U470" i="9"/>
  <c r="R470" i="9"/>
  <c r="A438" i="25"/>
  <c r="D438" i="25"/>
  <c r="B435" i="29"/>
  <c r="C472" i="9"/>
  <c r="B472" i="9"/>
  <c r="X471" i="9"/>
  <c r="W471" i="9"/>
  <c r="P471" i="9"/>
  <c r="AD433" i="29"/>
  <c r="F433" i="29"/>
  <c r="AE433" i="29"/>
  <c r="E434" i="29"/>
  <c r="D434" i="29"/>
  <c r="AC434" i="29"/>
  <c r="I437" i="25"/>
  <c r="W437" i="25"/>
  <c r="H437" i="25"/>
  <c r="G437" i="25"/>
  <c r="V437" i="25"/>
  <c r="F437" i="25"/>
  <c r="E437" i="25"/>
  <c r="U437" i="25"/>
  <c r="K437" i="25"/>
  <c r="T437" i="25"/>
  <c r="S471" i="9"/>
  <c r="N471" i="9"/>
  <c r="Q471" i="9"/>
  <c r="T470" i="9"/>
  <c r="V470" i="9"/>
  <c r="AD434" i="29"/>
  <c r="F434" i="29"/>
  <c r="AE434" i="29"/>
  <c r="E435" i="29"/>
  <c r="D435" i="29"/>
  <c r="AC435" i="29"/>
  <c r="E438" i="25"/>
  <c r="U438" i="25"/>
  <c r="K438" i="25"/>
  <c r="F438" i="25"/>
  <c r="I438" i="25"/>
  <c r="W438" i="25"/>
  <c r="G438" i="25"/>
  <c r="V438" i="25"/>
  <c r="H438" i="25"/>
  <c r="T438" i="25"/>
  <c r="A439" i="25"/>
  <c r="D439" i="25"/>
  <c r="B436" i="29"/>
  <c r="C473" i="9"/>
  <c r="B473" i="9"/>
  <c r="X472" i="9"/>
  <c r="W472" i="9"/>
  <c r="P472" i="9"/>
  <c r="Q472" i="9"/>
  <c r="U471" i="9"/>
  <c r="R471" i="9"/>
  <c r="S472" i="9"/>
  <c r="N472" i="9"/>
  <c r="T471" i="9"/>
  <c r="V471" i="9"/>
  <c r="U472" i="9"/>
  <c r="R472" i="9"/>
  <c r="S473" i="9"/>
  <c r="N473" i="9"/>
  <c r="AD435" i="29"/>
  <c r="F435" i="29"/>
  <c r="AE435" i="29"/>
  <c r="E436" i="29"/>
  <c r="D436" i="29"/>
  <c r="AC436" i="29"/>
  <c r="A440" i="25"/>
  <c r="D440" i="25"/>
  <c r="B437" i="29"/>
  <c r="C474" i="9"/>
  <c r="B474" i="9"/>
  <c r="X473" i="9"/>
  <c r="P473" i="9"/>
  <c r="Q473" i="9"/>
  <c r="W473" i="9"/>
  <c r="G439" i="25"/>
  <c r="V439" i="25"/>
  <c r="F439" i="25"/>
  <c r="I439" i="25"/>
  <c r="W439" i="25"/>
  <c r="E439" i="25"/>
  <c r="H439" i="25"/>
  <c r="U439" i="25"/>
  <c r="K439" i="25"/>
  <c r="T439" i="25"/>
  <c r="T472" i="9"/>
  <c r="V472" i="9"/>
  <c r="A441" i="25"/>
  <c r="D441" i="25"/>
  <c r="B438" i="29"/>
  <c r="B475" i="9"/>
  <c r="C475" i="9"/>
  <c r="X474" i="9"/>
  <c r="P474" i="9"/>
  <c r="Q474" i="9"/>
  <c r="W474" i="9"/>
  <c r="S474" i="9"/>
  <c r="N474" i="9"/>
  <c r="AD436" i="29"/>
  <c r="F436" i="29"/>
  <c r="AE436" i="29"/>
  <c r="U473" i="9"/>
  <c r="R473" i="9"/>
  <c r="E437" i="29"/>
  <c r="D437" i="29"/>
  <c r="AC437" i="29"/>
  <c r="G440" i="25"/>
  <c r="V440" i="25"/>
  <c r="I440" i="25"/>
  <c r="W440" i="25"/>
  <c r="E440" i="25"/>
  <c r="U440" i="25"/>
  <c r="K440" i="25"/>
  <c r="F440" i="25"/>
  <c r="H440" i="25"/>
  <c r="T440" i="25"/>
  <c r="T473" i="9"/>
  <c r="V473" i="9"/>
  <c r="A442" i="25"/>
  <c r="D442" i="25"/>
  <c r="B439" i="29"/>
  <c r="C476" i="9"/>
  <c r="B476" i="9"/>
  <c r="X475" i="9"/>
  <c r="P475" i="9"/>
  <c r="Q475" i="9"/>
  <c r="W475" i="9"/>
  <c r="U474" i="9"/>
  <c r="R474" i="9"/>
  <c r="E438" i="29"/>
  <c r="D438" i="29"/>
  <c r="AC438" i="29"/>
  <c r="F437" i="29"/>
  <c r="AE437" i="29"/>
  <c r="AD437" i="29"/>
  <c r="G441" i="25"/>
  <c r="V441" i="25"/>
  <c r="U441" i="25"/>
  <c r="K441" i="25"/>
  <c r="F441" i="25"/>
  <c r="H441" i="25"/>
  <c r="E441" i="25"/>
  <c r="I441" i="25"/>
  <c r="W441" i="25"/>
  <c r="T441" i="25"/>
  <c r="S475" i="9"/>
  <c r="N475" i="9"/>
  <c r="T474" i="9"/>
  <c r="V474" i="9"/>
  <c r="A443" i="25"/>
  <c r="D443" i="25"/>
  <c r="B440" i="29"/>
  <c r="C477" i="9"/>
  <c r="B477" i="9"/>
  <c r="X476" i="9"/>
  <c r="W476" i="9"/>
  <c r="P476" i="9"/>
  <c r="S476" i="9"/>
  <c r="N476" i="9"/>
  <c r="F438" i="29"/>
  <c r="AE438" i="29"/>
  <c r="AD438" i="29"/>
  <c r="U475" i="9"/>
  <c r="R475" i="9"/>
  <c r="E439" i="29"/>
  <c r="D439" i="29"/>
  <c r="AC439" i="29"/>
  <c r="H442" i="25"/>
  <c r="G442" i="25"/>
  <c r="V442" i="25"/>
  <c r="F442" i="25"/>
  <c r="I442" i="25"/>
  <c r="W442" i="25"/>
  <c r="E442" i="25"/>
  <c r="U442" i="25"/>
  <c r="K442" i="25"/>
  <c r="T442" i="25"/>
  <c r="T475" i="9"/>
  <c r="V475" i="9"/>
  <c r="A444" i="25"/>
  <c r="D444" i="25"/>
  <c r="B441" i="29"/>
  <c r="B478" i="9"/>
  <c r="C478" i="9"/>
  <c r="X477" i="9"/>
  <c r="W477" i="9"/>
  <c r="P477" i="9"/>
  <c r="F439" i="29"/>
  <c r="AE439" i="29"/>
  <c r="AD439" i="29"/>
  <c r="U476" i="9"/>
  <c r="R476" i="9"/>
  <c r="S477" i="9"/>
  <c r="N477" i="9"/>
  <c r="Q476" i="9"/>
  <c r="E440" i="29"/>
  <c r="D440" i="29"/>
  <c r="AC440" i="29"/>
  <c r="G443" i="25"/>
  <c r="V443" i="25"/>
  <c r="E443" i="25"/>
  <c r="U443" i="25"/>
  <c r="K443" i="25"/>
  <c r="I443" i="25"/>
  <c r="W443" i="25"/>
  <c r="H443" i="25"/>
  <c r="F443" i="25"/>
  <c r="T443" i="25"/>
  <c r="T476" i="9"/>
  <c r="V476" i="9"/>
  <c r="F440" i="29"/>
  <c r="AE440" i="29"/>
  <c r="AD440" i="29"/>
  <c r="S478" i="9"/>
  <c r="N478" i="9"/>
  <c r="U477" i="9"/>
  <c r="R477" i="9"/>
  <c r="A445" i="25"/>
  <c r="D445" i="25"/>
  <c r="B442" i="29"/>
  <c r="C479" i="9"/>
  <c r="B479" i="9"/>
  <c r="X478" i="9"/>
  <c r="W478" i="9"/>
  <c r="P478" i="9"/>
  <c r="Q477" i="9"/>
  <c r="E441" i="29"/>
  <c r="D441" i="29"/>
  <c r="AC441" i="29"/>
  <c r="E444" i="25"/>
  <c r="I444" i="25"/>
  <c r="W444" i="25"/>
  <c r="F444" i="25"/>
  <c r="G444" i="25"/>
  <c r="V444" i="25"/>
  <c r="H444" i="25"/>
  <c r="U444" i="25"/>
  <c r="K444" i="25"/>
  <c r="T444" i="25"/>
  <c r="T477" i="9"/>
  <c r="V477" i="9"/>
  <c r="AD441" i="29"/>
  <c r="F441" i="29"/>
  <c r="AE441" i="29"/>
  <c r="F445" i="25"/>
  <c r="E445" i="25"/>
  <c r="G445" i="25"/>
  <c r="V445" i="25"/>
  <c r="U445" i="25"/>
  <c r="K445" i="25"/>
  <c r="H445" i="25"/>
  <c r="I445" i="25"/>
  <c r="W445" i="25"/>
  <c r="T445" i="25"/>
  <c r="A446" i="25"/>
  <c r="D446" i="25"/>
  <c r="B443" i="29"/>
  <c r="B480" i="9"/>
  <c r="C480" i="9"/>
  <c r="X479" i="9"/>
  <c r="P479" i="9"/>
  <c r="W479" i="9"/>
  <c r="U478" i="9"/>
  <c r="R478" i="9"/>
  <c r="S479" i="9"/>
  <c r="N479" i="9"/>
  <c r="E442" i="29"/>
  <c r="D442" i="29"/>
  <c r="AC442" i="29"/>
  <c r="Q478" i="9"/>
  <c r="T478" i="9"/>
  <c r="V478" i="9"/>
  <c r="A447" i="25"/>
  <c r="D447" i="25"/>
  <c r="B444" i="29"/>
  <c r="C481" i="9"/>
  <c r="B481" i="9"/>
  <c r="X480" i="9"/>
  <c r="W480" i="9"/>
  <c r="P480" i="9"/>
  <c r="Q480" i="9"/>
  <c r="U479" i="9"/>
  <c r="R479" i="9"/>
  <c r="D443" i="29"/>
  <c r="AC443" i="29"/>
  <c r="E443" i="29"/>
  <c r="AD442" i="29"/>
  <c r="F442" i="29"/>
  <c r="AE442" i="29"/>
  <c r="F446" i="25"/>
  <c r="H446" i="25"/>
  <c r="G446" i="25"/>
  <c r="V446" i="25"/>
  <c r="U446" i="25"/>
  <c r="K446" i="25"/>
  <c r="I446" i="25"/>
  <c r="W446" i="25"/>
  <c r="E446" i="25"/>
  <c r="T446" i="25"/>
  <c r="Q479" i="9"/>
  <c r="S480" i="9"/>
  <c r="N480" i="9"/>
  <c r="T479" i="9"/>
  <c r="V479" i="9"/>
  <c r="AD443" i="29"/>
  <c r="F443" i="29"/>
  <c r="AE443" i="29"/>
  <c r="E444" i="29"/>
  <c r="D444" i="29"/>
  <c r="AC444" i="29"/>
  <c r="E447" i="25"/>
  <c r="U447" i="25"/>
  <c r="K447" i="25"/>
  <c r="G447" i="25"/>
  <c r="V447" i="25"/>
  <c r="H447" i="25"/>
  <c r="F447" i="25"/>
  <c r="I447" i="25"/>
  <c r="W447" i="25"/>
  <c r="T447" i="25"/>
  <c r="A448" i="25"/>
  <c r="D448" i="25"/>
  <c r="B445" i="29"/>
  <c r="C482" i="9"/>
  <c r="B482" i="9"/>
  <c r="X481" i="9"/>
  <c r="P481" i="9"/>
  <c r="Q481" i="9"/>
  <c r="W481" i="9"/>
  <c r="U480" i="9"/>
  <c r="R480" i="9"/>
  <c r="S481" i="9"/>
  <c r="N481" i="9"/>
  <c r="T480" i="9"/>
  <c r="V480" i="9"/>
  <c r="U481" i="9"/>
  <c r="R481" i="9"/>
  <c r="D445" i="29"/>
  <c r="AC445" i="29"/>
  <c r="E445" i="29"/>
  <c r="F444" i="29"/>
  <c r="AE444" i="29"/>
  <c r="AD444" i="29"/>
  <c r="H448" i="25"/>
  <c r="G448" i="25"/>
  <c r="V448" i="25"/>
  <c r="I448" i="25"/>
  <c r="W448" i="25"/>
  <c r="E448" i="25"/>
  <c r="U448" i="25"/>
  <c r="K448" i="25"/>
  <c r="F448" i="25"/>
  <c r="T448" i="25"/>
  <c r="A449" i="25"/>
  <c r="D449" i="25"/>
  <c r="B446" i="29"/>
  <c r="C483" i="9"/>
  <c r="B483" i="9"/>
  <c r="X482" i="9"/>
  <c r="P482" i="9"/>
  <c r="Q482" i="9"/>
  <c r="W482" i="9"/>
  <c r="S482" i="9"/>
  <c r="N482" i="9"/>
  <c r="T481" i="9"/>
  <c r="V481" i="9"/>
  <c r="S483" i="9"/>
  <c r="N483" i="9"/>
  <c r="U482" i="9"/>
  <c r="R482" i="9"/>
  <c r="E446" i="29"/>
  <c r="D446" i="29"/>
  <c r="AC446" i="29"/>
  <c r="F449" i="25"/>
  <c r="U449" i="25"/>
  <c r="K449" i="25"/>
  <c r="I449" i="25"/>
  <c r="W449" i="25"/>
  <c r="H449" i="25"/>
  <c r="G449" i="25"/>
  <c r="V449" i="25"/>
  <c r="E449" i="25"/>
  <c r="T449" i="25"/>
  <c r="A450" i="25"/>
  <c r="D450" i="25"/>
  <c r="B447" i="29"/>
  <c r="B484" i="9"/>
  <c r="C484" i="9"/>
  <c r="X483" i="9"/>
  <c r="P483" i="9"/>
  <c r="Q483" i="9"/>
  <c r="W483" i="9"/>
  <c r="F445" i="29"/>
  <c r="AE445" i="29"/>
  <c r="AD445" i="29"/>
  <c r="T482" i="9"/>
  <c r="V482" i="9"/>
  <c r="A451" i="25"/>
  <c r="D451" i="25"/>
  <c r="B448" i="29"/>
  <c r="C485" i="9"/>
  <c r="B485" i="9"/>
  <c r="X484" i="9"/>
  <c r="W484" i="9"/>
  <c r="P484" i="9"/>
  <c r="U483" i="9"/>
  <c r="R483" i="9"/>
  <c r="E447" i="29"/>
  <c r="D447" i="29"/>
  <c r="AC447" i="29"/>
  <c r="I450" i="25"/>
  <c r="W450" i="25"/>
  <c r="F450" i="25"/>
  <c r="H450" i="25"/>
  <c r="E450" i="25"/>
  <c r="U450" i="25"/>
  <c r="K450" i="25"/>
  <c r="G450" i="25"/>
  <c r="V450" i="25"/>
  <c r="T450" i="25"/>
  <c r="S484" i="9"/>
  <c r="N484" i="9"/>
  <c r="Q484" i="9"/>
  <c r="AD446" i="29"/>
  <c r="F446" i="29"/>
  <c r="AE446" i="29"/>
  <c r="T483" i="9"/>
  <c r="V483" i="9"/>
  <c r="U484" i="9"/>
  <c r="R484" i="9"/>
  <c r="S485" i="9"/>
  <c r="N485" i="9"/>
  <c r="E448" i="29"/>
  <c r="D448" i="29"/>
  <c r="AC448" i="29"/>
  <c r="AD447" i="29"/>
  <c r="F447" i="29"/>
  <c r="AE447" i="29"/>
  <c r="U451" i="25"/>
  <c r="K451" i="25"/>
  <c r="E451" i="25"/>
  <c r="H451" i="25"/>
  <c r="G451" i="25"/>
  <c r="V451" i="25"/>
  <c r="I451" i="25"/>
  <c r="W451" i="25"/>
  <c r="F451" i="25"/>
  <c r="T451" i="25"/>
  <c r="A452" i="25"/>
  <c r="D452" i="25"/>
  <c r="B449" i="29"/>
  <c r="C486" i="9"/>
  <c r="B486" i="9"/>
  <c r="X485" i="9"/>
  <c r="P485" i="9"/>
  <c r="W485" i="9"/>
  <c r="T484" i="9"/>
  <c r="V484" i="9"/>
  <c r="U485" i="9"/>
  <c r="R485" i="9"/>
  <c r="A453" i="25"/>
  <c r="D453" i="25"/>
  <c r="B450" i="29"/>
  <c r="B487" i="9"/>
  <c r="C487" i="9"/>
  <c r="X486" i="9"/>
  <c r="W486" i="9"/>
  <c r="P486" i="9"/>
  <c r="S486" i="9"/>
  <c r="N486" i="9"/>
  <c r="E449" i="29"/>
  <c r="D449" i="29"/>
  <c r="AC449" i="29"/>
  <c r="F452" i="25"/>
  <c r="G452" i="25"/>
  <c r="V452" i="25"/>
  <c r="E452" i="25"/>
  <c r="I452" i="25"/>
  <c r="W452" i="25"/>
  <c r="H452" i="25"/>
  <c r="U452" i="25"/>
  <c r="K452" i="25"/>
  <c r="T452" i="25"/>
  <c r="F448" i="29"/>
  <c r="AE448" i="29"/>
  <c r="AD448" i="29"/>
  <c r="Q485" i="9"/>
  <c r="T485" i="9"/>
  <c r="V485" i="9"/>
  <c r="AD449" i="29"/>
  <c r="F449" i="29"/>
  <c r="AE449" i="29"/>
  <c r="U486" i="9"/>
  <c r="R486" i="9"/>
  <c r="A454" i="25"/>
  <c r="D454" i="25"/>
  <c r="B451" i="29"/>
  <c r="B488" i="9"/>
  <c r="C488" i="9"/>
  <c r="X487" i="9"/>
  <c r="P487" i="9"/>
  <c r="Q487" i="9"/>
  <c r="W487" i="9"/>
  <c r="Q486" i="9"/>
  <c r="D450" i="29"/>
  <c r="AC450" i="29"/>
  <c r="E450" i="29"/>
  <c r="F453" i="25"/>
  <c r="G453" i="25"/>
  <c r="V453" i="25"/>
  <c r="I453" i="25"/>
  <c r="W453" i="25"/>
  <c r="U453" i="25"/>
  <c r="K453" i="25"/>
  <c r="H453" i="25"/>
  <c r="E453" i="25"/>
  <c r="T453" i="25"/>
  <c r="S487" i="9"/>
  <c r="N487" i="9"/>
  <c r="T486" i="9"/>
  <c r="V486" i="9"/>
  <c r="A455" i="25"/>
  <c r="D455" i="25"/>
  <c r="B452" i="29"/>
  <c r="C489" i="9"/>
  <c r="B489" i="9"/>
  <c r="X488" i="9"/>
  <c r="W488" i="9"/>
  <c r="P488" i="9"/>
  <c r="Q488" i="9"/>
  <c r="U487" i="9"/>
  <c r="R487" i="9"/>
  <c r="D451" i="29"/>
  <c r="AC451" i="29"/>
  <c r="E451" i="29"/>
  <c r="G454" i="25"/>
  <c r="V454" i="25"/>
  <c r="H454" i="25"/>
  <c r="F454" i="25"/>
  <c r="E454" i="25"/>
  <c r="I454" i="25"/>
  <c r="W454" i="25"/>
  <c r="U454" i="25"/>
  <c r="K454" i="25"/>
  <c r="T454" i="25"/>
  <c r="AD450" i="29"/>
  <c r="F450" i="29"/>
  <c r="AE450" i="29"/>
  <c r="S488" i="9"/>
  <c r="N488" i="9"/>
  <c r="T487" i="9"/>
  <c r="V487" i="9"/>
  <c r="A456" i="25"/>
  <c r="D456" i="25"/>
  <c r="B453" i="29"/>
  <c r="C490" i="9"/>
  <c r="B490" i="9"/>
  <c r="X489" i="9"/>
  <c r="P489" i="9"/>
  <c r="Q489" i="9"/>
  <c r="W489" i="9"/>
  <c r="F451" i="29"/>
  <c r="AE451" i="29"/>
  <c r="AD451" i="29"/>
  <c r="U488" i="9"/>
  <c r="R488" i="9"/>
  <c r="S489" i="9"/>
  <c r="N489" i="9"/>
  <c r="E452" i="29"/>
  <c r="D452" i="29"/>
  <c r="AC452" i="29"/>
  <c r="E455" i="25"/>
  <c r="I455" i="25"/>
  <c r="W455" i="25"/>
  <c r="F455" i="25"/>
  <c r="U455" i="25"/>
  <c r="K455" i="25"/>
  <c r="G455" i="25"/>
  <c r="V455" i="25"/>
  <c r="H455" i="25"/>
  <c r="T455" i="25"/>
  <c r="T488" i="9"/>
  <c r="V488" i="9"/>
  <c r="A457" i="25"/>
  <c r="D457" i="25"/>
  <c r="B454" i="29"/>
  <c r="C491" i="9"/>
  <c r="B491" i="9"/>
  <c r="X490" i="9"/>
  <c r="P490" i="9"/>
  <c r="Q490" i="9"/>
  <c r="W490" i="9"/>
  <c r="AD452" i="29"/>
  <c r="F452" i="29"/>
  <c r="AE452" i="29"/>
  <c r="S490" i="9"/>
  <c r="N490" i="9"/>
  <c r="U489" i="9"/>
  <c r="R489" i="9"/>
  <c r="E453" i="29"/>
  <c r="D453" i="29"/>
  <c r="AC453" i="29"/>
  <c r="G456" i="25"/>
  <c r="V456" i="25"/>
  <c r="I456" i="25"/>
  <c r="W456" i="25"/>
  <c r="E456" i="25"/>
  <c r="F456" i="25"/>
  <c r="U456" i="25"/>
  <c r="K456" i="25"/>
  <c r="H456" i="25"/>
  <c r="T456" i="25"/>
  <c r="T489" i="9"/>
  <c r="V489" i="9"/>
  <c r="A458" i="25"/>
  <c r="D458" i="25"/>
  <c r="B455" i="29"/>
  <c r="B492" i="9"/>
  <c r="C492" i="9"/>
  <c r="X491" i="9"/>
  <c r="P491" i="9"/>
  <c r="Q491" i="9"/>
  <c r="W491" i="9"/>
  <c r="AD453" i="29"/>
  <c r="F453" i="29"/>
  <c r="AE453" i="29"/>
  <c r="S491" i="9"/>
  <c r="N491" i="9"/>
  <c r="U490" i="9"/>
  <c r="R490" i="9"/>
  <c r="E454" i="29"/>
  <c r="D454" i="29"/>
  <c r="AC454" i="29"/>
  <c r="H457" i="25"/>
  <c r="G457" i="25"/>
  <c r="V457" i="25"/>
  <c r="U457" i="25"/>
  <c r="K457" i="25"/>
  <c r="I457" i="25"/>
  <c r="W457" i="25"/>
  <c r="F457" i="25"/>
  <c r="E457" i="25"/>
  <c r="T457" i="25"/>
  <c r="T490" i="9"/>
  <c r="V490" i="9"/>
  <c r="S492" i="9"/>
  <c r="N492" i="9"/>
  <c r="AD454" i="29"/>
  <c r="F454" i="29"/>
  <c r="AE454" i="29"/>
  <c r="A459" i="25"/>
  <c r="D459" i="25"/>
  <c r="B456" i="29"/>
  <c r="C493" i="9"/>
  <c r="B493" i="9"/>
  <c r="X492" i="9"/>
  <c r="W492" i="9"/>
  <c r="P492" i="9"/>
  <c r="U491" i="9"/>
  <c r="R491" i="9"/>
  <c r="E455" i="29"/>
  <c r="D455" i="29"/>
  <c r="AC455" i="29"/>
  <c r="E458" i="25"/>
  <c r="F458" i="25"/>
  <c r="U458" i="25"/>
  <c r="K458" i="25"/>
  <c r="G458" i="25"/>
  <c r="V458" i="25"/>
  <c r="I458" i="25"/>
  <c r="W458" i="25"/>
  <c r="H458" i="25"/>
  <c r="T458" i="25"/>
  <c r="T491" i="9"/>
  <c r="V491" i="9"/>
  <c r="U492" i="9"/>
  <c r="R492" i="9"/>
  <c r="S493" i="9"/>
  <c r="N493" i="9"/>
  <c r="AD455" i="29"/>
  <c r="F455" i="29"/>
  <c r="AE455" i="29"/>
  <c r="E456" i="29"/>
  <c r="D456" i="29"/>
  <c r="AC456" i="29"/>
  <c r="Q492" i="9"/>
  <c r="G459" i="25"/>
  <c r="V459" i="25"/>
  <c r="E459" i="25"/>
  <c r="U459" i="25"/>
  <c r="K459" i="25"/>
  <c r="H459" i="25"/>
  <c r="I459" i="25"/>
  <c r="W459" i="25"/>
  <c r="F459" i="25"/>
  <c r="T459" i="25"/>
  <c r="A460" i="25"/>
  <c r="D460" i="25"/>
  <c r="B457" i="29"/>
  <c r="B494" i="9"/>
  <c r="C494" i="9"/>
  <c r="X493" i="9"/>
  <c r="P493" i="9"/>
  <c r="W493" i="9"/>
  <c r="T492" i="9"/>
  <c r="V492" i="9"/>
  <c r="U493" i="9"/>
  <c r="R493" i="9"/>
  <c r="E457" i="29"/>
  <c r="D457" i="29"/>
  <c r="AC457" i="29"/>
  <c r="AD456" i="29"/>
  <c r="F456" i="29"/>
  <c r="AE456" i="29"/>
  <c r="I460" i="25"/>
  <c r="W460" i="25"/>
  <c r="E460" i="25"/>
  <c r="G460" i="25"/>
  <c r="V460" i="25"/>
  <c r="H460" i="25"/>
  <c r="U460" i="25"/>
  <c r="K460" i="25"/>
  <c r="F460" i="25"/>
  <c r="T460" i="25"/>
  <c r="S494" i="9"/>
  <c r="N494" i="9"/>
  <c r="A461" i="25"/>
  <c r="D461" i="25"/>
  <c r="B458" i="29"/>
  <c r="C495" i="9"/>
  <c r="B495" i="9"/>
  <c r="X494" i="9"/>
  <c r="W494" i="9"/>
  <c r="P494" i="9"/>
  <c r="Q493" i="9"/>
  <c r="T493" i="9"/>
  <c r="V493" i="9"/>
  <c r="AD457" i="29"/>
  <c r="F457" i="29"/>
  <c r="AE457" i="29"/>
  <c r="E458" i="29"/>
  <c r="D458" i="29"/>
  <c r="AC458" i="29"/>
  <c r="F461" i="25"/>
  <c r="G461" i="25"/>
  <c r="V461" i="25"/>
  <c r="U461" i="25"/>
  <c r="K461" i="25"/>
  <c r="I461" i="25"/>
  <c r="W461" i="25"/>
  <c r="H461" i="25"/>
  <c r="E461" i="25"/>
  <c r="T461" i="25"/>
  <c r="U494" i="9"/>
  <c r="R494" i="9"/>
  <c r="S495" i="9"/>
  <c r="N495" i="9"/>
  <c r="A462" i="25"/>
  <c r="D462" i="25"/>
  <c r="B459" i="29"/>
  <c r="B496" i="9"/>
  <c r="C496" i="9"/>
  <c r="X495" i="9"/>
  <c r="P495" i="9"/>
  <c r="Q495" i="9"/>
  <c r="W495" i="9"/>
  <c r="Q494" i="9"/>
  <c r="T494" i="9"/>
  <c r="V494" i="9"/>
  <c r="F462" i="25"/>
  <c r="G462" i="25"/>
  <c r="V462" i="25"/>
  <c r="H462" i="25"/>
  <c r="U462" i="25"/>
  <c r="K462" i="25"/>
  <c r="E462" i="25"/>
  <c r="I462" i="25"/>
  <c r="W462" i="25"/>
  <c r="T462" i="25"/>
  <c r="S496" i="9"/>
  <c r="N496" i="9"/>
  <c r="A463" i="25"/>
  <c r="D463" i="25"/>
  <c r="B460" i="29"/>
  <c r="C497" i="9"/>
  <c r="B497" i="9"/>
  <c r="X496" i="9"/>
  <c r="W496" i="9"/>
  <c r="P496" i="9"/>
  <c r="Q496" i="9"/>
  <c r="U495" i="9"/>
  <c r="R495" i="9"/>
  <c r="E459" i="29"/>
  <c r="D459" i="29"/>
  <c r="AC459" i="29"/>
  <c r="AD458" i="29"/>
  <c r="F458" i="29"/>
  <c r="AE458" i="29"/>
  <c r="T495" i="9"/>
  <c r="V495" i="9"/>
  <c r="A464" i="25"/>
  <c r="D464" i="25"/>
  <c r="B461" i="29"/>
  <c r="C498" i="9"/>
  <c r="B498" i="9"/>
  <c r="X497" i="9"/>
  <c r="P497" i="9"/>
  <c r="Q497" i="9"/>
  <c r="W497" i="9"/>
  <c r="F459" i="29"/>
  <c r="AE459" i="29"/>
  <c r="AD459" i="29"/>
  <c r="U496" i="9"/>
  <c r="R496" i="9"/>
  <c r="S497" i="9"/>
  <c r="N497" i="9"/>
  <c r="D460" i="29"/>
  <c r="AC460" i="29"/>
  <c r="E460" i="29"/>
  <c r="E463" i="25"/>
  <c r="H463" i="25"/>
  <c r="G463" i="25"/>
  <c r="V463" i="25"/>
  <c r="U463" i="25"/>
  <c r="K463" i="25"/>
  <c r="I463" i="25"/>
  <c r="W463" i="25"/>
  <c r="F463" i="25"/>
  <c r="T463" i="25"/>
  <c r="T496" i="9"/>
  <c r="V496" i="9"/>
  <c r="S498" i="9"/>
  <c r="N498" i="9"/>
  <c r="U497" i="9"/>
  <c r="R497" i="9"/>
  <c r="D461" i="29"/>
  <c r="AC461" i="29"/>
  <c r="E461" i="29"/>
  <c r="AD460" i="29"/>
  <c r="F460" i="29"/>
  <c r="AE460" i="29"/>
  <c r="I464" i="25"/>
  <c r="W464" i="25"/>
  <c r="H464" i="25"/>
  <c r="G464" i="25"/>
  <c r="V464" i="25"/>
  <c r="E464" i="25"/>
  <c r="U464" i="25"/>
  <c r="K464" i="25"/>
  <c r="F464" i="25"/>
  <c r="T464" i="25"/>
  <c r="A465" i="25"/>
  <c r="D465" i="25"/>
  <c r="B462" i="29"/>
  <c r="C499" i="9"/>
  <c r="B499" i="9"/>
  <c r="X498" i="9"/>
  <c r="P498" i="9"/>
  <c r="Q498" i="9"/>
  <c r="W498" i="9"/>
  <c r="T497" i="9"/>
  <c r="V497" i="9"/>
  <c r="A466" i="25"/>
  <c r="D466" i="25"/>
  <c r="B463" i="29"/>
  <c r="B500" i="9"/>
  <c r="C500" i="9"/>
  <c r="X499" i="9"/>
  <c r="P499" i="9"/>
  <c r="Q499" i="9"/>
  <c r="W499" i="9"/>
  <c r="S499" i="9"/>
  <c r="N499" i="9"/>
  <c r="AD461" i="29"/>
  <c r="F461" i="29"/>
  <c r="AE461" i="29"/>
  <c r="U498" i="9"/>
  <c r="R498" i="9"/>
  <c r="D462" i="29"/>
  <c r="AC462" i="29"/>
  <c r="E462" i="29"/>
  <c r="F465" i="25"/>
  <c r="G465" i="25"/>
  <c r="V465" i="25"/>
  <c r="U465" i="25"/>
  <c r="K465" i="25"/>
  <c r="I465" i="25"/>
  <c r="W465" i="25"/>
  <c r="H465" i="25"/>
  <c r="E465" i="25"/>
  <c r="T465" i="25"/>
  <c r="T498" i="9"/>
  <c r="V498" i="9"/>
  <c r="I466" i="25"/>
  <c r="W466" i="25"/>
  <c r="H466" i="25"/>
  <c r="F466" i="25"/>
  <c r="E466" i="25"/>
  <c r="G466" i="25"/>
  <c r="V466" i="25"/>
  <c r="U466" i="25"/>
  <c r="K466" i="25"/>
  <c r="T466" i="25"/>
  <c r="S500" i="9"/>
  <c r="N500" i="9"/>
  <c r="AD462" i="29"/>
  <c r="F462" i="29"/>
  <c r="AE462" i="29"/>
  <c r="A467" i="25"/>
  <c r="D467" i="25"/>
  <c r="B464" i="29"/>
  <c r="C501" i="9"/>
  <c r="B501" i="9"/>
  <c r="X500" i="9"/>
  <c r="W500" i="9"/>
  <c r="P500" i="9"/>
  <c r="Q500" i="9"/>
  <c r="U499" i="9"/>
  <c r="R499" i="9"/>
  <c r="E463" i="29"/>
  <c r="D463" i="29"/>
  <c r="AC463" i="29"/>
  <c r="T499" i="9"/>
  <c r="V499" i="9"/>
  <c r="D464" i="29"/>
  <c r="AC464" i="29"/>
  <c r="E464" i="29"/>
  <c r="U467" i="25"/>
  <c r="K467" i="25"/>
  <c r="E467" i="25"/>
  <c r="F467" i="25"/>
  <c r="H467" i="25"/>
  <c r="I467" i="25"/>
  <c r="W467" i="25"/>
  <c r="G467" i="25"/>
  <c r="V467" i="25"/>
  <c r="T467" i="25"/>
  <c r="A468" i="25"/>
  <c r="D468" i="25"/>
  <c r="B465" i="29"/>
  <c r="C502" i="9"/>
  <c r="B502" i="9"/>
  <c r="X501" i="9"/>
  <c r="P501" i="9"/>
  <c r="Q501" i="9"/>
  <c r="W501" i="9"/>
  <c r="AD463" i="29"/>
  <c r="F463" i="29"/>
  <c r="AE463" i="29"/>
  <c r="U500" i="9"/>
  <c r="R500" i="9"/>
  <c r="S501" i="9"/>
  <c r="N501" i="9"/>
  <c r="T500" i="9"/>
  <c r="V500" i="9"/>
  <c r="A469" i="25"/>
  <c r="D469" i="25"/>
  <c r="B466" i="29"/>
  <c r="B503" i="9"/>
  <c r="C503" i="9"/>
  <c r="X502" i="9"/>
  <c r="W502" i="9"/>
  <c r="P502" i="9"/>
  <c r="Q502" i="9"/>
  <c r="S502" i="9"/>
  <c r="N502" i="9"/>
  <c r="F464" i="29"/>
  <c r="AE464" i="29"/>
  <c r="AD464" i="29"/>
  <c r="U501" i="9"/>
  <c r="R501" i="9"/>
  <c r="E465" i="29"/>
  <c r="D465" i="29"/>
  <c r="AC465" i="29"/>
  <c r="E468" i="25"/>
  <c r="F468" i="25"/>
  <c r="G468" i="25"/>
  <c r="V468" i="25"/>
  <c r="I468" i="25"/>
  <c r="W468" i="25"/>
  <c r="H468" i="25"/>
  <c r="U468" i="25"/>
  <c r="K468" i="25"/>
  <c r="T468" i="25"/>
  <c r="T501" i="9"/>
  <c r="V501" i="9"/>
  <c r="E466" i="29"/>
  <c r="D466" i="29"/>
  <c r="AC466" i="29"/>
  <c r="G469" i="25"/>
  <c r="V469" i="25"/>
  <c r="I469" i="25"/>
  <c r="W469" i="25"/>
  <c r="F469" i="25"/>
  <c r="H469" i="25"/>
  <c r="E469" i="25"/>
  <c r="U469" i="25"/>
  <c r="K469" i="25"/>
  <c r="T469" i="25"/>
  <c r="S503" i="9"/>
  <c r="N503" i="9"/>
  <c r="AD465" i="29"/>
  <c r="F465" i="29"/>
  <c r="AE465" i="29"/>
  <c r="U502" i="9"/>
  <c r="R502" i="9"/>
  <c r="A470" i="25"/>
  <c r="D470" i="25"/>
  <c r="B467" i="29"/>
  <c r="B504" i="9"/>
  <c r="C504" i="9"/>
  <c r="X503" i="9"/>
  <c r="W503" i="9"/>
  <c r="P503" i="9"/>
  <c r="Q503" i="9"/>
  <c r="T502" i="9"/>
  <c r="V502" i="9"/>
  <c r="G470" i="25"/>
  <c r="V470" i="25"/>
  <c r="F470" i="25"/>
  <c r="H470" i="25"/>
  <c r="E470" i="25"/>
  <c r="I470" i="25"/>
  <c r="W470" i="25"/>
  <c r="U470" i="25"/>
  <c r="K470" i="25"/>
  <c r="T470" i="25"/>
  <c r="S504" i="9"/>
  <c r="N504" i="9"/>
  <c r="E467" i="29"/>
  <c r="D467" i="29"/>
  <c r="AC467" i="29"/>
  <c r="U503" i="9"/>
  <c r="R503" i="9"/>
  <c r="A471" i="25"/>
  <c r="D471" i="25"/>
  <c r="B468" i="29"/>
  <c r="C505" i="9"/>
  <c r="B505" i="9"/>
  <c r="X504" i="9"/>
  <c r="W504" i="9"/>
  <c r="P504" i="9"/>
  <c r="AD466" i="29"/>
  <c r="F466" i="29"/>
  <c r="AE466" i="29"/>
  <c r="T503" i="9"/>
  <c r="V503" i="9"/>
  <c r="U504" i="9"/>
  <c r="R504" i="9"/>
  <c r="S505" i="9"/>
  <c r="N505" i="9"/>
  <c r="E468" i="29"/>
  <c r="D468" i="29"/>
  <c r="AC468" i="29"/>
  <c r="I471" i="25"/>
  <c r="W471" i="25"/>
  <c r="F471" i="25"/>
  <c r="E471" i="25"/>
  <c r="U471" i="25"/>
  <c r="K471" i="25"/>
  <c r="H471" i="25"/>
  <c r="G471" i="25"/>
  <c r="V471" i="25"/>
  <c r="T471" i="25"/>
  <c r="AD467" i="29"/>
  <c r="F467" i="29"/>
  <c r="AE467" i="29"/>
  <c r="A472" i="25"/>
  <c r="D472" i="25"/>
  <c r="B469" i="29"/>
  <c r="C506" i="9"/>
  <c r="B506" i="9"/>
  <c r="X505" i="9"/>
  <c r="P505" i="9"/>
  <c r="W505" i="9"/>
  <c r="Q504" i="9"/>
  <c r="T504" i="9"/>
  <c r="V504" i="9"/>
  <c r="U505" i="9"/>
  <c r="R505" i="9"/>
  <c r="D469" i="29"/>
  <c r="AC469" i="29"/>
  <c r="E469" i="29"/>
  <c r="I472" i="25"/>
  <c r="W472" i="25"/>
  <c r="G472" i="25"/>
  <c r="V472" i="25"/>
  <c r="U472" i="25"/>
  <c r="K472" i="25"/>
  <c r="E472" i="25"/>
  <c r="H472" i="25"/>
  <c r="F472" i="25"/>
  <c r="T472" i="25"/>
  <c r="A473" i="25"/>
  <c r="D473" i="25"/>
  <c r="B470" i="29"/>
  <c r="C507" i="9"/>
  <c r="B507" i="9"/>
  <c r="X506" i="9"/>
  <c r="P506" i="9"/>
  <c r="Q506" i="9"/>
  <c r="W506" i="9"/>
  <c r="F468" i="29"/>
  <c r="AE468" i="29"/>
  <c r="AD468" i="29"/>
  <c r="S506" i="9"/>
  <c r="N506" i="9"/>
  <c r="Q505" i="9"/>
  <c r="T505" i="9"/>
  <c r="V505" i="9"/>
  <c r="A474" i="25"/>
  <c r="D474" i="25"/>
  <c r="B471" i="29"/>
  <c r="B508" i="9"/>
  <c r="C508" i="9"/>
  <c r="X507" i="9"/>
  <c r="P507" i="9"/>
  <c r="Q507" i="9"/>
  <c r="W507" i="9"/>
  <c r="S507" i="9"/>
  <c r="N507" i="9"/>
  <c r="U506" i="9"/>
  <c r="R506" i="9"/>
  <c r="E470" i="29"/>
  <c r="D470" i="29"/>
  <c r="AC470" i="29"/>
  <c r="F473" i="25"/>
  <c r="G473" i="25"/>
  <c r="V473" i="25"/>
  <c r="E473" i="25"/>
  <c r="I473" i="25"/>
  <c r="W473" i="25"/>
  <c r="U473" i="25"/>
  <c r="K473" i="25"/>
  <c r="H473" i="25"/>
  <c r="T473" i="25"/>
  <c r="F469" i="29"/>
  <c r="AE469" i="29"/>
  <c r="AD469" i="29"/>
  <c r="T506" i="9"/>
  <c r="V506" i="9"/>
  <c r="F470" i="29"/>
  <c r="AE470" i="29"/>
  <c r="AD470" i="29"/>
  <c r="A475" i="25"/>
  <c r="D475" i="25"/>
  <c r="B472" i="29"/>
  <c r="C509" i="9"/>
  <c r="B509" i="9"/>
  <c r="X508" i="9"/>
  <c r="W508" i="9"/>
  <c r="P508" i="9"/>
  <c r="Q508" i="9"/>
  <c r="U507" i="9"/>
  <c r="R507" i="9"/>
  <c r="D471" i="29"/>
  <c r="AC471" i="29"/>
  <c r="E471" i="29"/>
  <c r="H474" i="25"/>
  <c r="F474" i="25"/>
  <c r="U474" i="25"/>
  <c r="K474" i="25"/>
  <c r="E474" i="25"/>
  <c r="I474" i="25"/>
  <c r="W474" i="25"/>
  <c r="G474" i="25"/>
  <c r="V474" i="25"/>
  <c r="T474" i="25"/>
  <c r="S508" i="9"/>
  <c r="N508" i="9"/>
  <c r="T507" i="9"/>
  <c r="V507" i="9"/>
  <c r="E472" i="29"/>
  <c r="D472" i="29"/>
  <c r="AC472" i="29"/>
  <c r="H475" i="25"/>
  <c r="F475" i="25"/>
  <c r="G475" i="25"/>
  <c r="V475" i="25"/>
  <c r="U475" i="25"/>
  <c r="K475" i="25"/>
  <c r="I475" i="25"/>
  <c r="W475" i="25"/>
  <c r="E475" i="25"/>
  <c r="T475" i="25"/>
  <c r="A476" i="25"/>
  <c r="D476" i="25"/>
  <c r="B473" i="29"/>
  <c r="B510" i="9"/>
  <c r="C510" i="9"/>
  <c r="X509" i="9"/>
  <c r="W509" i="9"/>
  <c r="P509" i="9"/>
  <c r="F471" i="29"/>
  <c r="AE471" i="29"/>
  <c r="AD471" i="29"/>
  <c r="U508" i="9"/>
  <c r="R508" i="9"/>
  <c r="S509" i="9"/>
  <c r="N509" i="9"/>
  <c r="T508" i="9"/>
  <c r="V508" i="9"/>
  <c r="U509" i="9"/>
  <c r="R509" i="9"/>
  <c r="A477" i="25"/>
  <c r="D477" i="25"/>
  <c r="B474" i="29"/>
  <c r="C511" i="9"/>
  <c r="B511" i="9"/>
  <c r="X510" i="9"/>
  <c r="W510" i="9"/>
  <c r="P510" i="9"/>
  <c r="Q510" i="9"/>
  <c r="Q509" i="9"/>
  <c r="E473" i="29"/>
  <c r="D473" i="29"/>
  <c r="AC473" i="29"/>
  <c r="E476" i="25"/>
  <c r="H476" i="25"/>
  <c r="F476" i="25"/>
  <c r="U476" i="25"/>
  <c r="K476" i="25"/>
  <c r="I476" i="25"/>
  <c r="W476" i="25"/>
  <c r="G476" i="25"/>
  <c r="V476" i="25"/>
  <c r="T476" i="25"/>
  <c r="S510" i="9"/>
  <c r="N510" i="9"/>
  <c r="AD472" i="29"/>
  <c r="F472" i="29"/>
  <c r="AE472" i="29"/>
  <c r="T509" i="9"/>
  <c r="V509" i="9"/>
  <c r="E474" i="29"/>
  <c r="D474" i="29"/>
  <c r="AC474" i="29"/>
  <c r="AD473" i="29"/>
  <c r="F473" i="29"/>
  <c r="AE473" i="29"/>
  <c r="I477" i="25"/>
  <c r="W477" i="25"/>
  <c r="H477" i="25"/>
  <c r="F477" i="25"/>
  <c r="G477" i="25"/>
  <c r="V477" i="25"/>
  <c r="E477" i="25"/>
  <c r="U477" i="25"/>
  <c r="K477" i="25"/>
  <c r="T477" i="25"/>
  <c r="A478" i="25"/>
  <c r="D478" i="25"/>
  <c r="B475" i="29"/>
  <c r="B512" i="9"/>
  <c r="C512" i="9"/>
  <c r="X511" i="9"/>
  <c r="P511" i="9"/>
  <c r="Q511" i="9"/>
  <c r="W511" i="9"/>
  <c r="U510" i="9"/>
  <c r="R510" i="9"/>
  <c r="S511" i="9"/>
  <c r="N511" i="9"/>
  <c r="T510" i="9"/>
  <c r="V510" i="9"/>
  <c r="U511" i="9"/>
  <c r="R511" i="9"/>
  <c r="D475" i="29"/>
  <c r="AC475" i="29"/>
  <c r="E475" i="29"/>
  <c r="I478" i="25"/>
  <c r="W478" i="25"/>
  <c r="F478" i="25"/>
  <c r="H478" i="25"/>
  <c r="E478" i="25"/>
  <c r="U478" i="25"/>
  <c r="K478" i="25"/>
  <c r="G478" i="25"/>
  <c r="V478" i="25"/>
  <c r="T478" i="25"/>
  <c r="S512" i="9"/>
  <c r="N512" i="9"/>
  <c r="AD474" i="29"/>
  <c r="F474" i="29"/>
  <c r="AE474" i="29"/>
  <c r="A479" i="25"/>
  <c r="D479" i="25"/>
  <c r="B476" i="29"/>
  <c r="C513" i="9"/>
  <c r="B513" i="9"/>
  <c r="X512" i="9"/>
  <c r="W512" i="9"/>
  <c r="P512" i="9"/>
  <c r="Q512" i="9"/>
  <c r="T511" i="9"/>
  <c r="V511" i="9"/>
  <c r="I479" i="25"/>
  <c r="W479" i="25"/>
  <c r="F479" i="25"/>
  <c r="U479" i="25"/>
  <c r="K479" i="25"/>
  <c r="H479" i="25"/>
  <c r="G479" i="25"/>
  <c r="V479" i="25"/>
  <c r="E479" i="25"/>
  <c r="T479" i="25"/>
  <c r="E476" i="29"/>
  <c r="D476" i="29"/>
  <c r="AC476" i="29"/>
  <c r="A480" i="25"/>
  <c r="D480" i="25"/>
  <c r="B477" i="29"/>
  <c r="C514" i="9"/>
  <c r="B514" i="9"/>
  <c r="X513" i="9"/>
  <c r="P513" i="9"/>
  <c r="Q513" i="9"/>
  <c r="W513" i="9"/>
  <c r="U512" i="9"/>
  <c r="R512" i="9"/>
  <c r="S513" i="9"/>
  <c r="N513" i="9"/>
  <c r="AD475" i="29"/>
  <c r="F475" i="29"/>
  <c r="AE475" i="29"/>
  <c r="T512" i="9"/>
  <c r="V512" i="9"/>
  <c r="S514" i="9"/>
  <c r="N514" i="9"/>
  <c r="AD476" i="29"/>
  <c r="F476" i="29"/>
  <c r="AE476" i="29"/>
  <c r="U513" i="9"/>
  <c r="R513" i="9"/>
  <c r="D477" i="29"/>
  <c r="AC477" i="29"/>
  <c r="E477" i="29"/>
  <c r="H480" i="25"/>
  <c r="G480" i="25"/>
  <c r="V480" i="25"/>
  <c r="U480" i="25"/>
  <c r="K480" i="25"/>
  <c r="F480" i="25"/>
  <c r="E480" i="25"/>
  <c r="I480" i="25"/>
  <c r="W480" i="25"/>
  <c r="T480" i="25"/>
  <c r="A481" i="25"/>
  <c r="D481" i="25"/>
  <c r="B478" i="29"/>
  <c r="C515" i="9"/>
  <c r="B515" i="9"/>
  <c r="X514" i="9"/>
  <c r="P514" i="9"/>
  <c r="W514" i="9"/>
  <c r="T513" i="9"/>
  <c r="V513" i="9"/>
  <c r="U514" i="9"/>
  <c r="R514" i="9"/>
  <c r="D478" i="29"/>
  <c r="AC478" i="29"/>
  <c r="E478" i="29"/>
  <c r="AD477" i="29"/>
  <c r="F477" i="29"/>
  <c r="AE477" i="29"/>
  <c r="Q514" i="9"/>
  <c r="G481" i="25"/>
  <c r="V481" i="25"/>
  <c r="E481" i="25"/>
  <c r="F481" i="25"/>
  <c r="I481" i="25"/>
  <c r="W481" i="25"/>
  <c r="U481" i="25"/>
  <c r="K481" i="25"/>
  <c r="H481" i="25"/>
  <c r="T481" i="25"/>
  <c r="A482" i="25"/>
  <c r="D482" i="25"/>
  <c r="B479" i="29"/>
  <c r="B516" i="9"/>
  <c r="C516" i="9"/>
  <c r="X515" i="9"/>
  <c r="W515" i="9"/>
  <c r="P515" i="9"/>
  <c r="Q515" i="9"/>
  <c r="S515" i="9"/>
  <c r="N515" i="9"/>
  <c r="T514" i="9"/>
  <c r="V514" i="9"/>
  <c r="E482" i="25"/>
  <c r="H482" i="25"/>
  <c r="F482" i="25"/>
  <c r="G482" i="25"/>
  <c r="V482" i="25"/>
  <c r="U482" i="25"/>
  <c r="K482" i="25"/>
  <c r="I482" i="25"/>
  <c r="W482" i="25"/>
  <c r="T482" i="25"/>
  <c r="S516" i="9"/>
  <c r="N516" i="9"/>
  <c r="U515" i="9"/>
  <c r="R515" i="9"/>
  <c r="A483" i="25"/>
  <c r="D483" i="25"/>
  <c r="B480" i="29"/>
  <c r="C517" i="9"/>
  <c r="B517" i="9"/>
  <c r="X516" i="9"/>
  <c r="W516" i="9"/>
  <c r="P516" i="9"/>
  <c r="Q516" i="9"/>
  <c r="E479" i="29"/>
  <c r="D479" i="29"/>
  <c r="AC479" i="29"/>
  <c r="F478" i="29"/>
  <c r="AE478" i="29"/>
  <c r="AD478" i="29"/>
  <c r="T515" i="9"/>
  <c r="V515" i="9"/>
  <c r="A484" i="25"/>
  <c r="D484" i="25"/>
  <c r="B481" i="29"/>
  <c r="C518" i="9"/>
  <c r="B518" i="9"/>
  <c r="X517" i="9"/>
  <c r="P517" i="9"/>
  <c r="Q517" i="9"/>
  <c r="W517" i="9"/>
  <c r="U516" i="9"/>
  <c r="R516" i="9"/>
  <c r="S517" i="9"/>
  <c r="N517" i="9"/>
  <c r="D480" i="29"/>
  <c r="AC480" i="29"/>
  <c r="E480" i="29"/>
  <c r="AD479" i="29"/>
  <c r="F479" i="29"/>
  <c r="AE479" i="29"/>
  <c r="G483" i="25"/>
  <c r="V483" i="25"/>
  <c r="H483" i="25"/>
  <c r="U483" i="25"/>
  <c r="K483" i="25"/>
  <c r="I483" i="25"/>
  <c r="W483" i="25"/>
  <c r="E483" i="25"/>
  <c r="F483" i="25"/>
  <c r="T483" i="25"/>
  <c r="T516" i="9"/>
  <c r="V516" i="9"/>
  <c r="U517" i="9"/>
  <c r="R517" i="9"/>
  <c r="D481" i="29"/>
  <c r="AC481" i="29"/>
  <c r="E481" i="29"/>
  <c r="AD480" i="29"/>
  <c r="F480" i="29"/>
  <c r="AE480" i="29"/>
  <c r="E484" i="25"/>
  <c r="H484" i="25"/>
  <c r="F484" i="25"/>
  <c r="I484" i="25"/>
  <c r="W484" i="25"/>
  <c r="G484" i="25"/>
  <c r="V484" i="25"/>
  <c r="U484" i="25"/>
  <c r="K484" i="25"/>
  <c r="T484" i="25"/>
  <c r="A485" i="25"/>
  <c r="D485" i="25"/>
  <c r="B482" i="29"/>
  <c r="B519" i="9"/>
  <c r="C519" i="9"/>
  <c r="X518" i="9"/>
  <c r="W518" i="9"/>
  <c r="P518" i="9"/>
  <c r="S518" i="9"/>
  <c r="N518" i="9"/>
  <c r="T517" i="9"/>
  <c r="V517" i="9"/>
  <c r="AD481" i="29"/>
  <c r="F481" i="29"/>
  <c r="AE481" i="29"/>
  <c r="S519" i="9"/>
  <c r="N519" i="9"/>
  <c r="U518" i="9"/>
  <c r="R518" i="9"/>
  <c r="A486" i="25"/>
  <c r="D486" i="25"/>
  <c r="B483" i="29"/>
  <c r="B520" i="9"/>
  <c r="C520" i="9"/>
  <c r="X519" i="9"/>
  <c r="P519" i="9"/>
  <c r="W519" i="9"/>
  <c r="Q518" i="9"/>
  <c r="D482" i="29"/>
  <c r="AC482" i="29"/>
  <c r="E482" i="29"/>
  <c r="I485" i="25"/>
  <c r="W485" i="25"/>
  <c r="H485" i="25"/>
  <c r="F485" i="25"/>
  <c r="E485" i="25"/>
  <c r="G485" i="25"/>
  <c r="V485" i="25"/>
  <c r="U485" i="25"/>
  <c r="K485" i="25"/>
  <c r="T485" i="25"/>
  <c r="T518" i="9"/>
  <c r="V518" i="9"/>
  <c r="S520" i="9"/>
  <c r="N520" i="9"/>
  <c r="A487" i="25"/>
  <c r="D487" i="25"/>
  <c r="B484" i="29"/>
  <c r="C521" i="9"/>
  <c r="B521" i="9"/>
  <c r="X520" i="9"/>
  <c r="W520" i="9"/>
  <c r="P520" i="9"/>
  <c r="AD482" i="29"/>
  <c r="F482" i="29"/>
  <c r="AE482" i="29"/>
  <c r="U519" i="9"/>
  <c r="R519" i="9"/>
  <c r="D483" i="29"/>
  <c r="AC483" i="29"/>
  <c r="E483" i="29"/>
  <c r="Q519" i="9"/>
  <c r="F486" i="25"/>
  <c r="I486" i="25"/>
  <c r="W486" i="25"/>
  <c r="H486" i="25"/>
  <c r="G486" i="25"/>
  <c r="V486" i="25"/>
  <c r="E486" i="25"/>
  <c r="U486" i="25"/>
  <c r="K486" i="25"/>
  <c r="T486" i="25"/>
  <c r="T519" i="9"/>
  <c r="V519" i="9"/>
  <c r="F483" i="29"/>
  <c r="AE483" i="29"/>
  <c r="AD483" i="29"/>
  <c r="A488" i="25"/>
  <c r="D488" i="25"/>
  <c r="B485" i="29"/>
  <c r="C522" i="9"/>
  <c r="B522" i="9"/>
  <c r="X521" i="9"/>
  <c r="P521" i="9"/>
  <c r="Q521" i="9"/>
  <c r="W521" i="9"/>
  <c r="U520" i="9"/>
  <c r="R520" i="9"/>
  <c r="S521" i="9"/>
  <c r="N521" i="9"/>
  <c r="E484" i="29"/>
  <c r="D484" i="29"/>
  <c r="AC484" i="29"/>
  <c r="F487" i="25"/>
  <c r="H487" i="25"/>
  <c r="U487" i="25"/>
  <c r="K487" i="25"/>
  <c r="I487" i="25"/>
  <c r="W487" i="25"/>
  <c r="E487" i="25"/>
  <c r="G487" i="25"/>
  <c r="V487" i="25"/>
  <c r="T487" i="25"/>
  <c r="Q520" i="9"/>
  <c r="T520" i="9"/>
  <c r="V520" i="9"/>
  <c r="F484" i="29"/>
  <c r="AE484" i="29"/>
  <c r="AD484" i="29"/>
  <c r="H488" i="25"/>
  <c r="F488" i="25"/>
  <c r="U488" i="25"/>
  <c r="K488" i="25"/>
  <c r="E488" i="25"/>
  <c r="I488" i="25"/>
  <c r="W488" i="25"/>
  <c r="G488" i="25"/>
  <c r="V488" i="25"/>
  <c r="T488" i="25"/>
  <c r="A489" i="25"/>
  <c r="D489" i="25"/>
  <c r="B486" i="29"/>
  <c r="C523" i="9"/>
  <c r="B523" i="9"/>
  <c r="X522" i="9"/>
  <c r="P522" i="9"/>
  <c r="Q522" i="9"/>
  <c r="W522" i="9"/>
  <c r="S522" i="9"/>
  <c r="N522" i="9"/>
  <c r="U521" i="9"/>
  <c r="R521" i="9"/>
  <c r="D485" i="29"/>
  <c r="AC485" i="29"/>
  <c r="E485" i="29"/>
  <c r="T521" i="9"/>
  <c r="V521" i="9"/>
  <c r="A490" i="25"/>
  <c r="D490" i="25"/>
  <c r="B487" i="29"/>
  <c r="B524" i="9"/>
  <c r="C524" i="9"/>
  <c r="X523" i="9"/>
  <c r="W523" i="9"/>
  <c r="P523" i="9"/>
  <c r="S523" i="9"/>
  <c r="N523" i="9"/>
  <c r="AD485" i="29"/>
  <c r="F485" i="29"/>
  <c r="AE485" i="29"/>
  <c r="U522" i="9"/>
  <c r="R522" i="9"/>
  <c r="E486" i="29"/>
  <c r="D486" i="29"/>
  <c r="AC486" i="29"/>
  <c r="F489" i="25"/>
  <c r="I489" i="25"/>
  <c r="W489" i="25"/>
  <c r="H489" i="25"/>
  <c r="G489" i="25"/>
  <c r="V489" i="25"/>
  <c r="U489" i="25"/>
  <c r="K489" i="25"/>
  <c r="E489" i="25"/>
  <c r="T489" i="25"/>
  <c r="T522" i="9"/>
  <c r="V522" i="9"/>
  <c r="AD486" i="29"/>
  <c r="F486" i="29"/>
  <c r="AE486" i="29"/>
  <c r="U523" i="9"/>
  <c r="R523" i="9"/>
  <c r="A491" i="25"/>
  <c r="D491" i="25"/>
  <c r="B488" i="29"/>
  <c r="C525" i="9"/>
  <c r="B525" i="9"/>
  <c r="X524" i="9"/>
  <c r="W524" i="9"/>
  <c r="P524" i="9"/>
  <c r="Q524" i="9"/>
  <c r="Q523" i="9"/>
  <c r="E487" i="29"/>
  <c r="D487" i="29"/>
  <c r="AC487" i="29"/>
  <c r="F490" i="25"/>
  <c r="H490" i="25"/>
  <c r="E490" i="25"/>
  <c r="G490" i="25"/>
  <c r="V490" i="25"/>
  <c r="U490" i="25"/>
  <c r="K490" i="25"/>
  <c r="I490" i="25"/>
  <c r="W490" i="25"/>
  <c r="T490" i="25"/>
  <c r="S524" i="9"/>
  <c r="N524" i="9"/>
  <c r="T523" i="9"/>
  <c r="V523" i="9"/>
  <c r="U524" i="9"/>
  <c r="R524" i="9"/>
  <c r="S525" i="9"/>
  <c r="N525" i="9"/>
  <c r="D488" i="29"/>
  <c r="AC488" i="29"/>
  <c r="E488" i="29"/>
  <c r="AD487" i="29"/>
  <c r="F487" i="29"/>
  <c r="AE487" i="29"/>
  <c r="H491" i="25"/>
  <c r="G491" i="25"/>
  <c r="V491" i="25"/>
  <c r="U491" i="25"/>
  <c r="K491" i="25"/>
  <c r="F491" i="25"/>
  <c r="I491" i="25"/>
  <c r="W491" i="25"/>
  <c r="E491" i="25"/>
  <c r="T491" i="25"/>
  <c r="A492" i="25"/>
  <c r="D492" i="25"/>
  <c r="B489" i="29"/>
  <c r="B526" i="9"/>
  <c r="C526" i="9"/>
  <c r="X525" i="9"/>
  <c r="P525" i="9"/>
  <c r="W525" i="9"/>
  <c r="T524" i="9"/>
  <c r="V524" i="9"/>
  <c r="A493" i="25"/>
  <c r="D493" i="25"/>
  <c r="B490" i="29"/>
  <c r="C527" i="9"/>
  <c r="B527" i="9"/>
  <c r="X526" i="9"/>
  <c r="W526" i="9"/>
  <c r="P526" i="9"/>
  <c r="Q526" i="9"/>
  <c r="U525" i="9"/>
  <c r="R525" i="9"/>
  <c r="E489" i="29"/>
  <c r="D489" i="29"/>
  <c r="AC489" i="29"/>
  <c r="S526" i="9"/>
  <c r="N526" i="9"/>
  <c r="H492" i="25"/>
  <c r="F492" i="25"/>
  <c r="I492" i="25"/>
  <c r="W492" i="25"/>
  <c r="E492" i="25"/>
  <c r="G492" i="25"/>
  <c r="V492" i="25"/>
  <c r="U492" i="25"/>
  <c r="K492" i="25"/>
  <c r="T492" i="25"/>
  <c r="AD488" i="29"/>
  <c r="F488" i="29"/>
  <c r="AE488" i="29"/>
  <c r="Q525" i="9"/>
  <c r="T525" i="9"/>
  <c r="V525" i="9"/>
  <c r="U526" i="9"/>
  <c r="R526" i="9"/>
  <c r="S527" i="9"/>
  <c r="N527" i="9"/>
  <c r="F489" i="29"/>
  <c r="AE489" i="29"/>
  <c r="AD489" i="29"/>
  <c r="D490" i="29"/>
  <c r="AC490" i="29"/>
  <c r="E490" i="29"/>
  <c r="H493" i="25"/>
  <c r="I493" i="25"/>
  <c r="W493" i="25"/>
  <c r="U493" i="25"/>
  <c r="K493" i="25"/>
  <c r="F493" i="25"/>
  <c r="G493" i="25"/>
  <c r="V493" i="25"/>
  <c r="E493" i="25"/>
  <c r="T493" i="25"/>
  <c r="A494" i="25"/>
  <c r="D494" i="25"/>
  <c r="B491" i="29"/>
  <c r="B528" i="9"/>
  <c r="C528" i="9"/>
  <c r="X527" i="9"/>
  <c r="P527" i="9"/>
  <c r="W527" i="9"/>
  <c r="T526" i="9"/>
  <c r="V526" i="9"/>
  <c r="S528" i="9"/>
  <c r="N528" i="9"/>
  <c r="U527" i="9"/>
  <c r="R527" i="9"/>
  <c r="E491" i="29"/>
  <c r="D491" i="29"/>
  <c r="AC491" i="29"/>
  <c r="A495" i="25"/>
  <c r="D495" i="25"/>
  <c r="B492" i="29"/>
  <c r="C529" i="9"/>
  <c r="B529" i="9"/>
  <c r="X528" i="9"/>
  <c r="W528" i="9"/>
  <c r="P528" i="9"/>
  <c r="Q528" i="9"/>
  <c r="F494" i="25"/>
  <c r="I494" i="25"/>
  <c r="W494" i="25"/>
  <c r="H494" i="25"/>
  <c r="U494" i="25"/>
  <c r="K494" i="25"/>
  <c r="E494" i="25"/>
  <c r="G494" i="25"/>
  <c r="V494" i="25"/>
  <c r="T494" i="25"/>
  <c r="F490" i="29"/>
  <c r="AE490" i="29"/>
  <c r="AD490" i="29"/>
  <c r="Q527" i="9"/>
  <c r="T527" i="9"/>
  <c r="V527" i="9"/>
  <c r="G495" i="25"/>
  <c r="V495" i="25"/>
  <c r="H495" i="25"/>
  <c r="F495" i="25"/>
  <c r="I495" i="25"/>
  <c r="W495" i="25"/>
  <c r="E495" i="25"/>
  <c r="U495" i="25"/>
  <c r="K495" i="25"/>
  <c r="T495" i="25"/>
  <c r="A496" i="25"/>
  <c r="D496" i="25"/>
  <c r="B493" i="29"/>
  <c r="C530" i="9"/>
  <c r="B530" i="9"/>
  <c r="X529" i="9"/>
  <c r="P529" i="9"/>
  <c r="Q529" i="9"/>
  <c r="W529" i="9"/>
  <c r="U528" i="9"/>
  <c r="R528" i="9"/>
  <c r="S529" i="9"/>
  <c r="N529" i="9"/>
  <c r="AD491" i="29"/>
  <c r="F491" i="29"/>
  <c r="AE491" i="29"/>
  <c r="D492" i="29"/>
  <c r="AC492" i="29"/>
  <c r="E492" i="29"/>
  <c r="T528" i="9"/>
  <c r="V528" i="9"/>
  <c r="F492" i="29"/>
  <c r="AE492" i="29"/>
  <c r="AD492" i="29"/>
  <c r="U529" i="9"/>
  <c r="R529" i="9"/>
  <c r="D493" i="29"/>
  <c r="AC493" i="29"/>
  <c r="E493" i="29"/>
  <c r="A497" i="25"/>
  <c r="D497" i="25"/>
  <c r="B494" i="29"/>
  <c r="C531" i="9"/>
  <c r="B531" i="9"/>
  <c r="X530" i="9"/>
  <c r="P530" i="9"/>
  <c r="Q530" i="9"/>
  <c r="W530" i="9"/>
  <c r="S530" i="9"/>
  <c r="N530" i="9"/>
  <c r="H496" i="25"/>
  <c r="U496" i="25"/>
  <c r="K496" i="25"/>
  <c r="E496" i="25"/>
  <c r="G496" i="25"/>
  <c r="V496" i="25"/>
  <c r="F496" i="25"/>
  <c r="I496" i="25"/>
  <c r="W496" i="25"/>
  <c r="T496" i="25"/>
  <c r="T529" i="9"/>
  <c r="V529" i="9"/>
  <c r="U530" i="9"/>
  <c r="R530" i="9"/>
  <c r="D494" i="29"/>
  <c r="AC494" i="29"/>
  <c r="E494" i="29"/>
  <c r="G497" i="25"/>
  <c r="V497" i="25"/>
  <c r="U497" i="25"/>
  <c r="K497" i="25"/>
  <c r="F497" i="25"/>
  <c r="I497" i="25"/>
  <c r="W497" i="25"/>
  <c r="E497" i="25"/>
  <c r="H497" i="25"/>
  <c r="T497" i="25"/>
  <c r="A498" i="25"/>
  <c r="D498" i="25"/>
  <c r="B495" i="29"/>
  <c r="B532" i="9"/>
  <c r="C532" i="9"/>
  <c r="X531" i="9"/>
  <c r="P531" i="9"/>
  <c r="Q531" i="9"/>
  <c r="W531" i="9"/>
  <c r="AD493" i="29"/>
  <c r="F493" i="29"/>
  <c r="AE493" i="29"/>
  <c r="S531" i="9"/>
  <c r="N531" i="9"/>
  <c r="T530" i="9"/>
  <c r="V530" i="9"/>
  <c r="AD494" i="29"/>
  <c r="F494" i="29"/>
  <c r="AE494" i="29"/>
  <c r="A499" i="25"/>
  <c r="D499" i="25"/>
  <c r="B496" i="29"/>
  <c r="C533" i="9"/>
  <c r="B533" i="9"/>
  <c r="X532" i="9"/>
  <c r="W532" i="9"/>
  <c r="P532" i="9"/>
  <c r="Q532" i="9"/>
  <c r="U531" i="9"/>
  <c r="R531" i="9"/>
  <c r="E495" i="29"/>
  <c r="D495" i="29"/>
  <c r="AC495" i="29"/>
  <c r="S532" i="9"/>
  <c r="N532" i="9"/>
  <c r="F498" i="25"/>
  <c r="G498" i="25"/>
  <c r="V498" i="25"/>
  <c r="E498" i="25"/>
  <c r="U498" i="25"/>
  <c r="K498" i="25"/>
  <c r="I498" i="25"/>
  <c r="W498" i="25"/>
  <c r="H498" i="25"/>
  <c r="T498" i="25"/>
  <c r="T531" i="9"/>
  <c r="V531" i="9"/>
  <c r="F495" i="29"/>
  <c r="AE495" i="29"/>
  <c r="AD495" i="29"/>
  <c r="E496" i="29"/>
  <c r="D496" i="29"/>
  <c r="AC496" i="29"/>
  <c r="I499" i="25"/>
  <c r="W499" i="25"/>
  <c r="H499" i="25"/>
  <c r="G499" i="25"/>
  <c r="V499" i="25"/>
  <c r="E499" i="25"/>
  <c r="F499" i="25"/>
  <c r="U499" i="25"/>
  <c r="K499" i="25"/>
  <c r="T499" i="25"/>
  <c r="A500" i="25"/>
  <c r="D500" i="25"/>
  <c r="B497" i="29"/>
  <c r="C534" i="9"/>
  <c r="B534" i="9"/>
  <c r="X533" i="9"/>
  <c r="P533" i="9"/>
  <c r="Q533" i="9"/>
  <c r="W533" i="9"/>
  <c r="U532" i="9"/>
  <c r="R532" i="9"/>
  <c r="S533" i="9"/>
  <c r="N533" i="9"/>
  <c r="T532" i="9"/>
  <c r="V532" i="9"/>
  <c r="A501" i="25"/>
  <c r="D501" i="25"/>
  <c r="B498" i="29"/>
  <c r="B535" i="9"/>
  <c r="C535" i="9"/>
  <c r="X534" i="9"/>
  <c r="W534" i="9"/>
  <c r="P534" i="9"/>
  <c r="S534" i="9"/>
  <c r="N534" i="9"/>
  <c r="U533" i="9"/>
  <c r="R533" i="9"/>
  <c r="E497" i="29"/>
  <c r="D497" i="29"/>
  <c r="AC497" i="29"/>
  <c r="AD496" i="29"/>
  <c r="F496" i="29"/>
  <c r="AE496" i="29"/>
  <c r="I500" i="25"/>
  <c r="W500" i="25"/>
  <c r="F500" i="25"/>
  <c r="E500" i="25"/>
  <c r="H500" i="25"/>
  <c r="U500" i="25"/>
  <c r="K500" i="25"/>
  <c r="G500" i="25"/>
  <c r="V500" i="25"/>
  <c r="T500" i="25"/>
  <c r="T533" i="9"/>
  <c r="V533" i="9"/>
  <c r="S535" i="9"/>
  <c r="N535" i="9"/>
  <c r="U534" i="9"/>
  <c r="R534" i="9"/>
  <c r="A502" i="25"/>
  <c r="D502" i="25"/>
  <c r="B499" i="29"/>
  <c r="B536" i="9"/>
  <c r="C536" i="9"/>
  <c r="X535" i="9"/>
  <c r="W535" i="9"/>
  <c r="P535" i="9"/>
  <c r="Q534" i="9"/>
  <c r="E498" i="29"/>
  <c r="D498" i="29"/>
  <c r="AC498" i="29"/>
  <c r="F497" i="29"/>
  <c r="AE497" i="29"/>
  <c r="AD497" i="29"/>
  <c r="H501" i="25"/>
  <c r="I501" i="25"/>
  <c r="W501" i="25"/>
  <c r="U501" i="25"/>
  <c r="K501" i="25"/>
  <c r="G501" i="25"/>
  <c r="V501" i="25"/>
  <c r="E501" i="25"/>
  <c r="F501" i="25"/>
  <c r="T501" i="25"/>
  <c r="T534" i="9"/>
  <c r="V534" i="9"/>
  <c r="U535" i="9"/>
  <c r="R535" i="9"/>
  <c r="A503" i="25"/>
  <c r="D503" i="25"/>
  <c r="B500" i="29"/>
  <c r="C537" i="9"/>
  <c r="B537" i="9"/>
  <c r="X536" i="9"/>
  <c r="W536" i="9"/>
  <c r="P536" i="9"/>
  <c r="Q536" i="9"/>
  <c r="E499" i="29"/>
  <c r="D499" i="29"/>
  <c r="AC499" i="29"/>
  <c r="Q535" i="9"/>
  <c r="F498" i="29"/>
  <c r="AE498" i="29"/>
  <c r="AD498" i="29"/>
  <c r="E502" i="25"/>
  <c r="F502" i="25"/>
  <c r="I502" i="25"/>
  <c r="W502" i="25"/>
  <c r="H502" i="25"/>
  <c r="G502" i="25"/>
  <c r="V502" i="25"/>
  <c r="U502" i="25"/>
  <c r="K502" i="25"/>
  <c r="T502" i="25"/>
  <c r="S536" i="9"/>
  <c r="N536" i="9"/>
  <c r="T535" i="9"/>
  <c r="V535" i="9"/>
  <c r="E500" i="29"/>
  <c r="D500" i="29"/>
  <c r="AC500" i="29"/>
  <c r="F503" i="25"/>
  <c r="I503" i="25"/>
  <c r="W503" i="25"/>
  <c r="H503" i="25"/>
  <c r="G503" i="25"/>
  <c r="V503" i="25"/>
  <c r="E503" i="25"/>
  <c r="U503" i="25"/>
  <c r="K503" i="25"/>
  <c r="T503" i="25"/>
  <c r="AD499" i="29"/>
  <c r="F499" i="29"/>
  <c r="AE499" i="29"/>
  <c r="A504" i="25"/>
  <c r="D504" i="25"/>
  <c r="B501" i="29"/>
  <c r="C538" i="9"/>
  <c r="B538" i="9"/>
  <c r="X537" i="9"/>
  <c r="P537" i="9"/>
  <c r="W537" i="9"/>
  <c r="U536" i="9"/>
  <c r="R536" i="9"/>
  <c r="S537" i="9"/>
  <c r="N537" i="9"/>
  <c r="T536" i="9"/>
  <c r="V536" i="9"/>
  <c r="U537" i="9"/>
  <c r="R537" i="9"/>
  <c r="D501" i="29"/>
  <c r="AC501" i="29"/>
  <c r="E501" i="29"/>
  <c r="S538" i="9"/>
  <c r="N538" i="9"/>
  <c r="I504" i="25"/>
  <c r="W504" i="25"/>
  <c r="F504" i="25"/>
  <c r="U504" i="25"/>
  <c r="K504" i="25"/>
  <c r="E504" i="25"/>
  <c r="G504" i="25"/>
  <c r="V504" i="25"/>
  <c r="H504" i="25"/>
  <c r="T504" i="25"/>
  <c r="Q537" i="9"/>
  <c r="A505" i="25"/>
  <c r="D505" i="25"/>
  <c r="B502" i="29"/>
  <c r="C539" i="9"/>
  <c r="B539" i="9"/>
  <c r="X538" i="9"/>
  <c r="P538" i="9"/>
  <c r="W538" i="9"/>
  <c r="AD500" i="29"/>
  <c r="F500" i="29"/>
  <c r="AE500" i="29"/>
  <c r="T537" i="9"/>
  <c r="V537" i="9"/>
  <c r="F501" i="29"/>
  <c r="AE501" i="29"/>
  <c r="AD501" i="29"/>
  <c r="S539" i="9"/>
  <c r="N539" i="9"/>
  <c r="U538" i="9"/>
  <c r="R538" i="9"/>
  <c r="E502" i="29"/>
  <c r="D502" i="29"/>
  <c r="AC502" i="29"/>
  <c r="I505" i="25"/>
  <c r="W505" i="25"/>
  <c r="H505" i="25"/>
  <c r="F505" i="25"/>
  <c r="G505" i="25"/>
  <c r="V505" i="25"/>
  <c r="U505" i="25"/>
  <c r="K505" i="25"/>
  <c r="E505" i="25"/>
  <c r="T505" i="25"/>
  <c r="Q538" i="9"/>
  <c r="A506" i="25"/>
  <c r="D506" i="25"/>
  <c r="B503" i="29"/>
  <c r="B540" i="9"/>
  <c r="C540" i="9"/>
  <c r="X539" i="9"/>
  <c r="P539" i="9"/>
  <c r="Q539" i="9"/>
  <c r="W539" i="9"/>
  <c r="T538" i="9"/>
  <c r="V538" i="9"/>
  <c r="A507" i="25"/>
  <c r="D507" i="25"/>
  <c r="B504" i="29"/>
  <c r="C541" i="9"/>
  <c r="B541" i="9"/>
  <c r="X540" i="9"/>
  <c r="W540" i="9"/>
  <c r="P540" i="9"/>
  <c r="U539" i="9"/>
  <c r="R539" i="9"/>
  <c r="E503" i="29"/>
  <c r="D503" i="29"/>
  <c r="AC503" i="29"/>
  <c r="AD502" i="29"/>
  <c r="F502" i="29"/>
  <c r="AE502" i="29"/>
  <c r="H506" i="25"/>
  <c r="I506" i="25"/>
  <c r="W506" i="25"/>
  <c r="F506" i="25"/>
  <c r="U506" i="25"/>
  <c r="K506" i="25"/>
  <c r="E506" i="25"/>
  <c r="G506" i="25"/>
  <c r="V506" i="25"/>
  <c r="T506" i="25"/>
  <c r="S540" i="9"/>
  <c r="N540" i="9"/>
  <c r="Q540" i="9"/>
  <c r="T539" i="9"/>
  <c r="V539" i="9"/>
  <c r="D504" i="29"/>
  <c r="AC504" i="29"/>
  <c r="E504" i="29"/>
  <c r="F503" i="29"/>
  <c r="AE503" i="29"/>
  <c r="AD503" i="29"/>
  <c r="H507" i="25"/>
  <c r="I507" i="25"/>
  <c r="W507" i="25"/>
  <c r="E507" i="25"/>
  <c r="G507" i="25"/>
  <c r="V507" i="25"/>
  <c r="U507" i="25"/>
  <c r="K507" i="25"/>
  <c r="F507" i="25"/>
  <c r="T507" i="25"/>
  <c r="A508" i="25"/>
  <c r="D508" i="25"/>
  <c r="B505" i="29"/>
  <c r="B542" i="9"/>
  <c r="C542" i="9"/>
  <c r="X541" i="9"/>
  <c r="W541" i="9"/>
  <c r="P541" i="9"/>
  <c r="Q541" i="9"/>
  <c r="U540" i="9"/>
  <c r="R540" i="9"/>
  <c r="S541" i="9"/>
  <c r="N541" i="9"/>
  <c r="T540" i="9"/>
  <c r="V540" i="9"/>
  <c r="F508" i="25"/>
  <c r="E508" i="25"/>
  <c r="H508" i="25"/>
  <c r="U508" i="25"/>
  <c r="K508" i="25"/>
  <c r="I508" i="25"/>
  <c r="W508" i="25"/>
  <c r="G508" i="25"/>
  <c r="V508" i="25"/>
  <c r="T508" i="25"/>
  <c r="S542" i="9"/>
  <c r="N542" i="9"/>
  <c r="F504" i="29"/>
  <c r="AE504" i="29"/>
  <c r="AD504" i="29"/>
  <c r="U541" i="9"/>
  <c r="R541" i="9"/>
  <c r="A509" i="25"/>
  <c r="D509" i="25"/>
  <c r="B506" i="29"/>
  <c r="C543" i="9"/>
  <c r="B543" i="9"/>
  <c r="X542" i="9"/>
  <c r="W542" i="9"/>
  <c r="P542" i="9"/>
  <c r="E505" i="29"/>
  <c r="D505" i="29"/>
  <c r="AC505" i="29"/>
  <c r="T541" i="9"/>
  <c r="V541" i="9"/>
  <c r="AD505" i="29"/>
  <c r="F505" i="29"/>
  <c r="AE505" i="29"/>
  <c r="A510" i="25"/>
  <c r="D510" i="25"/>
  <c r="B507" i="29"/>
  <c r="B544" i="9"/>
  <c r="C544" i="9"/>
  <c r="X543" i="9"/>
  <c r="P543" i="9"/>
  <c r="Q543" i="9"/>
  <c r="W543" i="9"/>
  <c r="U542" i="9"/>
  <c r="R542" i="9"/>
  <c r="S543" i="9"/>
  <c r="N543" i="9"/>
  <c r="D506" i="29"/>
  <c r="AC506" i="29"/>
  <c r="E506" i="29"/>
  <c r="Q542" i="9"/>
  <c r="F509" i="25"/>
  <c r="I509" i="25"/>
  <c r="W509" i="25"/>
  <c r="H509" i="25"/>
  <c r="U509" i="25"/>
  <c r="K509" i="25"/>
  <c r="G509" i="25"/>
  <c r="V509" i="25"/>
  <c r="E509" i="25"/>
  <c r="T509" i="25"/>
  <c r="T542" i="9"/>
  <c r="V542" i="9"/>
  <c r="E510" i="25"/>
  <c r="F510" i="25"/>
  <c r="U510" i="25"/>
  <c r="K510" i="25"/>
  <c r="H510" i="25"/>
  <c r="G510" i="25"/>
  <c r="V510" i="25"/>
  <c r="I510" i="25"/>
  <c r="W510" i="25"/>
  <c r="T510" i="25"/>
  <c r="S544" i="9"/>
  <c r="N544" i="9"/>
  <c r="A511" i="25"/>
  <c r="D511" i="25"/>
  <c r="B508" i="29"/>
  <c r="C545" i="9"/>
  <c r="B545" i="9"/>
  <c r="X544" i="9"/>
  <c r="W544" i="9"/>
  <c r="P544" i="9"/>
  <c r="Q544" i="9"/>
  <c r="F506" i="29"/>
  <c r="AE506" i="29"/>
  <c r="AD506" i="29"/>
  <c r="U543" i="9"/>
  <c r="R543" i="9"/>
  <c r="D507" i="29"/>
  <c r="AC507" i="29"/>
  <c r="E507" i="29"/>
  <c r="T543" i="9"/>
  <c r="V543" i="9"/>
  <c r="AD507" i="29"/>
  <c r="F507" i="29"/>
  <c r="AE507" i="29"/>
  <c r="A512" i="25"/>
  <c r="D512" i="25"/>
  <c r="B509" i="29"/>
  <c r="C546" i="9"/>
  <c r="B546" i="9"/>
  <c r="X545" i="9"/>
  <c r="P545" i="9"/>
  <c r="Q545" i="9"/>
  <c r="W545" i="9"/>
  <c r="U544" i="9"/>
  <c r="R544" i="9"/>
  <c r="S545" i="9"/>
  <c r="N545" i="9"/>
  <c r="G511" i="25"/>
  <c r="V511" i="25"/>
  <c r="F511" i="25"/>
  <c r="H511" i="25"/>
  <c r="I511" i="25"/>
  <c r="W511" i="25"/>
  <c r="U511" i="25"/>
  <c r="K511" i="25"/>
  <c r="E511" i="25"/>
  <c r="T511" i="25"/>
  <c r="E508" i="29"/>
  <c r="D508" i="29"/>
  <c r="AC508" i="29"/>
  <c r="T544" i="9"/>
  <c r="V544" i="9"/>
  <c r="A513" i="25"/>
  <c r="D513" i="25"/>
  <c r="B510" i="29"/>
  <c r="C547" i="9"/>
  <c r="B547" i="9"/>
  <c r="X546" i="9"/>
  <c r="P546" i="9"/>
  <c r="Q546" i="9"/>
  <c r="W546" i="9"/>
  <c r="S546" i="9"/>
  <c r="N546" i="9"/>
  <c r="U545" i="9"/>
  <c r="R545" i="9"/>
  <c r="D509" i="29"/>
  <c r="AC509" i="29"/>
  <c r="E509" i="29"/>
  <c r="F508" i="29"/>
  <c r="AE508" i="29"/>
  <c r="AD508" i="29"/>
  <c r="F512" i="25"/>
  <c r="I512" i="25"/>
  <c r="W512" i="25"/>
  <c r="U512" i="25"/>
  <c r="K512" i="25"/>
  <c r="G512" i="25"/>
  <c r="V512" i="25"/>
  <c r="H512" i="25"/>
  <c r="E512" i="25"/>
  <c r="T512" i="25"/>
  <c r="T545" i="9"/>
  <c r="V545" i="9"/>
  <c r="U546" i="9"/>
  <c r="R546" i="9"/>
  <c r="E510" i="29"/>
  <c r="D510" i="29"/>
  <c r="AC510" i="29"/>
  <c r="I513" i="25"/>
  <c r="W513" i="25"/>
  <c r="H513" i="25"/>
  <c r="G513" i="25"/>
  <c r="V513" i="25"/>
  <c r="U513" i="25"/>
  <c r="K513" i="25"/>
  <c r="E513" i="25"/>
  <c r="F513" i="25"/>
  <c r="T513" i="25"/>
  <c r="A514" i="25"/>
  <c r="D514" i="25"/>
  <c r="B511" i="29"/>
  <c r="B548" i="9"/>
  <c r="C548" i="9"/>
  <c r="X547" i="9"/>
  <c r="W547" i="9"/>
  <c r="P547" i="9"/>
  <c r="AD509" i="29"/>
  <c r="F509" i="29"/>
  <c r="AE509" i="29"/>
  <c r="S547" i="9"/>
  <c r="N547" i="9"/>
  <c r="T546" i="9"/>
  <c r="V546" i="9"/>
  <c r="U547" i="9"/>
  <c r="R547" i="9"/>
  <c r="A515" i="25"/>
  <c r="D515" i="25"/>
  <c r="B512" i="29"/>
  <c r="C549" i="9"/>
  <c r="B549" i="9"/>
  <c r="X548" i="9"/>
  <c r="W548" i="9"/>
  <c r="P548" i="9"/>
  <c r="Q548" i="9"/>
  <c r="E511" i="29"/>
  <c r="D511" i="29"/>
  <c r="AC511" i="29"/>
  <c r="H514" i="25"/>
  <c r="I514" i="25"/>
  <c r="W514" i="25"/>
  <c r="F514" i="25"/>
  <c r="U514" i="25"/>
  <c r="K514" i="25"/>
  <c r="E514" i="25"/>
  <c r="G514" i="25"/>
  <c r="V514" i="25"/>
  <c r="T514" i="25"/>
  <c r="Q547" i="9"/>
  <c r="S548" i="9"/>
  <c r="N548" i="9"/>
  <c r="F510" i="29"/>
  <c r="AE510" i="29"/>
  <c r="AD510" i="29"/>
  <c r="T547" i="9"/>
  <c r="V547" i="9"/>
  <c r="U548" i="9"/>
  <c r="R548" i="9"/>
  <c r="S549" i="9"/>
  <c r="N549" i="9"/>
  <c r="D512" i="29"/>
  <c r="AC512" i="29"/>
  <c r="E512" i="29"/>
  <c r="H515" i="25"/>
  <c r="I515" i="25"/>
  <c r="W515" i="25"/>
  <c r="E515" i="25"/>
  <c r="F515" i="25"/>
  <c r="U515" i="25"/>
  <c r="K515" i="25"/>
  <c r="G515" i="25"/>
  <c r="V515" i="25"/>
  <c r="T515" i="25"/>
  <c r="F511" i="29"/>
  <c r="AE511" i="29"/>
  <c r="AD511" i="29"/>
  <c r="A516" i="25"/>
  <c r="D516" i="25"/>
  <c r="B513" i="29"/>
  <c r="C550" i="9"/>
  <c r="B550" i="9"/>
  <c r="X549" i="9"/>
  <c r="P549" i="9"/>
  <c r="Q549" i="9"/>
  <c r="W549" i="9"/>
  <c r="T548" i="9"/>
  <c r="V548" i="9"/>
  <c r="A517" i="25"/>
  <c r="D517" i="25"/>
  <c r="B514" i="29"/>
  <c r="B551" i="9"/>
  <c r="C551" i="9"/>
  <c r="X550" i="9"/>
  <c r="W550" i="9"/>
  <c r="P550" i="9"/>
  <c r="Q550" i="9"/>
  <c r="S550" i="9"/>
  <c r="N550" i="9"/>
  <c r="U549" i="9"/>
  <c r="R549" i="9"/>
  <c r="D513" i="29"/>
  <c r="AC513" i="29"/>
  <c r="E513" i="29"/>
  <c r="F516" i="25"/>
  <c r="E516" i="25"/>
  <c r="I516" i="25"/>
  <c r="W516" i="25"/>
  <c r="H516" i="25"/>
  <c r="U516" i="25"/>
  <c r="K516" i="25"/>
  <c r="G516" i="25"/>
  <c r="V516" i="25"/>
  <c r="T516" i="25"/>
  <c r="AD512" i="29"/>
  <c r="F512" i="29"/>
  <c r="AE512" i="29"/>
  <c r="T549" i="9"/>
  <c r="V549" i="9"/>
  <c r="I517" i="25"/>
  <c r="W517" i="25"/>
  <c r="H517" i="25"/>
  <c r="U517" i="25"/>
  <c r="K517" i="25"/>
  <c r="E517" i="25"/>
  <c r="G517" i="25"/>
  <c r="V517" i="25"/>
  <c r="F517" i="25"/>
  <c r="T517" i="25"/>
  <c r="F513" i="29"/>
  <c r="AE513" i="29"/>
  <c r="AD513" i="29"/>
  <c r="S551" i="9"/>
  <c r="N551" i="9"/>
  <c r="U550" i="9"/>
  <c r="R550" i="9"/>
  <c r="A518" i="25"/>
  <c r="D518" i="25"/>
  <c r="B515" i="29"/>
  <c r="B552" i="9"/>
  <c r="C552" i="9"/>
  <c r="X551" i="9"/>
  <c r="P551" i="9"/>
  <c r="W551" i="9"/>
  <c r="D514" i="29"/>
  <c r="AC514" i="29"/>
  <c r="E514" i="29"/>
  <c r="T550" i="9"/>
  <c r="V550" i="9"/>
  <c r="F518" i="25"/>
  <c r="E518" i="25"/>
  <c r="I518" i="25"/>
  <c r="W518" i="25"/>
  <c r="G518" i="25"/>
  <c r="V518" i="25"/>
  <c r="H518" i="25"/>
  <c r="U518" i="25"/>
  <c r="K518" i="25"/>
  <c r="T518" i="25"/>
  <c r="S552" i="9"/>
  <c r="N552" i="9"/>
  <c r="A519" i="25"/>
  <c r="D519" i="25"/>
  <c r="B516" i="29"/>
  <c r="C553" i="9"/>
  <c r="B553" i="9"/>
  <c r="X552" i="9"/>
  <c r="W552" i="9"/>
  <c r="P552" i="9"/>
  <c r="AD514" i="29"/>
  <c r="F514" i="29"/>
  <c r="AE514" i="29"/>
  <c r="U551" i="9"/>
  <c r="R551" i="9"/>
  <c r="E515" i="29"/>
  <c r="D515" i="29"/>
  <c r="AC515" i="29"/>
  <c r="Q551" i="9"/>
  <c r="T551" i="9"/>
  <c r="V551" i="9"/>
  <c r="A520" i="25"/>
  <c r="D520" i="25"/>
  <c r="B517" i="29"/>
  <c r="C554" i="9"/>
  <c r="B554" i="9"/>
  <c r="X553" i="9"/>
  <c r="P553" i="9"/>
  <c r="Q553" i="9"/>
  <c r="W553" i="9"/>
  <c r="F515" i="29"/>
  <c r="AE515" i="29"/>
  <c r="AD515" i="29"/>
  <c r="U552" i="9"/>
  <c r="R552" i="9"/>
  <c r="S553" i="9"/>
  <c r="N553" i="9"/>
  <c r="E516" i="29"/>
  <c r="D516" i="29"/>
  <c r="AC516" i="29"/>
  <c r="I519" i="25"/>
  <c r="W519" i="25"/>
  <c r="H519" i="25"/>
  <c r="G519" i="25"/>
  <c r="V519" i="25"/>
  <c r="F519" i="25"/>
  <c r="U519" i="25"/>
  <c r="K519" i="25"/>
  <c r="E519" i="25"/>
  <c r="T519" i="25"/>
  <c r="Q552" i="9"/>
  <c r="T552" i="9"/>
  <c r="V552" i="9"/>
  <c r="S554" i="9"/>
  <c r="N554" i="9"/>
  <c r="U553" i="9"/>
  <c r="R553" i="9"/>
  <c r="E517" i="29"/>
  <c r="D517" i="29"/>
  <c r="AC517" i="29"/>
  <c r="I520" i="25"/>
  <c r="W520" i="25"/>
  <c r="U520" i="25"/>
  <c r="K520" i="25"/>
  <c r="F520" i="25"/>
  <c r="G520" i="25"/>
  <c r="V520" i="25"/>
  <c r="H520" i="25"/>
  <c r="E520" i="25"/>
  <c r="T520" i="25"/>
  <c r="AD516" i="29"/>
  <c r="F516" i="29"/>
  <c r="AE516" i="29"/>
  <c r="A521" i="25"/>
  <c r="D521" i="25"/>
  <c r="B518" i="29"/>
  <c r="C555" i="9"/>
  <c r="B555" i="9"/>
  <c r="X554" i="9"/>
  <c r="P554" i="9"/>
  <c r="Q554" i="9"/>
  <c r="W554" i="9"/>
  <c r="T553" i="9"/>
  <c r="V553" i="9"/>
  <c r="A522" i="25"/>
  <c r="D522" i="25"/>
  <c r="B519" i="29"/>
  <c r="B556" i="9"/>
  <c r="C556" i="9"/>
  <c r="X555" i="9"/>
  <c r="W555" i="9"/>
  <c r="P555" i="9"/>
  <c r="Q555" i="9"/>
  <c r="S555" i="9"/>
  <c r="N555" i="9"/>
  <c r="U554" i="9"/>
  <c r="R554" i="9"/>
  <c r="D518" i="29"/>
  <c r="AC518" i="29"/>
  <c r="E518" i="29"/>
  <c r="H521" i="25"/>
  <c r="F521" i="25"/>
  <c r="G521" i="25"/>
  <c r="V521" i="25"/>
  <c r="U521" i="25"/>
  <c r="K521" i="25"/>
  <c r="I521" i="25"/>
  <c r="W521" i="25"/>
  <c r="E521" i="25"/>
  <c r="T521" i="25"/>
  <c r="F517" i="29"/>
  <c r="AE517" i="29"/>
  <c r="AD517" i="29"/>
  <c r="T554" i="9"/>
  <c r="V554" i="9"/>
  <c r="U555" i="9"/>
  <c r="R555" i="9"/>
  <c r="A523" i="25"/>
  <c r="D523" i="25"/>
  <c r="B520" i="29"/>
  <c r="C557" i="9"/>
  <c r="B557" i="9"/>
  <c r="X556" i="9"/>
  <c r="W556" i="9"/>
  <c r="P556" i="9"/>
  <c r="Q556" i="9"/>
  <c r="D519" i="29"/>
  <c r="AC519" i="29"/>
  <c r="E519" i="29"/>
  <c r="AD518" i="29"/>
  <c r="F518" i="29"/>
  <c r="AE518" i="29"/>
  <c r="H522" i="25"/>
  <c r="I522" i="25"/>
  <c r="W522" i="25"/>
  <c r="U522" i="25"/>
  <c r="K522" i="25"/>
  <c r="F522" i="25"/>
  <c r="E522" i="25"/>
  <c r="G522" i="25"/>
  <c r="V522" i="25"/>
  <c r="T522" i="25"/>
  <c r="S556" i="9"/>
  <c r="N556" i="9"/>
  <c r="T555" i="9"/>
  <c r="V555" i="9"/>
  <c r="E520" i="29"/>
  <c r="D520" i="29"/>
  <c r="AC520" i="29"/>
  <c r="AD519" i="29"/>
  <c r="F519" i="29"/>
  <c r="AE519" i="29"/>
  <c r="H523" i="25"/>
  <c r="I523" i="25"/>
  <c r="W523" i="25"/>
  <c r="G523" i="25"/>
  <c r="V523" i="25"/>
  <c r="E523" i="25"/>
  <c r="F523" i="25"/>
  <c r="U523" i="25"/>
  <c r="K523" i="25"/>
  <c r="T523" i="25"/>
  <c r="A524" i="25"/>
  <c r="D524" i="25"/>
  <c r="B521" i="29"/>
  <c r="C558" i="9"/>
  <c r="B558" i="9"/>
  <c r="X557" i="9"/>
  <c r="P557" i="9"/>
  <c r="Q557" i="9"/>
  <c r="W557" i="9"/>
  <c r="U556" i="9"/>
  <c r="R556" i="9"/>
  <c r="S557" i="9"/>
  <c r="N557" i="9"/>
  <c r="T556" i="9"/>
  <c r="V556" i="9"/>
  <c r="E524" i="25"/>
  <c r="F524" i="25"/>
  <c r="H524" i="25"/>
  <c r="G524" i="25"/>
  <c r="V524" i="25"/>
  <c r="U524" i="25"/>
  <c r="K524" i="25"/>
  <c r="I524" i="25"/>
  <c r="W524" i="25"/>
  <c r="T524" i="25"/>
  <c r="A525" i="25"/>
  <c r="D525" i="25"/>
  <c r="B522" i="29"/>
  <c r="B559" i="9"/>
  <c r="C559" i="9"/>
  <c r="X558" i="9"/>
  <c r="W558" i="9"/>
  <c r="P558" i="9"/>
  <c r="Q558" i="9"/>
  <c r="S558" i="9"/>
  <c r="N558" i="9"/>
  <c r="U557" i="9"/>
  <c r="R557" i="9"/>
  <c r="E521" i="29"/>
  <c r="D521" i="29"/>
  <c r="AC521" i="29"/>
  <c r="AD520" i="29"/>
  <c r="F520" i="29"/>
  <c r="AE520" i="29"/>
  <c r="T557" i="9"/>
  <c r="V557" i="9"/>
  <c r="E522" i="29"/>
  <c r="D522" i="29"/>
  <c r="AC522" i="29"/>
  <c r="I525" i="25"/>
  <c r="W525" i="25"/>
  <c r="F525" i="25"/>
  <c r="H525" i="25"/>
  <c r="U525" i="25"/>
  <c r="K525" i="25"/>
  <c r="E525" i="25"/>
  <c r="G525" i="25"/>
  <c r="V525" i="25"/>
  <c r="T525" i="25"/>
  <c r="S559" i="9"/>
  <c r="N559" i="9"/>
  <c r="F521" i="29"/>
  <c r="AE521" i="29"/>
  <c r="AD521" i="29"/>
  <c r="U558" i="9"/>
  <c r="R558" i="9"/>
  <c r="A526" i="25"/>
  <c r="D526" i="25"/>
  <c r="B523" i="29"/>
  <c r="C560" i="9"/>
  <c r="B560" i="9"/>
  <c r="X559" i="9"/>
  <c r="P559" i="9"/>
  <c r="Q559" i="9"/>
  <c r="W559" i="9"/>
  <c r="T558" i="9"/>
  <c r="V558" i="9"/>
  <c r="A527" i="25"/>
  <c r="D527" i="25"/>
  <c r="B524" i="29"/>
  <c r="B561" i="9"/>
  <c r="C561" i="9"/>
  <c r="X560" i="9"/>
  <c r="W560" i="9"/>
  <c r="P560" i="9"/>
  <c r="Q560" i="9"/>
  <c r="S560" i="9"/>
  <c r="N560" i="9"/>
  <c r="U559" i="9"/>
  <c r="R559" i="9"/>
  <c r="E523" i="29"/>
  <c r="D523" i="29"/>
  <c r="AC523" i="29"/>
  <c r="AD522" i="29"/>
  <c r="F522" i="29"/>
  <c r="AE522" i="29"/>
  <c r="E526" i="25"/>
  <c r="F526" i="25"/>
  <c r="H526" i="25"/>
  <c r="U526" i="25"/>
  <c r="K526" i="25"/>
  <c r="I526" i="25"/>
  <c r="W526" i="25"/>
  <c r="G526" i="25"/>
  <c r="V526" i="25"/>
  <c r="T526" i="25"/>
  <c r="T559" i="9"/>
  <c r="V559" i="9"/>
  <c r="U560" i="9"/>
  <c r="R560" i="9"/>
  <c r="A528" i="25"/>
  <c r="D528" i="25"/>
  <c r="B525" i="29"/>
  <c r="C562" i="9"/>
  <c r="B562" i="9"/>
  <c r="X561" i="9"/>
  <c r="P561" i="9"/>
  <c r="Q561" i="9"/>
  <c r="W561" i="9"/>
  <c r="D524" i="29"/>
  <c r="AC524" i="29"/>
  <c r="E524" i="29"/>
  <c r="I527" i="25"/>
  <c r="W527" i="25"/>
  <c r="F527" i="25"/>
  <c r="H527" i="25"/>
  <c r="G527" i="25"/>
  <c r="V527" i="25"/>
  <c r="U527" i="25"/>
  <c r="K527" i="25"/>
  <c r="E527" i="25"/>
  <c r="T527" i="25"/>
  <c r="AD523" i="29"/>
  <c r="F523" i="29"/>
  <c r="AE523" i="29"/>
  <c r="S561" i="9"/>
  <c r="N561" i="9"/>
  <c r="T560" i="9"/>
  <c r="V560" i="9"/>
  <c r="U561" i="9"/>
  <c r="R561" i="9"/>
  <c r="D525" i="29"/>
  <c r="AC525" i="29"/>
  <c r="E525" i="29"/>
  <c r="AD524" i="29"/>
  <c r="F524" i="29"/>
  <c r="AE524" i="29"/>
  <c r="F528" i="25"/>
  <c r="H528" i="25"/>
  <c r="G528" i="25"/>
  <c r="V528" i="25"/>
  <c r="U528" i="25"/>
  <c r="K528" i="25"/>
  <c r="I528" i="25"/>
  <c r="W528" i="25"/>
  <c r="E528" i="25"/>
  <c r="T528" i="25"/>
  <c r="A529" i="25"/>
  <c r="D529" i="25"/>
  <c r="B526" i="29"/>
  <c r="B563" i="9"/>
  <c r="C563" i="9"/>
  <c r="X562" i="9"/>
  <c r="P562" i="9"/>
  <c r="Q562" i="9"/>
  <c r="W562" i="9"/>
  <c r="S562" i="9"/>
  <c r="N562" i="9"/>
  <c r="T561" i="9"/>
  <c r="V561" i="9"/>
  <c r="AD525" i="29"/>
  <c r="F525" i="29"/>
  <c r="AE525" i="29"/>
  <c r="A530" i="25"/>
  <c r="D530" i="25"/>
  <c r="B527" i="29"/>
  <c r="C564" i="9"/>
  <c r="B564" i="9"/>
  <c r="X563" i="9"/>
  <c r="P563" i="9"/>
  <c r="Q563" i="9"/>
  <c r="W563" i="9"/>
  <c r="U562" i="9"/>
  <c r="R562" i="9"/>
  <c r="E526" i="29"/>
  <c r="D526" i="29"/>
  <c r="AC526" i="29"/>
  <c r="H529" i="25"/>
  <c r="I529" i="25"/>
  <c r="W529" i="25"/>
  <c r="G529" i="25"/>
  <c r="V529" i="25"/>
  <c r="U529" i="25"/>
  <c r="K529" i="25"/>
  <c r="E529" i="25"/>
  <c r="F529" i="25"/>
  <c r="T529" i="25"/>
  <c r="S563" i="9"/>
  <c r="N563" i="9"/>
  <c r="T562" i="9"/>
  <c r="V562" i="9"/>
  <c r="F526" i="29"/>
  <c r="AE526" i="29"/>
  <c r="AD526" i="29"/>
  <c r="U563" i="9"/>
  <c r="R563" i="9"/>
  <c r="D527" i="29"/>
  <c r="AC527" i="29"/>
  <c r="E527" i="29"/>
  <c r="I530" i="25"/>
  <c r="W530" i="25"/>
  <c r="H530" i="25"/>
  <c r="F530" i="25"/>
  <c r="U530" i="25"/>
  <c r="K530" i="25"/>
  <c r="E530" i="25"/>
  <c r="G530" i="25"/>
  <c r="V530" i="25"/>
  <c r="T530" i="25"/>
  <c r="A531" i="25"/>
  <c r="D531" i="25"/>
  <c r="B528" i="29"/>
  <c r="B565" i="9"/>
  <c r="C565" i="9"/>
  <c r="X564" i="9"/>
  <c r="W564" i="9"/>
  <c r="P564" i="9"/>
  <c r="Q564" i="9"/>
  <c r="S564" i="9"/>
  <c r="N564" i="9"/>
  <c r="T563" i="9"/>
  <c r="V563" i="9"/>
  <c r="E528" i="29"/>
  <c r="D528" i="29"/>
  <c r="AC528" i="29"/>
  <c r="AD527" i="29"/>
  <c r="F527" i="29"/>
  <c r="AE527" i="29"/>
  <c r="I531" i="25"/>
  <c r="W531" i="25"/>
  <c r="H531" i="25"/>
  <c r="F531" i="25"/>
  <c r="E531" i="25"/>
  <c r="G531" i="25"/>
  <c r="V531" i="25"/>
  <c r="U531" i="25"/>
  <c r="K531" i="25"/>
  <c r="T531" i="25"/>
  <c r="S565" i="9"/>
  <c r="N565" i="9"/>
  <c r="U564" i="9"/>
  <c r="R564" i="9"/>
  <c r="A532" i="25"/>
  <c r="D532" i="25"/>
  <c r="B529" i="29"/>
  <c r="C566" i="9"/>
  <c r="B566" i="9"/>
  <c r="X565" i="9"/>
  <c r="P565" i="9"/>
  <c r="W565" i="9"/>
  <c r="T564" i="9"/>
  <c r="V564" i="9"/>
  <c r="A533" i="25"/>
  <c r="D533" i="25"/>
  <c r="B530" i="29"/>
  <c r="B567" i="9"/>
  <c r="C567" i="9"/>
  <c r="X566" i="9"/>
  <c r="W566" i="9"/>
  <c r="P566" i="9"/>
  <c r="Q566" i="9"/>
  <c r="S566" i="9"/>
  <c r="N566" i="9"/>
  <c r="U565" i="9"/>
  <c r="R565" i="9"/>
  <c r="E529" i="29"/>
  <c r="D529" i="29"/>
  <c r="AC529" i="29"/>
  <c r="Q565" i="9"/>
  <c r="F528" i="29"/>
  <c r="AE528" i="29"/>
  <c r="AD528" i="29"/>
  <c r="I532" i="25"/>
  <c r="W532" i="25"/>
  <c r="E532" i="25"/>
  <c r="F532" i="25"/>
  <c r="H532" i="25"/>
  <c r="U532" i="25"/>
  <c r="K532" i="25"/>
  <c r="G532" i="25"/>
  <c r="V532" i="25"/>
  <c r="T532" i="25"/>
  <c r="T565" i="9"/>
  <c r="V565" i="9"/>
  <c r="E530" i="29"/>
  <c r="D530" i="29"/>
  <c r="AC530" i="29"/>
  <c r="AD529" i="29"/>
  <c r="F529" i="29"/>
  <c r="AE529" i="29"/>
  <c r="H533" i="25"/>
  <c r="I533" i="25"/>
  <c r="W533" i="25"/>
  <c r="U533" i="25"/>
  <c r="K533" i="25"/>
  <c r="F533" i="25"/>
  <c r="E533" i="25"/>
  <c r="G533" i="25"/>
  <c r="V533" i="25"/>
  <c r="T533" i="25"/>
  <c r="S567" i="9"/>
  <c r="N567" i="9"/>
  <c r="U566" i="9"/>
  <c r="R566" i="9"/>
  <c r="A534" i="25"/>
  <c r="D534" i="25"/>
  <c r="B531" i="29"/>
  <c r="C568" i="9"/>
  <c r="B568" i="9"/>
  <c r="X567" i="9"/>
  <c r="W567" i="9"/>
  <c r="P567" i="9"/>
  <c r="T566" i="9"/>
  <c r="V566" i="9"/>
  <c r="S568" i="9"/>
  <c r="N568" i="9"/>
  <c r="A535" i="25"/>
  <c r="D535" i="25"/>
  <c r="B532" i="29"/>
  <c r="B569" i="9"/>
  <c r="C569" i="9"/>
  <c r="X568" i="9"/>
  <c r="W568" i="9"/>
  <c r="P568" i="9"/>
  <c r="U567" i="9"/>
  <c r="R567" i="9"/>
  <c r="E531" i="29"/>
  <c r="D531" i="29"/>
  <c r="AC531" i="29"/>
  <c r="Q567" i="9"/>
  <c r="E534" i="25"/>
  <c r="F534" i="25"/>
  <c r="I534" i="25"/>
  <c r="W534" i="25"/>
  <c r="U534" i="25"/>
  <c r="K534" i="25"/>
  <c r="G534" i="25"/>
  <c r="V534" i="25"/>
  <c r="H534" i="25"/>
  <c r="T534" i="25"/>
  <c r="AD530" i="29"/>
  <c r="F530" i="29"/>
  <c r="AE530" i="29"/>
  <c r="T567" i="9"/>
  <c r="V567" i="9"/>
  <c r="AD531" i="29"/>
  <c r="F531" i="29"/>
  <c r="AE531" i="29"/>
  <c r="E532" i="29"/>
  <c r="D532" i="29"/>
  <c r="AC532" i="29"/>
  <c r="G535" i="25"/>
  <c r="V535" i="25"/>
  <c r="H535" i="25"/>
  <c r="F535" i="25"/>
  <c r="I535" i="25"/>
  <c r="W535" i="25"/>
  <c r="E535" i="25"/>
  <c r="U535" i="25"/>
  <c r="K535" i="25"/>
  <c r="T535" i="25"/>
  <c r="S569" i="9"/>
  <c r="N569" i="9"/>
  <c r="U568" i="9"/>
  <c r="R568" i="9"/>
  <c r="A536" i="25"/>
  <c r="D536" i="25"/>
  <c r="B533" i="29"/>
  <c r="C570" i="9"/>
  <c r="B570" i="9"/>
  <c r="X569" i="9"/>
  <c r="P569" i="9"/>
  <c r="W569" i="9"/>
  <c r="Q568" i="9"/>
  <c r="T568" i="9"/>
  <c r="V568" i="9"/>
  <c r="U569" i="9"/>
  <c r="R569" i="9"/>
  <c r="D533" i="29"/>
  <c r="AC533" i="29"/>
  <c r="E533" i="29"/>
  <c r="AD532" i="29"/>
  <c r="F532" i="29"/>
  <c r="AE532" i="29"/>
  <c r="U536" i="25"/>
  <c r="K536" i="25"/>
  <c r="F536" i="25"/>
  <c r="H536" i="25"/>
  <c r="G536" i="25"/>
  <c r="V536" i="25"/>
  <c r="E536" i="25"/>
  <c r="I536" i="25"/>
  <c r="W536" i="25"/>
  <c r="T536" i="25"/>
  <c r="A537" i="25"/>
  <c r="D537" i="25"/>
  <c r="B534" i="29"/>
  <c r="B571" i="9"/>
  <c r="C571" i="9"/>
  <c r="X570" i="9"/>
  <c r="P570" i="9"/>
  <c r="Q570" i="9"/>
  <c r="W570" i="9"/>
  <c r="Q569" i="9"/>
  <c r="S570" i="9"/>
  <c r="N570" i="9"/>
  <c r="T569" i="9"/>
  <c r="V569" i="9"/>
  <c r="G537" i="25"/>
  <c r="V537" i="25"/>
  <c r="H537" i="25"/>
  <c r="F537" i="25"/>
  <c r="E537" i="25"/>
  <c r="I537" i="25"/>
  <c r="W537" i="25"/>
  <c r="U537" i="25"/>
  <c r="K537" i="25"/>
  <c r="T537" i="25"/>
  <c r="A538" i="25"/>
  <c r="D538" i="25"/>
  <c r="B535" i="29"/>
  <c r="C572" i="9"/>
  <c r="B572" i="9"/>
  <c r="X571" i="9"/>
  <c r="P571" i="9"/>
  <c r="Q571" i="9"/>
  <c r="W571" i="9"/>
  <c r="U570" i="9"/>
  <c r="R570" i="9"/>
  <c r="D534" i="29"/>
  <c r="AC534" i="29"/>
  <c r="E534" i="29"/>
  <c r="S571" i="9"/>
  <c r="N571" i="9"/>
  <c r="F533" i="29"/>
  <c r="AE533" i="29"/>
  <c r="AD533" i="29"/>
  <c r="T570" i="9"/>
  <c r="V570" i="9"/>
  <c r="U571" i="9"/>
  <c r="R571" i="9"/>
  <c r="D535" i="29"/>
  <c r="AC535" i="29"/>
  <c r="E535" i="29"/>
  <c r="G538" i="25"/>
  <c r="V538" i="25"/>
  <c r="E538" i="25"/>
  <c r="H538" i="25"/>
  <c r="I538" i="25"/>
  <c r="W538" i="25"/>
  <c r="F538" i="25"/>
  <c r="U538" i="25"/>
  <c r="K538" i="25"/>
  <c r="T538" i="25"/>
  <c r="A539" i="25"/>
  <c r="D539" i="25"/>
  <c r="B536" i="29"/>
  <c r="B573" i="9"/>
  <c r="C573" i="9"/>
  <c r="X572" i="9"/>
  <c r="W572" i="9"/>
  <c r="P572" i="9"/>
  <c r="Q572" i="9"/>
  <c r="AD534" i="29"/>
  <c r="F534" i="29"/>
  <c r="AE534" i="29"/>
  <c r="S572" i="9"/>
  <c r="N572" i="9"/>
  <c r="T571" i="9"/>
  <c r="V571" i="9"/>
  <c r="S573" i="9"/>
  <c r="N573" i="9"/>
  <c r="U572" i="9"/>
  <c r="R572" i="9"/>
  <c r="A540" i="25"/>
  <c r="D540" i="25"/>
  <c r="B537" i="29"/>
  <c r="C574" i="9"/>
  <c r="B574" i="9"/>
  <c r="X573" i="9"/>
  <c r="W573" i="9"/>
  <c r="P573" i="9"/>
  <c r="Q573" i="9"/>
  <c r="E536" i="29"/>
  <c r="D536" i="29"/>
  <c r="AC536" i="29"/>
  <c r="I539" i="25"/>
  <c r="W539" i="25"/>
  <c r="H539" i="25"/>
  <c r="G539" i="25"/>
  <c r="V539" i="25"/>
  <c r="U539" i="25"/>
  <c r="K539" i="25"/>
  <c r="F539" i="25"/>
  <c r="E539" i="25"/>
  <c r="T539" i="25"/>
  <c r="AD535" i="29"/>
  <c r="F535" i="29"/>
  <c r="AE535" i="29"/>
  <c r="T572" i="9"/>
  <c r="V572" i="9"/>
  <c r="F536" i="29"/>
  <c r="AE536" i="29"/>
  <c r="AD536" i="29"/>
  <c r="G540" i="25"/>
  <c r="V540" i="25"/>
  <c r="E540" i="25"/>
  <c r="U540" i="25"/>
  <c r="K540" i="25"/>
  <c r="H540" i="25"/>
  <c r="F540" i="25"/>
  <c r="I540" i="25"/>
  <c r="W540" i="25"/>
  <c r="T540" i="25"/>
  <c r="A541" i="25"/>
  <c r="D541" i="25"/>
  <c r="B538" i="29"/>
  <c r="B575" i="9"/>
  <c r="C575" i="9"/>
  <c r="X574" i="9"/>
  <c r="W574" i="9"/>
  <c r="P574" i="9"/>
  <c r="U573" i="9"/>
  <c r="R573" i="9"/>
  <c r="S574" i="9"/>
  <c r="N574" i="9"/>
  <c r="E537" i="29"/>
  <c r="D537" i="29"/>
  <c r="AC537" i="29"/>
  <c r="T573" i="9"/>
  <c r="V573" i="9"/>
  <c r="S575" i="9"/>
  <c r="N575" i="9"/>
  <c r="U574" i="9"/>
  <c r="R574" i="9"/>
  <c r="A542" i="25"/>
  <c r="D542" i="25"/>
  <c r="B539" i="29"/>
  <c r="C576" i="9"/>
  <c r="B576" i="9"/>
  <c r="X575" i="9"/>
  <c r="P575" i="9"/>
  <c r="Q575" i="9"/>
  <c r="W575" i="9"/>
  <c r="Q574" i="9"/>
  <c r="E538" i="29"/>
  <c r="D538" i="29"/>
  <c r="AC538" i="29"/>
  <c r="AD537" i="29"/>
  <c r="F537" i="29"/>
  <c r="AE537" i="29"/>
  <c r="U541" i="25"/>
  <c r="K541" i="25"/>
  <c r="G541" i="25"/>
  <c r="V541" i="25"/>
  <c r="H541" i="25"/>
  <c r="E541" i="25"/>
  <c r="F541" i="25"/>
  <c r="I541" i="25"/>
  <c r="W541" i="25"/>
  <c r="T541" i="25"/>
  <c r="T574" i="9"/>
  <c r="V574" i="9"/>
  <c r="E542" i="25"/>
  <c r="U542" i="25"/>
  <c r="K542" i="25"/>
  <c r="F542" i="25"/>
  <c r="I542" i="25"/>
  <c r="W542" i="25"/>
  <c r="G542" i="25"/>
  <c r="V542" i="25"/>
  <c r="H542" i="25"/>
  <c r="T542" i="25"/>
  <c r="A543" i="25"/>
  <c r="D543" i="25"/>
  <c r="B540" i="29"/>
  <c r="B577" i="9"/>
  <c r="C577" i="9"/>
  <c r="X576" i="9"/>
  <c r="W576" i="9"/>
  <c r="P576" i="9"/>
  <c r="Q576" i="9"/>
  <c r="S576" i="9"/>
  <c r="N576" i="9"/>
  <c r="AD538" i="29"/>
  <c r="F538" i="29"/>
  <c r="AE538" i="29"/>
  <c r="U575" i="9"/>
  <c r="R575" i="9"/>
  <c r="E539" i="29"/>
  <c r="D539" i="29"/>
  <c r="AC539" i="29"/>
  <c r="T575" i="9"/>
  <c r="V575" i="9"/>
  <c r="D540" i="29"/>
  <c r="AC540" i="29"/>
  <c r="E540" i="29"/>
  <c r="G543" i="25"/>
  <c r="V543" i="25"/>
  <c r="F543" i="25"/>
  <c r="U543" i="25"/>
  <c r="K543" i="25"/>
  <c r="H543" i="25"/>
  <c r="I543" i="25"/>
  <c r="W543" i="25"/>
  <c r="E543" i="25"/>
  <c r="T543" i="25"/>
  <c r="S577" i="9"/>
  <c r="N577" i="9"/>
  <c r="F539" i="29"/>
  <c r="AE539" i="29"/>
  <c r="AD539" i="29"/>
  <c r="U576" i="9"/>
  <c r="R576" i="9"/>
  <c r="A544" i="25"/>
  <c r="D544" i="25"/>
  <c r="B541" i="29"/>
  <c r="C578" i="9"/>
  <c r="B578" i="9"/>
  <c r="X577" i="9"/>
  <c r="P577" i="9"/>
  <c r="W577" i="9"/>
  <c r="T576" i="9"/>
  <c r="V576" i="9"/>
  <c r="U577" i="9"/>
  <c r="R577" i="9"/>
  <c r="E541" i="29"/>
  <c r="D541" i="29"/>
  <c r="AC541" i="29"/>
  <c r="Q577" i="9"/>
  <c r="H544" i="25"/>
  <c r="G544" i="25"/>
  <c r="V544" i="25"/>
  <c r="U544" i="25"/>
  <c r="K544" i="25"/>
  <c r="F544" i="25"/>
  <c r="E544" i="25"/>
  <c r="I544" i="25"/>
  <c r="W544" i="25"/>
  <c r="T544" i="25"/>
  <c r="AD540" i="29"/>
  <c r="F540" i="29"/>
  <c r="AE540" i="29"/>
  <c r="A545" i="25"/>
  <c r="D545" i="25"/>
  <c r="B542" i="29"/>
  <c r="B579" i="9"/>
  <c r="C579" i="9"/>
  <c r="X578" i="9"/>
  <c r="P578" i="9"/>
  <c r="Q578" i="9"/>
  <c r="W578" i="9"/>
  <c r="S578" i="9"/>
  <c r="N578" i="9"/>
  <c r="T577" i="9"/>
  <c r="V577" i="9"/>
  <c r="A546" i="25"/>
  <c r="D546" i="25"/>
  <c r="B543" i="29"/>
  <c r="C580" i="9"/>
  <c r="B580" i="9"/>
  <c r="X579" i="9"/>
  <c r="W579" i="9"/>
  <c r="P579" i="9"/>
  <c r="Q579" i="9"/>
  <c r="U578" i="9"/>
  <c r="R578" i="9"/>
  <c r="E542" i="29"/>
  <c r="D542" i="29"/>
  <c r="AC542" i="29"/>
  <c r="H545" i="25"/>
  <c r="G545" i="25"/>
  <c r="V545" i="25"/>
  <c r="F545" i="25"/>
  <c r="U545" i="25"/>
  <c r="K545" i="25"/>
  <c r="I545" i="25"/>
  <c r="W545" i="25"/>
  <c r="E545" i="25"/>
  <c r="T545" i="25"/>
  <c r="AD541" i="29"/>
  <c r="F541" i="29"/>
  <c r="AE541" i="29"/>
  <c r="S579" i="9"/>
  <c r="N579" i="9"/>
  <c r="T578" i="9"/>
  <c r="V578" i="9"/>
  <c r="D543" i="29"/>
  <c r="AC543" i="29"/>
  <c r="E543" i="29"/>
  <c r="AD542" i="29"/>
  <c r="F542" i="29"/>
  <c r="AE542" i="29"/>
  <c r="G546" i="25"/>
  <c r="V546" i="25"/>
  <c r="E546" i="25"/>
  <c r="H546" i="25"/>
  <c r="I546" i="25"/>
  <c r="W546" i="25"/>
  <c r="F546" i="25"/>
  <c r="U546" i="25"/>
  <c r="K546" i="25"/>
  <c r="T546" i="25"/>
  <c r="A547" i="25"/>
  <c r="D547" i="25"/>
  <c r="B544" i="29"/>
  <c r="B581" i="9"/>
  <c r="C581" i="9"/>
  <c r="X580" i="9"/>
  <c r="W580" i="9"/>
  <c r="P580" i="9"/>
  <c r="Q580" i="9"/>
  <c r="U579" i="9"/>
  <c r="R579" i="9"/>
  <c r="S580" i="9"/>
  <c r="N580" i="9"/>
  <c r="T579" i="9"/>
  <c r="V579" i="9"/>
  <c r="S581" i="9"/>
  <c r="N581" i="9"/>
  <c r="F543" i="29"/>
  <c r="AE543" i="29"/>
  <c r="AD543" i="29"/>
  <c r="U580" i="9"/>
  <c r="R580" i="9"/>
  <c r="A548" i="25"/>
  <c r="D548" i="25"/>
  <c r="B545" i="29"/>
  <c r="C582" i="9"/>
  <c r="B582" i="9"/>
  <c r="X581" i="9"/>
  <c r="P581" i="9"/>
  <c r="W581" i="9"/>
  <c r="D544" i="29"/>
  <c r="AC544" i="29"/>
  <c r="E544" i="29"/>
  <c r="H547" i="25"/>
  <c r="F547" i="25"/>
  <c r="U547" i="25"/>
  <c r="K547" i="25"/>
  <c r="G547" i="25"/>
  <c r="V547" i="25"/>
  <c r="I547" i="25"/>
  <c r="W547" i="25"/>
  <c r="E547" i="25"/>
  <c r="T547" i="25"/>
  <c r="T580" i="9"/>
  <c r="V580" i="9"/>
  <c r="U581" i="9"/>
  <c r="R581" i="9"/>
  <c r="E545" i="29"/>
  <c r="D545" i="29"/>
  <c r="AC545" i="29"/>
  <c r="F544" i="29"/>
  <c r="AE544" i="29"/>
  <c r="AD544" i="29"/>
  <c r="E548" i="25"/>
  <c r="G548" i="25"/>
  <c r="V548" i="25"/>
  <c r="H548" i="25"/>
  <c r="U548" i="25"/>
  <c r="K548" i="25"/>
  <c r="F548" i="25"/>
  <c r="I548" i="25"/>
  <c r="W548" i="25"/>
  <c r="T548" i="25"/>
  <c r="A549" i="25"/>
  <c r="D549" i="25"/>
  <c r="B546" i="29"/>
  <c r="B583" i="9"/>
  <c r="C583" i="9"/>
  <c r="X582" i="9"/>
  <c r="W582" i="9"/>
  <c r="P582" i="9"/>
  <c r="Q582" i="9"/>
  <c r="S582" i="9"/>
  <c r="N582" i="9"/>
  <c r="Q581" i="9"/>
  <c r="T581" i="9"/>
  <c r="V581" i="9"/>
  <c r="D546" i="29"/>
  <c r="AC546" i="29"/>
  <c r="E546" i="29"/>
  <c r="AD545" i="29"/>
  <c r="F545" i="29"/>
  <c r="AE545" i="29"/>
  <c r="G549" i="25"/>
  <c r="V549" i="25"/>
  <c r="H549" i="25"/>
  <c r="U549" i="25"/>
  <c r="K549" i="25"/>
  <c r="E549" i="25"/>
  <c r="I549" i="25"/>
  <c r="W549" i="25"/>
  <c r="F549" i="25"/>
  <c r="T549" i="25"/>
  <c r="S583" i="9"/>
  <c r="N583" i="9"/>
  <c r="U582" i="9"/>
  <c r="R582" i="9"/>
  <c r="A550" i="25"/>
  <c r="D550" i="25"/>
  <c r="B547" i="29"/>
  <c r="C584" i="9"/>
  <c r="B584" i="9"/>
  <c r="X583" i="9"/>
  <c r="P583" i="9"/>
  <c r="W583" i="9"/>
  <c r="T582" i="9"/>
  <c r="V582" i="9"/>
  <c r="E550" i="25"/>
  <c r="H550" i="25"/>
  <c r="G550" i="25"/>
  <c r="V550" i="25"/>
  <c r="I550" i="25"/>
  <c r="W550" i="25"/>
  <c r="U550" i="25"/>
  <c r="K550" i="25"/>
  <c r="F550" i="25"/>
  <c r="T550" i="25"/>
  <c r="A551" i="25"/>
  <c r="D551" i="25"/>
  <c r="B548" i="29"/>
  <c r="B585" i="9"/>
  <c r="C585" i="9"/>
  <c r="X584" i="9"/>
  <c r="W584" i="9"/>
  <c r="P584" i="9"/>
  <c r="Q584" i="9"/>
  <c r="S584" i="9"/>
  <c r="N584" i="9"/>
  <c r="F546" i="29"/>
  <c r="AE546" i="29"/>
  <c r="AD546" i="29"/>
  <c r="U583" i="9"/>
  <c r="R583" i="9"/>
  <c r="E547" i="29"/>
  <c r="D547" i="29"/>
  <c r="AC547" i="29"/>
  <c r="Q583" i="9"/>
  <c r="T583" i="9"/>
  <c r="V583" i="9"/>
  <c r="D548" i="29"/>
  <c r="AC548" i="29"/>
  <c r="E548" i="29"/>
  <c r="F551" i="25"/>
  <c r="H551" i="25"/>
  <c r="G551" i="25"/>
  <c r="V551" i="25"/>
  <c r="U551" i="25"/>
  <c r="K551" i="25"/>
  <c r="I551" i="25"/>
  <c r="W551" i="25"/>
  <c r="E551" i="25"/>
  <c r="T551" i="25"/>
  <c r="AD547" i="29"/>
  <c r="F547" i="29"/>
  <c r="AE547" i="29"/>
  <c r="S585" i="9"/>
  <c r="N585" i="9"/>
  <c r="U584" i="9"/>
  <c r="R584" i="9"/>
  <c r="A552" i="25"/>
  <c r="D552" i="25"/>
  <c r="B549" i="29"/>
  <c r="C586" i="9"/>
  <c r="B586" i="9"/>
  <c r="X585" i="9"/>
  <c r="P585" i="9"/>
  <c r="W585" i="9"/>
  <c r="T584" i="9"/>
  <c r="V584" i="9"/>
  <c r="A553" i="25"/>
  <c r="D553" i="25"/>
  <c r="B550" i="29"/>
  <c r="B587" i="9"/>
  <c r="C587" i="9"/>
  <c r="X586" i="9"/>
  <c r="P586" i="9"/>
  <c r="Q586" i="9"/>
  <c r="W586" i="9"/>
  <c r="S586" i="9"/>
  <c r="N586" i="9"/>
  <c r="AD548" i="29"/>
  <c r="F548" i="29"/>
  <c r="AE548" i="29"/>
  <c r="U585" i="9"/>
  <c r="R585" i="9"/>
  <c r="E549" i="29"/>
  <c r="D549" i="29"/>
  <c r="AC549" i="29"/>
  <c r="Q585" i="9"/>
  <c r="H552" i="25"/>
  <c r="G552" i="25"/>
  <c r="V552" i="25"/>
  <c r="U552" i="25"/>
  <c r="K552" i="25"/>
  <c r="E552" i="25"/>
  <c r="F552" i="25"/>
  <c r="I552" i="25"/>
  <c r="W552" i="25"/>
  <c r="T552" i="25"/>
  <c r="T585" i="9"/>
  <c r="V585" i="9"/>
  <c r="U586" i="9"/>
  <c r="R586" i="9"/>
  <c r="E550" i="29"/>
  <c r="D550" i="29"/>
  <c r="AC550" i="29"/>
  <c r="F549" i="29"/>
  <c r="AE549" i="29"/>
  <c r="AD549" i="29"/>
  <c r="G553" i="25"/>
  <c r="V553" i="25"/>
  <c r="H553" i="25"/>
  <c r="F553" i="25"/>
  <c r="I553" i="25"/>
  <c r="W553" i="25"/>
  <c r="E553" i="25"/>
  <c r="U553" i="25"/>
  <c r="K553" i="25"/>
  <c r="T553" i="25"/>
  <c r="S587" i="9"/>
  <c r="N587" i="9"/>
  <c r="A554" i="25"/>
  <c r="D554" i="25"/>
  <c r="B551" i="29"/>
  <c r="C588" i="9"/>
  <c r="B588" i="9"/>
  <c r="X587" i="9"/>
  <c r="W587" i="9"/>
  <c r="P587" i="9"/>
  <c r="Q587" i="9"/>
  <c r="T586" i="9"/>
  <c r="V586" i="9"/>
  <c r="S588" i="9"/>
  <c r="N588" i="9"/>
  <c r="AD550" i="29"/>
  <c r="F550" i="29"/>
  <c r="AE550" i="29"/>
  <c r="U587" i="9"/>
  <c r="R587" i="9"/>
  <c r="A555" i="25"/>
  <c r="D555" i="25"/>
  <c r="B552" i="29"/>
  <c r="B589" i="9"/>
  <c r="C589" i="9"/>
  <c r="X588" i="9"/>
  <c r="W588" i="9"/>
  <c r="P588" i="9"/>
  <c r="D551" i="29"/>
  <c r="AC551" i="29"/>
  <c r="E551" i="29"/>
  <c r="G554" i="25"/>
  <c r="V554" i="25"/>
  <c r="H554" i="25"/>
  <c r="E554" i="25"/>
  <c r="I554" i="25"/>
  <c r="W554" i="25"/>
  <c r="F554" i="25"/>
  <c r="U554" i="25"/>
  <c r="K554" i="25"/>
  <c r="T554" i="25"/>
  <c r="T587" i="9"/>
  <c r="V587" i="9"/>
  <c r="U588" i="9"/>
  <c r="R588" i="9"/>
  <c r="A556" i="25"/>
  <c r="D556" i="25"/>
  <c r="B553" i="29"/>
  <c r="C590" i="9"/>
  <c r="B590" i="9"/>
  <c r="X589" i="9"/>
  <c r="P589" i="9"/>
  <c r="Q589" i="9"/>
  <c r="W589" i="9"/>
  <c r="E552" i="29"/>
  <c r="D552" i="29"/>
  <c r="AC552" i="29"/>
  <c r="F551" i="29"/>
  <c r="AE551" i="29"/>
  <c r="AD551" i="29"/>
  <c r="H555" i="25"/>
  <c r="G555" i="25"/>
  <c r="V555" i="25"/>
  <c r="F555" i="25"/>
  <c r="I555" i="25"/>
  <c r="W555" i="25"/>
  <c r="E555" i="25"/>
  <c r="U555" i="25"/>
  <c r="K555" i="25"/>
  <c r="T555" i="25"/>
  <c r="Q588" i="9"/>
  <c r="S589" i="9"/>
  <c r="N589" i="9"/>
  <c r="T588" i="9"/>
  <c r="V588" i="9"/>
  <c r="AD552" i="29"/>
  <c r="F552" i="29"/>
  <c r="AE552" i="29"/>
  <c r="H556" i="25"/>
  <c r="G556" i="25"/>
  <c r="V556" i="25"/>
  <c r="U556" i="25"/>
  <c r="K556" i="25"/>
  <c r="F556" i="25"/>
  <c r="E556" i="25"/>
  <c r="I556" i="25"/>
  <c r="W556" i="25"/>
  <c r="T556" i="25"/>
  <c r="A557" i="25"/>
  <c r="D557" i="25"/>
  <c r="B554" i="29"/>
  <c r="B591" i="9"/>
  <c r="C591" i="9"/>
  <c r="X590" i="9"/>
  <c r="W590" i="9"/>
  <c r="P590" i="9"/>
  <c r="Q590" i="9"/>
  <c r="S590" i="9"/>
  <c r="N590" i="9"/>
  <c r="U589" i="9"/>
  <c r="R589" i="9"/>
  <c r="E553" i="29"/>
  <c r="D553" i="29"/>
  <c r="AC553" i="29"/>
  <c r="T589" i="9"/>
  <c r="V589" i="9"/>
  <c r="D554" i="29"/>
  <c r="AC554" i="29"/>
  <c r="E554" i="29"/>
  <c r="F553" i="29"/>
  <c r="AE553" i="29"/>
  <c r="AD553" i="29"/>
  <c r="G557" i="25"/>
  <c r="V557" i="25"/>
  <c r="H557" i="25"/>
  <c r="U557" i="25"/>
  <c r="K557" i="25"/>
  <c r="F557" i="25"/>
  <c r="E557" i="25"/>
  <c r="I557" i="25"/>
  <c r="W557" i="25"/>
  <c r="T557" i="25"/>
  <c r="S591" i="9"/>
  <c r="N591" i="9"/>
  <c r="U590" i="9"/>
  <c r="R590" i="9"/>
  <c r="A558" i="25"/>
  <c r="D558" i="25"/>
  <c r="B555" i="29"/>
  <c r="C592" i="9"/>
  <c r="B592" i="9"/>
  <c r="X591" i="9"/>
  <c r="P591" i="9"/>
  <c r="W591" i="9"/>
  <c r="T590" i="9"/>
  <c r="V590" i="9"/>
  <c r="U591" i="9"/>
  <c r="R591" i="9"/>
  <c r="D555" i="29"/>
  <c r="AC555" i="29"/>
  <c r="E555" i="29"/>
  <c r="F554" i="29"/>
  <c r="AE554" i="29"/>
  <c r="AD554" i="29"/>
  <c r="E558" i="25"/>
  <c r="H558" i="25"/>
  <c r="G558" i="25"/>
  <c r="V558" i="25"/>
  <c r="F558" i="25"/>
  <c r="U558" i="25"/>
  <c r="K558" i="25"/>
  <c r="I558" i="25"/>
  <c r="W558" i="25"/>
  <c r="T558" i="25"/>
  <c r="A559" i="25"/>
  <c r="D559" i="25"/>
  <c r="B556" i="29"/>
  <c r="B593" i="9"/>
  <c r="C593" i="9"/>
  <c r="X592" i="9"/>
  <c r="W592" i="9"/>
  <c r="P592" i="9"/>
  <c r="Q592" i="9"/>
  <c r="Q591" i="9"/>
  <c r="S592" i="9"/>
  <c r="N592" i="9"/>
  <c r="T591" i="9"/>
  <c r="V591" i="9"/>
  <c r="D556" i="29"/>
  <c r="AC556" i="29"/>
  <c r="E556" i="29"/>
  <c r="G559" i="25"/>
  <c r="V559" i="25"/>
  <c r="F559" i="25"/>
  <c r="H559" i="25"/>
  <c r="U559" i="25"/>
  <c r="K559" i="25"/>
  <c r="I559" i="25"/>
  <c r="W559" i="25"/>
  <c r="E559" i="25"/>
  <c r="T559" i="25"/>
  <c r="S593" i="9"/>
  <c r="N593" i="9"/>
  <c r="F555" i="29"/>
  <c r="AE555" i="29"/>
  <c r="AD555" i="29"/>
  <c r="U592" i="9"/>
  <c r="R592" i="9"/>
  <c r="A560" i="25"/>
  <c r="D560" i="25"/>
  <c r="B557" i="29"/>
  <c r="C594" i="9"/>
  <c r="B594" i="9"/>
  <c r="X593" i="9"/>
  <c r="P593" i="9"/>
  <c r="W593" i="9"/>
  <c r="T592" i="9"/>
  <c r="V592" i="9"/>
  <c r="S594" i="9"/>
  <c r="N594" i="9"/>
  <c r="U593" i="9"/>
  <c r="R593" i="9"/>
  <c r="D557" i="29"/>
  <c r="AC557" i="29"/>
  <c r="E557" i="29"/>
  <c r="AD556" i="29"/>
  <c r="F556" i="29"/>
  <c r="AE556" i="29"/>
  <c r="H560" i="25"/>
  <c r="G560" i="25"/>
  <c r="V560" i="25"/>
  <c r="U560" i="25"/>
  <c r="K560" i="25"/>
  <c r="E560" i="25"/>
  <c r="F560" i="25"/>
  <c r="I560" i="25"/>
  <c r="W560" i="25"/>
  <c r="T560" i="25"/>
  <c r="Q593" i="9"/>
  <c r="A561" i="25"/>
  <c r="D561" i="25"/>
  <c r="B558" i="29"/>
  <c r="B595" i="9"/>
  <c r="C595" i="9"/>
  <c r="X594" i="9"/>
  <c r="P594" i="9"/>
  <c r="W594" i="9"/>
  <c r="T593" i="9"/>
  <c r="V593" i="9"/>
  <c r="U594" i="9"/>
  <c r="R594" i="9"/>
  <c r="E558" i="29"/>
  <c r="D558" i="29"/>
  <c r="AC558" i="29"/>
  <c r="F557" i="29"/>
  <c r="AE557" i="29"/>
  <c r="AD557" i="29"/>
  <c r="Q594" i="9"/>
  <c r="H561" i="25"/>
  <c r="G561" i="25"/>
  <c r="V561" i="25"/>
  <c r="U561" i="25"/>
  <c r="K561" i="25"/>
  <c r="F561" i="25"/>
  <c r="I561" i="25"/>
  <c r="W561" i="25"/>
  <c r="E561" i="25"/>
  <c r="T561" i="25"/>
  <c r="S595" i="9"/>
  <c r="N595" i="9"/>
  <c r="A562" i="25"/>
  <c r="D562" i="25"/>
  <c r="B559" i="29"/>
  <c r="C596" i="9"/>
  <c r="B596" i="9"/>
  <c r="X595" i="9"/>
  <c r="P595" i="9"/>
  <c r="W595" i="9"/>
  <c r="T594" i="9"/>
  <c r="V594" i="9"/>
  <c r="U595" i="9"/>
  <c r="R595" i="9"/>
  <c r="D559" i="29"/>
  <c r="AC559" i="29"/>
  <c r="E559" i="29"/>
  <c r="Q595" i="9"/>
  <c r="E562" i="25"/>
  <c r="H562" i="25"/>
  <c r="G562" i="25"/>
  <c r="V562" i="25"/>
  <c r="I562" i="25"/>
  <c r="W562" i="25"/>
  <c r="F562" i="25"/>
  <c r="U562" i="25"/>
  <c r="K562" i="25"/>
  <c r="T562" i="25"/>
  <c r="A563" i="25"/>
  <c r="D563" i="25"/>
  <c r="B560" i="29"/>
  <c r="B597" i="9"/>
  <c r="C597" i="9"/>
  <c r="X596" i="9"/>
  <c r="W596" i="9"/>
  <c r="P596" i="9"/>
  <c r="Q596" i="9"/>
  <c r="S596" i="9"/>
  <c r="N596" i="9"/>
  <c r="AD558" i="29"/>
  <c r="F558" i="29"/>
  <c r="AE558" i="29"/>
  <c r="T595" i="9"/>
  <c r="V595" i="9"/>
  <c r="S597" i="9"/>
  <c r="N597" i="9"/>
  <c r="U596" i="9"/>
  <c r="R596" i="9"/>
  <c r="A564" i="25"/>
  <c r="D564" i="25"/>
  <c r="B561" i="29"/>
  <c r="C598" i="9"/>
  <c r="B598" i="9"/>
  <c r="X597" i="9"/>
  <c r="P597" i="9"/>
  <c r="W597" i="9"/>
  <c r="E560" i="29"/>
  <c r="D560" i="29"/>
  <c r="AC560" i="29"/>
  <c r="I563" i="25"/>
  <c r="W563" i="25"/>
  <c r="F563" i="25"/>
  <c r="U563" i="25"/>
  <c r="K563" i="25"/>
  <c r="H563" i="25"/>
  <c r="G563" i="25"/>
  <c r="V563" i="25"/>
  <c r="E563" i="25"/>
  <c r="T563" i="25"/>
  <c r="AD559" i="29"/>
  <c r="F559" i="29"/>
  <c r="AE559" i="29"/>
  <c r="T596" i="9"/>
  <c r="V596" i="9"/>
  <c r="F560" i="29"/>
  <c r="AE560" i="29"/>
  <c r="AD560" i="29"/>
  <c r="U597" i="9"/>
  <c r="R597" i="9"/>
  <c r="E561" i="29"/>
  <c r="D561" i="29"/>
  <c r="AC561" i="29"/>
  <c r="Q597" i="9"/>
  <c r="G564" i="25"/>
  <c r="V564" i="25"/>
  <c r="H564" i="25"/>
  <c r="U564" i="25"/>
  <c r="K564" i="25"/>
  <c r="F564" i="25"/>
  <c r="E564" i="25"/>
  <c r="I564" i="25"/>
  <c r="W564" i="25"/>
  <c r="T564" i="25"/>
  <c r="A565" i="25"/>
  <c r="D565" i="25"/>
  <c r="B562" i="29"/>
  <c r="B599" i="9"/>
  <c r="C599" i="9"/>
  <c r="X598" i="9"/>
  <c r="W598" i="9"/>
  <c r="P598" i="9"/>
  <c r="S598" i="9"/>
  <c r="N598" i="9"/>
  <c r="T597" i="9"/>
  <c r="V597" i="9"/>
  <c r="U598" i="9"/>
  <c r="R598" i="9"/>
  <c r="A566" i="25"/>
  <c r="D566" i="25"/>
  <c r="B563" i="29"/>
  <c r="C600" i="9"/>
  <c r="B600" i="9"/>
  <c r="X599" i="9"/>
  <c r="W599" i="9"/>
  <c r="P599" i="9"/>
  <c r="Q599" i="9"/>
  <c r="Q598" i="9"/>
  <c r="E562" i="29"/>
  <c r="D562" i="29"/>
  <c r="AC562" i="29"/>
  <c r="G565" i="25"/>
  <c r="V565" i="25"/>
  <c r="H565" i="25"/>
  <c r="U565" i="25"/>
  <c r="K565" i="25"/>
  <c r="E565" i="25"/>
  <c r="F565" i="25"/>
  <c r="I565" i="25"/>
  <c r="W565" i="25"/>
  <c r="T565" i="25"/>
  <c r="AD561" i="29"/>
  <c r="F561" i="29"/>
  <c r="AE561" i="29"/>
  <c r="S599" i="9"/>
  <c r="N599" i="9"/>
  <c r="T598" i="9"/>
  <c r="V598" i="9"/>
  <c r="G566" i="25"/>
  <c r="V566" i="25"/>
  <c r="E566" i="25"/>
  <c r="H566" i="25"/>
  <c r="I566" i="25"/>
  <c r="W566" i="25"/>
  <c r="F566" i="25"/>
  <c r="U566" i="25"/>
  <c r="K566" i="25"/>
  <c r="T566" i="25"/>
  <c r="A567" i="25"/>
  <c r="D567" i="25"/>
  <c r="B564" i="29"/>
  <c r="B601" i="9"/>
  <c r="C601" i="9"/>
  <c r="X600" i="9"/>
  <c r="W600" i="9"/>
  <c r="P600" i="9"/>
  <c r="F562" i="29"/>
  <c r="AE562" i="29"/>
  <c r="AD562" i="29"/>
  <c r="U599" i="9"/>
  <c r="R599" i="9"/>
  <c r="S600" i="9"/>
  <c r="N600" i="9"/>
  <c r="E563" i="29"/>
  <c r="D563" i="29"/>
  <c r="AC563" i="29"/>
  <c r="T599" i="9"/>
  <c r="V599" i="9"/>
  <c r="G567" i="25"/>
  <c r="V567" i="25"/>
  <c r="F567" i="25"/>
  <c r="H567" i="25"/>
  <c r="U567" i="25"/>
  <c r="K567" i="25"/>
  <c r="I567" i="25"/>
  <c r="W567" i="25"/>
  <c r="E567" i="25"/>
  <c r="T567" i="25"/>
  <c r="AD563" i="29"/>
  <c r="F563" i="29"/>
  <c r="AE563" i="29"/>
  <c r="S601" i="9"/>
  <c r="N601" i="9"/>
  <c r="U600" i="9"/>
  <c r="R600" i="9"/>
  <c r="A568" i="25"/>
  <c r="D568" i="25"/>
  <c r="B565" i="29"/>
  <c r="C602" i="9"/>
  <c r="B602" i="9"/>
  <c r="X601" i="9"/>
  <c r="P601" i="9"/>
  <c r="W601" i="9"/>
  <c r="Q600" i="9"/>
  <c r="D564" i="29"/>
  <c r="AC564" i="29"/>
  <c r="E564" i="29"/>
  <c r="T600" i="9"/>
  <c r="V600" i="9"/>
  <c r="S602" i="9"/>
  <c r="N602" i="9"/>
  <c r="U601" i="9"/>
  <c r="R601" i="9"/>
  <c r="E565" i="29"/>
  <c r="D565" i="29"/>
  <c r="AC565" i="29"/>
  <c r="F564" i="29"/>
  <c r="AE564" i="29"/>
  <c r="AD564" i="29"/>
  <c r="G568" i="25"/>
  <c r="V568" i="25"/>
  <c r="H568" i="25"/>
  <c r="U568" i="25"/>
  <c r="K568" i="25"/>
  <c r="E568" i="25"/>
  <c r="F568" i="25"/>
  <c r="I568" i="25"/>
  <c r="W568" i="25"/>
  <c r="T568" i="25"/>
  <c r="Q601" i="9"/>
  <c r="A569" i="25"/>
  <c r="D569" i="25"/>
  <c r="B566" i="29"/>
  <c r="B603" i="9"/>
  <c r="C603" i="9"/>
  <c r="X602" i="9"/>
  <c r="P602" i="9"/>
  <c r="Q602" i="9"/>
  <c r="W602" i="9"/>
  <c r="T601" i="9"/>
  <c r="V601" i="9"/>
  <c r="A570" i="25"/>
  <c r="D570" i="25"/>
  <c r="B567" i="29"/>
  <c r="C604" i="9"/>
  <c r="B604" i="9"/>
  <c r="X603" i="9"/>
  <c r="P603" i="9"/>
  <c r="Q603" i="9"/>
  <c r="W603" i="9"/>
  <c r="U602" i="9"/>
  <c r="R602" i="9"/>
  <c r="E566" i="29"/>
  <c r="D566" i="29"/>
  <c r="AC566" i="29"/>
  <c r="AD565" i="29"/>
  <c r="F565" i="29"/>
  <c r="AE565" i="29"/>
  <c r="G569" i="25"/>
  <c r="V569" i="25"/>
  <c r="H569" i="25"/>
  <c r="F569" i="25"/>
  <c r="E569" i="25"/>
  <c r="I569" i="25"/>
  <c r="W569" i="25"/>
  <c r="U569" i="25"/>
  <c r="K569" i="25"/>
  <c r="T569" i="25"/>
  <c r="S603" i="9"/>
  <c r="N603" i="9"/>
  <c r="T602" i="9"/>
  <c r="V602" i="9"/>
  <c r="S604" i="9"/>
  <c r="N604" i="9"/>
  <c r="U603" i="9"/>
  <c r="R603" i="9"/>
  <c r="D567" i="29"/>
  <c r="AC567" i="29"/>
  <c r="E567" i="29"/>
  <c r="E570" i="25"/>
  <c r="G570" i="25"/>
  <c r="V570" i="25"/>
  <c r="H570" i="25"/>
  <c r="I570" i="25"/>
  <c r="W570" i="25"/>
  <c r="F570" i="25"/>
  <c r="U570" i="25"/>
  <c r="K570" i="25"/>
  <c r="T570" i="25"/>
  <c r="AD566" i="29"/>
  <c r="F566" i="29"/>
  <c r="AE566" i="29"/>
  <c r="A571" i="25"/>
  <c r="D571" i="25"/>
  <c r="B568" i="29"/>
  <c r="B605" i="9"/>
  <c r="C605" i="9"/>
  <c r="X604" i="9"/>
  <c r="W604" i="9"/>
  <c r="P604" i="9"/>
  <c r="Q604" i="9"/>
  <c r="T603" i="9"/>
  <c r="V603" i="9"/>
  <c r="F567" i="29"/>
  <c r="AE567" i="29"/>
  <c r="AD567" i="29"/>
  <c r="S605" i="9"/>
  <c r="N605" i="9"/>
  <c r="U604" i="9"/>
  <c r="R604" i="9"/>
  <c r="A572" i="25"/>
  <c r="D572" i="25"/>
  <c r="B569" i="29"/>
  <c r="C606" i="9"/>
  <c r="B606" i="9"/>
  <c r="X605" i="9"/>
  <c r="W605" i="9"/>
  <c r="P605" i="9"/>
  <c r="E568" i="29"/>
  <c r="D568" i="29"/>
  <c r="AC568" i="29"/>
  <c r="H571" i="25"/>
  <c r="I571" i="25"/>
  <c r="W571" i="25"/>
  <c r="G571" i="25"/>
  <c r="V571" i="25"/>
  <c r="U571" i="25"/>
  <c r="K571" i="25"/>
  <c r="F571" i="25"/>
  <c r="E571" i="25"/>
  <c r="T571" i="25"/>
  <c r="T604" i="9"/>
  <c r="V604" i="9"/>
  <c r="U605" i="9"/>
  <c r="R605" i="9"/>
  <c r="S606" i="9"/>
  <c r="N606" i="9"/>
  <c r="E569" i="29"/>
  <c r="D569" i="29"/>
  <c r="AC569" i="29"/>
  <c r="Q605" i="9"/>
  <c r="E572" i="25"/>
  <c r="G572" i="25"/>
  <c r="V572" i="25"/>
  <c r="U572" i="25"/>
  <c r="K572" i="25"/>
  <c r="H572" i="25"/>
  <c r="F572" i="25"/>
  <c r="I572" i="25"/>
  <c r="W572" i="25"/>
  <c r="T572" i="25"/>
  <c r="AD568" i="29"/>
  <c r="F568" i="29"/>
  <c r="AE568" i="29"/>
  <c r="A573" i="25"/>
  <c r="D573" i="25"/>
  <c r="B570" i="29"/>
  <c r="B607" i="9"/>
  <c r="C607" i="9"/>
  <c r="X606" i="9"/>
  <c r="W606" i="9"/>
  <c r="P606" i="9"/>
  <c r="T605" i="9"/>
  <c r="V605" i="9"/>
  <c r="U573" i="25"/>
  <c r="K573" i="25"/>
  <c r="G573" i="25"/>
  <c r="V573" i="25"/>
  <c r="H573" i="25"/>
  <c r="E573" i="25"/>
  <c r="I573" i="25"/>
  <c r="W573" i="25"/>
  <c r="F573" i="25"/>
  <c r="T573" i="25"/>
  <c r="S607" i="9"/>
  <c r="N607" i="9"/>
  <c r="F569" i="29"/>
  <c r="AE569" i="29"/>
  <c r="AD569" i="29"/>
  <c r="U606" i="9"/>
  <c r="R606" i="9"/>
  <c r="A574" i="25"/>
  <c r="D574" i="25"/>
  <c r="B571" i="29"/>
  <c r="C608" i="9"/>
  <c r="B608" i="9"/>
  <c r="X607" i="9"/>
  <c r="P607" i="9"/>
  <c r="W607" i="9"/>
  <c r="Q606" i="9"/>
  <c r="E570" i="29"/>
  <c r="D570" i="29"/>
  <c r="AC570" i="29"/>
  <c r="T606" i="9"/>
  <c r="V606" i="9"/>
  <c r="F570" i="29"/>
  <c r="AE570" i="29"/>
  <c r="AD570" i="29"/>
  <c r="U607" i="9"/>
  <c r="R607" i="9"/>
  <c r="E571" i="29"/>
  <c r="D571" i="29"/>
  <c r="AC571" i="29"/>
  <c r="E574" i="25"/>
  <c r="G574" i="25"/>
  <c r="V574" i="25"/>
  <c r="U574" i="25"/>
  <c r="K574" i="25"/>
  <c r="F574" i="25"/>
  <c r="H574" i="25"/>
  <c r="I574" i="25"/>
  <c r="W574" i="25"/>
  <c r="T574" i="25"/>
  <c r="A575" i="25"/>
  <c r="D575" i="25"/>
  <c r="B572" i="29"/>
  <c r="B609" i="9"/>
  <c r="C609" i="9"/>
  <c r="X608" i="9"/>
  <c r="W608" i="9"/>
  <c r="P608" i="9"/>
  <c r="Q608" i="9"/>
  <c r="S608" i="9"/>
  <c r="N608" i="9"/>
  <c r="Q607" i="9"/>
  <c r="T607" i="9"/>
  <c r="V607" i="9"/>
  <c r="U608" i="9"/>
  <c r="R608" i="9"/>
  <c r="A576" i="25"/>
  <c r="D576" i="25"/>
  <c r="B573" i="29"/>
  <c r="C610" i="9"/>
  <c r="B610" i="9"/>
  <c r="X609" i="9"/>
  <c r="P609" i="9"/>
  <c r="Q609" i="9"/>
  <c r="W609" i="9"/>
  <c r="D572" i="29"/>
  <c r="AC572" i="29"/>
  <c r="E572" i="29"/>
  <c r="G575" i="25"/>
  <c r="V575" i="25"/>
  <c r="F575" i="25"/>
  <c r="U575" i="25"/>
  <c r="K575" i="25"/>
  <c r="H575" i="25"/>
  <c r="I575" i="25"/>
  <c r="W575" i="25"/>
  <c r="E575" i="25"/>
  <c r="T575" i="25"/>
  <c r="AD571" i="29"/>
  <c r="F571" i="29"/>
  <c r="AE571" i="29"/>
  <c r="S609" i="9"/>
  <c r="N609" i="9"/>
  <c r="T608" i="9"/>
  <c r="V608" i="9"/>
  <c r="H576" i="25"/>
  <c r="G576" i="25"/>
  <c r="V576" i="25"/>
  <c r="U576" i="25"/>
  <c r="K576" i="25"/>
  <c r="F576" i="25"/>
  <c r="E576" i="25"/>
  <c r="I576" i="25"/>
  <c r="W576" i="25"/>
  <c r="T576" i="25"/>
  <c r="A577" i="25"/>
  <c r="D577" i="25"/>
  <c r="B574" i="29"/>
  <c r="B611" i="9"/>
  <c r="C611" i="9"/>
  <c r="X610" i="9"/>
  <c r="P610" i="9"/>
  <c r="Q610" i="9"/>
  <c r="W610" i="9"/>
  <c r="AD572" i="29"/>
  <c r="F572" i="29"/>
  <c r="AE572" i="29"/>
  <c r="S610" i="9"/>
  <c r="N610" i="9"/>
  <c r="U609" i="9"/>
  <c r="R609" i="9"/>
  <c r="E573" i="29"/>
  <c r="D573" i="29"/>
  <c r="AC573" i="29"/>
  <c r="T609" i="9"/>
  <c r="V609" i="9"/>
  <c r="S611" i="9"/>
  <c r="N611" i="9"/>
  <c r="U610" i="9"/>
  <c r="R610" i="9"/>
  <c r="E574" i="29"/>
  <c r="D574" i="29"/>
  <c r="AC574" i="29"/>
  <c r="AD573" i="29"/>
  <c r="F573" i="29"/>
  <c r="AE573" i="29"/>
  <c r="A578" i="25"/>
  <c r="D578" i="25"/>
  <c r="B575" i="29"/>
  <c r="C612" i="9"/>
  <c r="B612" i="9"/>
  <c r="X611" i="9"/>
  <c r="W611" i="9"/>
  <c r="P611" i="9"/>
  <c r="H577" i="25"/>
  <c r="G577" i="25"/>
  <c r="V577" i="25"/>
  <c r="F577" i="25"/>
  <c r="U577" i="25"/>
  <c r="K577" i="25"/>
  <c r="I577" i="25"/>
  <c r="W577" i="25"/>
  <c r="E577" i="25"/>
  <c r="T577" i="25"/>
  <c r="T610" i="9"/>
  <c r="V610" i="9"/>
  <c r="U611" i="9"/>
  <c r="R611" i="9"/>
  <c r="S612" i="9"/>
  <c r="N612" i="9"/>
  <c r="Q611" i="9"/>
  <c r="D575" i="29"/>
  <c r="AC575" i="29"/>
  <c r="E575" i="29"/>
  <c r="AD574" i="29"/>
  <c r="F574" i="29"/>
  <c r="AE574" i="29"/>
  <c r="H578" i="25"/>
  <c r="E578" i="25"/>
  <c r="G578" i="25"/>
  <c r="V578" i="25"/>
  <c r="I578" i="25"/>
  <c r="W578" i="25"/>
  <c r="F578" i="25"/>
  <c r="U578" i="25"/>
  <c r="K578" i="25"/>
  <c r="T578" i="25"/>
  <c r="A579" i="25"/>
  <c r="D579" i="25"/>
  <c r="B576" i="29"/>
  <c r="B613" i="9"/>
  <c r="C613" i="9"/>
  <c r="X612" i="9"/>
  <c r="W612" i="9"/>
  <c r="P612" i="9"/>
  <c r="Q612" i="9"/>
  <c r="T611" i="9"/>
  <c r="V611" i="9"/>
  <c r="F579" i="25"/>
  <c r="H579" i="25"/>
  <c r="U579" i="25"/>
  <c r="K579" i="25"/>
  <c r="G579" i="25"/>
  <c r="V579" i="25"/>
  <c r="I579" i="25"/>
  <c r="W579" i="25"/>
  <c r="E579" i="25"/>
  <c r="T579" i="25"/>
  <c r="S613" i="9"/>
  <c r="N613" i="9"/>
  <c r="U612" i="9"/>
  <c r="R612" i="9"/>
  <c r="A580" i="25"/>
  <c r="D580" i="25"/>
  <c r="B577" i="29"/>
  <c r="C614" i="9"/>
  <c r="B614" i="9"/>
  <c r="X613" i="9"/>
  <c r="P613" i="9"/>
  <c r="Q613" i="9"/>
  <c r="W613" i="9"/>
  <c r="D576" i="29"/>
  <c r="AC576" i="29"/>
  <c r="E576" i="29"/>
  <c r="F575" i="29"/>
  <c r="AE575" i="29"/>
  <c r="AD575" i="29"/>
  <c r="T612" i="9"/>
  <c r="V612" i="9"/>
  <c r="AD576" i="29"/>
  <c r="F576" i="29"/>
  <c r="AE576" i="29"/>
  <c r="E580" i="25"/>
  <c r="G580" i="25"/>
  <c r="V580" i="25"/>
  <c r="U580" i="25"/>
  <c r="K580" i="25"/>
  <c r="H580" i="25"/>
  <c r="F580" i="25"/>
  <c r="I580" i="25"/>
  <c r="W580" i="25"/>
  <c r="T580" i="25"/>
  <c r="A581" i="25"/>
  <c r="D581" i="25"/>
  <c r="B578" i="29"/>
  <c r="B615" i="9"/>
  <c r="C615" i="9"/>
  <c r="X614" i="9"/>
  <c r="W614" i="9"/>
  <c r="P614" i="9"/>
  <c r="Q614" i="9"/>
  <c r="S614" i="9"/>
  <c r="N614" i="9"/>
  <c r="U613" i="9"/>
  <c r="R613" i="9"/>
  <c r="D577" i="29"/>
  <c r="AC577" i="29"/>
  <c r="E577" i="29"/>
  <c r="T613" i="9"/>
  <c r="V613" i="9"/>
  <c r="U614" i="9"/>
  <c r="R614" i="9"/>
  <c r="A582" i="25"/>
  <c r="D582" i="25"/>
  <c r="B579" i="29"/>
  <c r="C616" i="9"/>
  <c r="B616" i="9"/>
  <c r="X615" i="9"/>
  <c r="P615" i="9"/>
  <c r="Q615" i="9"/>
  <c r="W615" i="9"/>
  <c r="F577" i="29"/>
  <c r="AE577" i="29"/>
  <c r="AD577" i="29"/>
  <c r="D578" i="29"/>
  <c r="AC578" i="29"/>
  <c r="E578" i="29"/>
  <c r="G581" i="25"/>
  <c r="V581" i="25"/>
  <c r="H581" i="25"/>
  <c r="U581" i="25"/>
  <c r="K581" i="25"/>
  <c r="E581" i="25"/>
  <c r="F581" i="25"/>
  <c r="I581" i="25"/>
  <c r="W581" i="25"/>
  <c r="T581" i="25"/>
  <c r="S615" i="9"/>
  <c r="N615" i="9"/>
  <c r="T614" i="9"/>
  <c r="V614" i="9"/>
  <c r="E582" i="25"/>
  <c r="H582" i="25"/>
  <c r="G582" i="25"/>
  <c r="V582" i="25"/>
  <c r="I582" i="25"/>
  <c r="W582" i="25"/>
  <c r="U582" i="25"/>
  <c r="K582" i="25"/>
  <c r="F582" i="25"/>
  <c r="T582" i="25"/>
  <c r="A583" i="25"/>
  <c r="D583" i="25"/>
  <c r="B580" i="29"/>
  <c r="B617" i="9"/>
  <c r="C617" i="9"/>
  <c r="X616" i="9"/>
  <c r="W616" i="9"/>
  <c r="P616" i="9"/>
  <c r="Q616" i="9"/>
  <c r="F578" i="29"/>
  <c r="AE578" i="29"/>
  <c r="AD578" i="29"/>
  <c r="S616" i="9"/>
  <c r="N616" i="9"/>
  <c r="U615" i="9"/>
  <c r="R615" i="9"/>
  <c r="E579" i="29"/>
  <c r="D579" i="29"/>
  <c r="AC579" i="29"/>
  <c r="T615" i="9"/>
  <c r="V615" i="9"/>
  <c r="S617" i="9"/>
  <c r="N617" i="9"/>
  <c r="F579" i="29"/>
  <c r="AE579" i="29"/>
  <c r="AD579" i="29"/>
  <c r="U616" i="9"/>
  <c r="R616" i="9"/>
  <c r="A584" i="25"/>
  <c r="D584" i="25"/>
  <c r="B581" i="29"/>
  <c r="C618" i="9"/>
  <c r="B618" i="9"/>
  <c r="X617" i="9"/>
  <c r="P617" i="9"/>
  <c r="Q617" i="9"/>
  <c r="W617" i="9"/>
  <c r="D580" i="29"/>
  <c r="AC580" i="29"/>
  <c r="E580" i="29"/>
  <c r="F583" i="25"/>
  <c r="H583" i="25"/>
  <c r="G583" i="25"/>
  <c r="V583" i="25"/>
  <c r="I583" i="25"/>
  <c r="W583" i="25"/>
  <c r="E583" i="25"/>
  <c r="U583" i="25"/>
  <c r="K583" i="25"/>
  <c r="T583" i="25"/>
  <c r="T616" i="9"/>
  <c r="V616" i="9"/>
  <c r="A585" i="25"/>
  <c r="D585" i="25"/>
  <c r="B582" i="29"/>
  <c r="B619" i="9"/>
  <c r="C619" i="9"/>
  <c r="X618" i="9"/>
  <c r="P618" i="9"/>
  <c r="Q618" i="9"/>
  <c r="W618" i="9"/>
  <c r="S618" i="9"/>
  <c r="N618" i="9"/>
  <c r="U617" i="9"/>
  <c r="R617" i="9"/>
  <c r="E581" i="29"/>
  <c r="D581" i="29"/>
  <c r="AC581" i="29"/>
  <c r="AD580" i="29"/>
  <c r="F580" i="29"/>
  <c r="AE580" i="29"/>
  <c r="H584" i="25"/>
  <c r="G584" i="25"/>
  <c r="V584" i="25"/>
  <c r="U584" i="25"/>
  <c r="K584" i="25"/>
  <c r="E584" i="25"/>
  <c r="F584" i="25"/>
  <c r="I584" i="25"/>
  <c r="W584" i="25"/>
  <c r="T584" i="25"/>
  <c r="T617" i="9"/>
  <c r="V617" i="9"/>
  <c r="A586" i="25"/>
  <c r="D586" i="25"/>
  <c r="B583" i="29"/>
  <c r="C620" i="9"/>
  <c r="B620" i="9"/>
  <c r="X619" i="9"/>
  <c r="W619" i="9"/>
  <c r="P619" i="9"/>
  <c r="Q619" i="9"/>
  <c r="U618" i="9"/>
  <c r="R618" i="9"/>
  <c r="E582" i="29"/>
  <c r="D582" i="29"/>
  <c r="AC582" i="29"/>
  <c r="F581" i="29"/>
  <c r="AE581" i="29"/>
  <c r="AD581" i="29"/>
  <c r="G585" i="25"/>
  <c r="V585" i="25"/>
  <c r="H585" i="25"/>
  <c r="F585" i="25"/>
  <c r="U585" i="25"/>
  <c r="K585" i="25"/>
  <c r="E585" i="25"/>
  <c r="I585" i="25"/>
  <c r="W585" i="25"/>
  <c r="T585" i="25"/>
  <c r="S619" i="9"/>
  <c r="N619" i="9"/>
  <c r="T618" i="9"/>
  <c r="V618" i="9"/>
  <c r="A587" i="25"/>
  <c r="D587" i="25"/>
  <c r="B584" i="29"/>
  <c r="B621" i="9"/>
  <c r="C621" i="9"/>
  <c r="X620" i="9"/>
  <c r="W620" i="9"/>
  <c r="P620" i="9"/>
  <c r="Q620" i="9"/>
  <c r="U619" i="9"/>
  <c r="R619" i="9"/>
  <c r="S620" i="9"/>
  <c r="N620" i="9"/>
  <c r="AD582" i="29"/>
  <c r="F582" i="29"/>
  <c r="AE582" i="29"/>
  <c r="D583" i="29"/>
  <c r="AC583" i="29"/>
  <c r="E583" i="29"/>
  <c r="H586" i="25"/>
  <c r="G586" i="25"/>
  <c r="V586" i="25"/>
  <c r="E586" i="25"/>
  <c r="I586" i="25"/>
  <c r="W586" i="25"/>
  <c r="F586" i="25"/>
  <c r="U586" i="25"/>
  <c r="K586" i="25"/>
  <c r="T586" i="25"/>
  <c r="T619" i="9"/>
  <c r="V619" i="9"/>
  <c r="AD583" i="29"/>
  <c r="F583" i="29"/>
  <c r="AE583" i="29"/>
  <c r="S621" i="9"/>
  <c r="N621" i="9"/>
  <c r="U620" i="9"/>
  <c r="R620" i="9"/>
  <c r="A588" i="25"/>
  <c r="D588" i="25"/>
  <c r="B585" i="29"/>
  <c r="C622" i="9"/>
  <c r="B622" i="9"/>
  <c r="X621" i="9"/>
  <c r="P621" i="9"/>
  <c r="W621" i="9"/>
  <c r="E584" i="29"/>
  <c r="D584" i="29"/>
  <c r="AC584" i="29"/>
  <c r="H587" i="25"/>
  <c r="G587" i="25"/>
  <c r="V587" i="25"/>
  <c r="F587" i="25"/>
  <c r="U587" i="25"/>
  <c r="K587" i="25"/>
  <c r="E587" i="25"/>
  <c r="I587" i="25"/>
  <c r="W587" i="25"/>
  <c r="T587" i="25"/>
  <c r="T620" i="9"/>
  <c r="V620" i="9"/>
  <c r="G588" i="25"/>
  <c r="V588" i="25"/>
  <c r="H588" i="25"/>
  <c r="U588" i="25"/>
  <c r="K588" i="25"/>
  <c r="F588" i="25"/>
  <c r="E588" i="25"/>
  <c r="I588" i="25"/>
  <c r="W588" i="25"/>
  <c r="T588" i="25"/>
  <c r="AD584" i="29"/>
  <c r="F584" i="29"/>
  <c r="AE584" i="29"/>
  <c r="A589" i="25"/>
  <c r="D589" i="25"/>
  <c r="B586" i="29"/>
  <c r="B623" i="9"/>
  <c r="C623" i="9"/>
  <c r="X622" i="9"/>
  <c r="W622" i="9"/>
  <c r="P622" i="9"/>
  <c r="S622" i="9"/>
  <c r="N622" i="9"/>
  <c r="U621" i="9"/>
  <c r="R621" i="9"/>
  <c r="D585" i="29"/>
  <c r="AC585" i="29"/>
  <c r="E585" i="29"/>
  <c r="Q621" i="9"/>
  <c r="T621" i="9"/>
  <c r="V621" i="9"/>
  <c r="U622" i="9"/>
  <c r="R622" i="9"/>
  <c r="A590" i="25"/>
  <c r="D590" i="25"/>
  <c r="B587" i="29"/>
  <c r="C624" i="9"/>
  <c r="B624" i="9"/>
  <c r="X623" i="9"/>
  <c r="P623" i="9"/>
  <c r="W623" i="9"/>
  <c r="AD585" i="29"/>
  <c r="F585" i="29"/>
  <c r="AE585" i="29"/>
  <c r="Q622" i="9"/>
  <c r="D586" i="29"/>
  <c r="AC586" i="29"/>
  <c r="E586" i="29"/>
  <c r="H589" i="25"/>
  <c r="U589" i="25"/>
  <c r="K589" i="25"/>
  <c r="G589" i="25"/>
  <c r="V589" i="25"/>
  <c r="F589" i="25"/>
  <c r="E589" i="25"/>
  <c r="I589" i="25"/>
  <c r="W589" i="25"/>
  <c r="T589" i="25"/>
  <c r="S623" i="9"/>
  <c r="N623" i="9"/>
  <c r="Q623" i="9"/>
  <c r="T622" i="9"/>
  <c r="V622" i="9"/>
  <c r="AD586" i="29"/>
  <c r="F586" i="29"/>
  <c r="AE586" i="29"/>
  <c r="A591" i="25"/>
  <c r="D591" i="25"/>
  <c r="B588" i="29"/>
  <c r="B625" i="9"/>
  <c r="C625" i="9"/>
  <c r="X624" i="9"/>
  <c r="W624" i="9"/>
  <c r="P624" i="9"/>
  <c r="Q624" i="9"/>
  <c r="S624" i="9"/>
  <c r="N624" i="9"/>
  <c r="U623" i="9"/>
  <c r="R623" i="9"/>
  <c r="E587" i="29"/>
  <c r="D587" i="29"/>
  <c r="AC587" i="29"/>
  <c r="H590" i="25"/>
  <c r="E590" i="25"/>
  <c r="G590" i="25"/>
  <c r="V590" i="25"/>
  <c r="F590" i="25"/>
  <c r="U590" i="25"/>
  <c r="K590" i="25"/>
  <c r="I590" i="25"/>
  <c r="W590" i="25"/>
  <c r="T590" i="25"/>
  <c r="T623" i="9"/>
  <c r="V623" i="9"/>
  <c r="S625" i="9"/>
  <c r="N625" i="9"/>
  <c r="AB99" i="25" a="1"/>
  <c r="AB99" i="25"/>
  <c r="C99" i="30"/>
  <c r="B99" i="30"/>
  <c r="U624" i="9"/>
  <c r="R624" i="9"/>
  <c r="A592" i="25"/>
  <c r="B589" i="29"/>
  <c r="X625" i="9"/>
  <c r="P625" i="9"/>
  <c r="Q625" i="9"/>
  <c r="W625" i="9"/>
  <c r="K8" i="9"/>
  <c r="K9" i="9"/>
  <c r="AG50" i="9"/>
  <c r="AD587" i="29"/>
  <c r="F587" i="29"/>
  <c r="AE587" i="29"/>
  <c r="E588" i="29"/>
  <c r="D588" i="29"/>
  <c r="AC588" i="29"/>
  <c r="F591" i="25"/>
  <c r="H591" i="25"/>
  <c r="I591" i="25"/>
  <c r="W591" i="25"/>
  <c r="G591" i="25"/>
  <c r="V591" i="25"/>
  <c r="E591" i="25"/>
  <c r="U591" i="25"/>
  <c r="K591" i="25"/>
  <c r="T591" i="25"/>
  <c r="AB245" i="25" a="1"/>
  <c r="AB245" i="25"/>
  <c r="C245" i="30"/>
  <c r="B245" i="30"/>
  <c r="AB214" i="25" a="1"/>
  <c r="AB214" i="25"/>
  <c r="C214" i="30"/>
  <c r="B214" i="30"/>
  <c r="AB159" i="25" a="1"/>
  <c r="AB159" i="25"/>
  <c r="C159" i="30"/>
  <c r="B159" i="30"/>
  <c r="AB171" i="25" a="1"/>
  <c r="AB171" i="25"/>
  <c r="C171" i="30"/>
  <c r="B171" i="30"/>
  <c r="AB97" i="25" a="1"/>
  <c r="AB97" i="25"/>
  <c r="C97" i="30"/>
  <c r="B97" i="30"/>
  <c r="AB120" i="25" a="1"/>
  <c r="AB120" i="25"/>
  <c r="C120" i="30"/>
  <c r="B120" i="30"/>
  <c r="AB64" i="25" a="1"/>
  <c r="AB64" i="25"/>
  <c r="C64" i="30"/>
  <c r="B64" i="30"/>
  <c r="AB153" i="25" a="1"/>
  <c r="AB153" i="25"/>
  <c r="C153" i="30"/>
  <c r="B153" i="30"/>
  <c r="AB273" i="25" a="1"/>
  <c r="AB273" i="25"/>
  <c r="C273" i="30"/>
  <c r="B273" i="30"/>
  <c r="AB172" i="25" a="1"/>
  <c r="AB172" i="25"/>
  <c r="C172" i="30"/>
  <c r="B172" i="30"/>
  <c r="AB23" i="25" a="1"/>
  <c r="AB23" i="25"/>
  <c r="C23" i="30"/>
  <c r="AB220" i="25" a="1"/>
  <c r="AB220" i="25"/>
  <c r="C220" i="30"/>
  <c r="B220" i="30"/>
  <c r="AB185" i="25" a="1"/>
  <c r="AB185" i="25"/>
  <c r="C185" i="30"/>
  <c r="B185" i="30"/>
  <c r="AB156" i="25" a="1"/>
  <c r="AB156" i="25"/>
  <c r="C156" i="30"/>
  <c r="B156" i="30"/>
  <c r="AB250" i="25" a="1"/>
  <c r="AB250" i="25"/>
  <c r="C250" i="30"/>
  <c r="B250" i="30"/>
  <c r="AB206" i="25" a="1"/>
  <c r="AB206" i="25"/>
  <c r="C206" i="30"/>
  <c r="B206" i="30"/>
  <c r="AB58" i="25" a="1"/>
  <c r="AB58" i="25"/>
  <c r="C58" i="30"/>
  <c r="B58" i="30"/>
  <c r="AB127" i="25" a="1"/>
  <c r="AB127" i="25"/>
  <c r="C127" i="30"/>
  <c r="B127" i="30"/>
  <c r="AB243" i="25" a="1"/>
  <c r="AB243" i="25"/>
  <c r="C243" i="30"/>
  <c r="B243" i="30"/>
  <c r="AB212" i="25" a="1"/>
  <c r="AB212" i="25"/>
  <c r="C212" i="30"/>
  <c r="B212" i="30"/>
  <c r="AB253" i="25" a="1"/>
  <c r="AB253" i="25"/>
  <c r="C253" i="30"/>
  <c r="B253" i="30"/>
  <c r="AB81" i="25" a="1"/>
  <c r="AB81" i="25"/>
  <c r="C81" i="30"/>
  <c r="B81" i="30"/>
  <c r="AB197" i="25" a="1"/>
  <c r="AB197" i="25"/>
  <c r="C197" i="30"/>
  <c r="B197" i="30"/>
  <c r="AB278" i="25" a="1"/>
  <c r="AB278" i="25"/>
  <c r="C278" i="30"/>
  <c r="B278" i="30"/>
  <c r="AB157" i="25" a="1"/>
  <c r="AB157" i="25"/>
  <c r="C157" i="30"/>
  <c r="B157" i="30"/>
  <c r="AB30" i="25" a="1"/>
  <c r="AB30" i="25"/>
  <c r="C30" i="30"/>
  <c r="B30" i="30"/>
  <c r="AB249" i="25" a="1"/>
  <c r="AB249" i="25"/>
  <c r="C249" i="30"/>
  <c r="B249" i="30"/>
  <c r="AB175" i="25" a="1"/>
  <c r="AB175" i="25"/>
  <c r="C175" i="30"/>
  <c r="B175" i="30"/>
  <c r="AB86" i="25" a="1"/>
  <c r="AB86" i="25"/>
  <c r="C86" i="30"/>
  <c r="B86" i="30"/>
  <c r="AB255" i="25" a="1"/>
  <c r="AB255" i="25"/>
  <c r="C255" i="30"/>
  <c r="B255" i="30"/>
  <c r="AB106" i="25" a="1"/>
  <c r="AB106" i="25"/>
  <c r="C106" i="30"/>
  <c r="B106" i="30"/>
  <c r="AB148" i="25" a="1"/>
  <c r="AB148" i="25"/>
  <c r="C148" i="30"/>
  <c r="B148" i="30"/>
  <c r="AB114" i="25" a="1"/>
  <c r="AB114" i="25"/>
  <c r="C114" i="30"/>
  <c r="B114" i="30"/>
  <c r="AB126" i="25" a="1"/>
  <c r="AB126" i="25"/>
  <c r="C126" i="30"/>
  <c r="B126" i="30"/>
  <c r="AB79" i="25" a="1"/>
  <c r="AB79" i="25"/>
  <c r="C79" i="30"/>
  <c r="B79" i="30"/>
  <c r="AB118" i="25" a="1"/>
  <c r="AB118" i="25"/>
  <c r="C118" i="30"/>
  <c r="B118" i="30"/>
  <c r="AB235" i="25" a="1"/>
  <c r="AB235" i="25"/>
  <c r="C235" i="30"/>
  <c r="B235" i="30"/>
  <c r="AB222" i="25" a="1"/>
  <c r="AB222" i="25"/>
  <c r="C222" i="30"/>
  <c r="B222" i="30"/>
  <c r="AB80" i="25" a="1"/>
  <c r="AB80" i="25"/>
  <c r="C80" i="30"/>
  <c r="B80" i="30"/>
  <c r="AB166" i="25" a="1"/>
  <c r="AB166" i="25"/>
  <c r="C166" i="30"/>
  <c r="B166" i="30"/>
  <c r="AB109" i="25" a="1"/>
  <c r="AB109" i="25"/>
  <c r="C109" i="30"/>
  <c r="B109" i="30"/>
  <c r="AB98" i="25" a="1"/>
  <c r="AB98" i="25"/>
  <c r="C98" i="30"/>
  <c r="B98" i="30"/>
  <c r="AB187" i="25" a="1"/>
  <c r="AB187" i="25"/>
  <c r="C187" i="30"/>
  <c r="B187" i="30"/>
  <c r="AB269" i="25" a="1"/>
  <c r="AB269" i="25"/>
  <c r="C269" i="30"/>
  <c r="B269" i="30"/>
  <c r="AB177" i="25" a="1"/>
  <c r="AB177" i="25"/>
  <c r="C177" i="30"/>
  <c r="B177" i="30"/>
  <c r="AB103" i="25" a="1"/>
  <c r="AB103" i="25"/>
  <c r="C103" i="30"/>
  <c r="B103" i="30"/>
  <c r="AB49" i="25" a="1"/>
  <c r="AB49" i="25"/>
  <c r="C49" i="30"/>
  <c r="B49" i="30"/>
  <c r="AB43" i="25" a="1"/>
  <c r="AB43" i="25"/>
  <c r="C43" i="30"/>
  <c r="B43" i="30"/>
  <c r="AB77" i="25" a="1"/>
  <c r="AB77" i="25"/>
  <c r="C77" i="30"/>
  <c r="B77" i="30"/>
  <c r="AB121" i="25" a="1"/>
  <c r="AB121" i="25"/>
  <c r="C121" i="30"/>
  <c r="B121" i="30"/>
  <c r="AB138" i="25" a="1"/>
  <c r="AB138" i="25"/>
  <c r="C138" i="30"/>
  <c r="B138" i="30"/>
  <c r="AB139" i="25" a="1"/>
  <c r="AB139" i="25"/>
  <c r="C139" i="30"/>
  <c r="B139" i="30"/>
  <c r="AB230" i="25" a="1"/>
  <c r="AB230" i="25"/>
  <c r="C230" i="30"/>
  <c r="B230" i="30"/>
  <c r="AB292" i="25" a="1"/>
  <c r="AB292" i="25"/>
  <c r="C292" i="30"/>
  <c r="B292" i="30"/>
  <c r="AB217" i="25" a="1"/>
  <c r="AB217" i="25"/>
  <c r="C217" i="30"/>
  <c r="B217" i="30"/>
  <c r="AB190" i="25" a="1"/>
  <c r="AB190" i="25"/>
  <c r="C190" i="30"/>
  <c r="B190" i="30"/>
  <c r="AB186" i="25" a="1"/>
  <c r="AB186" i="25"/>
  <c r="C186" i="30"/>
  <c r="B186" i="30"/>
  <c r="AB164" i="25" a="1"/>
  <c r="AB164" i="25"/>
  <c r="C164" i="30"/>
  <c r="B164" i="30"/>
  <c r="AB155" i="25" a="1"/>
  <c r="AB155" i="25"/>
  <c r="C155" i="30"/>
  <c r="B155" i="30"/>
  <c r="AB50" i="25" a="1"/>
  <c r="AB50" i="25"/>
  <c r="C50" i="30"/>
  <c r="B50" i="30"/>
  <c r="AB234" i="25" a="1"/>
  <c r="AB234" i="25"/>
  <c r="C234" i="30"/>
  <c r="B234" i="30"/>
  <c r="AB85" i="25" a="1"/>
  <c r="AB85" i="25"/>
  <c r="C85" i="30"/>
  <c r="B85" i="30"/>
  <c r="AB117" i="25" a="1"/>
  <c r="AB117" i="25"/>
  <c r="C117" i="30"/>
  <c r="B117" i="30"/>
  <c r="AB154" i="25" a="1"/>
  <c r="AB154" i="25"/>
  <c r="C154" i="30"/>
  <c r="B154" i="30"/>
  <c r="AB210" i="25" a="1"/>
  <c r="AB210" i="25"/>
  <c r="C210" i="30"/>
  <c r="B210" i="30"/>
  <c r="AB261" i="25" a="1"/>
  <c r="AB261" i="25"/>
  <c r="C261" i="30"/>
  <c r="B261" i="30"/>
  <c r="AB113" i="25" a="1"/>
  <c r="AB113" i="25"/>
  <c r="C113" i="30"/>
  <c r="B113" i="30"/>
  <c r="AB183" i="25" a="1"/>
  <c r="AB183" i="25"/>
  <c r="C183" i="30"/>
  <c r="B183" i="30"/>
  <c r="AB54" i="25" a="1"/>
  <c r="AB54" i="25"/>
  <c r="C54" i="30"/>
  <c r="B54" i="30"/>
  <c r="AB76" i="25" a="1"/>
  <c r="AB76" i="25"/>
  <c r="C76" i="30"/>
  <c r="B76" i="30"/>
  <c r="AB239" i="25" a="1"/>
  <c r="AB239" i="25"/>
  <c r="C239" i="30"/>
  <c r="B239" i="30"/>
  <c r="AB110" i="25" a="1"/>
  <c r="AB110" i="25"/>
  <c r="C110" i="30"/>
  <c r="B110" i="30"/>
  <c r="AB123" i="25" a="1"/>
  <c r="AB123" i="25"/>
  <c r="C123" i="30"/>
  <c r="B123" i="30"/>
  <c r="AB297" i="25" a="1"/>
  <c r="AB297" i="25"/>
  <c r="C297" i="30"/>
  <c r="B297" i="30"/>
  <c r="AB112" i="25" a="1"/>
  <c r="AB112" i="25"/>
  <c r="C112" i="30"/>
  <c r="B112" i="30"/>
  <c r="AB291" i="25" a="1"/>
  <c r="AB291" i="25"/>
  <c r="C291" i="30"/>
  <c r="B291" i="30"/>
  <c r="AB294" i="25" a="1"/>
  <c r="AB294" i="25"/>
  <c r="C294" i="30"/>
  <c r="B294" i="30"/>
  <c r="AB47" i="25" a="1"/>
  <c r="AB47" i="25"/>
  <c r="C47" i="30"/>
  <c r="B47" i="30"/>
  <c r="AB90" i="25" a="1"/>
  <c r="AB90" i="25"/>
  <c r="C90" i="30"/>
  <c r="B90" i="30"/>
  <c r="AB208" i="25" a="1"/>
  <c r="AB208" i="25"/>
  <c r="C208" i="30"/>
  <c r="B208" i="30"/>
  <c r="AB173" i="25" a="1"/>
  <c r="AB173" i="25"/>
  <c r="C173" i="30"/>
  <c r="B173" i="30"/>
  <c r="AB119" i="25" a="1"/>
  <c r="AB119" i="25"/>
  <c r="C119" i="30"/>
  <c r="B119" i="30"/>
  <c r="AB130" i="25" a="1"/>
  <c r="AB130" i="25"/>
  <c r="C130" i="30"/>
  <c r="B130" i="30"/>
  <c r="AB240" i="25" a="1"/>
  <c r="AB240" i="25"/>
  <c r="C240" i="30"/>
  <c r="B240" i="30"/>
  <c r="AB151" i="25" a="1"/>
  <c r="AB151" i="25"/>
  <c r="C151" i="30"/>
  <c r="B151" i="30"/>
  <c r="AB267" i="25" a="1"/>
  <c r="AB267" i="25"/>
  <c r="C267" i="30"/>
  <c r="B267" i="30"/>
  <c r="AB59" i="25" a="1"/>
  <c r="AB59" i="25"/>
  <c r="C59" i="30"/>
  <c r="B59" i="30"/>
  <c r="AB35" i="25" a="1"/>
  <c r="AB35" i="25"/>
  <c r="C35" i="30"/>
  <c r="B35" i="30"/>
  <c r="AB283" i="25" a="1"/>
  <c r="AB283" i="25"/>
  <c r="C283" i="30"/>
  <c r="B283" i="30"/>
  <c r="AB101" i="25" a="1"/>
  <c r="AB101" i="25"/>
  <c r="C101" i="30"/>
  <c r="B101" i="30"/>
  <c r="AB165" i="25" a="1"/>
  <c r="AB165" i="25"/>
  <c r="C165" i="30"/>
  <c r="B165" i="30"/>
  <c r="AB182" i="25" a="1"/>
  <c r="AB182" i="25"/>
  <c r="C182" i="30"/>
  <c r="B182" i="30"/>
  <c r="AB92" i="25" a="1"/>
  <c r="AB92" i="25"/>
  <c r="C92" i="30"/>
  <c r="B92" i="30"/>
  <c r="AB152" i="25" a="1"/>
  <c r="AB152" i="25"/>
  <c r="C152" i="30"/>
  <c r="B152" i="30"/>
  <c r="AB260" i="25" a="1"/>
  <c r="AB260" i="25"/>
  <c r="C260" i="30"/>
  <c r="B260" i="30"/>
  <c r="AB295" i="25" a="1"/>
  <c r="AB295" i="25"/>
  <c r="C295" i="30"/>
  <c r="B295" i="30"/>
  <c r="AB279" i="25" a="1"/>
  <c r="AB279" i="25"/>
  <c r="C279" i="30"/>
  <c r="B279" i="30"/>
  <c r="AB225" i="25" a="1"/>
  <c r="AB225" i="25"/>
  <c r="C225" i="30"/>
  <c r="B225" i="30"/>
  <c r="AB299" i="25" a="1"/>
  <c r="AB299" i="25"/>
  <c r="C299" i="30"/>
  <c r="B299" i="30"/>
  <c r="AB211" i="25" a="1"/>
  <c r="AB211" i="25"/>
  <c r="C211" i="30"/>
  <c r="B211" i="30"/>
  <c r="AB271" i="25" a="1"/>
  <c r="AB271" i="25"/>
  <c r="C271" i="30"/>
  <c r="B271" i="30"/>
  <c r="AB144" i="25" a="1"/>
  <c r="AB144" i="25"/>
  <c r="C144" i="30"/>
  <c r="B144" i="30"/>
  <c r="AB39" i="25" a="1"/>
  <c r="AB39" i="25"/>
  <c r="C39" i="30"/>
  <c r="B39" i="30"/>
  <c r="AB201" i="25" a="1"/>
  <c r="AB201" i="25"/>
  <c r="C201" i="30"/>
  <c r="B201" i="30"/>
  <c r="AB221" i="25" a="1"/>
  <c r="AB221" i="25"/>
  <c r="C221" i="30"/>
  <c r="B221" i="30"/>
  <c r="AB290" i="25" a="1"/>
  <c r="AB290" i="25"/>
  <c r="C290" i="30"/>
  <c r="B290" i="30"/>
  <c r="AB20" i="25" a="1"/>
  <c r="AB20" i="25"/>
  <c r="C20" i="30"/>
  <c r="AB215" i="25" a="1"/>
  <c r="AB215" i="25"/>
  <c r="C215" i="30"/>
  <c r="B215" i="30"/>
  <c r="AB202" i="25" a="1"/>
  <c r="AB202" i="25"/>
  <c r="C202" i="30"/>
  <c r="B202" i="30"/>
  <c r="AB146" i="25" a="1"/>
  <c r="AB146" i="25"/>
  <c r="C146" i="30"/>
  <c r="B146" i="30"/>
  <c r="AB272" i="25" a="1"/>
  <c r="AB272" i="25"/>
  <c r="C272" i="30"/>
  <c r="B272" i="30"/>
  <c r="AB44" i="25" a="1"/>
  <c r="AB44" i="25"/>
  <c r="C44" i="30"/>
  <c r="B44" i="30"/>
  <c r="AB111" i="25" a="1"/>
  <c r="AB111" i="25"/>
  <c r="C111" i="30"/>
  <c r="B111" i="30"/>
  <c r="AB209" i="25" a="1"/>
  <c r="AB209" i="25"/>
  <c r="C209" i="30"/>
  <c r="B209" i="30"/>
  <c r="AB115" i="25" a="1"/>
  <c r="AB115" i="25"/>
  <c r="C115" i="30"/>
  <c r="B115" i="30"/>
  <c r="AB207" i="25" a="1"/>
  <c r="AB207" i="25"/>
  <c r="C207" i="30"/>
  <c r="B207" i="30"/>
  <c r="AB168" i="25" a="1"/>
  <c r="AB168" i="25"/>
  <c r="C168" i="30"/>
  <c r="B168" i="30"/>
  <c r="AB300" i="25" a="1"/>
  <c r="AB300" i="25"/>
  <c r="C300" i="30"/>
  <c r="B300" i="30"/>
  <c r="AB180" i="25" a="1"/>
  <c r="AB180" i="25"/>
  <c r="C180" i="30"/>
  <c r="B180" i="30"/>
  <c r="AB288" i="25" a="1"/>
  <c r="AB288" i="25"/>
  <c r="C288" i="30"/>
  <c r="B288" i="30"/>
  <c r="AB263" i="25" a="1"/>
  <c r="AB263" i="25"/>
  <c r="C263" i="30"/>
  <c r="B263" i="30"/>
  <c r="AB25" i="25" a="1"/>
  <c r="AB25" i="25"/>
  <c r="C25" i="30"/>
  <c r="AB257" i="25" a="1"/>
  <c r="AB257" i="25"/>
  <c r="C257" i="30"/>
  <c r="B257" i="30"/>
  <c r="AB247" i="25" a="1"/>
  <c r="AB247" i="25"/>
  <c r="C247" i="30"/>
  <c r="B247" i="30"/>
  <c r="AB189" i="25" a="1"/>
  <c r="AB189" i="25"/>
  <c r="C189" i="30"/>
  <c r="B189" i="30"/>
  <c r="AB270" i="25" a="1"/>
  <c r="AB270" i="25"/>
  <c r="C270" i="30"/>
  <c r="B270" i="30"/>
  <c r="AB67" i="25" a="1"/>
  <c r="AB67" i="25"/>
  <c r="C67" i="30"/>
  <c r="B67" i="30"/>
  <c r="AB181" i="25" a="1"/>
  <c r="AB181" i="25"/>
  <c r="C181" i="30"/>
  <c r="B181" i="30"/>
  <c r="AB89" i="25" a="1"/>
  <c r="AB89" i="25"/>
  <c r="C89" i="30"/>
  <c r="B89" i="30"/>
  <c r="AB82" i="25" a="1"/>
  <c r="AB82" i="25"/>
  <c r="C82" i="30"/>
  <c r="B82" i="30"/>
  <c r="AB37" i="25" a="1"/>
  <c r="AB37" i="25"/>
  <c r="C37" i="30"/>
  <c r="B37" i="30"/>
  <c r="AB232" i="25" a="1"/>
  <c r="AB232" i="25"/>
  <c r="C232" i="30"/>
  <c r="B232" i="30"/>
  <c r="AB179" i="25" a="1"/>
  <c r="AB179" i="25"/>
  <c r="C179" i="30"/>
  <c r="B179" i="30"/>
  <c r="AB84" i="25" a="1"/>
  <c r="AB84" i="25"/>
  <c r="C84" i="30"/>
  <c r="B84" i="30"/>
  <c r="AB32" i="25" a="1"/>
  <c r="AB32" i="25"/>
  <c r="C32" i="30"/>
  <c r="B32" i="30"/>
  <c r="AB194" i="25" a="1"/>
  <c r="AB194" i="25"/>
  <c r="C194" i="30"/>
  <c r="B194" i="30"/>
  <c r="AB145" i="25" a="1"/>
  <c r="AB145" i="25"/>
  <c r="C145" i="30"/>
  <c r="B145" i="30"/>
  <c r="AB36" i="25" a="1"/>
  <c r="AB36" i="25"/>
  <c r="C36" i="30"/>
  <c r="B36" i="30"/>
  <c r="AB251" i="25" a="1"/>
  <c r="AB251" i="25"/>
  <c r="C251" i="30"/>
  <c r="B251" i="30"/>
  <c r="AB71" i="25" a="1"/>
  <c r="AB71" i="25"/>
  <c r="C71" i="30"/>
  <c r="B71" i="30"/>
  <c r="AB237" i="25" a="1"/>
  <c r="AB237" i="25"/>
  <c r="C237" i="30"/>
  <c r="B237" i="30"/>
  <c r="AB219" i="25" a="1"/>
  <c r="AB219" i="25"/>
  <c r="C219" i="30"/>
  <c r="B219" i="30"/>
  <c r="AB191" i="25" a="1"/>
  <c r="AB191" i="25"/>
  <c r="C191" i="30"/>
  <c r="B191" i="30"/>
  <c r="AB16" i="25" a="1"/>
  <c r="AB16" i="25"/>
  <c r="C16" i="30"/>
  <c r="B16" i="30"/>
  <c r="AB21" i="25" a="1"/>
  <c r="AB21" i="25"/>
  <c r="C21" i="30"/>
  <c r="AB204" i="25" a="1"/>
  <c r="AB204" i="25"/>
  <c r="C204" i="30"/>
  <c r="B204" i="30"/>
  <c r="AB213" i="25" a="1"/>
  <c r="AB213" i="25"/>
  <c r="C213" i="30"/>
  <c r="B213" i="30"/>
  <c r="AB124" i="25" a="1"/>
  <c r="AB124" i="25"/>
  <c r="C124" i="30"/>
  <c r="B124" i="30"/>
  <c r="AB254" i="25" a="1"/>
  <c r="AB254" i="25"/>
  <c r="C254" i="30"/>
  <c r="B254" i="30"/>
  <c r="AB246" i="25" a="1"/>
  <c r="AB246" i="25"/>
  <c r="C246" i="30"/>
  <c r="B246" i="30"/>
  <c r="AB252" i="25" a="1"/>
  <c r="AB252" i="25"/>
  <c r="C252" i="30"/>
  <c r="B252" i="30"/>
  <c r="AB258" i="25" a="1"/>
  <c r="AB258" i="25"/>
  <c r="C258" i="30"/>
  <c r="B258" i="30"/>
  <c r="AB176" i="25" a="1"/>
  <c r="AB176" i="25"/>
  <c r="C176" i="30"/>
  <c r="B176" i="30"/>
  <c r="AB60" i="25" a="1"/>
  <c r="AB60" i="25"/>
  <c r="C60" i="30"/>
  <c r="B60" i="30"/>
  <c r="AB188" i="25" a="1"/>
  <c r="AB188" i="25"/>
  <c r="C188" i="30"/>
  <c r="B188" i="30"/>
  <c r="AB61" i="25" a="1"/>
  <c r="AB61" i="25"/>
  <c r="C61" i="30"/>
  <c r="B61" i="30"/>
  <c r="AB198" i="25" a="1"/>
  <c r="AB198" i="25"/>
  <c r="C198" i="30"/>
  <c r="B198" i="30"/>
  <c r="AB195" i="25" a="1"/>
  <c r="AB195" i="25"/>
  <c r="C195" i="30"/>
  <c r="B195" i="30"/>
  <c r="AB248" i="25" a="1"/>
  <c r="AB248" i="25"/>
  <c r="C248" i="30"/>
  <c r="B248" i="30"/>
  <c r="AB216" i="25" a="1"/>
  <c r="AB216" i="25"/>
  <c r="C216" i="30"/>
  <c r="B216" i="30"/>
  <c r="AB264" i="25" a="1"/>
  <c r="AB264" i="25"/>
  <c r="C264" i="30"/>
  <c r="B264" i="30"/>
  <c r="AB41" i="25" a="1"/>
  <c r="AB41" i="25"/>
  <c r="C41" i="30"/>
  <c r="B41" i="30"/>
  <c r="AB55" i="25" a="1"/>
  <c r="AB55" i="25"/>
  <c r="C55" i="30"/>
  <c r="B55" i="30"/>
  <c r="AB66" i="25" a="1"/>
  <c r="AB66" i="25"/>
  <c r="C66" i="30"/>
  <c r="B66" i="30"/>
  <c r="AB161" i="25" a="1"/>
  <c r="AB161" i="25"/>
  <c r="C161" i="30"/>
  <c r="B161" i="30"/>
  <c r="AB259" i="25" a="1"/>
  <c r="AB259" i="25"/>
  <c r="C259" i="30"/>
  <c r="B259" i="30"/>
  <c r="AB83" i="25" a="1"/>
  <c r="AB83" i="25"/>
  <c r="C83" i="30"/>
  <c r="B83" i="30"/>
  <c r="AB163" i="25" a="1"/>
  <c r="AB163" i="25"/>
  <c r="C163" i="30"/>
  <c r="B163" i="30"/>
  <c r="AB33" i="25" a="1"/>
  <c r="AB33" i="25"/>
  <c r="C33" i="30"/>
  <c r="B33" i="30"/>
  <c r="AB242" i="25" a="1"/>
  <c r="AB242" i="25"/>
  <c r="C242" i="30"/>
  <c r="B242" i="30"/>
  <c r="AB149" i="25" a="1"/>
  <c r="AB149" i="25"/>
  <c r="C149" i="30"/>
  <c r="B149" i="30"/>
  <c r="AB174" i="25" a="1"/>
  <c r="AB174" i="25"/>
  <c r="C174" i="30"/>
  <c r="B174" i="30"/>
  <c r="AB229" i="25" a="1"/>
  <c r="AB229" i="25"/>
  <c r="C229" i="30"/>
  <c r="B229" i="30"/>
  <c r="AB262" i="25" a="1"/>
  <c r="AB262" i="25"/>
  <c r="C262" i="30"/>
  <c r="B262" i="30"/>
  <c r="AB95" i="25" a="1"/>
  <c r="AB95" i="25"/>
  <c r="C95" i="30"/>
  <c r="B95" i="30"/>
  <c r="AB274" i="25" a="1"/>
  <c r="AB274" i="25"/>
  <c r="C274" i="30"/>
  <c r="B274" i="30"/>
  <c r="AB56" i="25" a="1"/>
  <c r="AB56" i="25"/>
  <c r="C56" i="30"/>
  <c r="B56" i="30"/>
  <c r="AB193" i="25" a="1"/>
  <c r="AB193" i="25"/>
  <c r="C193" i="30"/>
  <c r="B193" i="30"/>
  <c r="AB136" i="25" a="1"/>
  <c r="AB136" i="25"/>
  <c r="C136" i="30"/>
  <c r="B136" i="30"/>
  <c r="AB75" i="25" a="1"/>
  <c r="AB75" i="25"/>
  <c r="C75" i="30"/>
  <c r="B75" i="30"/>
  <c r="AB223" i="25" a="1"/>
  <c r="AB223" i="25"/>
  <c r="C223" i="30"/>
  <c r="B223" i="30"/>
  <c r="AB29" i="25" a="1"/>
  <c r="AB29" i="25"/>
  <c r="C29" i="30"/>
  <c r="AB87" i="25" a="1"/>
  <c r="AB87" i="25"/>
  <c r="C87" i="30"/>
  <c r="B87" i="30"/>
  <c r="AB196" i="25" a="1"/>
  <c r="AB196" i="25"/>
  <c r="C196" i="30"/>
  <c r="B196" i="30"/>
  <c r="AB178" i="25" a="1"/>
  <c r="AB178" i="25"/>
  <c r="C178" i="30"/>
  <c r="B178" i="30"/>
  <c r="AB170" i="25" a="1"/>
  <c r="AB170" i="25"/>
  <c r="C170" i="30"/>
  <c r="B170" i="30"/>
  <c r="AB160" i="25" a="1"/>
  <c r="AB160" i="25"/>
  <c r="C160" i="30"/>
  <c r="B160" i="30"/>
  <c r="AB72" i="25" a="1"/>
  <c r="AB72" i="25"/>
  <c r="C72" i="30"/>
  <c r="B72" i="30"/>
  <c r="AB31" i="25" a="1"/>
  <c r="AB31" i="25"/>
  <c r="C31" i="30"/>
  <c r="B31" i="30"/>
  <c r="AB228" i="25" a="1"/>
  <c r="AB228" i="25"/>
  <c r="C228" i="30"/>
  <c r="B228" i="30"/>
  <c r="AB277" i="25" a="1"/>
  <c r="AB277" i="25"/>
  <c r="C277" i="30"/>
  <c r="B277" i="30"/>
  <c r="AB218" i="25" a="1"/>
  <c r="AB218" i="25"/>
  <c r="C218" i="30"/>
  <c r="B218" i="30"/>
  <c r="AB27" i="25" a="1"/>
  <c r="AB27" i="25"/>
  <c r="C27" i="30"/>
  <c r="AB63" i="25" a="1"/>
  <c r="AB63" i="25"/>
  <c r="C63" i="30"/>
  <c r="B63" i="30"/>
  <c r="AB286" i="25" a="1"/>
  <c r="AB286" i="25"/>
  <c r="C286" i="30"/>
  <c r="B286" i="30"/>
  <c r="AB78" i="25" a="1"/>
  <c r="AB78" i="25"/>
  <c r="C78" i="30"/>
  <c r="B78" i="30"/>
  <c r="AB48" i="25" a="1"/>
  <c r="AB48" i="25"/>
  <c r="C48" i="30"/>
  <c r="B48" i="30"/>
  <c r="AB51" i="25" a="1"/>
  <c r="AB51" i="25"/>
  <c r="C51" i="30"/>
  <c r="B51" i="30"/>
  <c r="AB158" i="25" a="1"/>
  <c r="AB158" i="25"/>
  <c r="C158" i="30"/>
  <c r="B158" i="30"/>
  <c r="AB135" i="25" a="1"/>
  <c r="AB135" i="25"/>
  <c r="C135" i="30"/>
  <c r="B135" i="30"/>
  <c r="AB241" i="25" a="1"/>
  <c r="AB241" i="25"/>
  <c r="C241" i="30"/>
  <c r="B241" i="30"/>
  <c r="AB150" i="25" a="1"/>
  <c r="AB150" i="25"/>
  <c r="C150" i="30"/>
  <c r="B150" i="30"/>
  <c r="AB265" i="25" a="1"/>
  <c r="AB265" i="25"/>
  <c r="C265" i="30"/>
  <c r="B265" i="30"/>
  <c r="AB226" i="25" a="1"/>
  <c r="AB226" i="25"/>
  <c r="C226" i="30"/>
  <c r="B226" i="30"/>
  <c r="AB200" i="25" a="1"/>
  <c r="AB200" i="25"/>
  <c r="C200" i="30"/>
  <c r="B200" i="30"/>
  <c r="AB192" i="25" a="1"/>
  <c r="AB192" i="25"/>
  <c r="C192" i="30"/>
  <c r="B192" i="30"/>
  <c r="AB287" i="25" a="1"/>
  <c r="AB287" i="25"/>
  <c r="C287" i="30"/>
  <c r="B287" i="30"/>
  <c r="AB70" i="25" a="1"/>
  <c r="AB70" i="25"/>
  <c r="C70" i="30"/>
  <c r="B70" i="30"/>
  <c r="AB122" i="25" a="1"/>
  <c r="AB122" i="25"/>
  <c r="C122" i="30"/>
  <c r="B122" i="30"/>
  <c r="AB141" i="25" a="1"/>
  <c r="AB141" i="25"/>
  <c r="C141" i="30"/>
  <c r="B141" i="30"/>
  <c r="AB256" i="25" a="1"/>
  <c r="AB256" i="25"/>
  <c r="C256" i="30"/>
  <c r="B256" i="30"/>
  <c r="AB100" i="25" a="1"/>
  <c r="AB100" i="25"/>
  <c r="C100" i="30"/>
  <c r="B100" i="30"/>
  <c r="AB40" i="25" a="1"/>
  <c r="AB40" i="25"/>
  <c r="C40" i="30"/>
  <c r="B40" i="30"/>
  <c r="AB236" i="25" a="1"/>
  <c r="AB236" i="25"/>
  <c r="C236" i="30"/>
  <c r="B236" i="30"/>
  <c r="AB96" i="25" a="1"/>
  <c r="AB96" i="25"/>
  <c r="C96" i="30"/>
  <c r="B96" i="30"/>
  <c r="AB167" i="25" a="1"/>
  <c r="AB167" i="25"/>
  <c r="C167" i="30"/>
  <c r="B167" i="30"/>
  <c r="AB285" i="25" a="1"/>
  <c r="AB285" i="25"/>
  <c r="C285" i="30"/>
  <c r="B285" i="30"/>
  <c r="AB91" i="25" a="1"/>
  <c r="AB91" i="25"/>
  <c r="C91" i="30"/>
  <c r="B91" i="30"/>
  <c r="AB276" i="25" a="1"/>
  <c r="AB276" i="25"/>
  <c r="C276" i="30"/>
  <c r="B276" i="30"/>
  <c r="AB108" i="25" a="1"/>
  <c r="AB108" i="25"/>
  <c r="C108" i="30"/>
  <c r="B108" i="30"/>
  <c r="AB184" i="25" a="1"/>
  <c r="AB184" i="25"/>
  <c r="C184" i="30"/>
  <c r="B184" i="30"/>
  <c r="AB284" i="25" a="1"/>
  <c r="AB284" i="25"/>
  <c r="C284" i="30"/>
  <c r="B284" i="30"/>
  <c r="AB105" i="25" a="1"/>
  <c r="AB105" i="25"/>
  <c r="C105" i="30"/>
  <c r="B105" i="30"/>
  <c r="AB93" i="25" a="1"/>
  <c r="AB93" i="25"/>
  <c r="C93" i="30"/>
  <c r="B93" i="30"/>
  <c r="AB281" i="25" a="1"/>
  <c r="AB281" i="25"/>
  <c r="C281" i="30"/>
  <c r="B281" i="30"/>
  <c r="AB203" i="25" a="1"/>
  <c r="AB203" i="25"/>
  <c r="C203" i="30"/>
  <c r="B203" i="30"/>
  <c r="AB128" i="25" a="1"/>
  <c r="AB128" i="25"/>
  <c r="C128" i="30"/>
  <c r="B128" i="30"/>
  <c r="AB19" i="25" a="1"/>
  <c r="AB19" i="25"/>
  <c r="C19" i="30"/>
  <c r="AB17" i="25" a="1"/>
  <c r="AB17" i="25"/>
  <c r="C17" i="30"/>
  <c r="B17" i="30"/>
  <c r="AB293" i="25" a="1"/>
  <c r="AB293" i="25"/>
  <c r="C293" i="30"/>
  <c r="B293" i="30"/>
  <c r="AB94" i="25" a="1"/>
  <c r="AB94" i="25"/>
  <c r="C94" i="30"/>
  <c r="B94" i="30"/>
  <c r="AB45" i="25" a="1"/>
  <c r="AB45" i="25"/>
  <c r="C45" i="30"/>
  <c r="B45" i="30"/>
  <c r="AB74" i="25" a="1"/>
  <c r="AB74" i="25"/>
  <c r="C74" i="30"/>
  <c r="B74" i="30"/>
  <c r="AB233" i="25" a="1"/>
  <c r="AB233" i="25"/>
  <c r="C233" i="30"/>
  <c r="B233" i="30"/>
  <c r="AB18" i="25" a="1"/>
  <c r="AB18" i="25"/>
  <c r="C18" i="30"/>
  <c r="AB268" i="25" a="1"/>
  <c r="AB268" i="25"/>
  <c r="C268" i="30"/>
  <c r="B268" i="30"/>
  <c r="AB162" i="25" a="1"/>
  <c r="AB162" i="25"/>
  <c r="C162" i="30"/>
  <c r="B162" i="30"/>
  <c r="AB24" i="25" a="1"/>
  <c r="AB24" i="25"/>
  <c r="C24" i="30"/>
  <c r="AB298" i="25" a="1"/>
  <c r="AB298" i="25"/>
  <c r="C298" i="30"/>
  <c r="B298" i="30"/>
  <c r="AB26" i="25" a="1"/>
  <c r="AB26" i="25"/>
  <c r="C26" i="30"/>
  <c r="AB134" i="25" a="1"/>
  <c r="AB134" i="25"/>
  <c r="C134" i="30"/>
  <c r="B134" i="30"/>
  <c r="AB65" i="25" a="1"/>
  <c r="AB65" i="25"/>
  <c r="C65" i="30"/>
  <c r="B65" i="30"/>
  <c r="AB142" i="25" a="1"/>
  <c r="AB142" i="25"/>
  <c r="C142" i="30"/>
  <c r="B142" i="30"/>
  <c r="AB69" i="25" a="1"/>
  <c r="AB69" i="25"/>
  <c r="C69" i="30"/>
  <c r="B69" i="30"/>
  <c r="AB68" i="25" a="1"/>
  <c r="AB68" i="25"/>
  <c r="C68" i="30"/>
  <c r="B68" i="30"/>
  <c r="AB143" i="25" a="1"/>
  <c r="AB143" i="25"/>
  <c r="C143" i="30"/>
  <c r="B143" i="30"/>
  <c r="AB133" i="25" a="1"/>
  <c r="AB133" i="25"/>
  <c r="C133" i="30"/>
  <c r="B133" i="30"/>
  <c r="D592" i="25"/>
  <c r="T624" i="9"/>
  <c r="V624" i="9"/>
  <c r="AB227" i="25" a="1"/>
  <c r="AB227" i="25"/>
  <c r="C227" i="30"/>
  <c r="B227" i="30"/>
  <c r="AD588" i="29"/>
  <c r="F588" i="29"/>
  <c r="AE588" i="29"/>
  <c r="U625" i="9"/>
  <c r="R625" i="9"/>
  <c r="B18" i="30"/>
  <c r="B19" i="30"/>
  <c r="B20" i="30"/>
  <c r="B21" i="30"/>
  <c r="AB282" i="25" a="1"/>
  <c r="AB282" i="25"/>
  <c r="C282" i="30"/>
  <c r="B282" i="30"/>
  <c r="E589" i="29"/>
  <c r="D589" i="29"/>
  <c r="AC589" i="29"/>
  <c r="AG53" i="9"/>
  <c r="AH53" i="9"/>
  <c r="AG67" i="9"/>
  <c r="AH67" i="9"/>
  <c r="AG54" i="9"/>
  <c r="AH54" i="9"/>
  <c r="AG82" i="9"/>
  <c r="AH82" i="9"/>
  <c r="AG79" i="9"/>
  <c r="AH79" i="9"/>
  <c r="AG72" i="9"/>
  <c r="AH72" i="9"/>
  <c r="AG62" i="9"/>
  <c r="AH62" i="9"/>
  <c r="AG80" i="9"/>
  <c r="AH80" i="9"/>
  <c r="AG78" i="9"/>
  <c r="AH78" i="9"/>
  <c r="AG68" i="9"/>
  <c r="AH68" i="9"/>
  <c r="AG76" i="9"/>
  <c r="AH76" i="9"/>
  <c r="AG74" i="9"/>
  <c r="AH74" i="9"/>
  <c r="AG71" i="9"/>
  <c r="AH71" i="9"/>
  <c r="AG56" i="9"/>
  <c r="AH56" i="9"/>
  <c r="AG59" i="9"/>
  <c r="AH59" i="9"/>
  <c r="AG64" i="9"/>
  <c r="AH64" i="9"/>
  <c r="AG70" i="9"/>
  <c r="AH70" i="9"/>
  <c r="AG81" i="9"/>
  <c r="AH81" i="9"/>
  <c r="AG60" i="9"/>
  <c r="AH60" i="9"/>
  <c r="AG66" i="9"/>
  <c r="AH66" i="9"/>
  <c r="AG63" i="9"/>
  <c r="AH63" i="9"/>
  <c r="AG69" i="9"/>
  <c r="AH69" i="9"/>
  <c r="AG65" i="9"/>
  <c r="AH65" i="9"/>
  <c r="AG77" i="9"/>
  <c r="AH77" i="9"/>
  <c r="AG75" i="9"/>
  <c r="AH75" i="9"/>
  <c r="AG57" i="9"/>
  <c r="AH57" i="9"/>
  <c r="AG73" i="9"/>
  <c r="AH73" i="9"/>
  <c r="AG58" i="9"/>
  <c r="AH58" i="9"/>
  <c r="AG55" i="9"/>
  <c r="AH55" i="9"/>
  <c r="AG61" i="9"/>
  <c r="AH61" i="9"/>
  <c r="H592" i="25"/>
  <c r="U592" i="25"/>
  <c r="G592" i="25"/>
  <c r="V592" i="25"/>
  <c r="V595" i="25"/>
  <c r="E592" i="25"/>
  <c r="F592" i="25"/>
  <c r="I592" i="25"/>
  <c r="W592" i="25"/>
  <c r="T592" i="25"/>
  <c r="AB238" i="25" a="1"/>
  <c r="AB238" i="25"/>
  <c r="C238" i="30"/>
  <c r="B238" i="30"/>
  <c r="AB199" i="25" a="1"/>
  <c r="AB199" i="25"/>
  <c r="C199" i="30"/>
  <c r="B199" i="30"/>
  <c r="AB22" i="25" a="1"/>
  <c r="AB22" i="25"/>
  <c r="C22" i="30"/>
  <c r="AB140" i="25" a="1"/>
  <c r="AB140" i="25"/>
  <c r="C140" i="30"/>
  <c r="B140" i="30"/>
  <c r="AB42" i="25" a="1"/>
  <c r="AB42" i="25"/>
  <c r="C42" i="30"/>
  <c r="B42" i="30"/>
  <c r="AB169" i="25" a="1"/>
  <c r="AB169" i="25"/>
  <c r="C169" i="30"/>
  <c r="B169" i="30"/>
  <c r="AB46" i="25" a="1"/>
  <c r="AB46" i="25"/>
  <c r="C46" i="30"/>
  <c r="B46" i="30"/>
  <c r="AB57" i="25" a="1"/>
  <c r="AB57" i="25"/>
  <c r="C57" i="30"/>
  <c r="B57" i="30"/>
  <c r="AB28" i="25" a="1"/>
  <c r="AB28" i="25"/>
  <c r="C28" i="30"/>
  <c r="AB52" i="25" a="1"/>
  <c r="AB52" i="25"/>
  <c r="C52" i="30"/>
  <c r="B52" i="30"/>
  <c r="AB88" i="25" a="1"/>
  <c r="AB88" i="25"/>
  <c r="C88" i="30"/>
  <c r="B88" i="30"/>
  <c r="AB107" i="25" a="1"/>
  <c r="AB107" i="25"/>
  <c r="C107" i="30"/>
  <c r="B107" i="30"/>
  <c r="AB244" i="25" a="1"/>
  <c r="AB244" i="25"/>
  <c r="C244" i="30"/>
  <c r="B244" i="30"/>
  <c r="AB275" i="25" a="1"/>
  <c r="AB275" i="25"/>
  <c r="C275" i="30"/>
  <c r="B275" i="30"/>
  <c r="AB38" i="25" a="1"/>
  <c r="AB38" i="25"/>
  <c r="C38" i="30"/>
  <c r="B38" i="30"/>
  <c r="AB132" i="25" a="1"/>
  <c r="AB132" i="25"/>
  <c r="C132" i="30"/>
  <c r="B132" i="30"/>
  <c r="AB53" i="25" a="1"/>
  <c r="AB53" i="25"/>
  <c r="C53" i="30"/>
  <c r="B53" i="30"/>
  <c r="AB34" i="25" a="1"/>
  <c r="AB34" i="25"/>
  <c r="C34" i="30"/>
  <c r="B34" i="30"/>
  <c r="AB104" i="25" a="1"/>
  <c r="AB104" i="25"/>
  <c r="C104" i="30"/>
  <c r="B104" i="30"/>
  <c r="AB129" i="25" a="1"/>
  <c r="AB129" i="25"/>
  <c r="C129" i="30"/>
  <c r="B129" i="30"/>
  <c r="AB147" i="25" a="1"/>
  <c r="AB147" i="25"/>
  <c r="C147" i="30"/>
  <c r="B147" i="30"/>
  <c r="AB102" i="25" a="1"/>
  <c r="AB102" i="25"/>
  <c r="C102" i="30"/>
  <c r="B102" i="30"/>
  <c r="AB205" i="25" a="1"/>
  <c r="AB205" i="25"/>
  <c r="C205" i="30"/>
  <c r="B205" i="30"/>
  <c r="AB62" i="25" a="1"/>
  <c r="AB62" i="25"/>
  <c r="C62" i="30"/>
  <c r="B62" i="30"/>
  <c r="AB116" i="25" a="1"/>
  <c r="AB116" i="25"/>
  <c r="C116" i="30"/>
  <c r="B116" i="30"/>
  <c r="AB131" i="25" a="1"/>
  <c r="AB131" i="25"/>
  <c r="C131" i="30"/>
  <c r="B131" i="30"/>
  <c r="AB224" i="25" a="1"/>
  <c r="AB224" i="25"/>
  <c r="C224" i="30"/>
  <c r="B224" i="30"/>
  <c r="AB280" i="25" a="1"/>
  <c r="AB280" i="25"/>
  <c r="C280" i="30"/>
  <c r="B280" i="30"/>
  <c r="AB73" i="25" a="1"/>
  <c r="AB73" i="25"/>
  <c r="C73" i="30"/>
  <c r="B73" i="30"/>
  <c r="AB289" i="25" a="1"/>
  <c r="AB289" i="25"/>
  <c r="C289" i="30"/>
  <c r="B289" i="30"/>
  <c r="AB231" i="25" a="1"/>
  <c r="AB231" i="25"/>
  <c r="C231" i="30"/>
  <c r="B231" i="30"/>
  <c r="AB137" i="25" a="1"/>
  <c r="AB137" i="25"/>
  <c r="C137" i="30"/>
  <c r="B137" i="30"/>
  <c r="AB125" i="25" a="1"/>
  <c r="AB125" i="25"/>
  <c r="C125" i="30"/>
  <c r="B125" i="30"/>
  <c r="AB296" i="25" a="1"/>
  <c r="AB296" i="25"/>
  <c r="C296" i="30"/>
  <c r="B296" i="30"/>
  <c r="AB266" i="25" a="1"/>
  <c r="AB266" i="25"/>
  <c r="C266" i="30"/>
  <c r="B266" i="30"/>
  <c r="T625" i="9"/>
  <c r="V625" i="9"/>
  <c r="AD589" i="29"/>
  <c r="F589" i="29"/>
  <c r="AE589" i="29"/>
  <c r="B22" i="30"/>
  <c r="B23" i="30"/>
  <c r="B24" i="30"/>
  <c r="B25" i="30"/>
  <c r="B26" i="30"/>
  <c r="B27" i="30"/>
  <c r="B28" i="30"/>
  <c r="B29" i="30"/>
  <c r="K592" i="25"/>
  <c r="K595" i="25"/>
  <c r="U595" i="25"/>
</calcChain>
</file>

<file path=xl/sharedStrings.xml><?xml version="1.0" encoding="utf-8"?>
<sst xmlns="http://schemas.openxmlformats.org/spreadsheetml/2006/main" count="954" uniqueCount="409">
  <si>
    <t>Month</t>
  </si>
  <si>
    <t>Station Name:</t>
  </si>
  <si>
    <t>Station Number:</t>
  </si>
  <si>
    <t>BPress =</t>
  </si>
  <si>
    <t>D</t>
  </si>
  <si>
    <t>A</t>
  </si>
  <si>
    <t>linear</t>
  </si>
  <si>
    <t>cubic</t>
  </si>
  <si>
    <t>X(I%)</t>
  </si>
  <si>
    <t>X</t>
  </si>
  <si>
    <t>H</t>
  </si>
  <si>
    <t>X(Klo)</t>
  </si>
  <si>
    <t>X(Khi)</t>
  </si>
  <si>
    <t>Y(Klo)</t>
  </si>
  <si>
    <t>Y(Khi)</t>
  </si>
  <si>
    <t>Y2(Klo)</t>
  </si>
  <si>
    <t>Y2(Khi)</t>
  </si>
  <si>
    <t>B</t>
  </si>
  <si>
    <t>DOY</t>
  </si>
  <si>
    <t>CETo</t>
  </si>
  <si>
    <t>YP1=</t>
  </si>
  <si>
    <t>YPN=</t>
  </si>
  <si>
    <t>month</t>
  </si>
  <si>
    <t>I%</t>
  </si>
  <si>
    <t>ETo</t>
  </si>
  <si>
    <t>midmonth</t>
  </si>
  <si>
    <t>Y(I%)</t>
  </si>
  <si>
    <t>sig</t>
  </si>
  <si>
    <t>p</t>
  </si>
  <si>
    <t>U()</t>
  </si>
  <si>
    <t>Y2()</t>
  </si>
  <si>
    <t>Y2(K)</t>
  </si>
  <si>
    <t>note: day 47=January 1</t>
  </si>
  <si>
    <t>note day 411=December 31</t>
  </si>
  <si>
    <t>Day</t>
  </si>
  <si>
    <t>mm</t>
  </si>
  <si>
    <t>Pcp</t>
  </si>
  <si>
    <t>NRD</t>
  </si>
  <si>
    <t>#</t>
  </si>
  <si>
    <t>albedo =</t>
  </si>
  <si>
    <t>DBR</t>
  </si>
  <si>
    <t>days</t>
  </si>
  <si>
    <t>DPM</t>
  </si>
  <si>
    <t>date</t>
  </si>
  <si>
    <t xml:space="preserve">Bare </t>
  </si>
  <si>
    <t>Soil</t>
  </si>
  <si>
    <t>Kc</t>
  </si>
  <si>
    <t>CEs</t>
  </si>
  <si>
    <t>PM ETo</t>
  </si>
  <si>
    <t>CEx</t>
  </si>
  <si>
    <t>OKc</t>
  </si>
  <si>
    <t>IKc</t>
  </si>
  <si>
    <t>in-season</t>
  </si>
  <si>
    <t>crop</t>
  </si>
  <si>
    <t>ETc</t>
  </si>
  <si>
    <t>cckc</t>
  </si>
  <si>
    <t>KcB</t>
  </si>
  <si>
    <t>KcC</t>
  </si>
  <si>
    <t>KcE</t>
  </si>
  <si>
    <t>% GC</t>
  </si>
  <si>
    <t>KcD</t>
  </si>
  <si>
    <t>day</t>
  </si>
  <si>
    <t>Ex =</t>
  </si>
  <si>
    <t>sqrt(CEx)</t>
  </si>
  <si>
    <t>soil Kc</t>
  </si>
  <si>
    <t>non leap</t>
  </si>
  <si>
    <t>leap</t>
  </si>
  <si>
    <t>in-off</t>
  </si>
  <si>
    <t>season</t>
  </si>
  <si>
    <t>C</t>
  </si>
  <si>
    <t>E</t>
  </si>
  <si>
    <t>= ETo</t>
  </si>
  <si>
    <t>= Kx</t>
  </si>
  <si>
    <t>= Beta</t>
  </si>
  <si>
    <t>start</t>
  </si>
  <si>
    <t>end</t>
  </si>
  <si>
    <t>Crop</t>
  </si>
  <si>
    <t>% season</t>
  </si>
  <si>
    <t>Planting</t>
  </si>
  <si>
    <t>Harvest</t>
  </si>
  <si>
    <t>Number</t>
  </si>
  <si>
    <t>Name</t>
  </si>
  <si>
    <t>Date</t>
  </si>
  <si>
    <t>Alfalfa (cycle)</t>
  </si>
  <si>
    <t>Artichokes</t>
  </si>
  <si>
    <t>Asparagus</t>
  </si>
  <si>
    <t>Barley</t>
  </si>
  <si>
    <t>Beans (pinto)</t>
  </si>
  <si>
    <t>Beans (dry)</t>
  </si>
  <si>
    <t>Beans (green)</t>
  </si>
  <si>
    <t>Beets (table)</t>
  </si>
  <si>
    <t>Broccoli</t>
  </si>
  <si>
    <t>Cabbage</t>
  </si>
  <si>
    <t>Carrots</t>
  </si>
  <si>
    <t>Celery</t>
  </si>
  <si>
    <t>Corn (grain)</t>
  </si>
  <si>
    <t>Corn (silage)</t>
  </si>
  <si>
    <t>Cotton</t>
  </si>
  <si>
    <t xml:space="preserve">Cucumber </t>
  </si>
  <si>
    <t>Eggplant</t>
  </si>
  <si>
    <t>Flax</t>
  </si>
  <si>
    <t>Grains (small)</t>
  </si>
  <si>
    <t>Grains (winter)</t>
  </si>
  <si>
    <t>Lentil</t>
  </si>
  <si>
    <t>Lettuce</t>
  </si>
  <si>
    <t>Melon</t>
  </si>
  <si>
    <t>Millet</t>
  </si>
  <si>
    <t>Mustard</t>
  </si>
  <si>
    <t>Oats</t>
  </si>
  <si>
    <t>Onion (dry)</t>
  </si>
  <si>
    <t>Onion (green)</t>
  </si>
  <si>
    <t>Peas</t>
  </si>
  <si>
    <t>Peppers</t>
  </si>
  <si>
    <t>Potato</t>
  </si>
  <si>
    <t>Radishes</t>
  </si>
  <si>
    <t>Rice</t>
  </si>
  <si>
    <t>Safflower</t>
  </si>
  <si>
    <t>Sisal</t>
  </si>
  <si>
    <t>Sorghum</t>
  </si>
  <si>
    <t>Spinach</t>
  </si>
  <si>
    <t>Squash</t>
  </si>
  <si>
    <t>Strawberries w/mulch</t>
  </si>
  <si>
    <t>Sugarbeet</t>
  </si>
  <si>
    <t>Sunflower</t>
  </si>
  <si>
    <t>Sweet Potatoes</t>
  </si>
  <si>
    <t>Tomato</t>
  </si>
  <si>
    <t>Vegetables</t>
  </si>
  <si>
    <t>Wheat</t>
  </si>
  <si>
    <t>Watermelon</t>
  </si>
  <si>
    <t>Alfalfa (annual)</t>
  </si>
  <si>
    <t>Improved Pasture</t>
  </si>
  <si>
    <t>Turfgrass (cool-season)</t>
  </si>
  <si>
    <t>Turfgrass (warm-season)</t>
  </si>
  <si>
    <t>Almonds</t>
  </si>
  <si>
    <t>Apple</t>
  </si>
  <si>
    <t>Kiwifruit</t>
  </si>
  <si>
    <t>Stone fruits</t>
  </si>
  <si>
    <t>Walnuts</t>
  </si>
  <si>
    <t>Avocado</t>
  </si>
  <si>
    <t>Date Palm</t>
  </si>
  <si>
    <t>Evergreen</t>
  </si>
  <si>
    <t>Olives</t>
  </si>
  <si>
    <t xml:space="preserve">Percentage of season to growth dates, crop coefficients, and sample start and end dates </t>
  </si>
  <si>
    <t># days</t>
  </si>
  <si>
    <t>Growth</t>
  </si>
  <si>
    <t>Table Kc</t>
  </si>
  <si>
    <t>KcA</t>
  </si>
  <si>
    <t>Initial</t>
  </si>
  <si>
    <t>CETc</t>
  </si>
  <si>
    <r>
      <t>G</t>
    </r>
    <r>
      <rPr>
        <vertAlign val="subscript"/>
        <sz val="10"/>
        <rFont val="Arial"/>
        <family val="2"/>
      </rPr>
      <t xml:space="preserve">SC </t>
    </r>
    <r>
      <rPr>
        <sz val="10"/>
        <rFont val="Arial"/>
        <family val="2"/>
      </rPr>
      <t>=</t>
    </r>
  </si>
  <si>
    <r>
      <t>f</t>
    </r>
    <r>
      <rPr>
        <sz val="10"/>
        <rFont val="Arial"/>
        <family val="2"/>
      </rPr>
      <t xml:space="preserve"> =</t>
    </r>
  </si>
  <si>
    <r>
      <t>s</t>
    </r>
    <r>
      <rPr>
        <sz val="10"/>
        <rFont val="Arial"/>
        <family val="2"/>
      </rPr>
      <t xml:space="preserve"> =</t>
    </r>
  </si>
  <si>
    <r>
      <t xml:space="preserve">l </t>
    </r>
    <r>
      <rPr>
        <sz val="10"/>
        <rFont val="Arial"/>
        <family val="2"/>
      </rPr>
      <t>=</t>
    </r>
  </si>
  <si>
    <t>angle above</t>
  </si>
  <si>
    <r>
      <t>N=</t>
    </r>
    <r>
      <rPr>
        <sz val="10"/>
        <rFont val="Symbol"/>
        <family val="1"/>
        <charset val="2"/>
      </rPr>
      <t>w</t>
    </r>
    <r>
      <rPr>
        <vertAlign val="subscript"/>
        <sz val="10"/>
        <rFont val="Arial"/>
        <family val="2"/>
      </rPr>
      <t>s</t>
    </r>
    <r>
      <rPr>
        <sz val="10"/>
        <rFont val="Arial"/>
        <family val="2"/>
      </rPr>
      <t>*24/</t>
    </r>
    <r>
      <rPr>
        <sz val="10"/>
        <rFont val="Symbol"/>
        <family val="1"/>
        <charset val="2"/>
      </rPr>
      <t>p</t>
    </r>
  </si>
  <si>
    <t>g =</t>
  </si>
  <si>
    <t xml:space="preserve">End </t>
  </si>
  <si>
    <t>Days per</t>
  </si>
  <si>
    <t>Mid-</t>
  </si>
  <si>
    <t>Earth-Sun</t>
  </si>
  <si>
    <t>celestial</t>
  </si>
  <si>
    <t xml:space="preserve">sunrise </t>
  </si>
  <si>
    <t>Potential</t>
  </si>
  <si>
    <t>extra-</t>
  </si>
  <si>
    <t>maximum</t>
  </si>
  <si>
    <t xml:space="preserve">net </t>
  </si>
  <si>
    <t xml:space="preserve">cloud </t>
  </si>
  <si>
    <t>Sat. VP</t>
  </si>
  <si>
    <t>Sat VP</t>
  </si>
  <si>
    <t xml:space="preserve">Actual </t>
  </si>
  <si>
    <t>clear sky</t>
  </si>
  <si>
    <t>net long</t>
  </si>
  <si>
    <t>net</t>
  </si>
  <si>
    <t>Soil heat</t>
  </si>
  <si>
    <t>Mean</t>
  </si>
  <si>
    <t xml:space="preserve">Slope of </t>
  </si>
  <si>
    <t>Radiation</t>
  </si>
  <si>
    <t>Aerodynamic</t>
  </si>
  <si>
    <t>distance</t>
  </si>
  <si>
    <t>plane</t>
  </si>
  <si>
    <t>angle</t>
  </si>
  <si>
    <t>Sunshine hrs</t>
  </si>
  <si>
    <t>terrestrial</t>
  </si>
  <si>
    <t>solar</t>
  </si>
  <si>
    <t>cover</t>
  </si>
  <si>
    <t>Tmax</t>
  </si>
  <si>
    <t>Tmin</t>
  </si>
  <si>
    <t>VP</t>
  </si>
  <si>
    <t>emissivity</t>
  </si>
  <si>
    <t>wave Rad</t>
  </si>
  <si>
    <t>Tmean</t>
  </si>
  <si>
    <t>Flux</t>
  </si>
  <si>
    <t>VPD</t>
  </si>
  <si>
    <t>SVP curve</t>
  </si>
  <si>
    <t>Term of PM</t>
  </si>
  <si>
    <t>Di</t>
  </si>
  <si>
    <t>Mi</t>
  </si>
  <si>
    <r>
      <t>d</t>
    </r>
    <r>
      <rPr>
        <vertAlign val="subscript"/>
        <sz val="10"/>
        <rFont val="Arial"/>
        <family val="2"/>
      </rPr>
      <t>r</t>
    </r>
  </si>
  <si>
    <t xml:space="preserve">d </t>
  </si>
  <si>
    <r>
      <t>w</t>
    </r>
    <r>
      <rPr>
        <vertAlign val="subscript"/>
        <sz val="10"/>
        <rFont val="Arial"/>
        <family val="2"/>
      </rPr>
      <t>s</t>
    </r>
  </si>
  <si>
    <t>N</t>
  </si>
  <si>
    <r>
      <t>R</t>
    </r>
    <r>
      <rPr>
        <vertAlign val="subscript"/>
        <sz val="10"/>
        <rFont val="Arial"/>
        <family val="2"/>
      </rPr>
      <t>a</t>
    </r>
  </si>
  <si>
    <r>
      <t>R</t>
    </r>
    <r>
      <rPr>
        <vertAlign val="subscript"/>
        <sz val="10"/>
        <rFont val="Arial"/>
        <family val="2"/>
      </rPr>
      <t>so</t>
    </r>
  </si>
  <si>
    <r>
      <t>R</t>
    </r>
    <r>
      <rPr>
        <vertAlign val="subscript"/>
        <sz val="10"/>
        <rFont val="Arial"/>
        <family val="2"/>
      </rPr>
      <t>ns</t>
    </r>
  </si>
  <si>
    <t>f</t>
  </si>
  <si>
    <r>
      <t>e</t>
    </r>
    <r>
      <rPr>
        <vertAlign val="subscript"/>
        <sz val="10"/>
        <rFont val="Arial"/>
        <family val="2"/>
      </rPr>
      <t>s</t>
    </r>
    <r>
      <rPr>
        <sz val="10"/>
        <rFont val="Arial"/>
        <family val="2"/>
      </rPr>
      <t>(T</t>
    </r>
    <r>
      <rPr>
        <vertAlign val="subscript"/>
        <sz val="10"/>
        <rFont val="Arial"/>
        <family val="2"/>
      </rPr>
      <t>x</t>
    </r>
    <r>
      <rPr>
        <sz val="10"/>
        <rFont val="Arial"/>
        <family val="2"/>
      </rPr>
      <t>)</t>
    </r>
  </si>
  <si>
    <r>
      <t>e</t>
    </r>
    <r>
      <rPr>
        <vertAlign val="subscript"/>
        <sz val="10"/>
        <rFont val="Arial"/>
        <family val="2"/>
      </rPr>
      <t>s</t>
    </r>
    <r>
      <rPr>
        <sz val="10"/>
        <rFont val="Arial"/>
        <family val="2"/>
      </rPr>
      <t>(T</t>
    </r>
    <r>
      <rPr>
        <vertAlign val="subscript"/>
        <sz val="10"/>
        <rFont val="Arial"/>
        <family val="2"/>
      </rPr>
      <t>n</t>
    </r>
    <r>
      <rPr>
        <sz val="10"/>
        <rFont val="Arial"/>
        <family val="2"/>
      </rPr>
      <t>)</t>
    </r>
  </si>
  <si>
    <r>
      <t>e</t>
    </r>
    <r>
      <rPr>
        <vertAlign val="subscript"/>
        <sz val="10"/>
        <rFont val="Arial"/>
        <family val="2"/>
      </rPr>
      <t>d</t>
    </r>
  </si>
  <si>
    <r>
      <t>e</t>
    </r>
    <r>
      <rPr>
        <sz val="10"/>
        <rFont val="Arial"/>
        <family val="2"/>
      </rPr>
      <t>'</t>
    </r>
  </si>
  <si>
    <r>
      <t>R</t>
    </r>
    <r>
      <rPr>
        <vertAlign val="subscript"/>
        <sz val="10"/>
        <rFont val="Arial"/>
        <family val="2"/>
      </rPr>
      <t>nl</t>
    </r>
  </si>
  <si>
    <r>
      <t>R</t>
    </r>
    <r>
      <rPr>
        <vertAlign val="subscript"/>
        <sz val="10"/>
        <rFont val="Arial"/>
        <family val="2"/>
      </rPr>
      <t>n</t>
    </r>
  </si>
  <si>
    <r>
      <t>T</t>
    </r>
    <r>
      <rPr>
        <vertAlign val="subscript"/>
        <sz val="10"/>
        <rFont val="Arial"/>
        <family val="2"/>
      </rPr>
      <t>m</t>
    </r>
  </si>
  <si>
    <t>G</t>
  </si>
  <si>
    <r>
      <t>e</t>
    </r>
    <r>
      <rPr>
        <vertAlign val="subscript"/>
        <sz val="10"/>
        <rFont val="Arial"/>
        <family val="2"/>
      </rPr>
      <t>a</t>
    </r>
  </si>
  <si>
    <r>
      <t>e</t>
    </r>
    <r>
      <rPr>
        <vertAlign val="subscript"/>
        <sz val="10"/>
        <rFont val="Arial"/>
        <family val="2"/>
      </rPr>
      <t>a-</t>
    </r>
    <r>
      <rPr>
        <sz val="10"/>
        <rFont val="Arial"/>
        <family val="2"/>
      </rPr>
      <t>e</t>
    </r>
    <r>
      <rPr>
        <vertAlign val="subscript"/>
        <sz val="10"/>
        <rFont val="Arial"/>
        <family val="2"/>
      </rPr>
      <t>d</t>
    </r>
  </si>
  <si>
    <t>R</t>
  </si>
  <si>
    <t>Planting Year:</t>
  </si>
  <si>
    <t>Type 3</t>
  </si>
  <si>
    <t>IBSKC</t>
  </si>
  <si>
    <t>Input</t>
  </si>
  <si>
    <t>Sample</t>
  </si>
  <si>
    <t>Crop #:</t>
  </si>
  <si>
    <t>Current</t>
  </si>
  <si>
    <t xml:space="preserve">Growth </t>
  </si>
  <si>
    <t>Effective</t>
  </si>
  <si>
    <t>Run</t>
  </si>
  <si>
    <t>Time</t>
  </si>
  <si>
    <t>SWD</t>
  </si>
  <si>
    <t>NA</t>
  </si>
  <si>
    <t>GA</t>
  </si>
  <si>
    <t>hrs</t>
  </si>
  <si>
    <t>min</t>
  </si>
  <si>
    <t>AR</t>
  </si>
  <si>
    <t>YTD</t>
  </si>
  <si>
    <t>PWP</t>
  </si>
  <si>
    <t>YT</t>
  </si>
  <si>
    <t>SWC</t>
  </si>
  <si>
    <t>AW</t>
  </si>
  <si>
    <t>%</t>
  </si>
  <si>
    <t>m/m</t>
  </si>
  <si>
    <t>m</t>
  </si>
  <si>
    <t>Hours</t>
  </si>
  <si>
    <t>Minutes</t>
  </si>
  <si>
    <t xml:space="preserve">Runtime          </t>
  </si>
  <si>
    <t xml:space="preserve">Irrigation </t>
  </si>
  <si>
    <t>number</t>
  </si>
  <si>
    <t>sum</t>
  </si>
  <si>
    <t>irrigations</t>
  </si>
  <si>
    <t>mark 1</t>
  </si>
  <si>
    <t>Irrigation</t>
  </si>
  <si>
    <t xml:space="preserve">Runtime            </t>
  </si>
  <si>
    <t>crop:</t>
  </si>
  <si>
    <t>Year:</t>
  </si>
  <si>
    <t>ER</t>
  </si>
  <si>
    <t>Input ETo</t>
  </si>
  <si>
    <r>
      <t>R</t>
    </r>
    <r>
      <rPr>
        <b/>
        <vertAlign val="subscript"/>
        <sz val="10"/>
        <color indexed="13"/>
        <rFont val="Arial"/>
        <family val="2"/>
      </rPr>
      <t>s</t>
    </r>
  </si>
  <si>
    <r>
      <t>T</t>
    </r>
    <r>
      <rPr>
        <b/>
        <vertAlign val="subscript"/>
        <sz val="10"/>
        <color indexed="13"/>
        <rFont val="Arial"/>
        <family val="2"/>
      </rPr>
      <t>x</t>
    </r>
  </si>
  <si>
    <r>
      <t>T</t>
    </r>
    <r>
      <rPr>
        <b/>
        <vertAlign val="subscript"/>
        <sz val="10"/>
        <color indexed="13"/>
        <rFont val="Arial"/>
        <family val="2"/>
      </rPr>
      <t>n</t>
    </r>
  </si>
  <si>
    <r>
      <t>U</t>
    </r>
    <r>
      <rPr>
        <b/>
        <vertAlign val="subscript"/>
        <sz val="10"/>
        <color indexed="13"/>
        <rFont val="Arial"/>
        <family val="2"/>
      </rPr>
      <t>2</t>
    </r>
  </si>
  <si>
    <r>
      <t>T</t>
    </r>
    <r>
      <rPr>
        <b/>
        <vertAlign val="subscript"/>
        <sz val="10"/>
        <color indexed="13"/>
        <rFont val="Arial"/>
        <family val="2"/>
      </rPr>
      <t>d</t>
    </r>
  </si>
  <si>
    <r>
      <t>MJ m</t>
    </r>
    <r>
      <rPr>
        <b/>
        <vertAlign val="superscript"/>
        <sz val="8"/>
        <color indexed="13"/>
        <rFont val="Arial"/>
        <family val="2"/>
      </rPr>
      <t>-2</t>
    </r>
    <r>
      <rPr>
        <b/>
        <sz val="8"/>
        <color indexed="13"/>
        <rFont val="Arial"/>
        <family val="2"/>
      </rPr>
      <t>d</t>
    </r>
    <r>
      <rPr>
        <b/>
        <vertAlign val="superscript"/>
        <sz val="8"/>
        <color indexed="13"/>
        <rFont val="Arial"/>
        <family val="2"/>
      </rPr>
      <t>-1</t>
    </r>
  </si>
  <si>
    <r>
      <t>o</t>
    </r>
    <r>
      <rPr>
        <b/>
        <sz val="8"/>
        <color indexed="13"/>
        <rFont val="Arial"/>
        <family val="2"/>
      </rPr>
      <t>C</t>
    </r>
  </si>
  <si>
    <r>
      <t>m s</t>
    </r>
    <r>
      <rPr>
        <b/>
        <vertAlign val="superscript"/>
        <sz val="8"/>
        <color indexed="13"/>
        <rFont val="Arial"/>
        <family val="2"/>
      </rPr>
      <t>-1</t>
    </r>
  </si>
  <si>
    <t>kPa</t>
  </si>
  <si>
    <t>Frequency</t>
  </si>
  <si>
    <t xml:space="preserve">e.g., 1-Jan     </t>
  </si>
  <si>
    <r>
      <t>mm d</t>
    </r>
    <r>
      <rPr>
        <b/>
        <vertAlign val="superscript"/>
        <sz val="10"/>
        <rFont val="Arial"/>
        <family val="2"/>
      </rPr>
      <t>-1</t>
    </r>
  </si>
  <si>
    <t>Capacity</t>
  </si>
  <si>
    <t>Plant</t>
  </si>
  <si>
    <t>PAW</t>
  </si>
  <si>
    <t>Water</t>
  </si>
  <si>
    <t>Allowable</t>
  </si>
  <si>
    <t>Depletion</t>
  </si>
  <si>
    <t>Yield</t>
  </si>
  <si>
    <t>Threshold</t>
  </si>
  <si>
    <t>Available</t>
  </si>
  <si>
    <t>Holding</t>
  </si>
  <si>
    <t>Total</t>
  </si>
  <si>
    <t>Rooting</t>
  </si>
  <si>
    <t>Depth</t>
  </si>
  <si>
    <t>HS ETo</t>
  </si>
  <si>
    <t>Trange</t>
  </si>
  <si>
    <t>Tr</t>
  </si>
  <si>
    <t>Input Ep</t>
  </si>
  <si>
    <t>fetch (m) =</t>
  </si>
  <si>
    <t>EToEpan</t>
  </si>
  <si>
    <t>F&gt;=100</t>
  </si>
  <si>
    <t>Normal</t>
  </si>
  <si>
    <t>Rainfall</t>
  </si>
  <si>
    <t>Grow</t>
  </si>
  <si>
    <r>
      <t>mm h</t>
    </r>
    <r>
      <rPr>
        <vertAlign val="superscript"/>
        <sz val="10"/>
        <rFont val="Arial"/>
        <family val="2"/>
      </rPr>
      <t>-1</t>
    </r>
  </si>
  <si>
    <t>Initial Soil Water Depletion =</t>
  </si>
  <si>
    <t>Elevation (m):</t>
  </si>
  <si>
    <t>Latitude (deg):</t>
  </si>
  <si>
    <t>Basic Irrigation Scheduling</t>
  </si>
  <si>
    <t>Richard L. Snyder</t>
  </si>
  <si>
    <t>University of California</t>
  </si>
  <si>
    <t>Land, Air and Water Resources</t>
  </si>
  <si>
    <t>Atmospheric Science</t>
  </si>
  <si>
    <t>rlsnyder@ucdavis.edu</t>
  </si>
  <si>
    <t>Khaled Bali</t>
  </si>
  <si>
    <t>Cooperative Extension</t>
  </si>
  <si>
    <t>1050 E. Holton Road</t>
  </si>
  <si>
    <t>Holtville, CA, 92250-9615, USA</t>
  </si>
  <si>
    <t>Davis, CA, 95616, USA</t>
  </si>
  <si>
    <t>kmbali@ucdavis.edu</t>
  </si>
  <si>
    <t>Morteza Orang</t>
  </si>
  <si>
    <t>California Department of Water Resources</t>
  </si>
  <si>
    <t>Division of Planning and Local Assistance</t>
  </si>
  <si>
    <t>P.O. Box 942836</t>
  </si>
  <si>
    <t>Sacramento, CA 942836-0001, USA</t>
  </si>
  <si>
    <t>morang@water.ca.gov</t>
  </si>
  <si>
    <t>Simon Eching</t>
  </si>
  <si>
    <t>Sacramento, CA 94236-0001, USA</t>
  </si>
  <si>
    <t>seching@water.ca.gov</t>
  </si>
  <si>
    <t>This Excel application program estimates reference evapotranspiration (ETo) from monthly</t>
  </si>
  <si>
    <t>climate data and uses the product of crop coefficient (Kc) factors and daily estimated ETo</t>
  </si>
  <si>
    <t>to estimate crop evapotranspiration (ETc). ETo is calculated using the modified Penman-</t>
  </si>
  <si>
    <t>Monteith equation for short crops from the American Society of Civil Engineers. Soil</t>
  </si>
  <si>
    <t>water holding characteristics, soil depth, irrigation application rates and efficiencies and</t>
  </si>
  <si>
    <t>daily ETc rates are used to develop an irrigation schedule.</t>
  </si>
  <si>
    <t>Average or Total:</t>
  </si>
  <si>
    <t>Copyright © 2000. Regents of the Univerisity of California, All rights reserved.</t>
  </si>
  <si>
    <t xml:space="preserve">                    Current</t>
  </si>
  <si>
    <r>
      <t>mm d</t>
    </r>
    <r>
      <rPr>
        <vertAlign val="superscript"/>
        <sz val="10"/>
        <rFont val="Arial"/>
        <family val="2"/>
      </rPr>
      <t>-1</t>
    </r>
  </si>
  <si>
    <t>Irrig. Freq.</t>
  </si>
  <si>
    <t>Adjust</t>
  </si>
  <si>
    <t>Immaturity</t>
  </si>
  <si>
    <t>Adjustment</t>
  </si>
  <si>
    <t>Cover Crop</t>
  </si>
  <si>
    <t xml:space="preserve">Dates  </t>
  </si>
  <si>
    <t>Deciduous     Tree &amp; Vine</t>
  </si>
  <si>
    <t>Subtropical Orchards</t>
  </si>
  <si>
    <t>1st cycle</t>
  </si>
  <si>
    <t>2nd cycle</t>
  </si>
  <si>
    <t>BISm</t>
  </si>
  <si>
    <t>minutes per hour</t>
  </si>
  <si>
    <t>lpm per hectare</t>
  </si>
  <si>
    <t>mm per hour</t>
  </si>
  <si>
    <t>Emitters per hectare</t>
  </si>
  <si>
    <t>lph per emitter</t>
  </si>
  <si>
    <t>¸</t>
  </si>
  <si>
    <t>=</t>
  </si>
  <si>
    <t>Pump Rate (lpm)</t>
  </si>
  <si>
    <t>Area (hectares)</t>
  </si>
  <si>
    <t>Emitters per tree</t>
  </si>
  <si>
    <t>trees per hectare</t>
  </si>
  <si>
    <r>
      <t>e</t>
    </r>
    <r>
      <rPr>
        <vertAlign val="superscript"/>
        <sz val="10"/>
        <rFont val="Arial"/>
        <family val="2"/>
      </rPr>
      <t>o</t>
    </r>
  </si>
  <si>
    <t>at Tm</t>
  </si>
  <si>
    <t>Sudan grass</t>
  </si>
  <si>
    <t>Sugarcane</t>
  </si>
  <si>
    <t>CETo^0.5</t>
  </si>
  <si>
    <t>Ke</t>
  </si>
  <si>
    <t>Grapes (wine)</t>
  </si>
  <si>
    <t>Grapes (table)</t>
  </si>
  <si>
    <t>Grapes (raisin)</t>
  </si>
  <si>
    <t>Citrus (&gt;3.8 m tall)</t>
  </si>
  <si>
    <t>Citrus (&lt;3.0 m tall)</t>
  </si>
  <si>
    <t xml:space="preserve">Typical Irrigation System Application Rate and </t>
  </si>
  <si>
    <t>distribution uniformities (English units)</t>
  </si>
  <si>
    <t>Symbol</t>
  </si>
  <si>
    <t>System</t>
  </si>
  <si>
    <t>Appl. Rate (in./hr)</t>
  </si>
  <si>
    <t xml:space="preserve">Dist.Unif. </t>
  </si>
  <si>
    <r>
      <t>Appl. Rate (mm h</t>
    </r>
    <r>
      <rPr>
        <vertAlign val="superscript"/>
        <sz val="12"/>
        <color indexed="60"/>
        <rFont val="Calibri"/>
        <family val="2"/>
      </rPr>
      <t>-1</t>
    </r>
    <r>
      <rPr>
        <sz val="12"/>
        <color indexed="60"/>
        <rFont val="Calibri"/>
        <family val="2"/>
      </rPr>
      <t>)</t>
    </r>
  </si>
  <si>
    <t>Dist.Unif.</t>
  </si>
  <si>
    <t>Gravity</t>
  </si>
  <si>
    <t>Drip</t>
  </si>
  <si>
    <t>M</t>
  </si>
  <si>
    <t>Microsprinkler</t>
  </si>
  <si>
    <t>S</t>
  </si>
  <si>
    <t>Sprinkler</t>
  </si>
  <si>
    <t>Rainfed</t>
  </si>
  <si>
    <t>distribution uniformities (metric units)</t>
  </si>
  <si>
    <t>Maximum</t>
  </si>
  <si>
    <t>Content</t>
  </si>
  <si>
    <t xml:space="preserve">Wetted </t>
  </si>
  <si>
    <t>Volume</t>
  </si>
  <si>
    <t>Adjusted</t>
  </si>
  <si>
    <t>(fract)</t>
  </si>
  <si>
    <t>DU</t>
  </si>
  <si>
    <t>Historical</t>
  </si>
  <si>
    <t>AWCx</t>
  </si>
  <si>
    <t>Selected RO (fract) =</t>
  </si>
  <si>
    <t>Runoff  (% of Applied Water) =</t>
  </si>
  <si>
    <t>Selected  SWD (mm) =</t>
  </si>
  <si>
    <t>IW= LQ/DU=(1-RO)×AW</t>
  </si>
  <si>
    <t>AW=AR×RT=IW/(1-RO)</t>
  </si>
  <si>
    <t>RT=(IW/(1-RO)) / AR</t>
  </si>
  <si>
    <t>Low Qtr.</t>
  </si>
  <si>
    <t>Infiltrated</t>
  </si>
  <si>
    <t>Distribution</t>
  </si>
  <si>
    <t>Application</t>
  </si>
  <si>
    <t>Uniformity</t>
  </si>
  <si>
    <t>Rate</t>
  </si>
  <si>
    <t xml:space="preserve">IW </t>
  </si>
  <si>
    <t>Re</t>
  </si>
  <si>
    <t>LQ</t>
  </si>
  <si>
    <t>IW</t>
  </si>
  <si>
    <t>RO</t>
  </si>
  <si>
    <t>Crop:</t>
  </si>
  <si>
    <t>Do not cut and paste!</t>
  </si>
  <si>
    <t>Copy and paste is Okay!</t>
  </si>
  <si>
    <t>Daniele Zaccaria</t>
  </si>
  <si>
    <t>Hydrologic Science</t>
  </si>
  <si>
    <t>dzaccaria@ucdavis.edu</t>
  </si>
  <si>
    <t>Davis</t>
  </si>
  <si>
    <t>Applied</t>
  </si>
  <si>
    <t>Written December 2000 - Revised October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</si>
</sst>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0.0"/>
    <numFmt numFmtId="166" formatCode="0.00000"/>
    <numFmt numFmtId="167" formatCode="dd\-mmm\-yy"/>
    <numFmt numFmtId="168" formatCode="[$-409]dd\-mmm\-yy;@"/>
  </numFmts>
  <fonts count="63" x14ac:knownFonts="1">
    <font>
      <sz val="10"/>
      <name val="Arial"/>
    </font>
    <font>
      <vertAlign val="subscript"/>
      <sz val="10"/>
      <name val="Arial"/>
      <family val="2"/>
    </font>
    <font>
      <sz val="10"/>
      <name val="Arial"/>
      <family val="2"/>
    </font>
    <font>
      <u/>
      <sz val="7.5"/>
      <color indexed="12"/>
      <name val="Times New Roman"/>
      <family val="1"/>
    </font>
    <font>
      <b/>
      <sz val="10"/>
      <name val="Arial"/>
      <family val="2"/>
    </font>
    <font>
      <sz val="10"/>
      <color indexed="10"/>
      <name val="Arial"/>
      <family val="2"/>
    </font>
    <font>
      <b/>
      <sz val="12"/>
      <color indexed="18"/>
      <name val="Times New Roman"/>
      <family val="1"/>
    </font>
    <font>
      <sz val="12"/>
      <color indexed="18"/>
      <name val="Times New Roman"/>
      <family val="1"/>
    </font>
    <font>
      <sz val="11"/>
      <color indexed="18"/>
      <name val="Times New Roman"/>
      <family val="1"/>
    </font>
    <font>
      <sz val="10"/>
      <color indexed="18"/>
      <name val="Times New Roman"/>
      <family val="1"/>
    </font>
    <font>
      <b/>
      <sz val="10"/>
      <color indexed="10"/>
      <name val="Arial"/>
      <family val="2"/>
    </font>
    <font>
      <sz val="10"/>
      <name val="Symbol"/>
      <family val="1"/>
      <charset val="2"/>
    </font>
    <font>
      <b/>
      <sz val="14"/>
      <name val="Arial"/>
      <family val="2"/>
    </font>
    <font>
      <sz val="10"/>
      <color indexed="9"/>
      <name val="Arial"/>
      <family val="2"/>
    </font>
    <font>
      <b/>
      <sz val="10"/>
      <color indexed="13"/>
      <name val="Arial"/>
      <family val="2"/>
    </font>
    <font>
      <b/>
      <vertAlign val="subscript"/>
      <sz val="10"/>
      <color indexed="13"/>
      <name val="Arial"/>
      <family val="2"/>
    </font>
    <font>
      <b/>
      <sz val="8"/>
      <color indexed="13"/>
      <name val="Arial"/>
      <family val="2"/>
    </font>
    <font>
      <b/>
      <vertAlign val="superscript"/>
      <sz val="8"/>
      <color indexed="13"/>
      <name val="Arial"/>
      <family val="2"/>
    </font>
    <font>
      <b/>
      <sz val="10"/>
      <color indexed="43"/>
      <name val="Arial"/>
      <family val="2"/>
    </font>
    <font>
      <b/>
      <vertAlign val="superscript"/>
      <sz val="10"/>
      <name val="Arial"/>
      <family val="2"/>
    </font>
    <font>
      <b/>
      <sz val="10"/>
      <color indexed="22"/>
      <name val="Arial"/>
      <family val="2"/>
    </font>
    <font>
      <b/>
      <sz val="10"/>
      <color indexed="55"/>
      <name val="Arial"/>
      <family val="2"/>
    </font>
    <font>
      <sz val="10"/>
      <color indexed="43"/>
      <name val="Arial"/>
      <family val="2"/>
    </font>
    <font>
      <sz val="10"/>
      <color indexed="55"/>
      <name val="Arial"/>
      <family val="2"/>
    </font>
    <font>
      <b/>
      <sz val="10"/>
      <color indexed="9"/>
      <name val="Arial"/>
      <family val="2"/>
    </font>
    <font>
      <vertAlign val="superscript"/>
      <sz val="10"/>
      <name val="Arial"/>
      <family val="2"/>
    </font>
    <font>
      <sz val="10"/>
      <color indexed="8"/>
      <name val="Arial"/>
      <family val="2"/>
    </font>
    <font>
      <sz val="12"/>
      <name val="Arial"/>
      <family val="2"/>
    </font>
    <font>
      <b/>
      <sz val="12"/>
      <name val="Arial"/>
      <family val="2"/>
    </font>
    <font>
      <b/>
      <sz val="18"/>
      <name val="Arial"/>
      <family val="2"/>
    </font>
    <font>
      <u/>
      <sz val="12"/>
      <color indexed="12"/>
      <name val="Times New Roman"/>
      <family val="1"/>
    </font>
    <font>
      <sz val="10"/>
      <color indexed="23"/>
      <name val="Arial"/>
      <family val="2"/>
    </font>
    <font>
      <sz val="10"/>
      <color indexed="55"/>
      <name val="Arial"/>
      <family val="2"/>
    </font>
    <font>
      <sz val="10"/>
      <color indexed="13"/>
      <name val="Arial"/>
      <family val="2"/>
    </font>
    <font>
      <b/>
      <sz val="14"/>
      <color indexed="13"/>
      <name val="Arial"/>
      <family val="2"/>
    </font>
    <font>
      <b/>
      <sz val="14"/>
      <color indexed="22"/>
      <name val="Arial"/>
      <family val="2"/>
    </font>
    <font>
      <b/>
      <sz val="14"/>
      <color indexed="10"/>
      <name val="Arial"/>
      <family val="2"/>
    </font>
    <font>
      <sz val="14"/>
      <name val="Arial"/>
      <family val="2"/>
    </font>
    <font>
      <b/>
      <sz val="16"/>
      <name val="Symbol"/>
      <family val="1"/>
      <charset val="2"/>
    </font>
    <font>
      <sz val="14"/>
      <color indexed="9"/>
      <name val="Arial"/>
      <family val="2"/>
    </font>
    <font>
      <b/>
      <sz val="14"/>
      <name val="Symbol"/>
      <family val="1"/>
      <charset val="2"/>
    </font>
    <font>
      <sz val="12"/>
      <color indexed="60"/>
      <name val="Calibri"/>
      <family val="2"/>
    </font>
    <font>
      <vertAlign val="superscript"/>
      <sz val="12"/>
      <color indexed="60"/>
      <name val="Calibri"/>
      <family val="2"/>
    </font>
    <font>
      <sz val="14"/>
      <color indexed="55"/>
      <name val="Arial"/>
      <family val="2"/>
    </font>
    <font>
      <sz val="11"/>
      <name val="Arial"/>
      <family val="2"/>
    </font>
    <font>
      <b/>
      <sz val="11"/>
      <color indexed="13"/>
      <name val="Arial"/>
      <family val="2"/>
    </font>
    <font>
      <sz val="11"/>
      <name val="Arial"/>
      <family val="2"/>
    </font>
    <font>
      <b/>
      <sz val="13"/>
      <color indexed="8"/>
      <name val="Arial"/>
      <family val="2"/>
    </font>
    <font>
      <b/>
      <sz val="11.5"/>
      <color indexed="8"/>
      <name val="Arial"/>
      <family val="2"/>
    </font>
    <font>
      <b/>
      <sz val="16"/>
      <color indexed="8"/>
      <name val="Arial"/>
      <family val="2"/>
    </font>
    <font>
      <sz val="11"/>
      <color theme="1"/>
      <name val="Calibri"/>
      <family val="2"/>
      <scheme val="minor"/>
    </font>
    <font>
      <sz val="12"/>
      <color theme="1"/>
      <name val="Calibri"/>
      <family val="2"/>
      <scheme val="minor"/>
    </font>
    <font>
      <b/>
      <sz val="12"/>
      <color theme="1"/>
      <name val="Calibri"/>
      <family val="2"/>
      <scheme val="minor"/>
    </font>
    <font>
      <sz val="12"/>
      <name val="Calibri"/>
      <family val="2"/>
      <scheme val="minor"/>
    </font>
    <font>
      <sz val="12"/>
      <color rgb="FFC00000"/>
      <name val="Calibri"/>
      <family val="2"/>
      <scheme val="minor"/>
    </font>
    <font>
      <sz val="12"/>
      <color rgb="FF002060"/>
      <name val="Calibri"/>
      <family val="2"/>
      <scheme val="minor"/>
    </font>
    <font>
      <sz val="10"/>
      <color rgb="FFFFFF00"/>
      <name val="Arial"/>
      <family val="2"/>
    </font>
    <font>
      <b/>
      <sz val="12"/>
      <color rgb="FFFF0000"/>
      <name val="Arial"/>
      <family val="2"/>
    </font>
    <font>
      <sz val="12"/>
      <color theme="0" tint="-0.34998626667073579"/>
      <name val="Arial"/>
      <family val="2"/>
    </font>
    <font>
      <sz val="10"/>
      <color theme="0" tint="-0.34998626667073579"/>
      <name val="Arial"/>
      <family val="2"/>
    </font>
    <font>
      <b/>
      <sz val="16"/>
      <color rgb="FFC00000"/>
      <name val="Arial"/>
      <family val="2"/>
    </font>
    <font>
      <sz val="16"/>
      <color rgb="FFC00000"/>
      <name val="Arial"/>
      <family val="2"/>
    </font>
    <font>
      <b/>
      <sz val="20"/>
      <color rgb="FFFFFF00"/>
      <name val="Arial"/>
      <family val="2"/>
    </font>
  </fonts>
  <fills count="24">
    <fill>
      <patternFill patternType="none"/>
    </fill>
    <fill>
      <patternFill patternType="gray125"/>
    </fill>
    <fill>
      <patternFill patternType="solid">
        <fgColor indexed="47"/>
        <bgColor indexed="64"/>
      </patternFill>
    </fill>
    <fill>
      <patternFill patternType="solid">
        <fgColor indexed="2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indexed="15"/>
        <bgColor indexed="64"/>
      </patternFill>
    </fill>
    <fill>
      <patternFill patternType="solid">
        <fgColor indexed="11"/>
        <bgColor indexed="64"/>
      </patternFill>
    </fill>
    <fill>
      <patternFill patternType="solid">
        <fgColor indexed="43"/>
        <bgColor indexed="64"/>
      </patternFill>
    </fill>
    <fill>
      <patternFill patternType="solid">
        <fgColor indexed="55"/>
        <bgColor indexed="64"/>
      </patternFill>
    </fill>
    <fill>
      <patternFill patternType="solid">
        <fgColor indexed="9"/>
        <bgColor indexed="64"/>
      </patternFill>
    </fill>
    <fill>
      <patternFill patternType="solid">
        <fgColor indexed="10"/>
        <bgColor indexed="64"/>
      </patternFill>
    </fill>
    <fill>
      <patternFill patternType="solid">
        <fgColor indexed="23"/>
        <bgColor indexed="64"/>
      </patternFill>
    </fill>
    <fill>
      <patternFill patternType="solid">
        <fgColor indexed="44"/>
        <bgColor indexed="64"/>
      </patternFill>
    </fill>
    <fill>
      <patternFill patternType="solid">
        <fgColor indexed="8"/>
        <bgColor indexed="64"/>
      </patternFill>
    </fill>
    <fill>
      <patternFill patternType="solid">
        <fgColor theme="0" tint="-0.14999847407452621"/>
        <bgColor indexed="64"/>
      </patternFill>
    </fill>
    <fill>
      <patternFill patternType="solid">
        <fgColor rgb="FF66CCFF"/>
        <bgColor indexed="64"/>
      </patternFill>
    </fill>
    <fill>
      <patternFill patternType="solid">
        <fgColor rgb="FFFFC000"/>
        <bgColor indexed="64"/>
      </patternFill>
    </fill>
    <fill>
      <patternFill patternType="solid">
        <fgColor rgb="FF00FFFF"/>
        <bgColor indexed="64"/>
      </patternFill>
    </fill>
    <fill>
      <patternFill patternType="solid">
        <fgColor rgb="FFFFFF00"/>
        <bgColor indexed="64"/>
      </patternFill>
    </fill>
    <fill>
      <patternFill patternType="solid">
        <fgColor theme="1"/>
        <bgColor indexed="64"/>
      </patternFill>
    </fill>
    <fill>
      <patternFill patternType="solid">
        <fgColor theme="0" tint="-0.249977111117893"/>
        <bgColor indexed="64"/>
      </patternFill>
    </fill>
    <fill>
      <patternFill patternType="solid">
        <fgColor rgb="FFFFFF99"/>
        <bgColor indexed="64"/>
      </patternFill>
    </fill>
  </fills>
  <borders count="35">
    <border>
      <left/>
      <right/>
      <top/>
      <bottom/>
      <diagonal/>
    </border>
    <border>
      <left style="thin">
        <color indexed="23"/>
      </left>
      <right style="thin">
        <color indexed="23"/>
      </right>
      <top style="thin">
        <color indexed="23"/>
      </top>
      <bottom style="thin">
        <color indexed="23"/>
      </bottom>
      <diagonal/>
    </border>
    <border>
      <left style="double">
        <color indexed="23"/>
      </left>
      <right style="thin">
        <color indexed="23"/>
      </right>
      <top/>
      <bottom/>
      <diagonal/>
    </border>
    <border>
      <left style="thin">
        <color indexed="23"/>
      </left>
      <right style="thin">
        <color indexed="23"/>
      </right>
      <top/>
      <bottom/>
      <diagonal/>
    </border>
    <border>
      <left style="double">
        <color indexed="23"/>
      </left>
      <right style="thin">
        <color indexed="23"/>
      </right>
      <top/>
      <bottom style="double">
        <color indexed="23"/>
      </bottom>
      <diagonal/>
    </border>
    <border>
      <left style="thin">
        <color indexed="23"/>
      </left>
      <right style="thin">
        <color indexed="23"/>
      </right>
      <top/>
      <bottom style="double">
        <color indexed="23"/>
      </bottom>
      <diagonal/>
    </border>
    <border>
      <left/>
      <right/>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23"/>
      </left>
      <right style="thin">
        <color indexed="23"/>
      </right>
      <top/>
      <bottom style="double">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double">
        <color indexed="23"/>
      </left>
      <right style="thin">
        <color indexed="23"/>
      </right>
      <top style="double">
        <color indexed="23"/>
      </top>
      <bottom style="thin">
        <color indexed="23"/>
      </bottom>
      <diagonal/>
    </border>
    <border>
      <left style="thin">
        <color indexed="23"/>
      </left>
      <right style="thin">
        <color indexed="23"/>
      </right>
      <top style="double">
        <color indexed="23"/>
      </top>
      <bottom style="thin">
        <color indexed="23"/>
      </bottom>
      <diagonal/>
    </border>
    <border>
      <left style="double">
        <color indexed="23"/>
      </left>
      <right style="thin">
        <color indexed="23"/>
      </right>
      <top style="thin">
        <color indexed="23"/>
      </top>
      <bottom style="thin">
        <color indexed="23"/>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double">
        <color indexed="23"/>
      </left>
      <right/>
      <top style="double">
        <color indexed="23"/>
      </top>
      <bottom style="double">
        <color indexed="23"/>
      </bottom>
      <diagonal/>
    </border>
    <border>
      <left/>
      <right/>
      <top style="double">
        <color indexed="23"/>
      </top>
      <bottom style="double">
        <color indexed="23"/>
      </bottom>
      <diagonal/>
    </border>
  </borders>
  <cellStyleXfs count="4">
    <xf numFmtId="0" fontId="0" fillId="0" borderId="0"/>
    <xf numFmtId="0" fontId="3" fillId="0" borderId="0" applyNumberFormat="0" applyFill="0" applyBorder="0" applyAlignment="0" applyProtection="0">
      <alignment vertical="top"/>
      <protection locked="0"/>
    </xf>
    <xf numFmtId="0" fontId="2" fillId="0" borderId="0"/>
    <xf numFmtId="0" fontId="50" fillId="0" borderId="0"/>
  </cellStyleXfs>
  <cellXfs count="393">
    <xf numFmtId="0" fontId="0" fillId="0" borderId="0" xfId="0"/>
    <xf numFmtId="0" fontId="0" fillId="2" borderId="0" xfId="0" applyFill="1"/>
    <xf numFmtId="0" fontId="0" fillId="3" borderId="0" xfId="0" applyFill="1"/>
    <xf numFmtId="0" fontId="0" fillId="3" borderId="0" xfId="0" applyFill="1" applyAlignment="1">
      <alignment horizontal="right"/>
    </xf>
    <xf numFmtId="0" fontId="0" fillId="4" borderId="0" xfId="0" applyFill="1"/>
    <xf numFmtId="0" fontId="0" fillId="3" borderId="0" xfId="0" applyFill="1" applyAlignment="1">
      <alignment horizontal="center"/>
    </xf>
    <xf numFmtId="2" fontId="0" fillId="0" borderId="0" xfId="0" applyNumberFormat="1" applyFill="1"/>
    <xf numFmtId="2" fontId="0" fillId="2" borderId="0" xfId="0" applyNumberFormat="1" applyFill="1"/>
    <xf numFmtId="2" fontId="0" fillId="0" borderId="0" xfId="0" applyNumberFormat="1"/>
    <xf numFmtId="2" fontId="0" fillId="4" borderId="0" xfId="0" applyNumberFormat="1" applyFill="1"/>
    <xf numFmtId="166" fontId="0" fillId="0" borderId="0" xfId="0" applyNumberFormat="1"/>
    <xf numFmtId="166" fontId="0" fillId="2" borderId="0" xfId="0" applyNumberFormat="1" applyFill="1"/>
    <xf numFmtId="2" fontId="0" fillId="5" borderId="0" xfId="0" applyNumberFormat="1" applyFill="1"/>
    <xf numFmtId="0" fontId="0" fillId="0" borderId="0" xfId="0" applyFill="1"/>
    <xf numFmtId="166" fontId="0" fillId="0" borderId="0" xfId="0" applyNumberFormat="1" applyFill="1"/>
    <xf numFmtId="0" fontId="0" fillId="6" borderId="0" xfId="0" applyFill="1"/>
    <xf numFmtId="164" fontId="0" fillId="0" borderId="0" xfId="0" applyNumberFormat="1"/>
    <xf numFmtId="2" fontId="0" fillId="7" borderId="0" xfId="0" applyNumberFormat="1" applyFill="1"/>
    <xf numFmtId="0" fontId="0" fillId="8" borderId="0" xfId="0" applyFill="1"/>
    <xf numFmtId="165" fontId="0" fillId="0" borderId="0" xfId="0" applyNumberFormat="1"/>
    <xf numFmtId="0" fontId="0" fillId="9" borderId="0" xfId="0" applyFill="1"/>
    <xf numFmtId="0" fontId="8" fillId="9" borderId="2" xfId="0" applyFont="1" applyFill="1" applyBorder="1" applyAlignment="1" applyProtection="1">
      <alignment horizontal="center"/>
      <protection hidden="1"/>
    </xf>
    <xf numFmtId="0" fontId="8" fillId="9" borderId="3" xfId="0" applyFont="1" applyFill="1" applyBorder="1" applyAlignment="1" applyProtection="1">
      <alignment horizontal="center"/>
      <protection hidden="1"/>
    </xf>
    <xf numFmtId="0" fontId="8" fillId="9" borderId="4" xfId="0" applyFont="1" applyFill="1" applyBorder="1" applyAlignment="1" applyProtection="1">
      <alignment horizontal="center" vertical="top"/>
      <protection hidden="1"/>
    </xf>
    <xf numFmtId="0" fontId="8" fillId="9" borderId="5" xfId="0" applyFont="1" applyFill="1" applyBorder="1" applyAlignment="1" applyProtection="1">
      <alignment horizontal="center" vertical="top"/>
      <protection hidden="1"/>
    </xf>
    <xf numFmtId="2" fontId="0" fillId="9" borderId="0" xfId="0" applyNumberFormat="1" applyFill="1"/>
    <xf numFmtId="0" fontId="11" fillId="3" borderId="0" xfId="0" applyFont="1" applyFill="1" applyAlignment="1">
      <alignment horizontal="right"/>
    </xf>
    <xf numFmtId="2" fontId="0" fillId="3" borderId="0" xfId="0" applyNumberFormat="1" applyFill="1"/>
    <xf numFmtId="165" fontId="0" fillId="3" borderId="0" xfId="0" applyNumberFormat="1" applyFill="1"/>
    <xf numFmtId="0" fontId="0" fillId="3" borderId="0" xfId="0" applyFill="1" applyAlignment="1" applyProtection="1">
      <alignment horizontal="center"/>
    </xf>
    <xf numFmtId="0" fontId="0" fillId="3" borderId="0" xfId="0" applyFill="1" applyProtection="1"/>
    <xf numFmtId="0" fontId="0" fillId="3" borderId="6" xfId="0" applyFill="1" applyBorder="1" applyAlignment="1" applyProtection="1">
      <alignment horizontal="center"/>
    </xf>
    <xf numFmtId="0" fontId="0" fillId="3" borderId="6" xfId="0" applyFill="1" applyBorder="1" applyProtection="1"/>
    <xf numFmtId="167" fontId="0" fillId="3" borderId="0" xfId="0" applyNumberFormat="1" applyFill="1"/>
    <xf numFmtId="16" fontId="0" fillId="3" borderId="0" xfId="0" applyNumberFormat="1" applyFill="1" applyAlignment="1">
      <alignment horizontal="center"/>
    </xf>
    <xf numFmtId="0" fontId="0" fillId="10" borderId="0" xfId="0" applyFill="1" applyAlignment="1">
      <alignment horizontal="center"/>
    </xf>
    <xf numFmtId="0" fontId="0" fillId="3" borderId="7" xfId="0" applyFill="1" applyBorder="1" applyAlignment="1">
      <alignment horizontal="center"/>
    </xf>
    <xf numFmtId="0" fontId="0" fillId="3" borderId="0" xfId="0" applyFill="1" applyBorder="1" applyAlignment="1">
      <alignment horizontal="center"/>
    </xf>
    <xf numFmtId="0" fontId="0" fillId="3" borderId="7" xfId="0" applyFill="1" applyBorder="1"/>
    <xf numFmtId="0" fontId="0" fillId="10" borderId="0" xfId="0" applyFill="1"/>
    <xf numFmtId="0" fontId="0" fillId="3" borderId="7" xfId="0" applyFill="1" applyBorder="1" applyAlignment="1">
      <alignment horizontal="right"/>
    </xf>
    <xf numFmtId="0" fontId="5" fillId="3" borderId="0" xfId="0" applyFont="1" applyFill="1" applyAlignment="1">
      <alignment horizontal="left"/>
    </xf>
    <xf numFmtId="0" fontId="0" fillId="3" borderId="0" xfId="0" applyFill="1" applyAlignment="1">
      <alignment horizontal="left"/>
    </xf>
    <xf numFmtId="0" fontId="0" fillId="0" borderId="8" xfId="0" applyFill="1" applyBorder="1" applyAlignment="1" applyProtection="1">
      <alignment horizontal="center"/>
      <protection locked="0"/>
    </xf>
    <xf numFmtId="164" fontId="0" fillId="3" borderId="0" xfId="0" applyNumberFormat="1" applyFill="1"/>
    <xf numFmtId="165" fontId="4" fillId="11" borderId="9" xfId="0" applyNumberFormat="1" applyFont="1" applyFill="1" applyBorder="1" applyAlignment="1" applyProtection="1">
      <alignment horizontal="center"/>
      <protection locked="0"/>
    </xf>
    <xf numFmtId="165" fontId="10" fillId="9" borderId="8" xfId="0" applyNumberFormat="1" applyFont="1" applyFill="1" applyBorder="1" applyAlignment="1">
      <alignment horizontal="center"/>
    </xf>
    <xf numFmtId="0" fontId="4" fillId="3" borderId="0" xfId="0" applyFont="1" applyFill="1" applyAlignment="1" applyProtection="1">
      <alignment horizontal="center"/>
    </xf>
    <xf numFmtId="1" fontId="14" fillId="10" borderId="7" xfId="0" applyNumberFormat="1" applyFont="1" applyFill="1" applyBorder="1" applyAlignment="1">
      <alignment horizontal="center"/>
    </xf>
    <xf numFmtId="15" fontId="14" fillId="10" borderId="0" xfId="0" applyNumberFormat="1" applyFont="1" applyFill="1" applyAlignment="1" applyProtection="1">
      <alignment horizontal="center"/>
    </xf>
    <xf numFmtId="0" fontId="14" fillId="10" borderId="0" xfId="0" applyFont="1" applyFill="1" applyAlignment="1" applyProtection="1">
      <alignment horizontal="center"/>
    </xf>
    <xf numFmtId="0" fontId="18" fillId="3" borderId="0" xfId="0" applyFont="1" applyFill="1" applyAlignment="1" applyProtection="1">
      <alignment horizontal="center"/>
    </xf>
    <xf numFmtId="0" fontId="4" fillId="3" borderId="0" xfId="0" applyFont="1" applyFill="1" applyProtection="1"/>
    <xf numFmtId="0" fontId="20" fillId="3" borderId="0" xfId="0" applyFont="1" applyFill="1" applyAlignment="1" applyProtection="1">
      <alignment horizontal="center"/>
    </xf>
    <xf numFmtId="15" fontId="21" fillId="10" borderId="0" xfId="0" applyNumberFormat="1" applyFont="1" applyFill="1" applyAlignment="1" applyProtection="1">
      <alignment horizontal="center"/>
    </xf>
    <xf numFmtId="2" fontId="0" fillId="3" borderId="0" xfId="0" applyNumberFormat="1" applyFill="1" applyProtection="1"/>
    <xf numFmtId="0" fontId="0" fillId="3" borderId="0" xfId="0" applyFill="1" applyBorder="1"/>
    <xf numFmtId="0" fontId="0" fillId="3" borderId="0" xfId="0" applyFill="1" applyBorder="1" applyProtection="1"/>
    <xf numFmtId="0" fontId="14" fillId="3" borderId="0" xfId="0" applyFont="1" applyFill="1" applyBorder="1" applyProtection="1"/>
    <xf numFmtId="2" fontId="0" fillId="3" borderId="0" xfId="0" applyNumberFormat="1" applyFill="1" applyBorder="1" applyProtection="1"/>
    <xf numFmtId="0" fontId="0" fillId="10" borderId="0" xfId="0" applyFill="1" applyAlignment="1" applyProtection="1">
      <alignment horizontal="center"/>
    </xf>
    <xf numFmtId="167" fontId="0" fillId="9" borderId="0" xfId="0" applyNumberFormat="1" applyFill="1" applyProtection="1"/>
    <xf numFmtId="1" fontId="0" fillId="9" borderId="0" xfId="0" applyNumberFormat="1" applyFill="1" applyProtection="1"/>
    <xf numFmtId="2" fontId="0" fillId="9" borderId="0" xfId="0" applyNumberFormat="1" applyFill="1" applyProtection="1"/>
    <xf numFmtId="2" fontId="5" fillId="9" borderId="0" xfId="0" applyNumberFormat="1" applyFont="1" applyFill="1" applyProtection="1"/>
    <xf numFmtId="2" fontId="2" fillId="9" borderId="0" xfId="0" applyNumberFormat="1" applyFont="1" applyFill="1" applyProtection="1"/>
    <xf numFmtId="0" fontId="2" fillId="10" borderId="10" xfId="0" applyFont="1" applyFill="1" applyBorder="1"/>
    <xf numFmtId="0" fontId="0" fillId="9" borderId="0" xfId="0" applyFill="1" applyAlignment="1">
      <alignment horizontal="center"/>
    </xf>
    <xf numFmtId="167" fontId="0" fillId="9" borderId="0" xfId="0" applyNumberFormat="1" applyFill="1" applyAlignment="1">
      <alignment horizontal="center"/>
    </xf>
    <xf numFmtId="1" fontId="0" fillId="9" borderId="0" xfId="0" applyNumberFormat="1" applyFill="1" applyAlignment="1">
      <alignment horizontal="center"/>
    </xf>
    <xf numFmtId="0" fontId="2" fillId="10" borderId="10" xfId="0" applyFont="1" applyFill="1" applyBorder="1" applyAlignment="1">
      <alignment horizontal="center"/>
    </xf>
    <xf numFmtId="0" fontId="2" fillId="10" borderId="11" xfId="0" applyFont="1" applyFill="1" applyBorder="1"/>
    <xf numFmtId="0" fontId="0" fillId="10" borderId="6" xfId="0" applyFill="1" applyBorder="1"/>
    <xf numFmtId="2" fontId="0" fillId="9" borderId="0" xfId="0" applyNumberFormat="1" applyFill="1" applyAlignment="1">
      <alignment horizontal="center"/>
    </xf>
    <xf numFmtId="16" fontId="0" fillId="3" borderId="0" xfId="0" applyNumberFormat="1" applyFill="1" applyAlignment="1">
      <alignment horizontal="right"/>
    </xf>
    <xf numFmtId="0" fontId="0" fillId="0" borderId="0" xfId="0" applyAlignment="1">
      <alignment horizontal="right"/>
    </xf>
    <xf numFmtId="0" fontId="22" fillId="9" borderId="0" xfId="0" applyFont="1" applyFill="1"/>
    <xf numFmtId="1" fontId="22" fillId="9" borderId="0" xfId="0" applyNumberFormat="1" applyFont="1" applyFill="1"/>
    <xf numFmtId="0" fontId="0" fillId="9" borderId="7" xfId="0" applyFill="1" applyBorder="1" applyAlignment="1">
      <alignment horizontal="center"/>
    </xf>
    <xf numFmtId="0" fontId="0" fillId="9" borderId="7" xfId="0" applyFill="1" applyBorder="1"/>
    <xf numFmtId="0" fontId="8" fillId="9" borderId="12" xfId="0" applyFont="1" applyFill="1" applyBorder="1" applyAlignment="1" applyProtection="1">
      <alignment horizontal="center" vertical="top"/>
      <protection hidden="1"/>
    </xf>
    <xf numFmtId="0" fontId="8" fillId="9" borderId="12" xfId="0" applyFont="1" applyFill="1" applyBorder="1" applyAlignment="1" applyProtection="1">
      <alignment horizontal="center"/>
      <protection hidden="1"/>
    </xf>
    <xf numFmtId="0" fontId="23" fillId="3" borderId="0" xfId="0" applyFont="1" applyFill="1" applyAlignment="1">
      <alignment horizontal="right"/>
    </xf>
    <xf numFmtId="0" fontId="23" fillId="3" borderId="0" xfId="0" applyFont="1" applyFill="1" applyAlignment="1" applyProtection="1">
      <alignment horizontal="center"/>
    </xf>
    <xf numFmtId="0" fontId="23" fillId="3" borderId="0" xfId="0" applyFont="1" applyFill="1"/>
    <xf numFmtId="165" fontId="23" fillId="3" borderId="0" xfId="0" applyNumberFormat="1" applyFont="1" applyFill="1" applyAlignment="1">
      <alignment horizontal="center"/>
    </xf>
    <xf numFmtId="165" fontId="4" fillId="9" borderId="8" xfId="0" applyNumberFormat="1" applyFont="1" applyFill="1" applyBorder="1" applyAlignment="1">
      <alignment horizontal="right"/>
    </xf>
    <xf numFmtId="165" fontId="4" fillId="9" borderId="8" xfId="0" applyNumberFormat="1" applyFont="1" applyFill="1" applyBorder="1"/>
    <xf numFmtId="165" fontId="4" fillId="11" borderId="8" xfId="0" applyNumberFormat="1" applyFont="1" applyFill="1" applyBorder="1" applyProtection="1">
      <protection locked="0"/>
    </xf>
    <xf numFmtId="0" fontId="4" fillId="11" borderId="8" xfId="0" applyFont="1" applyFill="1" applyBorder="1" applyProtection="1">
      <protection locked="0"/>
    </xf>
    <xf numFmtId="0" fontId="0" fillId="3" borderId="0" xfId="0" applyFill="1" applyAlignment="1" applyProtection="1">
      <alignment horizontal="right"/>
    </xf>
    <xf numFmtId="0" fontId="2" fillId="3" borderId="0" xfId="0" applyFont="1" applyFill="1" applyAlignment="1" applyProtection="1">
      <alignment horizontal="center"/>
    </xf>
    <xf numFmtId="0" fontId="26" fillId="3" borderId="0" xfId="0" applyFont="1" applyFill="1" applyAlignment="1" applyProtection="1">
      <alignment horizontal="center"/>
    </xf>
    <xf numFmtId="165" fontId="4" fillId="9" borderId="8" xfId="0" applyNumberFormat="1" applyFont="1" applyFill="1" applyBorder="1" applyAlignment="1"/>
    <xf numFmtId="0" fontId="28" fillId="9" borderId="0" xfId="0" applyFont="1" applyFill="1" applyAlignment="1">
      <alignment horizontal="center"/>
    </xf>
    <xf numFmtId="0" fontId="29" fillId="9" borderId="0" xfId="0" applyFont="1" applyFill="1" applyAlignment="1">
      <alignment horizontal="center"/>
    </xf>
    <xf numFmtId="0" fontId="27" fillId="9" borderId="0" xfId="0" applyFont="1" applyFill="1"/>
    <xf numFmtId="0" fontId="30" fillId="9" borderId="0" xfId="1" applyFont="1" applyFill="1" applyAlignment="1" applyProtection="1"/>
    <xf numFmtId="0" fontId="28" fillId="9" borderId="0" xfId="0" applyFont="1" applyFill="1"/>
    <xf numFmtId="0" fontId="0" fillId="2" borderId="7" xfId="0" applyFill="1" applyBorder="1" applyAlignment="1">
      <alignment horizontal="center"/>
    </xf>
    <xf numFmtId="1" fontId="0" fillId="2" borderId="7" xfId="0" applyNumberFormat="1" applyFill="1" applyBorder="1" applyAlignment="1">
      <alignment horizontal="center"/>
    </xf>
    <xf numFmtId="0" fontId="0" fillId="2" borderId="7" xfId="0" applyFill="1" applyBorder="1" applyAlignment="1">
      <alignment horizontal="right"/>
    </xf>
    <xf numFmtId="0" fontId="31" fillId="10" borderId="6" xfId="0" applyFont="1" applyFill="1" applyBorder="1" applyAlignment="1">
      <alignment horizontal="center"/>
    </xf>
    <xf numFmtId="1" fontId="31" fillId="10" borderId="6" xfId="0" applyNumberFormat="1" applyFont="1" applyFill="1" applyBorder="1" applyAlignment="1">
      <alignment horizontal="center"/>
    </xf>
    <xf numFmtId="1" fontId="4" fillId="11" borderId="11" xfId="0" applyNumberFormat="1" applyFont="1" applyFill="1" applyBorder="1" applyAlignment="1" applyProtection="1">
      <alignment horizontal="center"/>
      <protection locked="0"/>
    </xf>
    <xf numFmtId="1" fontId="32" fillId="3" borderId="0" xfId="0" applyNumberFormat="1" applyFont="1" applyFill="1"/>
    <xf numFmtId="0" fontId="12" fillId="10" borderId="13" xfId="0" applyFont="1" applyFill="1" applyBorder="1" applyAlignment="1" applyProtection="1">
      <alignment horizontal="center"/>
    </xf>
    <xf numFmtId="0" fontId="34" fillId="10" borderId="9" xfId="0" applyFont="1" applyFill="1" applyBorder="1" applyAlignment="1" applyProtection="1">
      <alignment horizontal="right"/>
    </xf>
    <xf numFmtId="2" fontId="12" fillId="0" borderId="8" xfId="0" applyNumberFormat="1" applyFont="1" applyFill="1" applyBorder="1" applyAlignment="1" applyProtection="1">
      <alignment horizontal="center"/>
      <protection locked="0"/>
    </xf>
    <xf numFmtId="0" fontId="12" fillId="3" borderId="0" xfId="0" applyFont="1" applyFill="1" applyProtection="1"/>
    <xf numFmtId="0" fontId="12" fillId="3" borderId="14" xfId="0" applyFont="1" applyFill="1" applyBorder="1" applyAlignment="1">
      <alignment horizontal="center"/>
    </xf>
    <xf numFmtId="0" fontId="12" fillId="3" borderId="14" xfId="0" applyFont="1" applyFill="1" applyBorder="1"/>
    <xf numFmtId="0" fontId="12" fillId="3" borderId="14" xfId="0" applyFont="1" applyFill="1" applyBorder="1" applyProtection="1"/>
    <xf numFmtId="0" fontId="12" fillId="3" borderId="15" xfId="0" applyFont="1" applyFill="1" applyBorder="1" applyProtection="1"/>
    <xf numFmtId="0" fontId="34" fillId="10" borderId="16" xfId="0" applyFont="1" applyFill="1" applyBorder="1" applyProtection="1"/>
    <xf numFmtId="0" fontId="34" fillId="10" borderId="11" xfId="0" applyFont="1" applyFill="1" applyBorder="1" applyAlignment="1" applyProtection="1">
      <alignment horizontal="right"/>
    </xf>
    <xf numFmtId="0" fontId="12" fillId="0" borderId="0" xfId="0" applyFont="1" applyAlignment="1" applyProtection="1">
      <alignment horizontal="center"/>
      <protection locked="0"/>
    </xf>
    <xf numFmtId="0" fontId="35" fillId="3" borderId="0" xfId="0" applyFont="1" applyFill="1" applyAlignment="1" applyProtection="1">
      <alignment horizontal="center"/>
    </xf>
    <xf numFmtId="0" fontId="12" fillId="3" borderId="17" xfId="0" applyFont="1" applyFill="1" applyBorder="1" applyAlignment="1" applyProtection="1">
      <alignment horizontal="center"/>
    </xf>
    <xf numFmtId="0" fontId="12" fillId="3" borderId="18" xfId="0" applyFont="1" applyFill="1" applyBorder="1" applyAlignment="1" applyProtection="1">
      <alignment horizontal="center"/>
    </xf>
    <xf numFmtId="0" fontId="12" fillId="3" borderId="16" xfId="0" applyFont="1" applyFill="1" applyBorder="1" applyProtection="1"/>
    <xf numFmtId="0" fontId="12" fillId="3" borderId="6" xfId="0" applyFont="1" applyFill="1" applyBorder="1" applyAlignment="1" applyProtection="1">
      <alignment horizontal="center"/>
    </xf>
    <xf numFmtId="0" fontId="12" fillId="3" borderId="11" xfId="0" applyFont="1" applyFill="1" applyBorder="1" applyProtection="1"/>
    <xf numFmtId="0" fontId="12" fillId="3" borderId="11" xfId="0" applyFont="1" applyFill="1" applyBorder="1" applyAlignment="1" applyProtection="1">
      <alignment horizontal="right"/>
    </xf>
    <xf numFmtId="0" fontId="12" fillId="3" borderId="0" xfId="0" applyFont="1" applyFill="1" applyAlignment="1" applyProtection="1">
      <alignment horizontal="center"/>
    </xf>
    <xf numFmtId="0" fontId="35" fillId="3" borderId="8" xfId="0" applyFont="1" applyFill="1" applyBorder="1" applyAlignment="1" applyProtection="1">
      <alignment horizontal="center"/>
    </xf>
    <xf numFmtId="0" fontId="12" fillId="9" borderId="13" xfId="0" applyFont="1" applyFill="1" applyBorder="1"/>
    <xf numFmtId="0" fontId="12" fillId="3" borderId="19" xfId="0" applyFont="1" applyFill="1" applyBorder="1" applyProtection="1"/>
    <xf numFmtId="0" fontId="34" fillId="10" borderId="17" xfId="0" applyFont="1" applyFill="1" applyBorder="1" applyAlignment="1" applyProtection="1">
      <alignment horizontal="center"/>
    </xf>
    <xf numFmtId="0" fontId="12" fillId="3" borderId="17" xfId="0" applyFont="1" applyFill="1" applyBorder="1"/>
    <xf numFmtId="0" fontId="34" fillId="10" borderId="6" xfId="0" applyFont="1" applyFill="1" applyBorder="1" applyAlignment="1" applyProtection="1">
      <alignment horizontal="center"/>
    </xf>
    <xf numFmtId="0" fontId="34" fillId="10" borderId="16" xfId="0" applyFont="1" applyFill="1" applyBorder="1" applyAlignment="1" applyProtection="1">
      <alignment horizontal="right"/>
    </xf>
    <xf numFmtId="0" fontId="34" fillId="10" borderId="8" xfId="0" applyFont="1" applyFill="1" applyBorder="1" applyAlignment="1" applyProtection="1">
      <alignment horizontal="center"/>
    </xf>
    <xf numFmtId="16" fontId="34" fillId="10" borderId="8" xfId="0" applyNumberFormat="1" applyFont="1" applyFill="1" applyBorder="1" applyAlignment="1" applyProtection="1">
      <alignment horizontal="center"/>
    </xf>
    <xf numFmtId="16" fontId="12" fillId="0" borderId="20" xfId="0" applyNumberFormat="1" applyFont="1" applyFill="1" applyBorder="1" applyAlignment="1" applyProtection="1">
      <alignment horizontal="center"/>
      <protection locked="0"/>
    </xf>
    <xf numFmtId="167" fontId="12" fillId="3" borderId="0" xfId="0" applyNumberFormat="1" applyFont="1" applyFill="1" applyAlignment="1" applyProtection="1">
      <alignment horizontal="center"/>
    </xf>
    <xf numFmtId="2" fontId="12" fillId="3" borderId="0" xfId="0" applyNumberFormat="1" applyFont="1" applyFill="1" applyAlignment="1" applyProtection="1">
      <alignment horizontal="center"/>
    </xf>
    <xf numFmtId="2" fontId="12" fillId="12" borderId="8" xfId="0" applyNumberFormat="1" applyFont="1" applyFill="1" applyBorder="1" applyProtection="1"/>
    <xf numFmtId="0" fontId="12" fillId="3" borderId="0" xfId="0" applyFont="1" applyFill="1" applyBorder="1" applyAlignment="1" applyProtection="1">
      <alignment horizontal="center"/>
    </xf>
    <xf numFmtId="0" fontId="12" fillId="3" borderId="21" xfId="0" applyFont="1" applyFill="1" applyBorder="1" applyAlignment="1" applyProtection="1">
      <alignment horizontal="center"/>
    </xf>
    <xf numFmtId="0" fontId="34" fillId="10" borderId="21" xfId="0" applyFont="1" applyFill="1" applyBorder="1" applyAlignment="1" applyProtection="1">
      <alignment horizontal="center"/>
    </xf>
    <xf numFmtId="0" fontId="12" fillId="3" borderId="13" xfId="0" applyFont="1" applyFill="1" applyBorder="1" applyAlignment="1" applyProtection="1">
      <alignment horizontal="center"/>
    </xf>
    <xf numFmtId="15" fontId="12" fillId="0" borderId="9" xfId="0" applyNumberFormat="1" applyFont="1" applyFill="1" applyBorder="1" applyAlignment="1" applyProtection="1">
      <alignment horizontal="center"/>
      <protection locked="0"/>
    </xf>
    <xf numFmtId="16" fontId="36" fillId="9" borderId="8" xfId="0" applyNumberFormat="1" applyFont="1" applyFill="1" applyBorder="1" applyAlignment="1" applyProtection="1">
      <alignment horizontal="center"/>
    </xf>
    <xf numFmtId="16" fontId="12" fillId="3" borderId="8" xfId="0" applyNumberFormat="1" applyFont="1" applyFill="1" applyBorder="1" applyAlignment="1" applyProtection="1">
      <alignment horizontal="center"/>
    </xf>
    <xf numFmtId="167" fontId="12" fillId="3" borderId="8" xfId="0" applyNumberFormat="1" applyFont="1" applyFill="1" applyBorder="1" applyAlignment="1" applyProtection="1">
      <alignment horizontal="center"/>
    </xf>
    <xf numFmtId="2" fontId="12" fillId="3" borderId="8" xfId="0" applyNumberFormat="1" applyFont="1" applyFill="1" applyBorder="1" applyAlignment="1" applyProtection="1">
      <alignment horizontal="center"/>
    </xf>
    <xf numFmtId="0" fontId="12" fillId="3" borderId="8" xfId="0" applyFont="1" applyFill="1" applyBorder="1" applyProtection="1"/>
    <xf numFmtId="2" fontId="12" fillId="3" borderId="8" xfId="0" applyNumberFormat="1" applyFont="1" applyFill="1" applyBorder="1" applyProtection="1"/>
    <xf numFmtId="2" fontId="36" fillId="9" borderId="8" xfId="0" applyNumberFormat="1" applyFont="1" applyFill="1" applyBorder="1" applyAlignment="1" applyProtection="1">
      <alignment horizontal="center"/>
    </xf>
    <xf numFmtId="0" fontId="12" fillId="0" borderId="8" xfId="0" applyFont="1" applyFill="1" applyBorder="1" applyAlignment="1" applyProtection="1">
      <alignment horizontal="center"/>
      <protection locked="0"/>
    </xf>
    <xf numFmtId="0" fontId="12" fillId="3" borderId="9" xfId="0" applyFont="1" applyFill="1" applyBorder="1" applyAlignment="1" applyProtection="1">
      <alignment horizontal="center"/>
    </xf>
    <xf numFmtId="0" fontId="12" fillId="3" borderId="8" xfId="0" applyFont="1" applyFill="1" applyBorder="1" applyAlignment="1" applyProtection="1">
      <alignment horizontal="center"/>
    </xf>
    <xf numFmtId="166" fontId="12" fillId="3" borderId="8" xfId="0" applyNumberFormat="1" applyFont="1" applyFill="1" applyBorder="1" applyProtection="1"/>
    <xf numFmtId="2" fontId="12" fillId="3" borderId="0" xfId="0" quotePrefix="1" applyNumberFormat="1" applyFont="1" applyFill="1" applyAlignment="1" applyProtection="1">
      <alignment horizontal="center"/>
    </xf>
    <xf numFmtId="0" fontId="12" fillId="3" borderId="0" xfId="0" quotePrefix="1" applyFont="1" applyFill="1" applyAlignment="1" applyProtection="1">
      <alignment horizontal="left"/>
    </xf>
    <xf numFmtId="0" fontId="12" fillId="0" borderId="8" xfId="0" applyFont="1" applyFill="1" applyBorder="1" applyProtection="1">
      <protection locked="0"/>
    </xf>
    <xf numFmtId="2" fontId="12" fillId="3" borderId="13" xfId="0" applyNumberFormat="1" applyFont="1" applyFill="1" applyBorder="1" applyAlignment="1" applyProtection="1">
      <alignment horizontal="center"/>
    </xf>
    <xf numFmtId="0" fontId="34" fillId="10" borderId="13" xfId="0" applyFont="1" applyFill="1" applyBorder="1" applyAlignment="1" applyProtection="1">
      <alignment horizontal="center"/>
    </xf>
    <xf numFmtId="16" fontId="12" fillId="0" borderId="9" xfId="0" applyNumberFormat="1" applyFont="1" applyFill="1" applyBorder="1" applyAlignment="1" applyProtection="1">
      <alignment horizontal="center"/>
      <protection locked="0"/>
    </xf>
    <xf numFmtId="16" fontId="12" fillId="0" borderId="8" xfId="0" applyNumberFormat="1" applyFont="1" applyFill="1" applyBorder="1" applyAlignment="1" applyProtection="1">
      <alignment horizontal="center"/>
      <protection locked="0"/>
    </xf>
    <xf numFmtId="0" fontId="12" fillId="3" borderId="16" xfId="0" quotePrefix="1" applyFont="1" applyFill="1" applyBorder="1" applyAlignment="1" applyProtection="1">
      <alignment horizontal="center"/>
    </xf>
    <xf numFmtId="0" fontId="12" fillId="3" borderId="11" xfId="0" quotePrefix="1" applyFont="1" applyFill="1" applyBorder="1" applyAlignment="1" applyProtection="1">
      <alignment horizontal="left"/>
    </xf>
    <xf numFmtId="0" fontId="34" fillId="10" borderId="10" xfId="0" applyFont="1" applyFill="1" applyBorder="1" applyAlignment="1" applyProtection="1">
      <alignment horizontal="center"/>
    </xf>
    <xf numFmtId="0" fontId="12" fillId="3" borderId="22" xfId="0" applyFont="1" applyFill="1" applyBorder="1" applyAlignment="1" applyProtection="1">
      <alignment horizontal="center"/>
    </xf>
    <xf numFmtId="0" fontId="12" fillId="9" borderId="16" xfId="0" applyFont="1" applyFill="1" applyBorder="1" applyAlignment="1" applyProtection="1">
      <alignment horizontal="center"/>
    </xf>
    <xf numFmtId="0" fontId="12" fillId="3" borderId="6" xfId="0" applyFont="1" applyFill="1" applyBorder="1" applyProtection="1"/>
    <xf numFmtId="0" fontId="36" fillId="9" borderId="6" xfId="0" applyFont="1" applyFill="1" applyBorder="1" applyAlignment="1" applyProtection="1">
      <alignment horizontal="right"/>
    </xf>
    <xf numFmtId="0" fontId="36" fillId="9" borderId="11" xfId="0" applyFont="1" applyFill="1" applyBorder="1" applyAlignment="1" applyProtection="1">
      <alignment horizontal="left"/>
    </xf>
    <xf numFmtId="164" fontId="12" fillId="3" borderId="22" xfId="0" applyNumberFormat="1" applyFont="1" applyFill="1" applyBorder="1"/>
    <xf numFmtId="0" fontId="12" fillId="3" borderId="22" xfId="0" applyFont="1" applyFill="1" applyBorder="1"/>
    <xf numFmtId="0" fontId="12" fillId="3" borderId="22" xfId="0" applyFont="1" applyFill="1" applyBorder="1" applyAlignment="1">
      <alignment horizontal="center"/>
    </xf>
    <xf numFmtId="0" fontId="12" fillId="3" borderId="15" xfId="0" applyFont="1" applyFill="1" applyBorder="1"/>
    <xf numFmtId="0" fontId="12" fillId="3" borderId="15" xfId="0" applyFont="1" applyFill="1" applyBorder="1" applyAlignment="1" applyProtection="1">
      <alignment horizontal="right"/>
    </xf>
    <xf numFmtId="0" fontId="12" fillId="10" borderId="13" xfId="0" applyFont="1" applyFill="1" applyBorder="1" applyAlignment="1" applyProtection="1">
      <alignment horizontal="right"/>
    </xf>
    <xf numFmtId="16" fontId="12" fillId="10" borderId="9" xfId="0" quotePrefix="1" applyNumberFormat="1" applyFont="1" applyFill="1" applyBorder="1" applyAlignment="1" applyProtection="1">
      <alignment horizontal="right"/>
    </xf>
    <xf numFmtId="0" fontId="0" fillId="13" borderId="0" xfId="0" applyFill="1"/>
    <xf numFmtId="0" fontId="14" fillId="13" borderId="8" xfId="0" applyFont="1" applyFill="1" applyBorder="1" applyAlignment="1">
      <alignment horizontal="center"/>
    </xf>
    <xf numFmtId="1" fontId="14" fillId="13" borderId="8" xfId="0" applyNumberFormat="1" applyFont="1" applyFill="1" applyBorder="1" applyAlignment="1">
      <alignment horizontal="center"/>
    </xf>
    <xf numFmtId="0" fontId="0" fillId="13" borderId="0" xfId="0" applyFill="1" applyBorder="1" applyAlignment="1">
      <alignment horizontal="center"/>
    </xf>
    <xf numFmtId="0" fontId="24" fillId="13" borderId="0" xfId="0" applyFont="1" applyFill="1" applyAlignment="1">
      <alignment horizontal="right"/>
    </xf>
    <xf numFmtId="0" fontId="16" fillId="13" borderId="8" xfId="0" applyFont="1" applyFill="1" applyBorder="1" applyAlignment="1">
      <alignment horizontal="center"/>
    </xf>
    <xf numFmtId="0" fontId="17" fillId="13" borderId="8" xfId="0" applyFont="1" applyFill="1" applyBorder="1" applyAlignment="1">
      <alignment horizontal="center"/>
    </xf>
    <xf numFmtId="0" fontId="13" fillId="13" borderId="8" xfId="0" applyFont="1" applyFill="1" applyBorder="1" applyAlignment="1">
      <alignment horizontal="right"/>
    </xf>
    <xf numFmtId="0" fontId="14" fillId="13" borderId="8" xfId="0" applyFont="1" applyFill="1" applyBorder="1" applyAlignment="1">
      <alignment horizontal="right"/>
    </xf>
    <xf numFmtId="0" fontId="13" fillId="13" borderId="20" xfId="0" applyFont="1" applyFill="1" applyBorder="1" applyAlignment="1">
      <alignment horizontal="right"/>
    </xf>
    <xf numFmtId="0" fontId="14" fillId="13" borderId="20" xfId="0" applyFont="1" applyFill="1" applyBorder="1" applyAlignment="1">
      <alignment horizontal="right"/>
    </xf>
    <xf numFmtId="0" fontId="13" fillId="13" borderId="13" xfId="0" applyFont="1" applyFill="1" applyBorder="1"/>
    <xf numFmtId="0" fontId="14" fillId="13" borderId="9" xfId="0" applyFont="1" applyFill="1" applyBorder="1" applyAlignment="1">
      <alignment horizontal="right"/>
    </xf>
    <xf numFmtId="0" fontId="13" fillId="13" borderId="16" xfId="0" applyFont="1" applyFill="1" applyBorder="1"/>
    <xf numFmtId="0" fontId="14" fillId="13" borderId="11" xfId="0" applyFont="1" applyFill="1" applyBorder="1" applyAlignment="1">
      <alignment horizontal="right"/>
    </xf>
    <xf numFmtId="2" fontId="9" fillId="3" borderId="23" xfId="0" applyNumberFormat="1" applyFont="1" applyFill="1" applyBorder="1" applyAlignment="1" applyProtection="1">
      <alignment horizontal="center"/>
    </xf>
    <xf numFmtId="0" fontId="9" fillId="3" borderId="24" xfId="0" applyFont="1" applyFill="1" applyBorder="1" applyProtection="1"/>
    <xf numFmtId="0" fontId="9" fillId="3" borderId="24" xfId="0" applyFont="1" applyFill="1" applyBorder="1" applyAlignment="1" applyProtection="1">
      <alignment horizontal="center"/>
    </xf>
    <xf numFmtId="2" fontId="9" fillId="3" borderId="24" xfId="0" applyNumberFormat="1" applyFont="1" applyFill="1" applyBorder="1" applyAlignment="1" applyProtection="1">
      <alignment horizontal="center"/>
    </xf>
    <xf numFmtId="2" fontId="9" fillId="3" borderId="25" xfId="0" applyNumberFormat="1" applyFont="1" applyFill="1" applyBorder="1" applyAlignment="1" applyProtection="1">
      <alignment horizontal="center"/>
    </xf>
    <xf numFmtId="0" fontId="9" fillId="3" borderId="1" xfId="0" applyFont="1" applyFill="1" applyBorder="1" applyProtection="1"/>
    <xf numFmtId="0" fontId="9" fillId="3" borderId="1" xfId="0" applyFont="1" applyFill="1" applyBorder="1" applyAlignment="1" applyProtection="1">
      <alignment horizontal="center"/>
    </xf>
    <xf numFmtId="2" fontId="9" fillId="3" borderId="1" xfId="0" applyNumberFormat="1" applyFont="1" applyFill="1" applyBorder="1" applyAlignment="1" applyProtection="1">
      <alignment horizontal="center"/>
    </xf>
    <xf numFmtId="2" fontId="9" fillId="6" borderId="25" xfId="0" applyNumberFormat="1" applyFont="1" applyFill="1" applyBorder="1" applyAlignment="1" applyProtection="1">
      <alignment horizontal="center"/>
    </xf>
    <xf numFmtId="0" fontId="9" fillId="6" borderId="1" xfId="0" applyFont="1" applyFill="1" applyBorder="1" applyProtection="1"/>
    <xf numFmtId="0" fontId="9" fillId="6" borderId="1" xfId="0" applyFont="1" applyFill="1" applyBorder="1" applyAlignment="1" applyProtection="1">
      <alignment horizontal="center"/>
    </xf>
    <xf numFmtId="2" fontId="9" fillId="6" borderId="1" xfId="0" applyNumberFormat="1" applyFont="1" applyFill="1" applyBorder="1" applyAlignment="1" applyProtection="1">
      <alignment horizontal="center"/>
    </xf>
    <xf numFmtId="1" fontId="9" fillId="3" borderId="1" xfId="0" applyNumberFormat="1" applyFont="1" applyFill="1" applyBorder="1" applyAlignment="1" applyProtection="1">
      <alignment horizontal="center"/>
    </xf>
    <xf numFmtId="1" fontId="9" fillId="6" borderId="1" xfId="0" applyNumberFormat="1" applyFont="1" applyFill="1" applyBorder="1" applyAlignment="1" applyProtection="1">
      <alignment horizontal="center"/>
    </xf>
    <xf numFmtId="0" fontId="9" fillId="6" borderId="25" xfId="0" applyFont="1" applyFill="1" applyBorder="1" applyAlignment="1" applyProtection="1">
      <alignment horizontal="center"/>
    </xf>
    <xf numFmtId="0" fontId="9" fillId="6" borderId="1" xfId="0" applyFont="1" applyFill="1" applyBorder="1" applyAlignment="1" applyProtection="1">
      <alignment horizontal="left"/>
    </xf>
    <xf numFmtId="0" fontId="9" fillId="3" borderId="1" xfId="0" applyFont="1" applyFill="1" applyBorder="1" applyAlignment="1" applyProtection="1">
      <alignment horizontal="left"/>
    </xf>
    <xf numFmtId="0" fontId="0" fillId="0" borderId="0" xfId="0" applyProtection="1"/>
    <xf numFmtId="2" fontId="9" fillId="3" borderId="23" xfId="0" applyNumberFormat="1" applyFont="1" applyFill="1" applyBorder="1" applyAlignment="1" applyProtection="1">
      <alignment horizontal="center"/>
      <protection locked="0"/>
    </xf>
    <xf numFmtId="0" fontId="9" fillId="3" borderId="24" xfId="0" applyFont="1" applyFill="1" applyBorder="1" applyProtection="1">
      <protection locked="0"/>
    </xf>
    <xf numFmtId="0" fontId="9" fillId="3" borderId="24" xfId="0" applyFont="1" applyFill="1" applyBorder="1" applyAlignment="1" applyProtection="1">
      <alignment horizontal="center"/>
      <protection locked="0"/>
    </xf>
    <xf numFmtId="2" fontId="9" fillId="3" borderId="24" xfId="0" applyNumberFormat="1" applyFont="1" applyFill="1" applyBorder="1" applyAlignment="1" applyProtection="1">
      <alignment horizontal="center"/>
      <protection locked="0"/>
    </xf>
    <xf numFmtId="2" fontId="9" fillId="3" borderId="25" xfId="0" applyNumberFormat="1" applyFont="1" applyFill="1" applyBorder="1" applyAlignment="1" applyProtection="1">
      <alignment horizontal="center"/>
      <protection locked="0"/>
    </xf>
    <xf numFmtId="0" fontId="9" fillId="3" borderId="1" xfId="0" applyFont="1" applyFill="1" applyBorder="1" applyProtection="1">
      <protection locked="0"/>
    </xf>
    <xf numFmtId="0" fontId="9" fillId="3" borderId="1" xfId="0" applyFont="1" applyFill="1" applyBorder="1" applyAlignment="1" applyProtection="1">
      <alignment horizontal="center"/>
      <protection locked="0"/>
    </xf>
    <xf numFmtId="2" fontId="9" fillId="3" borderId="1" xfId="0" applyNumberFormat="1" applyFont="1" applyFill="1" applyBorder="1" applyAlignment="1" applyProtection="1">
      <alignment horizontal="center"/>
      <protection locked="0"/>
    </xf>
    <xf numFmtId="2" fontId="9" fillId="6" borderId="25" xfId="0" applyNumberFormat="1" applyFont="1" applyFill="1" applyBorder="1" applyAlignment="1" applyProtection="1">
      <alignment horizontal="center"/>
      <protection locked="0"/>
    </xf>
    <xf numFmtId="0" fontId="9" fillId="6" borderId="1" xfId="0" applyFont="1" applyFill="1" applyBorder="1" applyProtection="1">
      <protection locked="0"/>
    </xf>
    <xf numFmtId="0" fontId="9" fillId="6" borderId="1" xfId="0" applyFont="1" applyFill="1" applyBorder="1" applyAlignment="1" applyProtection="1">
      <alignment horizontal="center"/>
      <protection locked="0"/>
    </xf>
    <xf numFmtId="2" fontId="9" fillId="6" borderId="1" xfId="0" applyNumberFormat="1" applyFont="1" applyFill="1" applyBorder="1" applyAlignment="1" applyProtection="1">
      <alignment horizontal="center"/>
      <protection locked="0"/>
    </xf>
    <xf numFmtId="1" fontId="9" fillId="3" borderId="1" xfId="0" applyNumberFormat="1" applyFont="1" applyFill="1" applyBorder="1" applyAlignment="1" applyProtection="1">
      <alignment horizontal="center"/>
      <protection locked="0"/>
    </xf>
    <xf numFmtId="1" fontId="9" fillId="6" borderId="1" xfId="0" applyNumberFormat="1" applyFont="1" applyFill="1" applyBorder="1" applyAlignment="1" applyProtection="1">
      <alignment horizontal="center"/>
      <protection locked="0"/>
    </xf>
    <xf numFmtId="0" fontId="9" fillId="6" borderId="25" xfId="0" applyFont="1" applyFill="1" applyBorder="1" applyAlignment="1" applyProtection="1">
      <alignment horizontal="center"/>
      <protection locked="0"/>
    </xf>
    <xf numFmtId="0" fontId="9" fillId="6" borderId="1" xfId="0" applyFont="1" applyFill="1" applyBorder="1" applyAlignment="1" applyProtection="1">
      <alignment horizontal="left"/>
      <protection locked="0"/>
    </xf>
    <xf numFmtId="0" fontId="51" fillId="16" borderId="0" xfId="3" applyFont="1" applyFill="1"/>
    <xf numFmtId="0" fontId="51" fillId="0" borderId="0" xfId="3" applyFont="1"/>
    <xf numFmtId="0" fontId="52" fillId="16" borderId="0" xfId="3" applyFont="1" applyFill="1"/>
    <xf numFmtId="0" fontId="53" fillId="17" borderId="26" xfId="3" applyFont="1" applyFill="1" applyBorder="1" applyAlignment="1">
      <alignment vertical="center" wrapText="1"/>
    </xf>
    <xf numFmtId="0" fontId="53" fillId="17" borderId="27" xfId="3" applyFont="1" applyFill="1" applyBorder="1" applyAlignment="1">
      <alignment horizontal="center" vertical="center" wrapText="1"/>
    </xf>
    <xf numFmtId="0" fontId="54" fillId="18" borderId="26" xfId="3" applyFont="1" applyFill="1" applyBorder="1" applyAlignment="1">
      <alignment vertical="center" wrapText="1"/>
    </xf>
    <xf numFmtId="0" fontId="54" fillId="18" borderId="27" xfId="3" applyFont="1" applyFill="1" applyBorder="1" applyAlignment="1">
      <alignment horizontal="center" vertical="center" wrapText="1"/>
    </xf>
    <xf numFmtId="0" fontId="55" fillId="19" borderId="28" xfId="3" applyFont="1" applyFill="1" applyBorder="1" applyAlignment="1">
      <alignment horizontal="center" vertical="center" wrapText="1"/>
    </xf>
    <xf numFmtId="0" fontId="55" fillId="19" borderId="28" xfId="3" applyFont="1" applyFill="1" applyBorder="1" applyAlignment="1">
      <alignment vertical="center" wrapText="1"/>
    </xf>
    <xf numFmtId="164" fontId="55" fillId="19" borderId="29" xfId="3" applyNumberFormat="1" applyFont="1" applyFill="1" applyBorder="1" applyAlignment="1">
      <alignment horizontal="center" vertical="center" wrapText="1"/>
    </xf>
    <xf numFmtId="2" fontId="55" fillId="19" borderId="29" xfId="3" applyNumberFormat="1" applyFont="1" applyFill="1" applyBorder="1" applyAlignment="1">
      <alignment horizontal="center" vertical="center" wrapText="1"/>
    </xf>
    <xf numFmtId="0" fontId="54" fillId="20" borderId="28" xfId="3" applyFont="1" applyFill="1" applyBorder="1" applyAlignment="1">
      <alignment horizontal="center" vertical="center" wrapText="1"/>
    </xf>
    <xf numFmtId="0" fontId="54" fillId="20" borderId="28" xfId="3" applyFont="1" applyFill="1" applyBorder="1" applyAlignment="1">
      <alignment vertical="center" wrapText="1"/>
    </xf>
    <xf numFmtId="2" fontId="54" fillId="20" borderId="29" xfId="3" applyNumberFormat="1" applyFont="1" applyFill="1" applyBorder="1" applyAlignment="1">
      <alignment horizontal="center" vertical="center" wrapText="1"/>
    </xf>
    <xf numFmtId="0" fontId="54" fillId="20" borderId="29" xfId="3" applyFont="1" applyFill="1" applyBorder="1" applyAlignment="1">
      <alignment horizontal="center" vertical="center" wrapText="1"/>
    </xf>
    <xf numFmtId="2" fontId="54" fillId="20" borderId="28" xfId="3" applyNumberFormat="1" applyFont="1" applyFill="1" applyBorder="1" applyAlignment="1">
      <alignment horizontal="center" vertical="center" wrapText="1"/>
    </xf>
    <xf numFmtId="0" fontId="37" fillId="16" borderId="0" xfId="0" applyFont="1" applyFill="1"/>
    <xf numFmtId="0" fontId="2" fillId="3" borderId="0" xfId="2" applyFill="1"/>
    <xf numFmtId="0" fontId="2" fillId="0" borderId="0" xfId="2"/>
    <xf numFmtId="0" fontId="56" fillId="21" borderId="0" xfId="2" applyFont="1" applyFill="1"/>
    <xf numFmtId="0" fontId="37" fillId="3" borderId="0" xfId="2" applyFont="1" applyFill="1"/>
    <xf numFmtId="0" fontId="37" fillId="3" borderId="0" xfId="2" applyFont="1" applyFill="1" applyAlignment="1"/>
    <xf numFmtId="0" fontId="2" fillId="15" borderId="0" xfId="2" applyFill="1"/>
    <xf numFmtId="0" fontId="12" fillId="3" borderId="0" xfId="2" applyFont="1" applyFill="1" applyAlignment="1">
      <alignment horizontal="center"/>
    </xf>
    <xf numFmtId="0" fontId="38" fillId="3" borderId="0" xfId="2" applyFont="1" applyFill="1" applyAlignment="1">
      <alignment horizontal="center" vertical="center"/>
    </xf>
    <xf numFmtId="0" fontId="12" fillId="3" borderId="0" xfId="2" quotePrefix="1" applyFont="1" applyFill="1"/>
    <xf numFmtId="0" fontId="12" fillId="3" borderId="0" xfId="2" quotePrefix="1" applyFont="1" applyFill="1" applyAlignment="1">
      <alignment horizontal="center" vertical="center"/>
    </xf>
    <xf numFmtId="0" fontId="12" fillId="3" borderId="0" xfId="2" quotePrefix="1" applyFont="1" applyFill="1" applyAlignment="1">
      <alignment vertical="center"/>
    </xf>
    <xf numFmtId="1" fontId="12" fillId="0" borderId="0" xfId="2" applyNumberFormat="1" applyFont="1" applyFill="1" applyAlignment="1" applyProtection="1">
      <alignment horizontal="center"/>
      <protection locked="0"/>
    </xf>
    <xf numFmtId="0" fontId="37" fillId="3" borderId="0" xfId="2" applyFont="1" applyFill="1" applyAlignment="1">
      <alignment horizontal="center"/>
    </xf>
    <xf numFmtId="2" fontId="12" fillId="0" borderId="0" xfId="2" applyNumberFormat="1" applyFont="1" applyFill="1" applyAlignment="1" applyProtection="1">
      <alignment horizontal="center"/>
      <protection locked="0"/>
    </xf>
    <xf numFmtId="0" fontId="38" fillId="3" borderId="0" xfId="2" applyFont="1" applyFill="1" applyAlignment="1">
      <alignment horizontal="center"/>
    </xf>
    <xf numFmtId="0" fontId="12" fillId="3" borderId="0" xfId="2" quotePrefix="1" applyFont="1" applyFill="1" applyAlignment="1">
      <alignment horizontal="center"/>
    </xf>
    <xf numFmtId="2" fontId="12" fillId="3" borderId="0" xfId="2" applyNumberFormat="1" applyFont="1" applyFill="1" applyAlignment="1">
      <alignment horizontal="center"/>
    </xf>
    <xf numFmtId="2" fontId="12" fillId="9" borderId="0" xfId="2" quotePrefix="1" applyNumberFormat="1" applyFont="1" applyFill="1" applyAlignment="1">
      <alignment horizontal="center"/>
    </xf>
    <xf numFmtId="0" fontId="12" fillId="16" borderId="0" xfId="2" applyFont="1" applyFill="1" applyAlignment="1">
      <alignment horizontal="center" wrapText="1"/>
    </xf>
    <xf numFmtId="0" fontId="37" fillId="16" borderId="0" xfId="2" applyFont="1" applyFill="1"/>
    <xf numFmtId="0" fontId="38" fillId="16" borderId="0" xfId="2" applyFont="1" applyFill="1" applyAlignment="1">
      <alignment horizontal="center" vertical="center"/>
    </xf>
    <xf numFmtId="0" fontId="12" fillId="16" borderId="0" xfId="2" applyFont="1" applyFill="1" applyAlignment="1">
      <alignment horizontal="center"/>
    </xf>
    <xf numFmtId="0" fontId="12" fillId="16" borderId="0" xfId="2" quotePrefix="1" applyFont="1" applyFill="1"/>
    <xf numFmtId="0" fontId="12" fillId="16" borderId="0" xfId="2" quotePrefix="1" applyFont="1" applyFill="1" applyAlignment="1">
      <alignment horizontal="center" vertical="center"/>
    </xf>
    <xf numFmtId="0" fontId="12" fillId="16" borderId="0" xfId="2" quotePrefix="1" applyFont="1" applyFill="1" applyAlignment="1">
      <alignment vertical="center"/>
    </xf>
    <xf numFmtId="0" fontId="12" fillId="0" borderId="0" xfId="2" applyFont="1" applyFill="1" applyAlignment="1" applyProtection="1">
      <alignment horizontal="center"/>
      <protection locked="0"/>
    </xf>
    <xf numFmtId="0" fontId="39" fillId="16" borderId="0" xfId="2" applyFont="1" applyFill="1"/>
    <xf numFmtId="0" fontId="38" fillId="16" borderId="0" xfId="2" applyFont="1" applyFill="1" applyAlignment="1">
      <alignment horizontal="center"/>
    </xf>
    <xf numFmtId="2" fontId="12" fillId="16" borderId="0" xfId="2" applyNumberFormat="1" applyFont="1" applyFill="1" applyAlignment="1">
      <alignment horizontal="center"/>
    </xf>
    <xf numFmtId="0" fontId="37" fillId="15" borderId="0" xfId="2" applyFont="1" applyFill="1"/>
    <xf numFmtId="0" fontId="39" fillId="15" borderId="0" xfId="2" applyFont="1" applyFill="1"/>
    <xf numFmtId="0" fontId="37" fillId="3" borderId="0" xfId="2" applyFont="1" applyFill="1" applyAlignment="1">
      <alignment vertical="center"/>
    </xf>
    <xf numFmtId="0" fontId="37" fillId="3" borderId="0" xfId="2" applyFont="1" applyFill="1" applyAlignment="1">
      <alignment horizontal="center" vertical="center"/>
    </xf>
    <xf numFmtId="0" fontId="12" fillId="3" borderId="0" xfId="2" applyFont="1" applyFill="1" applyAlignment="1">
      <alignment horizontal="center" vertical="center"/>
    </xf>
    <xf numFmtId="0" fontId="2" fillId="3" borderId="0" xfId="2" applyFill="1" applyAlignment="1">
      <alignment vertical="center"/>
    </xf>
    <xf numFmtId="0" fontId="2" fillId="0" borderId="0" xfId="2" applyAlignment="1">
      <alignment vertical="center"/>
    </xf>
    <xf numFmtId="0" fontId="40" fillId="3" borderId="0" xfId="2" applyFont="1" applyFill="1" applyAlignment="1">
      <alignment horizontal="center" vertical="center"/>
    </xf>
    <xf numFmtId="0" fontId="12" fillId="0" borderId="0" xfId="2" quotePrefix="1" applyFont="1" applyFill="1" applyAlignment="1" applyProtection="1">
      <alignment horizontal="center"/>
      <protection locked="0"/>
    </xf>
    <xf numFmtId="0" fontId="37" fillId="16" borderId="10" xfId="0" applyFont="1" applyFill="1" applyBorder="1"/>
    <xf numFmtId="0" fontId="43" fillId="13" borderId="0" xfId="0" applyFont="1" applyFill="1" applyAlignment="1">
      <alignment horizontal="center"/>
    </xf>
    <xf numFmtId="0" fontId="43" fillId="13" borderId="0" xfId="0" applyFont="1" applyFill="1"/>
    <xf numFmtId="0" fontId="37" fillId="0" borderId="0" xfId="0" applyFont="1"/>
    <xf numFmtId="2" fontId="37" fillId="13" borderId="0" xfId="0" applyNumberFormat="1" applyFont="1" applyFill="1"/>
    <xf numFmtId="0" fontId="37" fillId="13" borderId="0" xfId="0" applyFont="1" applyFill="1"/>
    <xf numFmtId="0" fontId="37" fillId="13" borderId="0" xfId="0" applyFont="1" applyFill="1" applyAlignment="1">
      <alignment horizontal="center"/>
    </xf>
    <xf numFmtId="0" fontId="37" fillId="16" borderId="7" xfId="0" applyFont="1" applyFill="1" applyBorder="1" applyAlignment="1">
      <alignment horizontal="center"/>
    </xf>
    <xf numFmtId="0" fontId="37" fillId="0" borderId="0" xfId="0" applyFont="1" applyFill="1"/>
    <xf numFmtId="165" fontId="37" fillId="16" borderId="0" xfId="0" applyNumberFormat="1" applyFont="1" applyFill="1" applyBorder="1"/>
    <xf numFmtId="2" fontId="43" fillId="16" borderId="0" xfId="0" applyNumberFormat="1" applyFont="1" applyFill="1"/>
    <xf numFmtId="16" fontId="37" fillId="16" borderId="10" xfId="0" applyNumberFormat="1" applyFont="1" applyFill="1" applyBorder="1" applyAlignment="1">
      <alignment horizontal="center"/>
    </xf>
    <xf numFmtId="16" fontId="43" fillId="16" borderId="0" xfId="0" applyNumberFormat="1" applyFont="1" applyFill="1" applyAlignment="1">
      <alignment horizontal="center"/>
    </xf>
    <xf numFmtId="0" fontId="37" fillId="13" borderId="7" xfId="0" applyFont="1" applyFill="1" applyBorder="1" applyAlignment="1">
      <alignment horizontal="center"/>
    </xf>
    <xf numFmtId="0" fontId="2" fillId="3" borderId="0" xfId="0" applyFont="1" applyFill="1" applyAlignment="1">
      <alignment horizontal="center"/>
    </xf>
    <xf numFmtId="0" fontId="0" fillId="3" borderId="0" xfId="0" applyFill="1" applyAlignment="1">
      <alignment horizontal="center" vertical="center"/>
    </xf>
    <xf numFmtId="0" fontId="0" fillId="3" borderId="7" xfId="0" applyFill="1" applyBorder="1" applyAlignment="1">
      <alignment horizontal="center" vertical="center"/>
    </xf>
    <xf numFmtId="0" fontId="2" fillId="3" borderId="7" xfId="0" applyFont="1" applyFill="1" applyBorder="1" applyAlignment="1">
      <alignment horizontal="center" vertical="center"/>
    </xf>
    <xf numFmtId="0" fontId="0" fillId="3" borderId="0" xfId="0" applyFill="1" applyBorder="1" applyAlignment="1">
      <alignment horizontal="center" vertical="center"/>
    </xf>
    <xf numFmtId="0" fontId="32" fillId="3" borderId="0" xfId="0" applyFont="1" applyFill="1" applyAlignment="1">
      <alignment horizontal="center" vertical="center"/>
    </xf>
    <xf numFmtId="14" fontId="0" fillId="3" borderId="0" xfId="0" applyNumberFormat="1" applyFill="1" applyAlignment="1">
      <alignment horizontal="center" vertical="center"/>
    </xf>
    <xf numFmtId="1" fontId="0" fillId="3" borderId="7" xfId="0" applyNumberFormat="1" applyFill="1" applyBorder="1" applyAlignment="1">
      <alignment horizontal="center" vertical="center"/>
    </xf>
    <xf numFmtId="1" fontId="2" fillId="3" borderId="7" xfId="0" applyNumberFormat="1" applyFont="1" applyFill="1" applyBorder="1" applyAlignment="1">
      <alignment horizontal="center" vertical="center"/>
    </xf>
    <xf numFmtId="0" fontId="2" fillId="3" borderId="0" xfId="0" applyFont="1" applyFill="1" applyAlignment="1">
      <alignment horizontal="center" vertical="center"/>
    </xf>
    <xf numFmtId="2" fontId="0" fillId="9" borderId="0" xfId="0" applyNumberFormat="1" applyFill="1" applyAlignment="1">
      <alignment horizontal="center" vertical="center"/>
    </xf>
    <xf numFmtId="2" fontId="0" fillId="9" borderId="7" xfId="0" applyNumberFormat="1" applyFill="1" applyBorder="1" applyAlignment="1">
      <alignment horizontal="center" vertical="center"/>
    </xf>
    <xf numFmtId="167" fontId="0" fillId="3" borderId="0" xfId="0" applyNumberFormat="1" applyFill="1" applyAlignment="1">
      <alignment horizontal="center" vertical="center"/>
    </xf>
    <xf numFmtId="2" fontId="0" fillId="0" borderId="0" xfId="0" applyNumberFormat="1" applyFill="1" applyBorder="1" applyAlignment="1" applyProtection="1">
      <alignment horizontal="center" vertical="center"/>
      <protection locked="0"/>
    </xf>
    <xf numFmtId="2" fontId="0" fillId="0" borderId="0" xfId="0" applyNumberFormat="1" applyFill="1" applyAlignment="1" applyProtection="1">
      <alignment horizontal="center" vertical="center"/>
      <protection locked="0"/>
    </xf>
    <xf numFmtId="2" fontId="0" fillId="9" borderId="0" xfId="0" applyNumberFormat="1" applyFill="1" applyBorder="1" applyAlignment="1">
      <alignment horizontal="center" vertical="center"/>
    </xf>
    <xf numFmtId="2" fontId="0" fillId="14" borderId="17" xfId="0" applyNumberFormat="1" applyFill="1" applyBorder="1" applyAlignment="1">
      <alignment horizontal="center" vertical="center"/>
    </xf>
    <xf numFmtId="2" fontId="0" fillId="0" borderId="17" xfId="0" applyNumberFormat="1" applyFill="1" applyBorder="1" applyAlignment="1" applyProtection="1">
      <alignment horizontal="center" vertical="center"/>
      <protection locked="0"/>
    </xf>
    <xf numFmtId="2" fontId="0" fillId="9" borderId="17" xfId="0" applyNumberFormat="1" applyFill="1" applyBorder="1" applyAlignment="1">
      <alignment horizontal="center" vertical="center"/>
    </xf>
    <xf numFmtId="1" fontId="0" fillId="9" borderId="10" xfId="0" applyNumberFormat="1" applyFill="1" applyBorder="1" applyAlignment="1">
      <alignment horizontal="center" vertical="center"/>
    </xf>
    <xf numFmtId="165" fontId="0" fillId="9" borderId="0" xfId="0" applyNumberFormat="1" applyFill="1" applyBorder="1" applyAlignment="1">
      <alignment horizontal="center" vertical="center"/>
    </xf>
    <xf numFmtId="2" fontId="5" fillId="9" borderId="0" xfId="0" applyNumberFormat="1" applyFont="1" applyFill="1" applyAlignment="1">
      <alignment horizontal="center" vertical="center"/>
    </xf>
    <xf numFmtId="167" fontId="0" fillId="3" borderId="7" xfId="0" applyNumberFormat="1" applyFill="1" applyBorder="1" applyAlignment="1">
      <alignment horizontal="center" vertical="center"/>
    </xf>
    <xf numFmtId="2" fontId="0" fillId="0" borderId="7" xfId="0" applyNumberFormat="1" applyFill="1" applyBorder="1" applyAlignment="1" applyProtection="1">
      <alignment horizontal="center" vertical="center"/>
      <protection locked="0"/>
    </xf>
    <xf numFmtId="2" fontId="0" fillId="9" borderId="30" xfId="0" applyNumberFormat="1" applyFill="1" applyBorder="1" applyAlignment="1">
      <alignment horizontal="center" vertical="center"/>
    </xf>
    <xf numFmtId="2" fontId="0" fillId="0" borderId="31" xfId="0" applyNumberFormat="1" applyFill="1" applyBorder="1" applyAlignment="1" applyProtection="1">
      <alignment horizontal="center" vertical="center"/>
      <protection locked="0"/>
    </xf>
    <xf numFmtId="2" fontId="0" fillId="9" borderId="31" xfId="0" applyNumberFormat="1" applyFill="1" applyBorder="1" applyAlignment="1">
      <alignment horizontal="center" vertical="center"/>
    </xf>
    <xf numFmtId="165" fontId="0" fillId="9" borderId="7" xfId="0" applyNumberFormat="1" applyFill="1" applyBorder="1" applyAlignment="1">
      <alignment horizontal="center" vertical="center"/>
    </xf>
    <xf numFmtId="0" fontId="2" fillId="3" borderId="0" xfId="2" applyFill="1" applyAlignment="1">
      <alignment horizontal="right"/>
    </xf>
    <xf numFmtId="0" fontId="2" fillId="3" borderId="0" xfId="0" applyFont="1" applyFill="1" applyAlignment="1">
      <alignment horizontal="right"/>
    </xf>
    <xf numFmtId="2" fontId="2" fillId="3" borderId="8" xfId="0" applyNumberFormat="1" applyFont="1" applyFill="1" applyBorder="1" applyAlignment="1">
      <alignment horizontal="center"/>
    </xf>
    <xf numFmtId="0" fontId="2" fillId="3" borderId="0" xfId="2" applyFill="1" applyAlignment="1">
      <alignment horizontal="center"/>
    </xf>
    <xf numFmtId="0" fontId="2" fillId="3" borderId="8" xfId="0" applyFont="1" applyFill="1" applyBorder="1" applyAlignment="1">
      <alignment horizontal="center"/>
    </xf>
    <xf numFmtId="0" fontId="44" fillId="3" borderId="0" xfId="2" applyFont="1" applyFill="1"/>
    <xf numFmtId="1" fontId="0" fillId="9" borderId="18" xfId="0" applyNumberFormat="1" applyFill="1" applyBorder="1" applyAlignment="1">
      <alignment horizontal="center" vertical="center"/>
    </xf>
    <xf numFmtId="0" fontId="45" fillId="10" borderId="7" xfId="0" applyFont="1" applyFill="1" applyBorder="1" applyAlignment="1">
      <alignment horizontal="center"/>
    </xf>
    <xf numFmtId="1" fontId="45" fillId="10" borderId="7" xfId="0" applyNumberFormat="1" applyFont="1" applyFill="1" applyBorder="1" applyAlignment="1">
      <alignment horizontal="center"/>
    </xf>
    <xf numFmtId="167" fontId="44" fillId="16" borderId="0" xfId="0" applyNumberFormat="1" applyFont="1" applyFill="1"/>
    <xf numFmtId="2" fontId="44" fillId="16" borderId="0" xfId="0" applyNumberFormat="1" applyFont="1" applyFill="1" applyProtection="1">
      <protection locked="0"/>
    </xf>
    <xf numFmtId="16" fontId="44" fillId="22" borderId="0" xfId="0" applyNumberFormat="1" applyFont="1" applyFill="1" applyAlignment="1">
      <alignment horizontal="center"/>
    </xf>
    <xf numFmtId="0" fontId="28" fillId="16" borderId="0" xfId="0" applyFont="1" applyFill="1"/>
    <xf numFmtId="0" fontId="28" fillId="16" borderId="0" xfId="0" applyFont="1" applyFill="1" applyAlignment="1">
      <alignment horizontal="center"/>
    </xf>
    <xf numFmtId="0" fontId="28" fillId="16" borderId="7" xfId="0" applyFont="1" applyFill="1" applyBorder="1" applyAlignment="1">
      <alignment horizontal="center"/>
    </xf>
    <xf numFmtId="0" fontId="28" fillId="16" borderId="0" xfId="0" applyFont="1" applyFill="1" applyBorder="1" applyAlignment="1">
      <alignment horizontal="center"/>
    </xf>
    <xf numFmtId="167" fontId="28" fillId="16" borderId="9" xfId="0" applyNumberFormat="1" applyFont="1" applyFill="1" applyBorder="1" applyAlignment="1">
      <alignment horizontal="center"/>
    </xf>
    <xf numFmtId="0" fontId="28" fillId="16" borderId="8" xfId="0" applyFont="1" applyFill="1" applyBorder="1" applyAlignment="1">
      <alignment horizontal="center"/>
    </xf>
    <xf numFmtId="0" fontId="57" fillId="16" borderId="8" xfId="0" applyFont="1" applyFill="1" applyBorder="1" applyAlignment="1">
      <alignment horizontal="center"/>
    </xf>
    <xf numFmtId="0" fontId="28" fillId="0" borderId="8" xfId="0" applyFont="1" applyFill="1" applyBorder="1" applyAlignment="1" applyProtection="1">
      <alignment horizontal="center"/>
      <protection locked="0"/>
    </xf>
    <xf numFmtId="0" fontId="57" fillId="9" borderId="8" xfId="0" applyFont="1" applyFill="1" applyBorder="1" applyAlignment="1">
      <alignment horizontal="center"/>
    </xf>
    <xf numFmtId="0" fontId="57" fillId="16" borderId="8" xfId="0" applyFont="1" applyFill="1" applyBorder="1" applyAlignment="1" applyProtection="1">
      <alignment horizontal="center"/>
      <protection locked="0"/>
    </xf>
    <xf numFmtId="0" fontId="27" fillId="16" borderId="0" xfId="0" applyFont="1" applyFill="1" applyAlignment="1">
      <alignment horizontal="center"/>
    </xf>
    <xf numFmtId="1" fontId="27" fillId="16" borderId="0" xfId="0" applyNumberFormat="1" applyFont="1" applyFill="1" applyAlignment="1">
      <alignment horizontal="center"/>
    </xf>
    <xf numFmtId="1" fontId="27" fillId="16" borderId="0" xfId="0" applyNumberFormat="1" applyFont="1" applyFill="1" applyAlignment="1">
      <alignment horizontal="right"/>
    </xf>
    <xf numFmtId="0" fontId="27" fillId="16" borderId="0" xfId="0" applyFont="1" applyFill="1"/>
    <xf numFmtId="0" fontId="58" fillId="16" borderId="0" xfId="2" applyFont="1" applyFill="1" applyAlignment="1">
      <alignment horizontal="center"/>
    </xf>
    <xf numFmtId="0" fontId="2" fillId="3" borderId="7" xfId="0" applyFont="1" applyFill="1" applyBorder="1" applyAlignment="1">
      <alignment horizontal="center"/>
    </xf>
    <xf numFmtId="2" fontId="0" fillId="3" borderId="0" xfId="0" applyNumberFormat="1" applyFill="1" applyAlignment="1">
      <alignment horizontal="center"/>
    </xf>
    <xf numFmtId="2" fontId="59" fillId="3" borderId="0" xfId="0" applyNumberFormat="1" applyFont="1" applyFill="1" applyAlignment="1">
      <alignment horizontal="center"/>
    </xf>
    <xf numFmtId="0" fontId="10" fillId="3" borderId="0" xfId="0" applyFont="1" applyFill="1" applyAlignment="1">
      <alignment horizontal="left"/>
    </xf>
    <xf numFmtId="0" fontId="60" fillId="3" borderId="0" xfId="0" applyFont="1" applyFill="1"/>
    <xf numFmtId="0" fontId="61" fillId="16" borderId="0" xfId="0" applyFont="1" applyFill="1"/>
    <xf numFmtId="165" fontId="46" fillId="0" borderId="0" xfId="0" applyNumberFormat="1" applyFont="1" applyAlignment="1" applyProtection="1">
      <alignment vertical="center"/>
      <protection hidden="1"/>
    </xf>
    <xf numFmtId="0" fontId="2" fillId="0" borderId="8" xfId="0" applyFont="1" applyFill="1" applyBorder="1" applyAlignment="1" applyProtection="1">
      <alignment horizontal="center"/>
      <protection locked="0"/>
    </xf>
    <xf numFmtId="2" fontId="0" fillId="23" borderId="0" xfId="0" applyNumberFormat="1" applyFill="1" applyProtection="1">
      <protection locked="0"/>
    </xf>
    <xf numFmtId="0" fontId="0" fillId="23" borderId="0" xfId="0" applyFill="1" applyProtection="1">
      <protection locked="0"/>
    </xf>
    <xf numFmtId="2" fontId="0" fillId="23" borderId="0" xfId="0" applyNumberFormat="1" applyFill="1" applyBorder="1" applyProtection="1">
      <protection locked="0"/>
    </xf>
    <xf numFmtId="1" fontId="0" fillId="9" borderId="32" xfId="0" applyNumberFormat="1" applyFill="1" applyBorder="1" applyAlignment="1">
      <alignment horizontal="center" vertical="center"/>
    </xf>
    <xf numFmtId="1" fontId="0" fillId="9" borderId="30" xfId="0" applyNumberFormat="1" applyFill="1" applyBorder="1" applyAlignment="1">
      <alignment horizontal="center" vertical="center"/>
    </xf>
    <xf numFmtId="2" fontId="0" fillId="14" borderId="31" xfId="0" applyNumberFormat="1" applyFill="1" applyBorder="1" applyAlignment="1">
      <alignment horizontal="center" vertical="center"/>
    </xf>
    <xf numFmtId="2" fontId="5" fillId="9" borderId="7" xfId="0" applyNumberFormat="1" applyFont="1" applyFill="1" applyBorder="1" applyAlignment="1">
      <alignment horizontal="center" vertical="center"/>
    </xf>
    <xf numFmtId="0" fontId="61" fillId="16" borderId="7" xfId="0" applyFont="1" applyFill="1" applyBorder="1"/>
    <xf numFmtId="0" fontId="2" fillId="3" borderId="0" xfId="0" applyFont="1" applyFill="1"/>
    <xf numFmtId="2" fontId="0" fillId="9" borderId="18" xfId="0" applyNumberFormat="1" applyFill="1" applyBorder="1" applyAlignment="1">
      <alignment horizontal="center" vertical="center"/>
    </xf>
    <xf numFmtId="2" fontId="0" fillId="9" borderId="32" xfId="0" applyNumberFormat="1" applyFill="1" applyBorder="1" applyAlignment="1">
      <alignment horizontal="center" vertical="center"/>
    </xf>
    <xf numFmtId="0" fontId="0" fillId="23" borderId="0" xfId="0" applyFill="1" applyAlignment="1">
      <alignment horizontal="center" vertical="center"/>
    </xf>
    <xf numFmtId="168" fontId="0" fillId="23" borderId="0" xfId="0" applyNumberFormat="1" applyFill="1" applyAlignment="1">
      <alignment horizontal="center" vertical="center"/>
    </xf>
    <xf numFmtId="165" fontId="0" fillId="23" borderId="0" xfId="0" applyNumberFormat="1" applyFill="1" applyAlignment="1">
      <alignment horizontal="center" vertical="center"/>
    </xf>
    <xf numFmtId="0" fontId="0" fillId="22" borderId="0" xfId="0" applyFill="1" applyAlignment="1">
      <alignment horizontal="center" vertical="center"/>
    </xf>
    <xf numFmtId="168" fontId="0" fillId="22" borderId="0" xfId="0" applyNumberFormat="1" applyFill="1" applyAlignment="1">
      <alignment horizontal="center" vertical="center"/>
    </xf>
    <xf numFmtId="165" fontId="0" fillId="22" borderId="0" xfId="0" applyNumberFormat="1" applyFill="1" applyAlignment="1">
      <alignment horizontal="center" vertical="center"/>
    </xf>
    <xf numFmtId="0" fontId="0" fillId="23" borderId="7" xfId="0" applyFill="1" applyBorder="1" applyAlignment="1">
      <alignment horizontal="center" vertical="center"/>
    </xf>
    <xf numFmtId="2" fontId="0" fillId="2" borderId="7" xfId="0" applyNumberFormat="1" applyFill="1" applyBorder="1" applyAlignment="1">
      <alignment horizontal="center"/>
    </xf>
    <xf numFmtId="0" fontId="4" fillId="11" borderId="13" xfId="0" applyFont="1" applyFill="1" applyBorder="1" applyAlignment="1" applyProtection="1">
      <alignment horizontal="left"/>
      <protection locked="0"/>
    </xf>
    <xf numFmtId="0" fontId="4" fillId="11" borderId="19" xfId="0" applyFont="1" applyFill="1" applyBorder="1" applyAlignment="1" applyProtection="1">
      <alignment horizontal="left"/>
      <protection locked="0"/>
    </xf>
    <xf numFmtId="0" fontId="0" fillId="0" borderId="9" xfId="0" applyBorder="1" applyAlignment="1">
      <alignment horizontal="left"/>
    </xf>
    <xf numFmtId="0" fontId="34" fillId="10" borderId="14" xfId="0" applyFont="1" applyFill="1" applyBorder="1" applyAlignment="1" applyProtection="1">
      <alignment horizontal="center" wrapText="1"/>
    </xf>
    <xf numFmtId="0" fontId="33" fillId="0" borderId="15" xfId="0" applyFont="1" applyBorder="1" applyAlignment="1">
      <alignment horizontal="center" wrapText="1"/>
    </xf>
    <xf numFmtId="0" fontId="33" fillId="0" borderId="16" xfId="0" applyFont="1" applyBorder="1" applyAlignment="1">
      <alignment horizontal="center" wrapText="1"/>
    </xf>
    <xf numFmtId="0" fontId="33" fillId="0" borderId="11" xfId="0" applyFont="1" applyBorder="1" applyAlignment="1">
      <alignment horizontal="center" wrapText="1"/>
    </xf>
    <xf numFmtId="0" fontId="6" fillId="4" borderId="33" xfId="0" applyFont="1" applyFill="1" applyBorder="1" applyAlignment="1" applyProtection="1">
      <alignment horizontal="center" vertical="center"/>
      <protection hidden="1"/>
    </xf>
    <xf numFmtId="0" fontId="7" fillId="4" borderId="34" xfId="0" applyFont="1" applyFill="1" applyBorder="1" applyAlignment="1" applyProtection="1">
      <alignment horizontal="center"/>
      <protection hidden="1"/>
    </xf>
    <xf numFmtId="0" fontId="12" fillId="16" borderId="0" xfId="2" applyFont="1" applyFill="1" applyAlignment="1">
      <alignment horizontal="center" wrapText="1"/>
    </xf>
    <xf numFmtId="0" fontId="2" fillId="0" borderId="0" xfId="2" applyAlignment="1">
      <alignment horizontal="center" wrapText="1"/>
    </xf>
    <xf numFmtId="0" fontId="62" fillId="21" borderId="0" xfId="2" applyFont="1" applyFill="1" applyAlignment="1">
      <alignment horizontal="center"/>
    </xf>
    <xf numFmtId="0" fontId="37" fillId="0" borderId="0" xfId="2" applyFont="1" applyAlignment="1">
      <alignment wrapText="1"/>
    </xf>
    <xf numFmtId="0" fontId="37" fillId="3" borderId="0" xfId="2" applyFont="1" applyFill="1" applyAlignment="1">
      <alignment horizontal="center" vertical="center"/>
    </xf>
    <xf numFmtId="0" fontId="37" fillId="0" borderId="0" xfId="2" applyFont="1" applyAlignment="1">
      <alignment vertical="center"/>
    </xf>
    <xf numFmtId="0" fontId="37" fillId="0" borderId="0" xfId="2" applyFont="1" applyAlignment="1">
      <alignment horizontal="center" wrapText="1"/>
    </xf>
    <xf numFmtId="0" fontId="2" fillId="0" borderId="0" xfId="2" applyAlignment="1">
      <alignment wrapText="1"/>
    </xf>
  </cellXfs>
  <cellStyles count="4">
    <cellStyle name="Hyperlink" xfId="1" builtinId="8"/>
    <cellStyle name="Normal" xfId="0" builtinId="0"/>
    <cellStyle name="Normal 2" xfId="2"/>
    <cellStyle name="Normal 3" xfId="3"/>
  </cellStyles>
  <dxfs count="2">
    <dxf>
      <font>
        <b/>
        <i val="0"/>
        <color rgb="FFC00000"/>
      </font>
      <fill>
        <patternFill>
          <bgColor rgb="FF00FF00"/>
        </patternFill>
      </fill>
    </dxf>
    <dxf>
      <font>
        <color rgb="FFFFFF00"/>
      </font>
      <fill>
        <patternFill>
          <bgColor rgb="FF00FFFF"/>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hartsheet" Target="chartsheets/sheet4.xml"/><Relationship Id="rId18" Type="http://schemas.openxmlformats.org/officeDocument/2006/relationships/worksheet" Target="worksheets/sheet12.xml"/><Relationship Id="rId3" Type="http://schemas.openxmlformats.org/officeDocument/2006/relationships/worksheet" Target="worksheets/sheet3.xml"/><Relationship Id="rId21" Type="http://schemas.openxmlformats.org/officeDocument/2006/relationships/worksheet" Target="worksheets/sheet15.xml"/><Relationship Id="rId7" Type="http://schemas.openxmlformats.org/officeDocument/2006/relationships/worksheet" Target="worksheets/sheet7.xml"/><Relationship Id="rId12" Type="http://schemas.openxmlformats.org/officeDocument/2006/relationships/chartsheet" Target="chartsheets/sheet3.xml"/><Relationship Id="rId17" Type="http://schemas.openxmlformats.org/officeDocument/2006/relationships/worksheet" Target="worksheets/sheet1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hartsheet" Target="chartsheets/sheet6.xml"/><Relationship Id="rId20" Type="http://schemas.openxmlformats.org/officeDocument/2006/relationships/worksheet" Target="worksheets/sheet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2.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hartsheet" Target="chartsheets/sheet5.xml"/><Relationship Id="rId23" Type="http://schemas.openxmlformats.org/officeDocument/2006/relationships/styles" Target="styles.xml"/><Relationship Id="rId10" Type="http://schemas.openxmlformats.org/officeDocument/2006/relationships/chartsheet" Target="chartsheets/sheet1.xml"/><Relationship Id="rId19" Type="http://schemas.openxmlformats.org/officeDocument/2006/relationships/worksheet" Target="worksheets/sheet1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0.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autoTitleDeleted val="0"/>
    <c:plotArea>
      <c:layout>
        <c:manualLayout>
          <c:layoutTarget val="inner"/>
          <c:xMode val="edge"/>
          <c:yMode val="edge"/>
          <c:x val="7.7691453940066588E-2"/>
          <c:y val="4.8939641109298535E-2"/>
          <c:w val="0.88457269700332963"/>
          <c:h val="0.81729200652528544"/>
        </c:manualLayout>
      </c:layout>
      <c:lineChart>
        <c:grouping val="standard"/>
        <c:varyColors val="0"/>
        <c:ser>
          <c:idx val="0"/>
          <c:order val="0"/>
          <c:tx>
            <c:v>OKc</c:v>
          </c:tx>
          <c:spPr>
            <a:ln w="25400">
              <a:solidFill>
                <a:srgbClr val="0000FF"/>
              </a:solidFill>
              <a:prstDash val="solid"/>
            </a:ln>
          </c:spPr>
          <c:marker>
            <c:symbol val="none"/>
          </c:marker>
          <c:cat>
            <c:numRef>
              <c:f>Crop!$B$49:$B$625</c:f>
              <c:numCache>
                <c:formatCode>dd\-mmm\-yy</c:formatCode>
                <c:ptCount val="577"/>
                <c:pt idx="0">
                  <c:v>41640</c:v>
                </c:pt>
                <c:pt idx="1">
                  <c:v>41641</c:v>
                </c:pt>
                <c:pt idx="2">
                  <c:v>41642</c:v>
                </c:pt>
                <c:pt idx="3">
                  <c:v>41643</c:v>
                </c:pt>
                <c:pt idx="4">
                  <c:v>41644</c:v>
                </c:pt>
                <c:pt idx="5">
                  <c:v>41645</c:v>
                </c:pt>
                <c:pt idx="6">
                  <c:v>41646</c:v>
                </c:pt>
                <c:pt idx="7">
                  <c:v>41647</c:v>
                </c:pt>
                <c:pt idx="8">
                  <c:v>41648</c:v>
                </c:pt>
                <c:pt idx="9">
                  <c:v>41649</c:v>
                </c:pt>
                <c:pt idx="10">
                  <c:v>41650</c:v>
                </c:pt>
                <c:pt idx="11">
                  <c:v>41651</c:v>
                </c:pt>
                <c:pt idx="12">
                  <c:v>41652</c:v>
                </c:pt>
                <c:pt idx="13">
                  <c:v>41653</c:v>
                </c:pt>
                <c:pt idx="14">
                  <c:v>41654</c:v>
                </c:pt>
                <c:pt idx="15">
                  <c:v>41655</c:v>
                </c:pt>
                <c:pt idx="16">
                  <c:v>41656</c:v>
                </c:pt>
                <c:pt idx="17">
                  <c:v>41657</c:v>
                </c:pt>
                <c:pt idx="18">
                  <c:v>41658</c:v>
                </c:pt>
                <c:pt idx="19">
                  <c:v>41659</c:v>
                </c:pt>
                <c:pt idx="20">
                  <c:v>41660</c:v>
                </c:pt>
                <c:pt idx="21">
                  <c:v>41661</c:v>
                </c:pt>
                <c:pt idx="22">
                  <c:v>41662</c:v>
                </c:pt>
                <c:pt idx="23">
                  <c:v>41663</c:v>
                </c:pt>
                <c:pt idx="24">
                  <c:v>41664</c:v>
                </c:pt>
                <c:pt idx="25">
                  <c:v>41665</c:v>
                </c:pt>
                <c:pt idx="26">
                  <c:v>41666</c:v>
                </c:pt>
                <c:pt idx="27">
                  <c:v>41667</c:v>
                </c:pt>
                <c:pt idx="28">
                  <c:v>41668</c:v>
                </c:pt>
                <c:pt idx="29">
                  <c:v>41669</c:v>
                </c:pt>
                <c:pt idx="30">
                  <c:v>41670</c:v>
                </c:pt>
                <c:pt idx="31">
                  <c:v>41671</c:v>
                </c:pt>
                <c:pt idx="32">
                  <c:v>41672</c:v>
                </c:pt>
                <c:pt idx="33">
                  <c:v>41673</c:v>
                </c:pt>
                <c:pt idx="34">
                  <c:v>41674</c:v>
                </c:pt>
                <c:pt idx="35">
                  <c:v>41675</c:v>
                </c:pt>
                <c:pt idx="36">
                  <c:v>41676</c:v>
                </c:pt>
                <c:pt idx="37">
                  <c:v>41677</c:v>
                </c:pt>
                <c:pt idx="38">
                  <c:v>41678</c:v>
                </c:pt>
                <c:pt idx="39">
                  <c:v>41679</c:v>
                </c:pt>
                <c:pt idx="40">
                  <c:v>41680</c:v>
                </c:pt>
                <c:pt idx="41">
                  <c:v>41681</c:v>
                </c:pt>
                <c:pt idx="42">
                  <c:v>41682</c:v>
                </c:pt>
                <c:pt idx="43">
                  <c:v>41683</c:v>
                </c:pt>
                <c:pt idx="44">
                  <c:v>41684</c:v>
                </c:pt>
                <c:pt idx="45">
                  <c:v>41685</c:v>
                </c:pt>
                <c:pt idx="46">
                  <c:v>41686</c:v>
                </c:pt>
                <c:pt idx="47">
                  <c:v>41687</c:v>
                </c:pt>
                <c:pt idx="48">
                  <c:v>41688</c:v>
                </c:pt>
                <c:pt idx="49">
                  <c:v>41689</c:v>
                </c:pt>
                <c:pt idx="50">
                  <c:v>41690</c:v>
                </c:pt>
                <c:pt idx="51">
                  <c:v>41691</c:v>
                </c:pt>
                <c:pt idx="52">
                  <c:v>41692</c:v>
                </c:pt>
                <c:pt idx="53">
                  <c:v>41693</c:v>
                </c:pt>
                <c:pt idx="54">
                  <c:v>41694</c:v>
                </c:pt>
                <c:pt idx="55">
                  <c:v>41695</c:v>
                </c:pt>
                <c:pt idx="56">
                  <c:v>41696</c:v>
                </c:pt>
                <c:pt idx="57">
                  <c:v>41697</c:v>
                </c:pt>
                <c:pt idx="58">
                  <c:v>41698</c:v>
                </c:pt>
                <c:pt idx="59">
                  <c:v>41699</c:v>
                </c:pt>
                <c:pt idx="60">
                  <c:v>41700</c:v>
                </c:pt>
                <c:pt idx="61">
                  <c:v>41701</c:v>
                </c:pt>
                <c:pt idx="62">
                  <c:v>41702</c:v>
                </c:pt>
                <c:pt idx="63">
                  <c:v>41703</c:v>
                </c:pt>
                <c:pt idx="64">
                  <c:v>41704</c:v>
                </c:pt>
                <c:pt idx="65">
                  <c:v>41705</c:v>
                </c:pt>
                <c:pt idx="66">
                  <c:v>41706</c:v>
                </c:pt>
                <c:pt idx="67">
                  <c:v>41707</c:v>
                </c:pt>
                <c:pt idx="68">
                  <c:v>41708</c:v>
                </c:pt>
                <c:pt idx="69">
                  <c:v>41709</c:v>
                </c:pt>
                <c:pt idx="70">
                  <c:v>41710</c:v>
                </c:pt>
                <c:pt idx="71">
                  <c:v>41711</c:v>
                </c:pt>
                <c:pt idx="72">
                  <c:v>41712</c:v>
                </c:pt>
                <c:pt idx="73">
                  <c:v>41713</c:v>
                </c:pt>
                <c:pt idx="74">
                  <c:v>41714</c:v>
                </c:pt>
                <c:pt idx="75">
                  <c:v>41715</c:v>
                </c:pt>
                <c:pt idx="76">
                  <c:v>41716</c:v>
                </c:pt>
                <c:pt idx="77">
                  <c:v>41717</c:v>
                </c:pt>
                <c:pt idx="78">
                  <c:v>41718</c:v>
                </c:pt>
                <c:pt idx="79">
                  <c:v>41719</c:v>
                </c:pt>
                <c:pt idx="80">
                  <c:v>41720</c:v>
                </c:pt>
                <c:pt idx="81">
                  <c:v>41721</c:v>
                </c:pt>
                <c:pt idx="82">
                  <c:v>41722</c:v>
                </c:pt>
                <c:pt idx="83">
                  <c:v>41723</c:v>
                </c:pt>
                <c:pt idx="84">
                  <c:v>41724</c:v>
                </c:pt>
                <c:pt idx="85">
                  <c:v>41725</c:v>
                </c:pt>
                <c:pt idx="86">
                  <c:v>41726</c:v>
                </c:pt>
                <c:pt idx="87">
                  <c:v>41727</c:v>
                </c:pt>
                <c:pt idx="88">
                  <c:v>41728</c:v>
                </c:pt>
                <c:pt idx="89">
                  <c:v>41729</c:v>
                </c:pt>
                <c:pt idx="90">
                  <c:v>41730</c:v>
                </c:pt>
                <c:pt idx="91">
                  <c:v>41731</c:v>
                </c:pt>
                <c:pt idx="92">
                  <c:v>41732</c:v>
                </c:pt>
                <c:pt idx="93">
                  <c:v>41733</c:v>
                </c:pt>
                <c:pt idx="94">
                  <c:v>41734</c:v>
                </c:pt>
                <c:pt idx="95">
                  <c:v>41735</c:v>
                </c:pt>
                <c:pt idx="96">
                  <c:v>41736</c:v>
                </c:pt>
                <c:pt idx="97">
                  <c:v>41737</c:v>
                </c:pt>
                <c:pt idx="98">
                  <c:v>41738</c:v>
                </c:pt>
                <c:pt idx="99">
                  <c:v>41739</c:v>
                </c:pt>
                <c:pt idx="100">
                  <c:v>41740</c:v>
                </c:pt>
                <c:pt idx="101">
                  <c:v>41741</c:v>
                </c:pt>
                <c:pt idx="102">
                  <c:v>41742</c:v>
                </c:pt>
                <c:pt idx="103">
                  <c:v>41743</c:v>
                </c:pt>
                <c:pt idx="104">
                  <c:v>41744</c:v>
                </c:pt>
                <c:pt idx="105">
                  <c:v>41745</c:v>
                </c:pt>
                <c:pt idx="106">
                  <c:v>41746</c:v>
                </c:pt>
                <c:pt idx="107">
                  <c:v>41747</c:v>
                </c:pt>
                <c:pt idx="108">
                  <c:v>41748</c:v>
                </c:pt>
                <c:pt idx="109">
                  <c:v>41749</c:v>
                </c:pt>
                <c:pt idx="110">
                  <c:v>41750</c:v>
                </c:pt>
                <c:pt idx="111">
                  <c:v>41751</c:v>
                </c:pt>
                <c:pt idx="112">
                  <c:v>41752</c:v>
                </c:pt>
                <c:pt idx="113">
                  <c:v>41753</c:v>
                </c:pt>
                <c:pt idx="114">
                  <c:v>41754</c:v>
                </c:pt>
                <c:pt idx="115">
                  <c:v>41755</c:v>
                </c:pt>
                <c:pt idx="116">
                  <c:v>41756</c:v>
                </c:pt>
                <c:pt idx="117">
                  <c:v>41757</c:v>
                </c:pt>
                <c:pt idx="118">
                  <c:v>41758</c:v>
                </c:pt>
                <c:pt idx="119">
                  <c:v>41759</c:v>
                </c:pt>
                <c:pt idx="120">
                  <c:v>41760</c:v>
                </c:pt>
                <c:pt idx="121">
                  <c:v>41761</c:v>
                </c:pt>
                <c:pt idx="122">
                  <c:v>41762</c:v>
                </c:pt>
                <c:pt idx="123">
                  <c:v>41763</c:v>
                </c:pt>
                <c:pt idx="124">
                  <c:v>41764</c:v>
                </c:pt>
                <c:pt idx="125">
                  <c:v>41765</c:v>
                </c:pt>
                <c:pt idx="126">
                  <c:v>41766</c:v>
                </c:pt>
                <c:pt idx="127">
                  <c:v>41767</c:v>
                </c:pt>
                <c:pt idx="128">
                  <c:v>41768</c:v>
                </c:pt>
                <c:pt idx="129">
                  <c:v>41769</c:v>
                </c:pt>
                <c:pt idx="130">
                  <c:v>41770</c:v>
                </c:pt>
                <c:pt idx="131">
                  <c:v>41771</c:v>
                </c:pt>
                <c:pt idx="132">
                  <c:v>41772</c:v>
                </c:pt>
                <c:pt idx="133">
                  <c:v>41773</c:v>
                </c:pt>
                <c:pt idx="134">
                  <c:v>41774</c:v>
                </c:pt>
                <c:pt idx="135">
                  <c:v>41775</c:v>
                </c:pt>
                <c:pt idx="136">
                  <c:v>41776</c:v>
                </c:pt>
                <c:pt idx="137">
                  <c:v>41777</c:v>
                </c:pt>
                <c:pt idx="138">
                  <c:v>41778</c:v>
                </c:pt>
                <c:pt idx="139">
                  <c:v>41779</c:v>
                </c:pt>
                <c:pt idx="140">
                  <c:v>41780</c:v>
                </c:pt>
                <c:pt idx="141">
                  <c:v>41781</c:v>
                </c:pt>
                <c:pt idx="142">
                  <c:v>41782</c:v>
                </c:pt>
                <c:pt idx="143">
                  <c:v>41783</c:v>
                </c:pt>
                <c:pt idx="144">
                  <c:v>41784</c:v>
                </c:pt>
                <c:pt idx="145">
                  <c:v>41785</c:v>
                </c:pt>
                <c:pt idx="146">
                  <c:v>41786</c:v>
                </c:pt>
                <c:pt idx="147">
                  <c:v>41787</c:v>
                </c:pt>
                <c:pt idx="148">
                  <c:v>41788</c:v>
                </c:pt>
                <c:pt idx="149">
                  <c:v>41789</c:v>
                </c:pt>
                <c:pt idx="150">
                  <c:v>41790</c:v>
                </c:pt>
                <c:pt idx="151">
                  <c:v>41791</c:v>
                </c:pt>
                <c:pt idx="152">
                  <c:v>41792</c:v>
                </c:pt>
                <c:pt idx="153">
                  <c:v>41793</c:v>
                </c:pt>
                <c:pt idx="154">
                  <c:v>41794</c:v>
                </c:pt>
                <c:pt idx="155">
                  <c:v>41795</c:v>
                </c:pt>
                <c:pt idx="156">
                  <c:v>41796</c:v>
                </c:pt>
                <c:pt idx="157">
                  <c:v>41797</c:v>
                </c:pt>
                <c:pt idx="158">
                  <c:v>41798</c:v>
                </c:pt>
                <c:pt idx="159">
                  <c:v>41799</c:v>
                </c:pt>
                <c:pt idx="160">
                  <c:v>41800</c:v>
                </c:pt>
                <c:pt idx="161">
                  <c:v>41801</c:v>
                </c:pt>
                <c:pt idx="162">
                  <c:v>41802</c:v>
                </c:pt>
                <c:pt idx="163">
                  <c:v>41803</c:v>
                </c:pt>
                <c:pt idx="164">
                  <c:v>41804</c:v>
                </c:pt>
                <c:pt idx="165">
                  <c:v>41805</c:v>
                </c:pt>
                <c:pt idx="166">
                  <c:v>41806</c:v>
                </c:pt>
                <c:pt idx="167">
                  <c:v>41807</c:v>
                </c:pt>
                <c:pt idx="168">
                  <c:v>41808</c:v>
                </c:pt>
                <c:pt idx="169">
                  <c:v>41809</c:v>
                </c:pt>
                <c:pt idx="170">
                  <c:v>41810</c:v>
                </c:pt>
                <c:pt idx="171">
                  <c:v>41811</c:v>
                </c:pt>
                <c:pt idx="172">
                  <c:v>41812</c:v>
                </c:pt>
                <c:pt idx="173">
                  <c:v>41813</c:v>
                </c:pt>
                <c:pt idx="174">
                  <c:v>41814</c:v>
                </c:pt>
                <c:pt idx="175">
                  <c:v>41815</c:v>
                </c:pt>
                <c:pt idx="176">
                  <c:v>41816</c:v>
                </c:pt>
                <c:pt idx="177">
                  <c:v>41817</c:v>
                </c:pt>
                <c:pt idx="178">
                  <c:v>41818</c:v>
                </c:pt>
                <c:pt idx="179">
                  <c:v>41819</c:v>
                </c:pt>
                <c:pt idx="180">
                  <c:v>41820</c:v>
                </c:pt>
                <c:pt idx="181">
                  <c:v>41821</c:v>
                </c:pt>
                <c:pt idx="182">
                  <c:v>41822</c:v>
                </c:pt>
                <c:pt idx="183">
                  <c:v>41823</c:v>
                </c:pt>
                <c:pt idx="184">
                  <c:v>41824</c:v>
                </c:pt>
                <c:pt idx="185">
                  <c:v>41825</c:v>
                </c:pt>
                <c:pt idx="186">
                  <c:v>41826</c:v>
                </c:pt>
                <c:pt idx="187">
                  <c:v>41827</c:v>
                </c:pt>
                <c:pt idx="188">
                  <c:v>41828</c:v>
                </c:pt>
                <c:pt idx="189">
                  <c:v>41829</c:v>
                </c:pt>
                <c:pt idx="190">
                  <c:v>41830</c:v>
                </c:pt>
                <c:pt idx="191">
                  <c:v>41831</c:v>
                </c:pt>
                <c:pt idx="192">
                  <c:v>41832</c:v>
                </c:pt>
                <c:pt idx="193">
                  <c:v>41833</c:v>
                </c:pt>
                <c:pt idx="194">
                  <c:v>41834</c:v>
                </c:pt>
                <c:pt idx="195">
                  <c:v>41835</c:v>
                </c:pt>
                <c:pt idx="196">
                  <c:v>41836</c:v>
                </c:pt>
                <c:pt idx="197">
                  <c:v>41837</c:v>
                </c:pt>
                <c:pt idx="198">
                  <c:v>41838</c:v>
                </c:pt>
                <c:pt idx="199">
                  <c:v>41839</c:v>
                </c:pt>
                <c:pt idx="200">
                  <c:v>41840</c:v>
                </c:pt>
                <c:pt idx="201">
                  <c:v>41841</c:v>
                </c:pt>
                <c:pt idx="202">
                  <c:v>41842</c:v>
                </c:pt>
                <c:pt idx="203">
                  <c:v>41843</c:v>
                </c:pt>
                <c:pt idx="204">
                  <c:v>41844</c:v>
                </c:pt>
                <c:pt idx="205">
                  <c:v>41845</c:v>
                </c:pt>
                <c:pt idx="206">
                  <c:v>41846</c:v>
                </c:pt>
                <c:pt idx="207">
                  <c:v>41847</c:v>
                </c:pt>
                <c:pt idx="208">
                  <c:v>41848</c:v>
                </c:pt>
                <c:pt idx="209">
                  <c:v>41849</c:v>
                </c:pt>
                <c:pt idx="210">
                  <c:v>41850</c:v>
                </c:pt>
                <c:pt idx="211">
                  <c:v>41851</c:v>
                </c:pt>
                <c:pt idx="212">
                  <c:v>41852</c:v>
                </c:pt>
                <c:pt idx="213">
                  <c:v>41853</c:v>
                </c:pt>
                <c:pt idx="214">
                  <c:v>41854</c:v>
                </c:pt>
                <c:pt idx="215">
                  <c:v>41855</c:v>
                </c:pt>
                <c:pt idx="216">
                  <c:v>41856</c:v>
                </c:pt>
                <c:pt idx="217">
                  <c:v>41857</c:v>
                </c:pt>
                <c:pt idx="218">
                  <c:v>41858</c:v>
                </c:pt>
                <c:pt idx="219">
                  <c:v>41859</c:v>
                </c:pt>
                <c:pt idx="220">
                  <c:v>41860</c:v>
                </c:pt>
                <c:pt idx="221">
                  <c:v>41861</c:v>
                </c:pt>
                <c:pt idx="222">
                  <c:v>41862</c:v>
                </c:pt>
                <c:pt idx="223">
                  <c:v>41863</c:v>
                </c:pt>
                <c:pt idx="224">
                  <c:v>41864</c:v>
                </c:pt>
                <c:pt idx="225">
                  <c:v>41865</c:v>
                </c:pt>
                <c:pt idx="226">
                  <c:v>41866</c:v>
                </c:pt>
                <c:pt idx="227">
                  <c:v>41867</c:v>
                </c:pt>
                <c:pt idx="228">
                  <c:v>41868</c:v>
                </c:pt>
                <c:pt idx="229">
                  <c:v>41869</c:v>
                </c:pt>
                <c:pt idx="230">
                  <c:v>41870</c:v>
                </c:pt>
                <c:pt idx="231">
                  <c:v>41871</c:v>
                </c:pt>
                <c:pt idx="232">
                  <c:v>41872</c:v>
                </c:pt>
                <c:pt idx="233">
                  <c:v>41873</c:v>
                </c:pt>
                <c:pt idx="234">
                  <c:v>41874</c:v>
                </c:pt>
                <c:pt idx="235">
                  <c:v>41875</c:v>
                </c:pt>
                <c:pt idx="236">
                  <c:v>41876</c:v>
                </c:pt>
                <c:pt idx="237">
                  <c:v>41877</c:v>
                </c:pt>
                <c:pt idx="238">
                  <c:v>41878</c:v>
                </c:pt>
                <c:pt idx="239">
                  <c:v>41879</c:v>
                </c:pt>
                <c:pt idx="240">
                  <c:v>41880</c:v>
                </c:pt>
                <c:pt idx="241">
                  <c:v>41881</c:v>
                </c:pt>
                <c:pt idx="242">
                  <c:v>41882</c:v>
                </c:pt>
                <c:pt idx="243">
                  <c:v>41883</c:v>
                </c:pt>
                <c:pt idx="244">
                  <c:v>41884</c:v>
                </c:pt>
                <c:pt idx="245">
                  <c:v>41885</c:v>
                </c:pt>
                <c:pt idx="246">
                  <c:v>41886</c:v>
                </c:pt>
                <c:pt idx="247">
                  <c:v>41887</c:v>
                </c:pt>
                <c:pt idx="248">
                  <c:v>41888</c:v>
                </c:pt>
                <c:pt idx="249">
                  <c:v>41889</c:v>
                </c:pt>
                <c:pt idx="250">
                  <c:v>41890</c:v>
                </c:pt>
                <c:pt idx="251">
                  <c:v>41891</c:v>
                </c:pt>
                <c:pt idx="252">
                  <c:v>41892</c:v>
                </c:pt>
                <c:pt idx="253">
                  <c:v>41893</c:v>
                </c:pt>
                <c:pt idx="254">
                  <c:v>41894</c:v>
                </c:pt>
                <c:pt idx="255">
                  <c:v>41895</c:v>
                </c:pt>
                <c:pt idx="256">
                  <c:v>41896</c:v>
                </c:pt>
                <c:pt idx="257">
                  <c:v>41897</c:v>
                </c:pt>
                <c:pt idx="258">
                  <c:v>41898</c:v>
                </c:pt>
                <c:pt idx="259">
                  <c:v>41899</c:v>
                </c:pt>
                <c:pt idx="260">
                  <c:v>41900</c:v>
                </c:pt>
                <c:pt idx="261">
                  <c:v>41901</c:v>
                </c:pt>
                <c:pt idx="262">
                  <c:v>41902</c:v>
                </c:pt>
                <c:pt idx="263">
                  <c:v>41903</c:v>
                </c:pt>
                <c:pt idx="264">
                  <c:v>41904</c:v>
                </c:pt>
                <c:pt idx="265">
                  <c:v>41905</c:v>
                </c:pt>
                <c:pt idx="266">
                  <c:v>41906</c:v>
                </c:pt>
                <c:pt idx="267">
                  <c:v>41907</c:v>
                </c:pt>
                <c:pt idx="268">
                  <c:v>41908</c:v>
                </c:pt>
                <c:pt idx="269">
                  <c:v>41909</c:v>
                </c:pt>
                <c:pt idx="270">
                  <c:v>41910</c:v>
                </c:pt>
                <c:pt idx="271">
                  <c:v>41911</c:v>
                </c:pt>
                <c:pt idx="272">
                  <c:v>41912</c:v>
                </c:pt>
                <c:pt idx="273">
                  <c:v>41913</c:v>
                </c:pt>
                <c:pt idx="274">
                  <c:v>41914</c:v>
                </c:pt>
                <c:pt idx="275">
                  <c:v>41915</c:v>
                </c:pt>
                <c:pt idx="276">
                  <c:v>41916</c:v>
                </c:pt>
                <c:pt idx="277">
                  <c:v>41917</c:v>
                </c:pt>
                <c:pt idx="278">
                  <c:v>41918</c:v>
                </c:pt>
                <c:pt idx="279">
                  <c:v>41919</c:v>
                </c:pt>
                <c:pt idx="280">
                  <c:v>41920</c:v>
                </c:pt>
                <c:pt idx="281">
                  <c:v>41921</c:v>
                </c:pt>
                <c:pt idx="282">
                  <c:v>41922</c:v>
                </c:pt>
                <c:pt idx="283">
                  <c:v>41923</c:v>
                </c:pt>
                <c:pt idx="284">
                  <c:v>41924</c:v>
                </c:pt>
                <c:pt idx="285">
                  <c:v>41925</c:v>
                </c:pt>
                <c:pt idx="286">
                  <c:v>41926</c:v>
                </c:pt>
                <c:pt idx="287">
                  <c:v>41927</c:v>
                </c:pt>
                <c:pt idx="288">
                  <c:v>41928</c:v>
                </c:pt>
                <c:pt idx="289">
                  <c:v>41929</c:v>
                </c:pt>
                <c:pt idx="290">
                  <c:v>41930</c:v>
                </c:pt>
                <c:pt idx="291">
                  <c:v>41931</c:v>
                </c:pt>
                <c:pt idx="292">
                  <c:v>41932</c:v>
                </c:pt>
                <c:pt idx="293">
                  <c:v>41933</c:v>
                </c:pt>
                <c:pt idx="294">
                  <c:v>41934</c:v>
                </c:pt>
                <c:pt idx="295">
                  <c:v>41935</c:v>
                </c:pt>
                <c:pt idx="296">
                  <c:v>41936</c:v>
                </c:pt>
                <c:pt idx="297">
                  <c:v>41937</c:v>
                </c:pt>
                <c:pt idx="298">
                  <c:v>41938</c:v>
                </c:pt>
                <c:pt idx="299">
                  <c:v>41939</c:v>
                </c:pt>
                <c:pt idx="300">
                  <c:v>41940</c:v>
                </c:pt>
                <c:pt idx="301">
                  <c:v>41941</c:v>
                </c:pt>
                <c:pt idx="302">
                  <c:v>41942</c:v>
                </c:pt>
                <c:pt idx="303">
                  <c:v>41943</c:v>
                </c:pt>
                <c:pt idx="304">
                  <c:v>41944</c:v>
                </c:pt>
                <c:pt idx="305">
                  <c:v>41945</c:v>
                </c:pt>
                <c:pt idx="306">
                  <c:v>41946</c:v>
                </c:pt>
                <c:pt idx="307">
                  <c:v>41947</c:v>
                </c:pt>
                <c:pt idx="308">
                  <c:v>41948</c:v>
                </c:pt>
                <c:pt idx="309">
                  <c:v>41949</c:v>
                </c:pt>
                <c:pt idx="310">
                  <c:v>41950</c:v>
                </c:pt>
                <c:pt idx="311">
                  <c:v>41951</c:v>
                </c:pt>
                <c:pt idx="312">
                  <c:v>41952</c:v>
                </c:pt>
                <c:pt idx="313">
                  <c:v>41953</c:v>
                </c:pt>
                <c:pt idx="314">
                  <c:v>41954</c:v>
                </c:pt>
                <c:pt idx="315">
                  <c:v>41955</c:v>
                </c:pt>
                <c:pt idx="316">
                  <c:v>41956</c:v>
                </c:pt>
                <c:pt idx="317">
                  <c:v>41957</c:v>
                </c:pt>
                <c:pt idx="318">
                  <c:v>41958</c:v>
                </c:pt>
                <c:pt idx="319">
                  <c:v>41959</c:v>
                </c:pt>
                <c:pt idx="320">
                  <c:v>41960</c:v>
                </c:pt>
                <c:pt idx="321">
                  <c:v>41961</c:v>
                </c:pt>
                <c:pt idx="322">
                  <c:v>41962</c:v>
                </c:pt>
                <c:pt idx="323">
                  <c:v>41963</c:v>
                </c:pt>
                <c:pt idx="324">
                  <c:v>41964</c:v>
                </c:pt>
                <c:pt idx="325">
                  <c:v>41965</c:v>
                </c:pt>
                <c:pt idx="326">
                  <c:v>41966</c:v>
                </c:pt>
                <c:pt idx="327">
                  <c:v>41967</c:v>
                </c:pt>
                <c:pt idx="328">
                  <c:v>41968</c:v>
                </c:pt>
                <c:pt idx="329">
                  <c:v>41969</c:v>
                </c:pt>
                <c:pt idx="330">
                  <c:v>41970</c:v>
                </c:pt>
                <c:pt idx="331">
                  <c:v>41971</c:v>
                </c:pt>
                <c:pt idx="332">
                  <c:v>41972</c:v>
                </c:pt>
                <c:pt idx="333">
                  <c:v>41973</c:v>
                </c:pt>
                <c:pt idx="334">
                  <c:v>41974</c:v>
                </c:pt>
                <c:pt idx="335">
                  <c:v>41975</c:v>
                </c:pt>
                <c:pt idx="336">
                  <c:v>41976</c:v>
                </c:pt>
                <c:pt idx="337">
                  <c:v>41977</c:v>
                </c:pt>
                <c:pt idx="338">
                  <c:v>41978</c:v>
                </c:pt>
                <c:pt idx="339">
                  <c:v>41979</c:v>
                </c:pt>
                <c:pt idx="340">
                  <c:v>41980</c:v>
                </c:pt>
                <c:pt idx="341">
                  <c:v>41981</c:v>
                </c:pt>
                <c:pt idx="342">
                  <c:v>41982</c:v>
                </c:pt>
                <c:pt idx="343">
                  <c:v>41983</c:v>
                </c:pt>
                <c:pt idx="344">
                  <c:v>41984</c:v>
                </c:pt>
                <c:pt idx="345">
                  <c:v>41985</c:v>
                </c:pt>
                <c:pt idx="346">
                  <c:v>41986</c:v>
                </c:pt>
                <c:pt idx="347">
                  <c:v>41987</c:v>
                </c:pt>
                <c:pt idx="348">
                  <c:v>41988</c:v>
                </c:pt>
                <c:pt idx="349">
                  <c:v>41989</c:v>
                </c:pt>
                <c:pt idx="350">
                  <c:v>41990</c:v>
                </c:pt>
                <c:pt idx="351">
                  <c:v>41991</c:v>
                </c:pt>
                <c:pt idx="352">
                  <c:v>41992</c:v>
                </c:pt>
                <c:pt idx="353">
                  <c:v>41993</c:v>
                </c:pt>
                <c:pt idx="354">
                  <c:v>41994</c:v>
                </c:pt>
                <c:pt idx="355">
                  <c:v>41995</c:v>
                </c:pt>
                <c:pt idx="356">
                  <c:v>41996</c:v>
                </c:pt>
                <c:pt idx="357">
                  <c:v>41997</c:v>
                </c:pt>
                <c:pt idx="358">
                  <c:v>41998</c:v>
                </c:pt>
                <c:pt idx="359">
                  <c:v>41999</c:v>
                </c:pt>
                <c:pt idx="360">
                  <c:v>42000</c:v>
                </c:pt>
                <c:pt idx="361">
                  <c:v>42001</c:v>
                </c:pt>
                <c:pt idx="362">
                  <c:v>42002</c:v>
                </c:pt>
                <c:pt idx="363">
                  <c:v>42003</c:v>
                </c:pt>
                <c:pt idx="364">
                  <c:v>42004</c:v>
                </c:pt>
                <c:pt idx="365">
                  <c:v>42005</c:v>
                </c:pt>
                <c:pt idx="366">
                  <c:v>42006</c:v>
                </c:pt>
                <c:pt idx="367">
                  <c:v>42007</c:v>
                </c:pt>
                <c:pt idx="368">
                  <c:v>42008</c:v>
                </c:pt>
                <c:pt idx="369">
                  <c:v>42009</c:v>
                </c:pt>
                <c:pt idx="370">
                  <c:v>42010</c:v>
                </c:pt>
                <c:pt idx="371">
                  <c:v>42011</c:v>
                </c:pt>
                <c:pt idx="372">
                  <c:v>42012</c:v>
                </c:pt>
                <c:pt idx="373">
                  <c:v>42013</c:v>
                </c:pt>
                <c:pt idx="374">
                  <c:v>42014</c:v>
                </c:pt>
                <c:pt idx="375">
                  <c:v>42015</c:v>
                </c:pt>
                <c:pt idx="376">
                  <c:v>42016</c:v>
                </c:pt>
                <c:pt idx="377">
                  <c:v>42017</c:v>
                </c:pt>
                <c:pt idx="378">
                  <c:v>42018</c:v>
                </c:pt>
                <c:pt idx="379">
                  <c:v>42019</c:v>
                </c:pt>
                <c:pt idx="380">
                  <c:v>42020</c:v>
                </c:pt>
                <c:pt idx="381">
                  <c:v>42021</c:v>
                </c:pt>
                <c:pt idx="382">
                  <c:v>42022</c:v>
                </c:pt>
                <c:pt idx="383">
                  <c:v>42023</c:v>
                </c:pt>
                <c:pt idx="384">
                  <c:v>42024</c:v>
                </c:pt>
                <c:pt idx="385">
                  <c:v>42025</c:v>
                </c:pt>
                <c:pt idx="386">
                  <c:v>42026</c:v>
                </c:pt>
                <c:pt idx="387">
                  <c:v>42027</c:v>
                </c:pt>
                <c:pt idx="388">
                  <c:v>42028</c:v>
                </c:pt>
                <c:pt idx="389">
                  <c:v>42029</c:v>
                </c:pt>
                <c:pt idx="390">
                  <c:v>42030</c:v>
                </c:pt>
                <c:pt idx="391">
                  <c:v>42031</c:v>
                </c:pt>
                <c:pt idx="392">
                  <c:v>42032</c:v>
                </c:pt>
                <c:pt idx="393">
                  <c:v>42033</c:v>
                </c:pt>
                <c:pt idx="394">
                  <c:v>42034</c:v>
                </c:pt>
                <c:pt idx="395">
                  <c:v>42035</c:v>
                </c:pt>
                <c:pt idx="396">
                  <c:v>42036</c:v>
                </c:pt>
                <c:pt idx="397">
                  <c:v>42037</c:v>
                </c:pt>
                <c:pt idx="398">
                  <c:v>42038</c:v>
                </c:pt>
                <c:pt idx="399">
                  <c:v>42039</c:v>
                </c:pt>
                <c:pt idx="400">
                  <c:v>42040</c:v>
                </c:pt>
                <c:pt idx="401">
                  <c:v>42041</c:v>
                </c:pt>
                <c:pt idx="402">
                  <c:v>42042</c:v>
                </c:pt>
                <c:pt idx="403">
                  <c:v>42043</c:v>
                </c:pt>
                <c:pt idx="404">
                  <c:v>42044</c:v>
                </c:pt>
                <c:pt idx="405">
                  <c:v>42045</c:v>
                </c:pt>
                <c:pt idx="406">
                  <c:v>42046</c:v>
                </c:pt>
                <c:pt idx="407">
                  <c:v>42047</c:v>
                </c:pt>
                <c:pt idx="408">
                  <c:v>42048</c:v>
                </c:pt>
                <c:pt idx="409">
                  <c:v>42049</c:v>
                </c:pt>
                <c:pt idx="410">
                  <c:v>42050</c:v>
                </c:pt>
                <c:pt idx="411">
                  <c:v>42051</c:v>
                </c:pt>
                <c:pt idx="412">
                  <c:v>42052</c:v>
                </c:pt>
                <c:pt idx="413">
                  <c:v>42053</c:v>
                </c:pt>
                <c:pt idx="414">
                  <c:v>42054</c:v>
                </c:pt>
                <c:pt idx="415">
                  <c:v>42055</c:v>
                </c:pt>
                <c:pt idx="416">
                  <c:v>42056</c:v>
                </c:pt>
                <c:pt idx="417">
                  <c:v>42057</c:v>
                </c:pt>
                <c:pt idx="418">
                  <c:v>42058</c:v>
                </c:pt>
                <c:pt idx="419">
                  <c:v>42059</c:v>
                </c:pt>
                <c:pt idx="420">
                  <c:v>42060</c:v>
                </c:pt>
                <c:pt idx="421">
                  <c:v>42061</c:v>
                </c:pt>
                <c:pt idx="422">
                  <c:v>42062</c:v>
                </c:pt>
                <c:pt idx="423">
                  <c:v>42063</c:v>
                </c:pt>
                <c:pt idx="424">
                  <c:v>42064</c:v>
                </c:pt>
                <c:pt idx="425">
                  <c:v>42065</c:v>
                </c:pt>
                <c:pt idx="426">
                  <c:v>42066</c:v>
                </c:pt>
                <c:pt idx="427">
                  <c:v>42067</c:v>
                </c:pt>
                <c:pt idx="428">
                  <c:v>42068</c:v>
                </c:pt>
                <c:pt idx="429">
                  <c:v>42069</c:v>
                </c:pt>
                <c:pt idx="430">
                  <c:v>42070</c:v>
                </c:pt>
                <c:pt idx="431">
                  <c:v>42071</c:v>
                </c:pt>
                <c:pt idx="432">
                  <c:v>42072</c:v>
                </c:pt>
                <c:pt idx="433">
                  <c:v>42073</c:v>
                </c:pt>
                <c:pt idx="434">
                  <c:v>42074</c:v>
                </c:pt>
                <c:pt idx="435">
                  <c:v>42075</c:v>
                </c:pt>
                <c:pt idx="436">
                  <c:v>42076</c:v>
                </c:pt>
                <c:pt idx="437">
                  <c:v>42077</c:v>
                </c:pt>
                <c:pt idx="438">
                  <c:v>42078</c:v>
                </c:pt>
                <c:pt idx="439">
                  <c:v>42079</c:v>
                </c:pt>
                <c:pt idx="440">
                  <c:v>42080</c:v>
                </c:pt>
                <c:pt idx="441">
                  <c:v>42081</c:v>
                </c:pt>
                <c:pt idx="442">
                  <c:v>42082</c:v>
                </c:pt>
                <c:pt idx="443">
                  <c:v>42083</c:v>
                </c:pt>
                <c:pt idx="444">
                  <c:v>42084</c:v>
                </c:pt>
                <c:pt idx="445">
                  <c:v>42085</c:v>
                </c:pt>
                <c:pt idx="446">
                  <c:v>42086</c:v>
                </c:pt>
                <c:pt idx="447">
                  <c:v>42087</c:v>
                </c:pt>
                <c:pt idx="448">
                  <c:v>42088</c:v>
                </c:pt>
                <c:pt idx="449">
                  <c:v>42089</c:v>
                </c:pt>
                <c:pt idx="450">
                  <c:v>42090</c:v>
                </c:pt>
                <c:pt idx="451">
                  <c:v>42091</c:v>
                </c:pt>
                <c:pt idx="452">
                  <c:v>42092</c:v>
                </c:pt>
                <c:pt idx="453">
                  <c:v>42093</c:v>
                </c:pt>
                <c:pt idx="454">
                  <c:v>42094</c:v>
                </c:pt>
                <c:pt idx="455">
                  <c:v>42095</c:v>
                </c:pt>
                <c:pt idx="456">
                  <c:v>42096</c:v>
                </c:pt>
                <c:pt idx="457">
                  <c:v>42097</c:v>
                </c:pt>
                <c:pt idx="458">
                  <c:v>42098</c:v>
                </c:pt>
                <c:pt idx="459">
                  <c:v>42099</c:v>
                </c:pt>
                <c:pt idx="460">
                  <c:v>42100</c:v>
                </c:pt>
                <c:pt idx="461">
                  <c:v>42101</c:v>
                </c:pt>
                <c:pt idx="462">
                  <c:v>42102</c:v>
                </c:pt>
                <c:pt idx="463">
                  <c:v>42103</c:v>
                </c:pt>
                <c:pt idx="464">
                  <c:v>42104</c:v>
                </c:pt>
                <c:pt idx="465">
                  <c:v>42105</c:v>
                </c:pt>
                <c:pt idx="466">
                  <c:v>42106</c:v>
                </c:pt>
                <c:pt idx="467">
                  <c:v>42107</c:v>
                </c:pt>
                <c:pt idx="468">
                  <c:v>42108</c:v>
                </c:pt>
                <c:pt idx="469">
                  <c:v>42109</c:v>
                </c:pt>
                <c:pt idx="470">
                  <c:v>42110</c:v>
                </c:pt>
                <c:pt idx="471">
                  <c:v>42111</c:v>
                </c:pt>
                <c:pt idx="472">
                  <c:v>42112</c:v>
                </c:pt>
                <c:pt idx="473">
                  <c:v>42113</c:v>
                </c:pt>
                <c:pt idx="474">
                  <c:v>42114</c:v>
                </c:pt>
                <c:pt idx="475">
                  <c:v>42115</c:v>
                </c:pt>
                <c:pt idx="476">
                  <c:v>42116</c:v>
                </c:pt>
                <c:pt idx="477">
                  <c:v>42117</c:v>
                </c:pt>
                <c:pt idx="478">
                  <c:v>42118</c:v>
                </c:pt>
                <c:pt idx="479">
                  <c:v>42119</c:v>
                </c:pt>
                <c:pt idx="480">
                  <c:v>42120</c:v>
                </c:pt>
                <c:pt idx="481">
                  <c:v>42121</c:v>
                </c:pt>
                <c:pt idx="482">
                  <c:v>42122</c:v>
                </c:pt>
                <c:pt idx="483">
                  <c:v>42123</c:v>
                </c:pt>
                <c:pt idx="484">
                  <c:v>42124</c:v>
                </c:pt>
                <c:pt idx="485">
                  <c:v>42125</c:v>
                </c:pt>
                <c:pt idx="486">
                  <c:v>42126</c:v>
                </c:pt>
                <c:pt idx="487">
                  <c:v>42127</c:v>
                </c:pt>
                <c:pt idx="488">
                  <c:v>42128</c:v>
                </c:pt>
                <c:pt idx="489">
                  <c:v>42129</c:v>
                </c:pt>
                <c:pt idx="490">
                  <c:v>42130</c:v>
                </c:pt>
                <c:pt idx="491">
                  <c:v>42131</c:v>
                </c:pt>
                <c:pt idx="492">
                  <c:v>42132</c:v>
                </c:pt>
                <c:pt idx="493">
                  <c:v>42133</c:v>
                </c:pt>
                <c:pt idx="494">
                  <c:v>42134</c:v>
                </c:pt>
                <c:pt idx="495">
                  <c:v>42135</c:v>
                </c:pt>
                <c:pt idx="496">
                  <c:v>42136</c:v>
                </c:pt>
                <c:pt idx="497">
                  <c:v>42137</c:v>
                </c:pt>
                <c:pt idx="498">
                  <c:v>42138</c:v>
                </c:pt>
                <c:pt idx="499">
                  <c:v>42139</c:v>
                </c:pt>
                <c:pt idx="500">
                  <c:v>42140</c:v>
                </c:pt>
                <c:pt idx="501">
                  <c:v>42141</c:v>
                </c:pt>
                <c:pt idx="502">
                  <c:v>42142</c:v>
                </c:pt>
                <c:pt idx="503">
                  <c:v>42143</c:v>
                </c:pt>
                <c:pt idx="504">
                  <c:v>42144</c:v>
                </c:pt>
                <c:pt idx="505">
                  <c:v>42145</c:v>
                </c:pt>
                <c:pt idx="506">
                  <c:v>42146</c:v>
                </c:pt>
                <c:pt idx="507">
                  <c:v>42147</c:v>
                </c:pt>
                <c:pt idx="508">
                  <c:v>42148</c:v>
                </c:pt>
                <c:pt idx="509">
                  <c:v>42149</c:v>
                </c:pt>
                <c:pt idx="510">
                  <c:v>42150</c:v>
                </c:pt>
                <c:pt idx="511">
                  <c:v>42151</c:v>
                </c:pt>
                <c:pt idx="512">
                  <c:v>42152</c:v>
                </c:pt>
                <c:pt idx="513">
                  <c:v>42153</c:v>
                </c:pt>
                <c:pt idx="514">
                  <c:v>42154</c:v>
                </c:pt>
                <c:pt idx="515">
                  <c:v>42155</c:v>
                </c:pt>
                <c:pt idx="516">
                  <c:v>42156</c:v>
                </c:pt>
                <c:pt idx="517">
                  <c:v>42157</c:v>
                </c:pt>
                <c:pt idx="518">
                  <c:v>42158</c:v>
                </c:pt>
                <c:pt idx="519">
                  <c:v>42159</c:v>
                </c:pt>
                <c:pt idx="520">
                  <c:v>42160</c:v>
                </c:pt>
                <c:pt idx="521">
                  <c:v>42161</c:v>
                </c:pt>
                <c:pt idx="522">
                  <c:v>42162</c:v>
                </c:pt>
                <c:pt idx="523">
                  <c:v>42163</c:v>
                </c:pt>
                <c:pt idx="524">
                  <c:v>42164</c:v>
                </c:pt>
                <c:pt idx="525">
                  <c:v>42165</c:v>
                </c:pt>
                <c:pt idx="526">
                  <c:v>42166</c:v>
                </c:pt>
                <c:pt idx="527">
                  <c:v>42167</c:v>
                </c:pt>
                <c:pt idx="528">
                  <c:v>42168</c:v>
                </c:pt>
                <c:pt idx="529">
                  <c:v>42169</c:v>
                </c:pt>
                <c:pt idx="530">
                  <c:v>42170</c:v>
                </c:pt>
                <c:pt idx="531">
                  <c:v>42171</c:v>
                </c:pt>
                <c:pt idx="532">
                  <c:v>42172</c:v>
                </c:pt>
                <c:pt idx="533">
                  <c:v>42173</c:v>
                </c:pt>
                <c:pt idx="534">
                  <c:v>42174</c:v>
                </c:pt>
                <c:pt idx="535">
                  <c:v>42175</c:v>
                </c:pt>
                <c:pt idx="536">
                  <c:v>42176</c:v>
                </c:pt>
                <c:pt idx="537">
                  <c:v>42177</c:v>
                </c:pt>
                <c:pt idx="538">
                  <c:v>42178</c:v>
                </c:pt>
                <c:pt idx="539">
                  <c:v>42179</c:v>
                </c:pt>
                <c:pt idx="540">
                  <c:v>42180</c:v>
                </c:pt>
                <c:pt idx="541">
                  <c:v>42181</c:v>
                </c:pt>
                <c:pt idx="542">
                  <c:v>42182</c:v>
                </c:pt>
                <c:pt idx="543">
                  <c:v>42183</c:v>
                </c:pt>
                <c:pt idx="544">
                  <c:v>42184</c:v>
                </c:pt>
                <c:pt idx="545">
                  <c:v>42185</c:v>
                </c:pt>
                <c:pt idx="546">
                  <c:v>42186</c:v>
                </c:pt>
                <c:pt idx="547">
                  <c:v>42187</c:v>
                </c:pt>
                <c:pt idx="548">
                  <c:v>42188</c:v>
                </c:pt>
                <c:pt idx="549">
                  <c:v>42189</c:v>
                </c:pt>
                <c:pt idx="550">
                  <c:v>42190</c:v>
                </c:pt>
                <c:pt idx="551">
                  <c:v>42191</c:v>
                </c:pt>
                <c:pt idx="552">
                  <c:v>42192</c:v>
                </c:pt>
                <c:pt idx="553">
                  <c:v>42193</c:v>
                </c:pt>
                <c:pt idx="554">
                  <c:v>42194</c:v>
                </c:pt>
                <c:pt idx="555">
                  <c:v>42195</c:v>
                </c:pt>
                <c:pt idx="556">
                  <c:v>42196</c:v>
                </c:pt>
                <c:pt idx="557">
                  <c:v>42197</c:v>
                </c:pt>
                <c:pt idx="558">
                  <c:v>42198</c:v>
                </c:pt>
                <c:pt idx="559">
                  <c:v>42199</c:v>
                </c:pt>
                <c:pt idx="560">
                  <c:v>42200</c:v>
                </c:pt>
                <c:pt idx="561">
                  <c:v>42201</c:v>
                </c:pt>
                <c:pt idx="562">
                  <c:v>42202</c:v>
                </c:pt>
                <c:pt idx="563">
                  <c:v>42203</c:v>
                </c:pt>
                <c:pt idx="564">
                  <c:v>42204</c:v>
                </c:pt>
                <c:pt idx="565">
                  <c:v>42205</c:v>
                </c:pt>
                <c:pt idx="566">
                  <c:v>42206</c:v>
                </c:pt>
                <c:pt idx="567">
                  <c:v>42207</c:v>
                </c:pt>
                <c:pt idx="568">
                  <c:v>42208</c:v>
                </c:pt>
                <c:pt idx="569">
                  <c:v>42209</c:v>
                </c:pt>
                <c:pt idx="570">
                  <c:v>42210</c:v>
                </c:pt>
                <c:pt idx="571">
                  <c:v>42211</c:v>
                </c:pt>
                <c:pt idx="572">
                  <c:v>42212</c:v>
                </c:pt>
                <c:pt idx="573">
                  <c:v>42213</c:v>
                </c:pt>
                <c:pt idx="574">
                  <c:v>42214</c:v>
                </c:pt>
                <c:pt idx="575">
                  <c:v>42215</c:v>
                </c:pt>
                <c:pt idx="576">
                  <c:v>42216</c:v>
                </c:pt>
              </c:numCache>
            </c:numRef>
          </c:cat>
          <c:val>
            <c:numRef>
              <c:f>Crop!$O$49:$O$625</c:f>
              <c:numCache>
                <c:formatCode>0.00</c:formatCode>
                <c:ptCount val="577"/>
                <c:pt idx="0">
                  <c:v>1.1975218607737483</c:v>
                </c:pt>
                <c:pt idx="1">
                  <c:v>1.2172248000600492</c:v>
                </c:pt>
                <c:pt idx="2">
                  <c:v>1.22</c:v>
                </c:pt>
                <c:pt idx="3">
                  <c:v>1.22</c:v>
                </c:pt>
                <c:pt idx="4">
                  <c:v>1.22</c:v>
                </c:pt>
                <c:pt idx="5">
                  <c:v>1.22</c:v>
                </c:pt>
                <c:pt idx="6">
                  <c:v>1.22</c:v>
                </c:pt>
                <c:pt idx="7">
                  <c:v>1.22</c:v>
                </c:pt>
                <c:pt idx="8">
                  <c:v>1.22</c:v>
                </c:pt>
                <c:pt idx="9">
                  <c:v>1.22</c:v>
                </c:pt>
                <c:pt idx="10">
                  <c:v>1.22</c:v>
                </c:pt>
                <c:pt idx="11">
                  <c:v>1.22</c:v>
                </c:pt>
                <c:pt idx="12">
                  <c:v>1.22</c:v>
                </c:pt>
                <c:pt idx="13">
                  <c:v>1.22</c:v>
                </c:pt>
                <c:pt idx="14">
                  <c:v>1.22</c:v>
                </c:pt>
                <c:pt idx="15">
                  <c:v>1.22</c:v>
                </c:pt>
                <c:pt idx="16">
                  <c:v>1.22</c:v>
                </c:pt>
                <c:pt idx="17">
                  <c:v>1.22</c:v>
                </c:pt>
                <c:pt idx="18">
                  <c:v>1.22</c:v>
                </c:pt>
                <c:pt idx="19">
                  <c:v>1.22</c:v>
                </c:pt>
                <c:pt idx="20">
                  <c:v>1.22</c:v>
                </c:pt>
                <c:pt idx="21">
                  <c:v>1.22</c:v>
                </c:pt>
                <c:pt idx="22">
                  <c:v>1.22</c:v>
                </c:pt>
                <c:pt idx="23">
                  <c:v>1.22</c:v>
                </c:pt>
                <c:pt idx="24">
                  <c:v>1.2157416964498184</c:v>
                </c:pt>
                <c:pt idx="25">
                  <c:v>1.1993202877416496</c:v>
                </c:pt>
                <c:pt idx="26">
                  <c:v>1.1826890793861613</c:v>
                </c:pt>
                <c:pt idx="27">
                  <c:v>1.1659732830464802</c:v>
                </c:pt>
                <c:pt idx="28">
                  <c:v>1.149287391817714</c:v>
                </c:pt>
                <c:pt idx="29">
                  <c:v>1.1327353027335305</c:v>
                </c:pt>
                <c:pt idx="30">
                  <c:v>1.1164106894594865</c:v>
                </c:pt>
                <c:pt idx="31">
                  <c:v>1.1003975702535531</c:v>
                </c:pt>
                <c:pt idx="32">
                  <c:v>1.0847710221323028</c:v>
                </c:pt>
                <c:pt idx="33">
                  <c:v>1.0695979992772713</c:v>
                </c:pt>
                <c:pt idx="34">
                  <c:v>1.0549382213314888</c:v>
                </c:pt>
                <c:pt idx="35">
                  <c:v>1.0408451048551224</c:v>
                </c:pt>
                <c:pt idx="36">
                  <c:v>1.0273667185006667</c:v>
                </c:pt>
                <c:pt idx="37">
                  <c:v>1.0145467492599651</c:v>
                </c:pt>
                <c:pt idx="38">
                  <c:v>1.0024254733845457</c:v>
                </c:pt>
                <c:pt idx="39">
                  <c:v>0.99104073134787518</c:v>
                </c:pt>
                <c:pt idx="40">
                  <c:v>0.9804289116475754</c:v>
                </c:pt>
                <c:pt idx="41">
                  <c:v>0.97062595355474168</c:v>
                </c:pt>
                <c:pt idx="42">
                  <c:v>0.96166838439565105</c:v>
                </c:pt>
                <c:pt idx="43">
                  <c:v>0.95359441297112246</c:v>
                </c:pt>
                <c:pt idx="44">
                  <c:v>0.94644510776295898</c:v>
                </c:pt>
                <c:pt idx="45">
                  <c:v>0.94026569728363274</c:v>
                </c:pt>
                <c:pt idx="46">
                  <c:v>0.93507368050351325</c:v>
                </c:pt>
                <c:pt idx="47">
                  <c:v>0.93076032772986017</c:v>
                </c:pt>
                <c:pt idx="48">
                  <c:v>0.92719012775584053</c:v>
                </c:pt>
                <c:pt idx="49">
                  <c:v>0.92423143470121927</c:v>
                </c:pt>
                <c:pt idx="50">
                  <c:v>0.92175399135198677</c:v>
                </c:pt>
                <c:pt idx="51">
                  <c:v>0.91962688970180118</c:v>
                </c:pt>
                <c:pt idx="52">
                  <c:v>0.91771695825800281</c:v>
                </c:pt>
                <c:pt idx="53">
                  <c:v>0.91588759733333602</c:v>
                </c:pt>
                <c:pt idx="54">
                  <c:v>0.91399810956880234</c:v>
                </c:pt>
                <c:pt idx="55">
                  <c:v>0.91190359234540119</c:v>
                </c:pt>
                <c:pt idx="56">
                  <c:v>0.90945546936310284</c:v>
                </c:pt>
                <c:pt idx="57">
                  <c:v>0.90650273737601128</c:v>
                </c:pt>
                <c:pt idx="58">
                  <c:v>0.90289398730564407</c:v>
                </c:pt>
                <c:pt idx="59">
                  <c:v>0.89848022350466372</c:v>
                </c:pt>
                <c:pt idx="60">
                  <c:v>0.89311844912868621</c:v>
                </c:pt>
                <c:pt idx="61">
                  <c:v>0.8866759106300961</c:v>
                </c:pt>
                <c:pt idx="62">
                  <c:v>0.879034805801159</c:v>
                </c:pt>
                <c:pt idx="63">
                  <c:v>0.87009716807003235</c:v>
                </c:pt>
                <c:pt idx="64">
                  <c:v>0.85978956003138107</c:v>
                </c:pt>
                <c:pt idx="65">
                  <c:v>0.8480671592289919</c:v>
                </c:pt>
                <c:pt idx="66">
                  <c:v>0.83491681568709852</c:v>
                </c:pt>
                <c:pt idx="67">
                  <c:v>0.82035871451703801</c:v>
                </c:pt>
                <c:pt idx="68">
                  <c:v>0.80444638886065301</c:v>
                </c:pt>
                <c:pt idx="69">
                  <c:v>0.78726498673846279</c:v>
                </c:pt>
                <c:pt idx="70">
                  <c:v>0.76892787688046538</c:v>
                </c:pt>
                <c:pt idx="71">
                  <c:v>0.74957185341621169</c:v>
                </c:pt>
                <c:pt idx="72">
                  <c:v>0.7293513378652331</c:v>
                </c:pt>
                <c:pt idx="73">
                  <c:v>0.70843205735988912</c:v>
                </c:pt>
                <c:pt idx="74">
                  <c:v>0.6869846912948071</c:v>
                </c:pt>
                <c:pt idx="75">
                  <c:v>0.66517892932018863</c:v>
                </c:pt>
                <c:pt idx="76">
                  <c:v>0.64320793368996532</c:v>
                </c:pt>
                <c:pt idx="77">
                  <c:v>0.62135399298672411</c:v>
                </c:pt>
                <c:pt idx="78">
                  <c:v>0.59986672858253554</c:v>
                </c:pt>
                <c:pt idx="79">
                  <c:v>0.57893518506990216</c:v>
                </c:pt>
                <c:pt idx="80">
                  <c:v>0.55869631758024885</c:v>
                </c:pt>
                <c:pt idx="81">
                  <c:v>0.53924384644458867</c:v>
                </c:pt>
                <c:pt idx="82">
                  <c:v>0.52063665619409094</c:v>
                </c:pt>
                <c:pt idx="83">
                  <c:v>0.50290629267450193</c:v>
                </c:pt>
                <c:pt idx="84">
                  <c:v>0.48606337622769269</c:v>
                </c:pt>
                <c:pt idx="85">
                  <c:v>0.47010291650451763</c:v>
                </c:pt>
                <c:pt idx="86">
                  <c:v>0.45500860933902793</c:v>
                </c:pt>
                <c:pt idx="87">
                  <c:v>0.44075624113638256</c:v>
                </c:pt>
                <c:pt idx="88">
                  <c:v>0.42731633985086626</c:v>
                </c:pt>
                <c:pt idx="89">
                  <c:v>0.41465620720815938</c:v>
                </c:pt>
                <c:pt idx="90">
                  <c:v>0.40274145328325983</c:v>
                </c:pt>
                <c:pt idx="91">
                  <c:v>0.39153713744238544</c:v>
                </c:pt>
                <c:pt idx="92">
                  <c:v>0.38100860220490645</c:v>
                </c:pt>
                <c:pt idx="93">
                  <c:v>0.37112207045638901</c:v>
                </c:pt>
                <c:pt idx="94">
                  <c:v>0.36184506237793085</c:v>
                </c:pt>
                <c:pt idx="95">
                  <c:v>0.35314667663629973</c:v>
                </c:pt>
                <c:pt idx="96">
                  <c:v>0.34499777070006349</c:v>
                </c:pt>
                <c:pt idx="97">
                  <c:v>0.33737106737076944</c:v>
                </c:pt>
                <c:pt idx="98">
                  <c:v>0.33024120846269861</c:v>
                </c:pt>
                <c:pt idx="99">
                  <c:v>0.3235847717512062</c:v>
                </c:pt>
                <c:pt idx="100">
                  <c:v>0.31738026358695332</c:v>
                </c:pt>
                <c:pt idx="101">
                  <c:v>0.31160809672663359</c:v>
                </c:pt>
                <c:pt idx="102">
                  <c:v>0.30625056078294777</c:v>
                </c:pt>
                <c:pt idx="103">
                  <c:v>0.30129179110552351</c:v>
                </c:pt>
                <c:pt idx="104">
                  <c:v>0.29671774075918056</c:v>
                </c:pt>
                <c:pt idx="105">
                  <c:v>0.29251615948218335</c:v>
                </c:pt>
                <c:pt idx="106">
                  <c:v>0.28867658302359817</c:v>
                </c:pt>
                <c:pt idx="107">
                  <c:v>0.28518513613189672</c:v>
                </c:pt>
                <c:pt idx="108">
                  <c:v>0.28200989860407399</c:v>
                </c:pt>
                <c:pt idx="109">
                  <c:v>0.27911780469792091</c:v>
                </c:pt>
                <c:pt idx="110">
                  <c:v>0.27647937975186399</c:v>
                </c:pt>
                <c:pt idx="111">
                  <c:v>0.27406813124639212</c:v>
                </c:pt>
                <c:pt idx="112">
                  <c:v>0.27186005026578319</c:v>
                </c:pt>
                <c:pt idx="113">
                  <c:v>0.2698332006657907</c:v>
                </c:pt>
                <c:pt idx="114">
                  <c:v>0.26796737870670484</c:v>
                </c:pt>
                <c:pt idx="115">
                  <c:v>0.26624382996985563</c:v>
                </c:pt>
                <c:pt idx="116">
                  <c:v>0.26464501342906527</c:v>
                </c:pt>
                <c:pt idx="117">
                  <c:v>0.26315440486832137</c:v>
                </c:pt>
                <c:pt idx="118">
                  <c:v>0.26175633361405604</c:v>
                </c:pt>
                <c:pt idx="119">
                  <c:v>0.26043584792024915</c:v>
                </c:pt>
                <c:pt idx="120">
                  <c:v>0.25917860540363513</c:v>
                </c:pt>
                <c:pt idx="121">
                  <c:v>0.2579707857435784</c:v>
                </c:pt>
                <c:pt idx="122">
                  <c:v>0.25679902348607003</c:v>
                </c:pt>
                <c:pt idx="123">
                  <c:v>0.25565035925915014</c:v>
                </c:pt>
                <c:pt idx="124">
                  <c:v>0.25451220804321389</c:v>
                </c:pt>
                <c:pt idx="125">
                  <c:v>0.25337234336250558</c:v>
                </c:pt>
                <c:pt idx="126">
                  <c:v>0.25221889638738326</c:v>
                </c:pt>
                <c:pt idx="127">
                  <c:v>0.25104036897164644</c:v>
                </c:pt>
                <c:pt idx="128">
                  <c:v>0.24982565960516734</c:v>
                </c:pt>
                <c:pt idx="129">
                  <c:v>0.24856410114916835</c:v>
                </c:pt>
                <c:pt idx="130">
                  <c:v>0.24724550905081633</c:v>
                </c:pt>
                <c:pt idx="131">
                  <c:v>0.24586023851841959</c:v>
                </c:pt>
                <c:pt idx="132">
                  <c:v>0.24439924889394177</c:v>
                </c:pt>
                <c:pt idx="133">
                  <c:v>0.24285417320393404</c:v>
                </c:pt>
                <c:pt idx="134">
                  <c:v>0.2412173906238578</c:v>
                </c:pt>
                <c:pt idx="135">
                  <c:v>0.23948209937627488</c:v>
                </c:pt>
                <c:pt idx="136">
                  <c:v>0.23764238742320815</c:v>
                </c:pt>
                <c:pt idx="137">
                  <c:v>0.23569653575782767</c:v>
                </c:pt>
                <c:pt idx="138">
                  <c:v>0.23365631539921181</c:v>
                </c:pt>
                <c:pt idx="139">
                  <c:v>0.23153641500731745</c:v>
                </c:pt>
                <c:pt idx="140">
                  <c:v>0.2293509748627052</c:v>
                </c:pt>
                <c:pt idx="141">
                  <c:v>0.22711349173743736</c:v>
                </c:pt>
                <c:pt idx="142">
                  <c:v>0.22483674748895538</c:v>
                </c:pt>
                <c:pt idx="143">
                  <c:v>0.22253275960052071</c:v>
                </c:pt>
                <c:pt idx="144">
                  <c:v>0.22021275150276987</c:v>
                </c:pt>
                <c:pt idx="145">
                  <c:v>0.21788714028731757</c:v>
                </c:pt>
                <c:pt idx="146">
                  <c:v>0.21556553934015357</c:v>
                </c:pt>
                <c:pt idx="147">
                  <c:v>0.21325677345246452</c:v>
                </c:pt>
                <c:pt idx="148">
                  <c:v>0.21096890408226163</c:v>
                </c:pt>
                <c:pt idx="149">
                  <c:v>0.20870926261663075</c:v>
                </c:pt>
                <c:pt idx="150">
                  <c:v>0.20648448969947511</c:v>
                </c:pt>
                <c:pt idx="151">
                  <c:v>0.20430057892494052</c:v>
                </c:pt>
                <c:pt idx="152">
                  <c:v>0.2021629234377374</c:v>
                </c:pt>
                <c:pt idx="153">
                  <c:v>0.20007636421736896</c:v>
                </c:pt>
                <c:pt idx="154">
                  <c:v>0.19804523904612611</c:v>
                </c:pt>
                <c:pt idx="155">
                  <c:v>0.19607343136564997</c:v>
                </c:pt>
                <c:pt idx="156">
                  <c:v>0.19416441841113968</c:v>
                </c:pt>
                <c:pt idx="157">
                  <c:v>0.19232131817489709</c:v>
                </c:pt>
                <c:pt idx="158">
                  <c:v>0.19054693489212024</c:v>
                </c:pt>
                <c:pt idx="159">
                  <c:v>0.18884380286288366</c:v>
                </c:pt>
                <c:pt idx="160">
                  <c:v>0.18721422852686712</c:v>
                </c:pt>
                <c:pt idx="161">
                  <c:v>0.18566033079378313</c:v>
                </c:pt>
                <c:pt idx="162">
                  <c:v>0.18418407970495043</c:v>
                </c:pt>
                <c:pt idx="163">
                  <c:v>0.18278733356248344</c:v>
                </c:pt>
                <c:pt idx="164">
                  <c:v>0.1814718747145069</c:v>
                </c:pt>
                <c:pt idx="165">
                  <c:v>0.18023944423000432</c:v>
                </c:pt>
                <c:pt idx="166">
                  <c:v>0.17909177573763124</c:v>
                </c:pt>
                <c:pt idx="167">
                  <c:v>0.17803062874128392</c:v>
                </c:pt>
                <c:pt idx="168">
                  <c:v>0.17705662399461997</c:v>
                </c:pt>
                <c:pt idx="169">
                  <c:v>0.17616578565217669</c:v>
                </c:pt>
                <c:pt idx="170">
                  <c:v>0.17535330953819814</c:v>
                </c:pt>
                <c:pt idx="171">
                  <c:v>0.17461474447720043</c:v>
                </c:pt>
                <c:pt idx="172">
                  <c:v>0.17394595150616174</c:v>
                </c:pt>
                <c:pt idx="173">
                  <c:v>0.1733430678341229</c:v>
                </c:pt>
                <c:pt idx="174">
                  <c:v>0.17280247487125991</c:v>
                </c:pt>
                <c:pt idx="175">
                  <c:v>0.17232076976009453</c:v>
                </c:pt>
                <c:pt idx="176">
                  <c:v>0.17189473993272947</c:v>
                </c:pt>
                <c:pt idx="177">
                  <c:v>0.1715213402936471</c:v>
                </c:pt>
                <c:pt idx="178">
                  <c:v>0.17119767269070027</c:v>
                </c:pt>
                <c:pt idx="179">
                  <c:v>0.17092096738983309</c:v>
                </c:pt>
                <c:pt idx="180">
                  <c:v>0.17068856631369614</c:v>
                </c:pt>
                <c:pt idx="181">
                  <c:v>0.17049790784217783</c:v>
                </c:pt>
                <c:pt idx="182">
                  <c:v>0.17034651300517686</c:v>
                </c:pt>
                <c:pt idx="183">
                  <c:v>0.1702319729256663</c:v>
                </c:pt>
                <c:pt idx="184">
                  <c:v>0.17015193739503084</c:v>
                </c:pt>
                <c:pt idx="185">
                  <c:v>0.17010410448342783</c:v>
                </c:pt>
                <c:pt idx="186">
                  <c:v>0.17008621110603242</c:v>
                </c:pt>
                <c:pt idx="187">
                  <c:v>0.17009602448188513</c:v>
                </c:pt>
                <c:pt idx="188">
                  <c:v>0.17013133443597644</c:v>
                </c:pt>
                <c:pt idx="189">
                  <c:v>0.17018994650743452</c:v>
                </c:pt>
                <c:pt idx="190">
                  <c:v>0.1702696758374056</c:v>
                </c:pt>
                <c:pt idx="191">
                  <c:v>0.1703683418195775</c:v>
                </c:pt>
                <c:pt idx="192">
                  <c:v>0.17048376350438071</c:v>
                </c:pt>
                <c:pt idx="193">
                  <c:v>0.17061375575477317</c:v>
                </c:pt>
                <c:pt idx="194">
                  <c:v>0.17075612615719163</c:v>
                </c:pt>
                <c:pt idx="195">
                  <c:v>0.17090867269574242</c:v>
                </c:pt>
                <c:pt idx="196">
                  <c:v>0.17106918220098125</c:v>
                </c:pt>
                <c:pt idx="197">
                  <c:v>0.17123542958666343</c:v>
                </c:pt>
                <c:pt idx="198">
                  <c:v>0.17140557321930172</c:v>
                </c:pt>
                <c:pt idx="199">
                  <c:v>0.17157934786319143</c:v>
                </c:pt>
                <c:pt idx="200">
                  <c:v>0.17175688998882704</c:v>
                </c:pt>
                <c:pt idx="201">
                  <c:v>0.17193834381823711</c:v>
                </c:pt>
                <c:pt idx="202">
                  <c:v>0.17212386109652966</c:v>
                </c:pt>
                <c:pt idx="203">
                  <c:v>0.17231360087335235</c:v>
                </c:pt>
                <c:pt idx="204">
                  <c:v>0.17250772929454367</c:v>
                </c:pt>
                <c:pt idx="205">
                  <c:v>0.17270641940425252</c:v>
                </c:pt>
                <c:pt idx="206">
                  <c:v>0.17290985095779965</c:v>
                </c:pt>
                <c:pt idx="207">
                  <c:v>0.17311821024555121</c:v>
                </c:pt>
                <c:pt idx="208">
                  <c:v>0.17333168992806935</c:v>
                </c:pt>
                <c:pt idx="209">
                  <c:v>0.17355048888279748</c:v>
                </c:pt>
                <c:pt idx="210">
                  <c:v>0.1737748120625304</c:v>
                </c:pt>
                <c:pt idx="211">
                  <c:v>0.1740048703659125</c:v>
                </c:pt>
                <c:pt idx="212">
                  <c:v>0.17424088052019709</c:v>
                </c:pt>
                <c:pt idx="213">
                  <c:v>0.17448306497649371</c:v>
                </c:pt>
                <c:pt idx="214">
                  <c:v>0.17473165181771969</c:v>
                </c:pt>
                <c:pt idx="215">
                  <c:v>0.17498687467946714</c:v>
                </c:pt>
                <c:pt idx="216">
                  <c:v>0.17524897268398684</c:v>
                </c:pt>
                <c:pt idx="217">
                  <c:v>0.17551819038748612</c:v>
                </c:pt>
                <c:pt idx="218">
                  <c:v>0.17579477774093155</c:v>
                </c:pt>
                <c:pt idx="219">
                  <c:v>0.1760789900645425</c:v>
                </c:pt>
                <c:pt idx="220">
                  <c:v>0.17637108803616031</c:v>
                </c:pt>
                <c:pt idx="221">
                  <c:v>0.17667133769367441</c:v>
                </c:pt>
                <c:pt idx="222">
                  <c:v>0.17698001045168746</c:v>
                </c:pt>
                <c:pt idx="223">
                  <c:v>0.17729738313260418</c:v>
                </c:pt>
                <c:pt idx="224">
                  <c:v>0.17762373801232961</c:v>
                </c:pt>
                <c:pt idx="225">
                  <c:v>0.17795936288076991</c:v>
                </c:pt>
                <c:pt idx="226">
                  <c:v>0.1783045511173352</c:v>
                </c:pt>
                <c:pt idx="227">
                  <c:v>0.17865960178165244</c:v>
                </c:pt>
                <c:pt idx="228">
                  <c:v>0.17902481971970899</c:v>
                </c:pt>
                <c:pt idx="229">
                  <c:v>0.17940065147793613</c:v>
                </c:pt>
                <c:pt idx="230">
                  <c:v>0.17978809376589042</c:v>
                </c:pt>
                <c:pt idx="231">
                  <c:v>0.18018828806632775</c:v>
                </c:pt>
                <c:pt idx="232">
                  <c:v>0.18060238572319251</c:v>
                </c:pt>
                <c:pt idx="233">
                  <c:v>0.18103154881390779</c:v>
                </c:pt>
                <c:pt idx="234">
                  <c:v>0.18147695124007832</c:v>
                </c:pt>
                <c:pt idx="235">
                  <c:v>0.1819397800393609</c:v>
                </c:pt>
                <c:pt idx="236">
                  <c:v>0.18242123692214268</c:v>
                </c:pt>
                <c:pt idx="237">
                  <c:v>0.18292254003775296</c:v>
                </c:pt>
                <c:pt idx="238">
                  <c:v>0.18344492597622611</c:v>
                </c:pt>
                <c:pt idx="239">
                  <c:v>0.18398965201314085</c:v>
                </c:pt>
                <c:pt idx="240">
                  <c:v>0.18455799860679806</c:v>
                </c:pt>
                <c:pt idx="241">
                  <c:v>0.18515127215897992</c:v>
                </c:pt>
                <c:pt idx="242">
                  <c:v>0.18577080805278237</c:v>
                </c:pt>
                <c:pt idx="243">
                  <c:v>0.18641797398355392</c:v>
                </c:pt>
                <c:pt idx="244">
                  <c:v>0.18709417360183878</c:v>
                </c:pt>
                <c:pt idx="245">
                  <c:v>0.18780085049045475</c:v>
                </c:pt>
                <c:pt idx="246">
                  <c:v>0.18853949250147906</c:v>
                </c:pt>
                <c:pt idx="247">
                  <c:v>0.18931163648303018</c:v>
                </c:pt>
                <c:pt idx="248">
                  <c:v>0.19011887343038686</c:v>
                </c:pt>
                <c:pt idx="249">
                  <c:v>0.19096285410126193</c:v>
                </c:pt>
                <c:pt idx="250">
                  <c:v>0.19184529514104656</c:v>
                </c:pt>
                <c:pt idx="251">
                  <c:v>0.19276798577067503</c:v>
                </c:pt>
                <c:pt idx="252">
                  <c:v>0.19373279509757863</c:v>
                </c:pt>
                <c:pt idx="253">
                  <c:v>0.19474168011916101</c:v>
                </c:pt>
                <c:pt idx="254">
                  <c:v>0.19579669449854362</c:v>
                </c:pt>
                <c:pt idx="255">
                  <c:v>0.19689999820423737</c:v>
                </c:pt>
                <c:pt idx="256">
                  <c:v>0.19805386811919054</c:v>
                </c:pt>
                <c:pt idx="257">
                  <c:v>0.19926070974068907</c:v>
                </c:pt>
                <c:pt idx="258">
                  <c:v>0.20052307011127643</c:v>
                </c:pt>
                <c:pt idx="259">
                  <c:v>0.20184346696299146</c:v>
                </c:pt>
                <c:pt idx="260">
                  <c:v>0.20322383330038069</c:v>
                </c:pt>
                <c:pt idx="261">
                  <c:v>0.20466605787222866</c:v>
                </c:pt>
                <c:pt idx="262">
                  <c:v>0.20617217455846615</c:v>
                </c:pt>
                <c:pt idx="263">
                  <c:v>0.20774437083481737</c:v>
                </c:pt>
                <c:pt idx="264">
                  <c:v>0.20938499715618136</c:v>
                </c:pt>
                <c:pt idx="265">
                  <c:v>0.21109657734401469</c:v>
                </c:pt>
                <c:pt idx="266">
                  <c:v>0.21288182007472978</c:v>
                </c:pt>
                <c:pt idx="267">
                  <c:v>0.21474363157941917</c:v>
                </c:pt>
                <c:pt idx="268">
                  <c:v>0.21668512968031095</c:v>
                </c:pt>
                <c:pt idx="269">
                  <c:v>0.2187096593065711</c:v>
                </c:pt>
                <c:pt idx="270">
                  <c:v>0.2208208096517513</c:v>
                </c:pt>
                <c:pt idx="271">
                  <c:v>0.22302243315776105</c:v>
                </c:pt>
                <c:pt idx="272">
                  <c:v>0.22531866653623822</c:v>
                </c:pt>
                <c:pt idx="273">
                  <c:v>0.22771395406818828</c:v>
                </c:pt>
                <c:pt idx="274">
                  <c:v>0.2302130734575</c:v>
                </c:pt>
                <c:pt idx="275">
                  <c:v>0.23282116455426854</c:v>
                </c:pt>
                <c:pt idx="276">
                  <c:v>0.23554376131082017</c:v>
                </c:pt>
                <c:pt idx="277">
                  <c:v>0.23838682738817568</c:v>
                </c:pt>
                <c:pt idx="278">
                  <c:v>0.24135679589493575</c:v>
                </c:pt>
                <c:pt idx="279">
                  <c:v>0.24446061381606229</c:v>
                </c:pt>
                <c:pt idx="280">
                  <c:v>0.24770579177800592</c:v>
                </c:pt>
                <c:pt idx="281">
                  <c:v>0.2511004599018537</c:v>
                </c:pt>
                <c:pt idx="282">
                  <c:v>0.25465343062100826</c:v>
                </c:pt>
                <c:pt idx="283">
                  <c:v>0.25837426948854247</c:v>
                </c:pt>
                <c:pt idx="284">
                  <c:v>0.26227337517697258</c:v>
                </c:pt>
                <c:pt idx="285">
                  <c:v>0.2663620700861779</c:v>
                </c:pt>
                <c:pt idx="286">
                  <c:v>0.27065270323163843</c:v>
                </c:pt>
                <c:pt idx="287">
                  <c:v>0.27515876739515177</c:v>
                </c:pt>
                <c:pt idx="288">
                  <c:v>0.27989503289650919</c:v>
                </c:pt>
                <c:pt idx="289">
                  <c:v>0.28487770080346819</c:v>
                </c:pt>
                <c:pt idx="290">
                  <c:v>0.29012306319927372</c:v>
                </c:pt>
                <c:pt idx="291">
                  <c:v>0.29564268412923095</c:v>
                </c:pt>
                <c:pt idx="292">
                  <c:v>0.30144723030613962</c:v>
                </c:pt>
                <c:pt idx="293">
                  <c:v>0.30754786028007514</c:v>
                </c:pt>
                <c:pt idx="294">
                  <c:v>0.31395619551531756</c:v>
                </c:pt>
                <c:pt idx="295">
                  <c:v>0.32068428022248252</c:v>
                </c:pt>
                <c:pt idx="296">
                  <c:v>0.32774452731323356</c:v>
                </c:pt>
                <c:pt idx="297">
                  <c:v>0.33514964737570707</c:v>
                </c:pt>
                <c:pt idx="298">
                  <c:v>0.34291255703261531</c:v>
                </c:pt>
                <c:pt idx="299">
                  <c:v>0.35104626243876519</c:v>
                </c:pt>
                <c:pt idx="300">
                  <c:v>0.35956371300178502</c:v>
                </c:pt>
                <c:pt idx="301">
                  <c:v>0.3684776196759586</c:v>
                </c:pt>
                <c:pt idx="302">
                  <c:v>0.37780023139904567</c:v>
                </c:pt>
                <c:pt idx="303">
                  <c:v>0.3875430624422434</c:v>
                </c:pt>
                <c:pt idx="304">
                  <c:v>0.39771656266658406</c:v>
                </c:pt>
                <c:pt idx="305">
                  <c:v>0.40832972198955875</c:v>
                </c:pt>
                <c:pt idx="306">
                  <c:v>0.41938959985698715</c:v>
                </c:pt>
                <c:pt idx="307">
                  <c:v>0.43090077031755991</c:v>
                </c:pt>
                <c:pt idx="308">
                  <c:v>0.44286467358728682</c:v>
                </c:pt>
                <c:pt idx="309">
                  <c:v>0.4552788659988467</c:v>
                </c:pt>
                <c:pt idx="310">
                  <c:v>0.46813616224786225</c:v>
                </c:pt>
                <c:pt idx="311">
                  <c:v>0.48142366722796559</c:v>
                </c:pt>
                <c:pt idx="312">
                  <c:v>0.49512169989724508</c:v>
                </c:pt>
                <c:pt idx="313">
                  <c:v>0.50920261897971386</c:v>
                </c:pt>
                <c:pt idx="314">
                  <c:v>0.52362957030148849</c:v>
                </c:pt>
                <c:pt idx="315">
                  <c:v>0.53835518852427655</c:v>
                </c:pt>
                <c:pt idx="316">
                  <c:v>0.55332030208956784</c:v>
                </c:pt>
                <c:pt idx="317">
                  <c:v>0.56845270907375678</c:v>
                </c:pt>
                <c:pt idx="318">
                  <c:v>0.58366611255143996</c:v>
                </c:pt>
                <c:pt idx="319">
                  <c:v>0.59885932535353958</c:v>
                </c:pt>
                <c:pt idx="320">
                  <c:v>0.61392962126962181</c:v>
                </c:pt>
                <c:pt idx="321">
                  <c:v>0.62881959494746198</c:v>
                </c:pt>
                <c:pt idx="322">
                  <c:v>0.64348616972715134</c:v>
                </c:pt>
                <c:pt idx="323">
                  <c:v>0.65788906787093937</c:v>
                </c:pt>
                <c:pt idx="324">
                  <c:v>0.67199163501213943</c:v>
                </c:pt>
                <c:pt idx="325">
                  <c:v>0.68576160023387378</c:v>
                </c:pt>
                <c:pt idx="326">
                  <c:v>0.69917174505442259</c:v>
                </c:pt>
                <c:pt idx="327">
                  <c:v>0.7122004591537261</c:v>
                </c:pt>
                <c:pt idx="328">
                  <c:v>0.7248321667319062</c:v>
                </c:pt>
                <c:pt idx="329">
                  <c:v>0.73705761446047857</c:v>
                </c:pt>
                <c:pt idx="330">
                  <c:v>0.74887401949445209</c:v>
                </c:pt>
                <c:pt idx="331">
                  <c:v>0.7602850833633521</c:v>
                </c:pt>
                <c:pt idx="332">
                  <c:v>0.77130088420720866</c:v>
                </c:pt>
                <c:pt idx="333">
                  <c:v>0.78193766533671594</c:v>
                </c:pt>
                <c:pt idx="334">
                  <c:v>0.79221754219335272</c:v>
                </c:pt>
                <c:pt idx="335">
                  <c:v>0.80216815235132988</c:v>
                </c:pt>
                <c:pt idx="336">
                  <c:v>0.81182227428581077</c:v>
                </c:pt>
                <c:pt idx="337">
                  <c:v>0.82121744041380584</c:v>
                </c:pt>
                <c:pt idx="338">
                  <c:v>0.83039556867699849</c:v>
                </c:pt>
                <c:pt idx="339">
                  <c:v>0.83940263501895496</c:v>
                </c:pt>
                <c:pt idx="340">
                  <c:v>0.84828840687196383</c:v>
                </c:pt>
                <c:pt idx="341">
                  <c:v>0.85710625556023301</c:v>
                </c:pt>
                <c:pt idx="342">
                  <c:v>0.86591306366642806</c:v>
                </c:pt>
                <c:pt idx="343">
                  <c:v>0.87476924218142249</c:v>
                </c:pt>
                <c:pt idx="344">
                  <c:v>0.88373887191511724</c:v>
                </c:pt>
                <c:pt idx="345">
                  <c:v>0.89288998442515122</c:v>
                </c:pt>
                <c:pt idx="346">
                  <c:v>0.90229499986448258</c:v>
                </c:pt>
                <c:pt idx="347">
                  <c:v>0.91203134294485666</c:v>
                </c:pt>
                <c:pt idx="348">
                  <c:v>0.92218226403589865</c:v>
                </c:pt>
                <c:pt idx="349">
                  <c:v>0.93283790079292817</c:v>
                </c:pt>
                <c:pt idx="350">
                  <c:v>0.94409662738815758</c:v>
                </c:pt>
                <c:pt idx="351">
                  <c:v>0.95604255198244503</c:v>
                </c:pt>
                <c:pt idx="352">
                  <c:v>0.96867014019011166</c:v>
                </c:pt>
                <c:pt idx="353">
                  <c:v>0.98194926966778651</c:v>
                </c:pt>
                <c:pt idx="354">
                  <c:v>0.99584769200223744</c:v>
                </c:pt>
                <c:pt idx="355">
                  <c:v>1.0103303640817245</c:v>
                </c:pt>
                <c:pt idx="356">
                  <c:v>1.0253587843387986</c:v>
                </c:pt>
                <c:pt idx="357">
                  <c:v>1.0408903319884266</c:v>
                </c:pt>
                <c:pt idx="358">
                  <c:v>1.0568776092095362</c:v>
                </c:pt>
                <c:pt idx="359">
                  <c:v>1.0821303447076969</c:v>
                </c:pt>
                <c:pt idx="360">
                  <c:v>1.1087018315746116</c:v>
                </c:pt>
                <c:pt idx="361">
                  <c:v>1.1367042917142098</c:v>
                </c:pt>
                <c:pt idx="362">
                  <c:v>1.1662636670417306</c:v>
                </c:pt>
                <c:pt idx="363">
                  <c:v>1.1975218607737486</c:v>
                </c:pt>
                <c:pt idx="364">
                  <c:v>1.1975218607737483</c:v>
                </c:pt>
                <c:pt idx="365">
                  <c:v>1.1975218607737483</c:v>
                </c:pt>
                <c:pt idx="366">
                  <c:v>1.1975218607737483</c:v>
                </c:pt>
                <c:pt idx="367">
                  <c:v>1.2172248000600492</c:v>
                </c:pt>
                <c:pt idx="368">
                  <c:v>1.22</c:v>
                </c:pt>
                <c:pt idx="369">
                  <c:v>1.22</c:v>
                </c:pt>
                <c:pt idx="370">
                  <c:v>1.22</c:v>
                </c:pt>
                <c:pt idx="371">
                  <c:v>1.22</c:v>
                </c:pt>
                <c:pt idx="372">
                  <c:v>1.22</c:v>
                </c:pt>
                <c:pt idx="373">
                  <c:v>1.22</c:v>
                </c:pt>
                <c:pt idx="374">
                  <c:v>1.22</c:v>
                </c:pt>
                <c:pt idx="375">
                  <c:v>1.22</c:v>
                </c:pt>
                <c:pt idx="376">
                  <c:v>1.22</c:v>
                </c:pt>
                <c:pt idx="377">
                  <c:v>1.22</c:v>
                </c:pt>
                <c:pt idx="378">
                  <c:v>1.22</c:v>
                </c:pt>
                <c:pt idx="379">
                  <c:v>1.22</c:v>
                </c:pt>
                <c:pt idx="380">
                  <c:v>1.22</c:v>
                </c:pt>
                <c:pt idx="381">
                  <c:v>1.22</c:v>
                </c:pt>
                <c:pt idx="382">
                  <c:v>1.22</c:v>
                </c:pt>
                <c:pt idx="383">
                  <c:v>1.22</c:v>
                </c:pt>
                <c:pt idx="384">
                  <c:v>1.22</c:v>
                </c:pt>
                <c:pt idx="385">
                  <c:v>1.22</c:v>
                </c:pt>
                <c:pt idx="386">
                  <c:v>1.22</c:v>
                </c:pt>
                <c:pt idx="387">
                  <c:v>1.22</c:v>
                </c:pt>
                <c:pt idx="388">
                  <c:v>1.22</c:v>
                </c:pt>
                <c:pt idx="389">
                  <c:v>1.22</c:v>
                </c:pt>
                <c:pt idx="390">
                  <c:v>1.2157416964498184</c:v>
                </c:pt>
                <c:pt idx="391">
                  <c:v>1.1993202877416496</c:v>
                </c:pt>
                <c:pt idx="392">
                  <c:v>1.1826890793861613</c:v>
                </c:pt>
                <c:pt idx="393">
                  <c:v>1.1659732830464802</c:v>
                </c:pt>
                <c:pt idx="394">
                  <c:v>1.149287391817714</c:v>
                </c:pt>
                <c:pt idx="395">
                  <c:v>1.1327353027335305</c:v>
                </c:pt>
                <c:pt idx="396">
                  <c:v>1.1164106894594865</c:v>
                </c:pt>
                <c:pt idx="397">
                  <c:v>1.1003975702535531</c:v>
                </c:pt>
                <c:pt idx="398">
                  <c:v>1.0847710221323028</c:v>
                </c:pt>
                <c:pt idx="399">
                  <c:v>1.0695979992772713</c:v>
                </c:pt>
                <c:pt idx="400">
                  <c:v>1.0549382213314888</c:v>
                </c:pt>
                <c:pt idx="401">
                  <c:v>1.0408451048551224</c:v>
                </c:pt>
                <c:pt idx="402">
                  <c:v>1.0273667185006667</c:v>
                </c:pt>
                <c:pt idx="403">
                  <c:v>1.0145467492599651</c:v>
                </c:pt>
                <c:pt idx="404">
                  <c:v>1.0024254733845457</c:v>
                </c:pt>
                <c:pt idx="405">
                  <c:v>0.99104073134787518</c:v>
                </c:pt>
                <c:pt idx="406">
                  <c:v>0.9804289116475754</c:v>
                </c:pt>
                <c:pt idx="407">
                  <c:v>0.97062595355474168</c:v>
                </c:pt>
                <c:pt idx="408">
                  <c:v>0.96166838439565105</c:v>
                </c:pt>
                <c:pt idx="409">
                  <c:v>0.95359441297112246</c:v>
                </c:pt>
                <c:pt idx="410">
                  <c:v>0.94644510776295898</c:v>
                </c:pt>
                <c:pt idx="411">
                  <c:v>0.94026569728363274</c:v>
                </c:pt>
                <c:pt idx="412">
                  <c:v>0.93507368050351325</c:v>
                </c:pt>
                <c:pt idx="413">
                  <c:v>0.93076032772986017</c:v>
                </c:pt>
                <c:pt idx="414">
                  <c:v>0.92719012775584053</c:v>
                </c:pt>
                <c:pt idx="415">
                  <c:v>0.92423143470121927</c:v>
                </c:pt>
                <c:pt idx="416">
                  <c:v>0.92175399135198677</c:v>
                </c:pt>
                <c:pt idx="417">
                  <c:v>0.91962688970180118</c:v>
                </c:pt>
                <c:pt idx="418">
                  <c:v>0.91771695825800281</c:v>
                </c:pt>
                <c:pt idx="419">
                  <c:v>0.91588759733333602</c:v>
                </c:pt>
                <c:pt idx="420">
                  <c:v>0.91399810956880234</c:v>
                </c:pt>
                <c:pt idx="421">
                  <c:v>0.91190359234540119</c:v>
                </c:pt>
                <c:pt idx="422">
                  <c:v>0.90945546936310284</c:v>
                </c:pt>
                <c:pt idx="423">
                  <c:v>0.90650273737601128</c:v>
                </c:pt>
                <c:pt idx="424">
                  <c:v>0.90289398730564407</c:v>
                </c:pt>
                <c:pt idx="425">
                  <c:v>0.89848022350466372</c:v>
                </c:pt>
                <c:pt idx="426">
                  <c:v>0.89311844912868621</c:v>
                </c:pt>
                <c:pt idx="427">
                  <c:v>0.8866759106300961</c:v>
                </c:pt>
                <c:pt idx="428">
                  <c:v>0.879034805801159</c:v>
                </c:pt>
                <c:pt idx="429">
                  <c:v>0.87009716807003235</c:v>
                </c:pt>
                <c:pt idx="430">
                  <c:v>0.85978956003138107</c:v>
                </c:pt>
                <c:pt idx="431">
                  <c:v>0.8480671592289919</c:v>
                </c:pt>
                <c:pt idx="432">
                  <c:v>0.83491681568709852</c:v>
                </c:pt>
                <c:pt idx="433">
                  <c:v>0.82035871451703801</c:v>
                </c:pt>
                <c:pt idx="434">
                  <c:v>0.80444638886065301</c:v>
                </c:pt>
                <c:pt idx="435">
                  <c:v>0.78726498673846279</c:v>
                </c:pt>
                <c:pt idx="436">
                  <c:v>0.76892787688046538</c:v>
                </c:pt>
                <c:pt idx="437">
                  <c:v>0.74957185341621169</c:v>
                </c:pt>
                <c:pt idx="438">
                  <c:v>0.7293513378652331</c:v>
                </c:pt>
                <c:pt idx="439">
                  <c:v>0.70843205735988912</c:v>
                </c:pt>
                <c:pt idx="440">
                  <c:v>0.6869846912948071</c:v>
                </c:pt>
                <c:pt idx="441">
                  <c:v>0.66517892932018863</c:v>
                </c:pt>
                <c:pt idx="442">
                  <c:v>0.64320793368996532</c:v>
                </c:pt>
                <c:pt idx="443">
                  <c:v>0.62135399298672411</c:v>
                </c:pt>
                <c:pt idx="444">
                  <c:v>0.59986672858253554</c:v>
                </c:pt>
                <c:pt idx="445">
                  <c:v>0.57893518506990216</c:v>
                </c:pt>
                <c:pt idx="446">
                  <c:v>0.55869631758024885</c:v>
                </c:pt>
                <c:pt idx="447">
                  <c:v>0.53924384644458867</c:v>
                </c:pt>
                <c:pt idx="448">
                  <c:v>0.52063665619409094</c:v>
                </c:pt>
                <c:pt idx="449">
                  <c:v>0.50290629267450193</c:v>
                </c:pt>
                <c:pt idx="450">
                  <c:v>0.48606337622769269</c:v>
                </c:pt>
                <c:pt idx="451">
                  <c:v>0.47010291650451763</c:v>
                </c:pt>
                <c:pt idx="452">
                  <c:v>0.45500860933902793</c:v>
                </c:pt>
                <c:pt idx="453">
                  <c:v>0.44075624113638256</c:v>
                </c:pt>
                <c:pt idx="454">
                  <c:v>0.42731633985086626</c:v>
                </c:pt>
                <c:pt idx="455">
                  <c:v>0.41465620720815938</c:v>
                </c:pt>
                <c:pt idx="456">
                  <c:v>0.40274145328325983</c:v>
                </c:pt>
                <c:pt idx="457">
                  <c:v>0.39153713744238544</c:v>
                </c:pt>
                <c:pt idx="458">
                  <c:v>0.38100860220490645</c:v>
                </c:pt>
                <c:pt idx="459">
                  <c:v>0.37112207045638901</c:v>
                </c:pt>
                <c:pt idx="460">
                  <c:v>0.36184506237793085</c:v>
                </c:pt>
                <c:pt idx="461">
                  <c:v>0.35314667663629973</c:v>
                </c:pt>
                <c:pt idx="462">
                  <c:v>0.34499777070006349</c:v>
                </c:pt>
                <c:pt idx="463">
                  <c:v>0.33737106737076944</c:v>
                </c:pt>
                <c:pt idx="464">
                  <c:v>0.33024120846269861</c:v>
                </c:pt>
                <c:pt idx="465">
                  <c:v>0.3235847717512062</c:v>
                </c:pt>
                <c:pt idx="466">
                  <c:v>0.31738026358695332</c:v>
                </c:pt>
                <c:pt idx="467">
                  <c:v>0.31160809672663359</c:v>
                </c:pt>
                <c:pt idx="468">
                  <c:v>0.30625056078294777</c:v>
                </c:pt>
                <c:pt idx="469">
                  <c:v>0.30129179110552351</c:v>
                </c:pt>
                <c:pt idx="470">
                  <c:v>0.29671774075918056</c:v>
                </c:pt>
                <c:pt idx="471">
                  <c:v>0.29251615948218335</c:v>
                </c:pt>
                <c:pt idx="472">
                  <c:v>0.28867658302359817</c:v>
                </c:pt>
                <c:pt idx="473">
                  <c:v>0.28518513613189672</c:v>
                </c:pt>
                <c:pt idx="474">
                  <c:v>0.28200989860407399</c:v>
                </c:pt>
                <c:pt idx="475">
                  <c:v>0.27911780469792091</c:v>
                </c:pt>
                <c:pt idx="476">
                  <c:v>0.27647937975186399</c:v>
                </c:pt>
                <c:pt idx="477">
                  <c:v>0.27406813124639212</c:v>
                </c:pt>
                <c:pt idx="478">
                  <c:v>0.27186005026578319</c:v>
                </c:pt>
                <c:pt idx="479">
                  <c:v>0.2698332006657907</c:v>
                </c:pt>
                <c:pt idx="480">
                  <c:v>0.26796737870670484</c:v>
                </c:pt>
                <c:pt idx="481">
                  <c:v>0.26624382996985563</c:v>
                </c:pt>
                <c:pt idx="482">
                  <c:v>0.26464501342906527</c:v>
                </c:pt>
                <c:pt idx="483">
                  <c:v>0.26315440486832137</c:v>
                </c:pt>
                <c:pt idx="484">
                  <c:v>0.26175633361405604</c:v>
                </c:pt>
                <c:pt idx="485">
                  <c:v>0.26043584792024915</c:v>
                </c:pt>
                <c:pt idx="486">
                  <c:v>0.25917860540363513</c:v>
                </c:pt>
                <c:pt idx="487">
                  <c:v>0.2579707857435784</c:v>
                </c:pt>
                <c:pt idx="488">
                  <c:v>0.25679902348607003</c:v>
                </c:pt>
                <c:pt idx="489">
                  <c:v>0.25565035925915014</c:v>
                </c:pt>
                <c:pt idx="490">
                  <c:v>0.25451220804321389</c:v>
                </c:pt>
                <c:pt idx="491">
                  <c:v>0.25337234336250558</c:v>
                </c:pt>
                <c:pt idx="492">
                  <c:v>0.25221889638738326</c:v>
                </c:pt>
                <c:pt idx="493">
                  <c:v>0.25104036897164644</c:v>
                </c:pt>
                <c:pt idx="494">
                  <c:v>0.24982565960516734</c:v>
                </c:pt>
                <c:pt idx="495">
                  <c:v>0.24856410114916835</c:v>
                </c:pt>
                <c:pt idx="496">
                  <c:v>0.24724550905081633</c:v>
                </c:pt>
                <c:pt idx="497">
                  <c:v>0.24586023851841959</c:v>
                </c:pt>
                <c:pt idx="498">
                  <c:v>0.24439924889394177</c:v>
                </c:pt>
                <c:pt idx="499">
                  <c:v>0.24285417320393404</c:v>
                </c:pt>
                <c:pt idx="500">
                  <c:v>0.2412173906238578</c:v>
                </c:pt>
                <c:pt idx="501">
                  <c:v>0.23948209937627488</c:v>
                </c:pt>
                <c:pt idx="502">
                  <c:v>0.23764238742320815</c:v>
                </c:pt>
                <c:pt idx="503">
                  <c:v>0.23569653575782767</c:v>
                </c:pt>
                <c:pt idx="504">
                  <c:v>0.23365631539921181</c:v>
                </c:pt>
                <c:pt idx="505">
                  <c:v>0.23153641500731745</c:v>
                </c:pt>
                <c:pt idx="506">
                  <c:v>0.2293509748627052</c:v>
                </c:pt>
                <c:pt idx="507">
                  <c:v>0.22711349173743736</c:v>
                </c:pt>
                <c:pt idx="508">
                  <c:v>0.22483674748895538</c:v>
                </c:pt>
                <c:pt idx="509">
                  <c:v>0.22253275960052071</c:v>
                </c:pt>
                <c:pt idx="510">
                  <c:v>0.22021275150276987</c:v>
                </c:pt>
                <c:pt idx="511">
                  <c:v>0.21788714028731757</c:v>
                </c:pt>
                <c:pt idx="512">
                  <c:v>0.21556553934015357</c:v>
                </c:pt>
                <c:pt idx="513">
                  <c:v>0.21325677345246452</c:v>
                </c:pt>
                <c:pt idx="514">
                  <c:v>0.21096890408226163</c:v>
                </c:pt>
                <c:pt idx="515">
                  <c:v>0.20870926261663075</c:v>
                </c:pt>
                <c:pt idx="516">
                  <c:v>0.20648448969947511</c:v>
                </c:pt>
                <c:pt idx="517">
                  <c:v>0.20430057892494052</c:v>
                </c:pt>
                <c:pt idx="518">
                  <c:v>0.2021629234377374</c:v>
                </c:pt>
                <c:pt idx="519">
                  <c:v>0.20007636421736896</c:v>
                </c:pt>
                <c:pt idx="520">
                  <c:v>0.19804523904612611</c:v>
                </c:pt>
                <c:pt idx="521">
                  <c:v>0.19607343136564997</c:v>
                </c:pt>
                <c:pt idx="522">
                  <c:v>0.19416441841113968</c:v>
                </c:pt>
                <c:pt idx="523">
                  <c:v>0.19232131817489709</c:v>
                </c:pt>
                <c:pt idx="524">
                  <c:v>0.19054693489212024</c:v>
                </c:pt>
                <c:pt idx="525">
                  <c:v>0.18884380286288366</c:v>
                </c:pt>
                <c:pt idx="526">
                  <c:v>0.18721422852686712</c:v>
                </c:pt>
                <c:pt idx="527">
                  <c:v>0.18566033079378313</c:v>
                </c:pt>
                <c:pt idx="528">
                  <c:v>0.18418407970495043</c:v>
                </c:pt>
                <c:pt idx="529">
                  <c:v>0.18278733356248344</c:v>
                </c:pt>
                <c:pt idx="530">
                  <c:v>0.1814718747145069</c:v>
                </c:pt>
                <c:pt idx="531">
                  <c:v>0.18023944423000432</c:v>
                </c:pt>
                <c:pt idx="532">
                  <c:v>0.17909177573763124</c:v>
                </c:pt>
                <c:pt idx="533">
                  <c:v>0.17803062874128392</c:v>
                </c:pt>
                <c:pt idx="534">
                  <c:v>0.17705662399461997</c:v>
                </c:pt>
                <c:pt idx="535">
                  <c:v>0.17616578565217669</c:v>
                </c:pt>
                <c:pt idx="536">
                  <c:v>0.17535330953819814</c:v>
                </c:pt>
                <c:pt idx="537">
                  <c:v>0.17461474447720043</c:v>
                </c:pt>
                <c:pt idx="538">
                  <c:v>0.17394595150616174</c:v>
                </c:pt>
                <c:pt idx="539">
                  <c:v>0.1733430678341229</c:v>
                </c:pt>
                <c:pt idx="540">
                  <c:v>0.17280247487125991</c:v>
                </c:pt>
                <c:pt idx="541">
                  <c:v>0.17232076976009453</c:v>
                </c:pt>
                <c:pt idx="542">
                  <c:v>0.17189473993272947</c:v>
                </c:pt>
                <c:pt idx="543">
                  <c:v>0.1715213402936471</c:v>
                </c:pt>
                <c:pt idx="544">
                  <c:v>0.17119767269070027</c:v>
                </c:pt>
                <c:pt idx="545">
                  <c:v>0.17092096738983309</c:v>
                </c:pt>
                <c:pt idx="546">
                  <c:v>0.17068856631369614</c:v>
                </c:pt>
                <c:pt idx="547">
                  <c:v>0.17049790784217783</c:v>
                </c:pt>
                <c:pt idx="548">
                  <c:v>0.17034651300517686</c:v>
                </c:pt>
                <c:pt idx="549">
                  <c:v>0.1702319729256663</c:v>
                </c:pt>
                <c:pt idx="550">
                  <c:v>0.17015193739503084</c:v>
                </c:pt>
                <c:pt idx="551">
                  <c:v>0.17010410448342783</c:v>
                </c:pt>
                <c:pt idx="552">
                  <c:v>0.17008621110603242</c:v>
                </c:pt>
                <c:pt idx="553">
                  <c:v>0.17009602448188513</c:v>
                </c:pt>
                <c:pt idx="554">
                  <c:v>0.17013133443597644</c:v>
                </c:pt>
                <c:pt idx="555">
                  <c:v>0.17018994650743452</c:v>
                </c:pt>
                <c:pt idx="556">
                  <c:v>0.1702696758374056</c:v>
                </c:pt>
                <c:pt idx="557">
                  <c:v>0.1703683418195775</c:v>
                </c:pt>
                <c:pt idx="558">
                  <c:v>0.17048376350438071</c:v>
                </c:pt>
                <c:pt idx="559">
                  <c:v>0.17061375575477317</c:v>
                </c:pt>
                <c:pt idx="560">
                  <c:v>0.17075612615719163</c:v>
                </c:pt>
                <c:pt idx="561">
                  <c:v>0.17090867269574242</c:v>
                </c:pt>
                <c:pt idx="562">
                  <c:v>0.17106918220098125</c:v>
                </c:pt>
                <c:pt idx="563">
                  <c:v>0.17123542958666343</c:v>
                </c:pt>
                <c:pt idx="564">
                  <c:v>0.17140557321930172</c:v>
                </c:pt>
                <c:pt idx="565">
                  <c:v>0.17157934786319143</c:v>
                </c:pt>
                <c:pt idx="566">
                  <c:v>0.17175688998882704</c:v>
                </c:pt>
                <c:pt idx="567">
                  <c:v>0.17193834381823711</c:v>
                </c:pt>
                <c:pt idx="568">
                  <c:v>0.17212386109652966</c:v>
                </c:pt>
                <c:pt idx="569">
                  <c:v>0.17231360087335235</c:v>
                </c:pt>
                <c:pt idx="570">
                  <c:v>0.17250772929454367</c:v>
                </c:pt>
                <c:pt idx="571">
                  <c:v>0.17270641940425252</c:v>
                </c:pt>
                <c:pt idx="572">
                  <c:v>0.17290985095779965</c:v>
                </c:pt>
                <c:pt idx="573">
                  <c:v>0.17311821024555121</c:v>
                </c:pt>
                <c:pt idx="574">
                  <c:v>0.17333168992806935</c:v>
                </c:pt>
                <c:pt idx="575">
                  <c:v>0.17355048888279748</c:v>
                </c:pt>
                <c:pt idx="576">
                  <c:v>0.1737748120625304</c:v>
                </c:pt>
              </c:numCache>
            </c:numRef>
          </c:val>
          <c:smooth val="0"/>
        </c:ser>
        <c:ser>
          <c:idx val="3"/>
          <c:order val="1"/>
          <c:tx>
            <c:v>IKc</c:v>
          </c:tx>
          <c:spPr>
            <a:ln w="25400">
              <a:solidFill>
                <a:srgbClr val="008000"/>
              </a:solidFill>
              <a:prstDash val="solid"/>
            </a:ln>
          </c:spPr>
          <c:marker>
            <c:symbol val="none"/>
          </c:marker>
          <c:cat>
            <c:numRef>
              <c:f>Crop!$B$49:$B$625</c:f>
              <c:numCache>
                <c:formatCode>dd\-mmm\-yy</c:formatCode>
                <c:ptCount val="577"/>
                <c:pt idx="0">
                  <c:v>41640</c:v>
                </c:pt>
                <c:pt idx="1">
                  <c:v>41641</c:v>
                </c:pt>
                <c:pt idx="2">
                  <c:v>41642</c:v>
                </c:pt>
                <c:pt idx="3">
                  <c:v>41643</c:v>
                </c:pt>
                <c:pt idx="4">
                  <c:v>41644</c:v>
                </c:pt>
                <c:pt idx="5">
                  <c:v>41645</c:v>
                </c:pt>
                <c:pt idx="6">
                  <c:v>41646</c:v>
                </c:pt>
                <c:pt idx="7">
                  <c:v>41647</c:v>
                </c:pt>
                <c:pt idx="8">
                  <c:v>41648</c:v>
                </c:pt>
                <c:pt idx="9">
                  <c:v>41649</c:v>
                </c:pt>
                <c:pt idx="10">
                  <c:v>41650</c:v>
                </c:pt>
                <c:pt idx="11">
                  <c:v>41651</c:v>
                </c:pt>
                <c:pt idx="12">
                  <c:v>41652</c:v>
                </c:pt>
                <c:pt idx="13">
                  <c:v>41653</c:v>
                </c:pt>
                <c:pt idx="14">
                  <c:v>41654</c:v>
                </c:pt>
                <c:pt idx="15">
                  <c:v>41655</c:v>
                </c:pt>
                <c:pt idx="16">
                  <c:v>41656</c:v>
                </c:pt>
                <c:pt idx="17">
                  <c:v>41657</c:v>
                </c:pt>
                <c:pt idx="18">
                  <c:v>41658</c:v>
                </c:pt>
                <c:pt idx="19">
                  <c:v>41659</c:v>
                </c:pt>
                <c:pt idx="20">
                  <c:v>41660</c:v>
                </c:pt>
                <c:pt idx="21">
                  <c:v>41661</c:v>
                </c:pt>
                <c:pt idx="22">
                  <c:v>41662</c:v>
                </c:pt>
                <c:pt idx="23">
                  <c:v>41663</c:v>
                </c:pt>
                <c:pt idx="24">
                  <c:v>41664</c:v>
                </c:pt>
                <c:pt idx="25">
                  <c:v>41665</c:v>
                </c:pt>
                <c:pt idx="26">
                  <c:v>41666</c:v>
                </c:pt>
                <c:pt idx="27">
                  <c:v>41667</c:v>
                </c:pt>
                <c:pt idx="28">
                  <c:v>41668</c:v>
                </c:pt>
                <c:pt idx="29">
                  <c:v>41669</c:v>
                </c:pt>
                <c:pt idx="30">
                  <c:v>41670</c:v>
                </c:pt>
                <c:pt idx="31">
                  <c:v>41671</c:v>
                </c:pt>
                <c:pt idx="32">
                  <c:v>41672</c:v>
                </c:pt>
                <c:pt idx="33">
                  <c:v>41673</c:v>
                </c:pt>
                <c:pt idx="34">
                  <c:v>41674</c:v>
                </c:pt>
                <c:pt idx="35">
                  <c:v>41675</c:v>
                </c:pt>
                <c:pt idx="36">
                  <c:v>41676</c:v>
                </c:pt>
                <c:pt idx="37">
                  <c:v>41677</c:v>
                </c:pt>
                <c:pt idx="38">
                  <c:v>41678</c:v>
                </c:pt>
                <c:pt idx="39">
                  <c:v>41679</c:v>
                </c:pt>
                <c:pt idx="40">
                  <c:v>41680</c:v>
                </c:pt>
                <c:pt idx="41">
                  <c:v>41681</c:v>
                </c:pt>
                <c:pt idx="42">
                  <c:v>41682</c:v>
                </c:pt>
                <c:pt idx="43">
                  <c:v>41683</c:v>
                </c:pt>
                <c:pt idx="44">
                  <c:v>41684</c:v>
                </c:pt>
                <c:pt idx="45">
                  <c:v>41685</c:v>
                </c:pt>
                <c:pt idx="46">
                  <c:v>41686</c:v>
                </c:pt>
                <c:pt idx="47">
                  <c:v>41687</c:v>
                </c:pt>
                <c:pt idx="48">
                  <c:v>41688</c:v>
                </c:pt>
                <c:pt idx="49">
                  <c:v>41689</c:v>
                </c:pt>
                <c:pt idx="50">
                  <c:v>41690</c:v>
                </c:pt>
                <c:pt idx="51">
                  <c:v>41691</c:v>
                </c:pt>
                <c:pt idx="52">
                  <c:v>41692</c:v>
                </c:pt>
                <c:pt idx="53">
                  <c:v>41693</c:v>
                </c:pt>
                <c:pt idx="54">
                  <c:v>41694</c:v>
                </c:pt>
                <c:pt idx="55">
                  <c:v>41695</c:v>
                </c:pt>
                <c:pt idx="56">
                  <c:v>41696</c:v>
                </c:pt>
                <c:pt idx="57">
                  <c:v>41697</c:v>
                </c:pt>
                <c:pt idx="58">
                  <c:v>41698</c:v>
                </c:pt>
                <c:pt idx="59">
                  <c:v>41699</c:v>
                </c:pt>
                <c:pt idx="60">
                  <c:v>41700</c:v>
                </c:pt>
                <c:pt idx="61">
                  <c:v>41701</c:v>
                </c:pt>
                <c:pt idx="62">
                  <c:v>41702</c:v>
                </c:pt>
                <c:pt idx="63">
                  <c:v>41703</c:v>
                </c:pt>
                <c:pt idx="64">
                  <c:v>41704</c:v>
                </c:pt>
                <c:pt idx="65">
                  <c:v>41705</c:v>
                </c:pt>
                <c:pt idx="66">
                  <c:v>41706</c:v>
                </c:pt>
                <c:pt idx="67">
                  <c:v>41707</c:v>
                </c:pt>
                <c:pt idx="68">
                  <c:v>41708</c:v>
                </c:pt>
                <c:pt idx="69">
                  <c:v>41709</c:v>
                </c:pt>
                <c:pt idx="70">
                  <c:v>41710</c:v>
                </c:pt>
                <c:pt idx="71">
                  <c:v>41711</c:v>
                </c:pt>
                <c:pt idx="72">
                  <c:v>41712</c:v>
                </c:pt>
                <c:pt idx="73">
                  <c:v>41713</c:v>
                </c:pt>
                <c:pt idx="74">
                  <c:v>41714</c:v>
                </c:pt>
                <c:pt idx="75">
                  <c:v>41715</c:v>
                </c:pt>
                <c:pt idx="76">
                  <c:v>41716</c:v>
                </c:pt>
                <c:pt idx="77">
                  <c:v>41717</c:v>
                </c:pt>
                <c:pt idx="78">
                  <c:v>41718</c:v>
                </c:pt>
                <c:pt idx="79">
                  <c:v>41719</c:v>
                </c:pt>
                <c:pt idx="80">
                  <c:v>41720</c:v>
                </c:pt>
                <c:pt idx="81">
                  <c:v>41721</c:v>
                </c:pt>
                <c:pt idx="82">
                  <c:v>41722</c:v>
                </c:pt>
                <c:pt idx="83">
                  <c:v>41723</c:v>
                </c:pt>
                <c:pt idx="84">
                  <c:v>41724</c:v>
                </c:pt>
                <c:pt idx="85">
                  <c:v>41725</c:v>
                </c:pt>
                <c:pt idx="86">
                  <c:v>41726</c:v>
                </c:pt>
                <c:pt idx="87">
                  <c:v>41727</c:v>
                </c:pt>
                <c:pt idx="88">
                  <c:v>41728</c:v>
                </c:pt>
                <c:pt idx="89">
                  <c:v>41729</c:v>
                </c:pt>
                <c:pt idx="90">
                  <c:v>41730</c:v>
                </c:pt>
                <c:pt idx="91">
                  <c:v>41731</c:v>
                </c:pt>
                <c:pt idx="92">
                  <c:v>41732</c:v>
                </c:pt>
                <c:pt idx="93">
                  <c:v>41733</c:v>
                </c:pt>
                <c:pt idx="94">
                  <c:v>41734</c:v>
                </c:pt>
                <c:pt idx="95">
                  <c:v>41735</c:v>
                </c:pt>
                <c:pt idx="96">
                  <c:v>41736</c:v>
                </c:pt>
                <c:pt idx="97">
                  <c:v>41737</c:v>
                </c:pt>
                <c:pt idx="98">
                  <c:v>41738</c:v>
                </c:pt>
                <c:pt idx="99">
                  <c:v>41739</c:v>
                </c:pt>
                <c:pt idx="100">
                  <c:v>41740</c:v>
                </c:pt>
                <c:pt idx="101">
                  <c:v>41741</c:v>
                </c:pt>
                <c:pt idx="102">
                  <c:v>41742</c:v>
                </c:pt>
                <c:pt idx="103">
                  <c:v>41743</c:v>
                </c:pt>
                <c:pt idx="104">
                  <c:v>41744</c:v>
                </c:pt>
                <c:pt idx="105">
                  <c:v>41745</c:v>
                </c:pt>
                <c:pt idx="106">
                  <c:v>41746</c:v>
                </c:pt>
                <c:pt idx="107">
                  <c:v>41747</c:v>
                </c:pt>
                <c:pt idx="108">
                  <c:v>41748</c:v>
                </c:pt>
                <c:pt idx="109">
                  <c:v>41749</c:v>
                </c:pt>
                <c:pt idx="110">
                  <c:v>41750</c:v>
                </c:pt>
                <c:pt idx="111">
                  <c:v>41751</c:v>
                </c:pt>
                <c:pt idx="112">
                  <c:v>41752</c:v>
                </c:pt>
                <c:pt idx="113">
                  <c:v>41753</c:v>
                </c:pt>
                <c:pt idx="114">
                  <c:v>41754</c:v>
                </c:pt>
                <c:pt idx="115">
                  <c:v>41755</c:v>
                </c:pt>
                <c:pt idx="116">
                  <c:v>41756</c:v>
                </c:pt>
                <c:pt idx="117">
                  <c:v>41757</c:v>
                </c:pt>
                <c:pt idx="118">
                  <c:v>41758</c:v>
                </c:pt>
                <c:pt idx="119">
                  <c:v>41759</c:v>
                </c:pt>
                <c:pt idx="120">
                  <c:v>41760</c:v>
                </c:pt>
                <c:pt idx="121">
                  <c:v>41761</c:v>
                </c:pt>
                <c:pt idx="122">
                  <c:v>41762</c:v>
                </c:pt>
                <c:pt idx="123">
                  <c:v>41763</c:v>
                </c:pt>
                <c:pt idx="124">
                  <c:v>41764</c:v>
                </c:pt>
                <c:pt idx="125">
                  <c:v>41765</c:v>
                </c:pt>
                <c:pt idx="126">
                  <c:v>41766</c:v>
                </c:pt>
                <c:pt idx="127">
                  <c:v>41767</c:v>
                </c:pt>
                <c:pt idx="128">
                  <c:v>41768</c:v>
                </c:pt>
                <c:pt idx="129">
                  <c:v>41769</c:v>
                </c:pt>
                <c:pt idx="130">
                  <c:v>41770</c:v>
                </c:pt>
                <c:pt idx="131">
                  <c:v>41771</c:v>
                </c:pt>
                <c:pt idx="132">
                  <c:v>41772</c:v>
                </c:pt>
                <c:pt idx="133">
                  <c:v>41773</c:v>
                </c:pt>
                <c:pt idx="134">
                  <c:v>41774</c:v>
                </c:pt>
                <c:pt idx="135">
                  <c:v>41775</c:v>
                </c:pt>
                <c:pt idx="136">
                  <c:v>41776</c:v>
                </c:pt>
                <c:pt idx="137">
                  <c:v>41777</c:v>
                </c:pt>
                <c:pt idx="138">
                  <c:v>41778</c:v>
                </c:pt>
                <c:pt idx="139">
                  <c:v>41779</c:v>
                </c:pt>
                <c:pt idx="140">
                  <c:v>41780</c:v>
                </c:pt>
                <c:pt idx="141">
                  <c:v>41781</c:v>
                </c:pt>
                <c:pt idx="142">
                  <c:v>41782</c:v>
                </c:pt>
                <c:pt idx="143">
                  <c:v>41783</c:v>
                </c:pt>
                <c:pt idx="144">
                  <c:v>41784</c:v>
                </c:pt>
                <c:pt idx="145">
                  <c:v>41785</c:v>
                </c:pt>
                <c:pt idx="146">
                  <c:v>41786</c:v>
                </c:pt>
                <c:pt idx="147">
                  <c:v>41787</c:v>
                </c:pt>
                <c:pt idx="148">
                  <c:v>41788</c:v>
                </c:pt>
                <c:pt idx="149">
                  <c:v>41789</c:v>
                </c:pt>
                <c:pt idx="150">
                  <c:v>41790</c:v>
                </c:pt>
                <c:pt idx="151">
                  <c:v>41791</c:v>
                </c:pt>
                <c:pt idx="152">
                  <c:v>41792</c:v>
                </c:pt>
                <c:pt idx="153">
                  <c:v>41793</c:v>
                </c:pt>
                <c:pt idx="154">
                  <c:v>41794</c:v>
                </c:pt>
                <c:pt idx="155">
                  <c:v>41795</c:v>
                </c:pt>
                <c:pt idx="156">
                  <c:v>41796</c:v>
                </c:pt>
                <c:pt idx="157">
                  <c:v>41797</c:v>
                </c:pt>
                <c:pt idx="158">
                  <c:v>41798</c:v>
                </c:pt>
                <c:pt idx="159">
                  <c:v>41799</c:v>
                </c:pt>
                <c:pt idx="160">
                  <c:v>41800</c:v>
                </c:pt>
                <c:pt idx="161">
                  <c:v>41801</c:v>
                </c:pt>
                <c:pt idx="162">
                  <c:v>41802</c:v>
                </c:pt>
                <c:pt idx="163">
                  <c:v>41803</c:v>
                </c:pt>
                <c:pt idx="164">
                  <c:v>41804</c:v>
                </c:pt>
                <c:pt idx="165">
                  <c:v>41805</c:v>
                </c:pt>
                <c:pt idx="166">
                  <c:v>41806</c:v>
                </c:pt>
                <c:pt idx="167">
                  <c:v>41807</c:v>
                </c:pt>
                <c:pt idx="168">
                  <c:v>41808</c:v>
                </c:pt>
                <c:pt idx="169">
                  <c:v>41809</c:v>
                </c:pt>
                <c:pt idx="170">
                  <c:v>41810</c:v>
                </c:pt>
                <c:pt idx="171">
                  <c:v>41811</c:v>
                </c:pt>
                <c:pt idx="172">
                  <c:v>41812</c:v>
                </c:pt>
                <c:pt idx="173">
                  <c:v>41813</c:v>
                </c:pt>
                <c:pt idx="174">
                  <c:v>41814</c:v>
                </c:pt>
                <c:pt idx="175">
                  <c:v>41815</c:v>
                </c:pt>
                <c:pt idx="176">
                  <c:v>41816</c:v>
                </c:pt>
                <c:pt idx="177">
                  <c:v>41817</c:v>
                </c:pt>
                <c:pt idx="178">
                  <c:v>41818</c:v>
                </c:pt>
                <c:pt idx="179">
                  <c:v>41819</c:v>
                </c:pt>
                <c:pt idx="180">
                  <c:v>41820</c:v>
                </c:pt>
                <c:pt idx="181">
                  <c:v>41821</c:v>
                </c:pt>
                <c:pt idx="182">
                  <c:v>41822</c:v>
                </c:pt>
                <c:pt idx="183">
                  <c:v>41823</c:v>
                </c:pt>
                <c:pt idx="184">
                  <c:v>41824</c:v>
                </c:pt>
                <c:pt idx="185">
                  <c:v>41825</c:v>
                </c:pt>
                <c:pt idx="186">
                  <c:v>41826</c:v>
                </c:pt>
                <c:pt idx="187">
                  <c:v>41827</c:v>
                </c:pt>
                <c:pt idx="188">
                  <c:v>41828</c:v>
                </c:pt>
                <c:pt idx="189">
                  <c:v>41829</c:v>
                </c:pt>
                <c:pt idx="190">
                  <c:v>41830</c:v>
                </c:pt>
                <c:pt idx="191">
                  <c:v>41831</c:v>
                </c:pt>
                <c:pt idx="192">
                  <c:v>41832</c:v>
                </c:pt>
                <c:pt idx="193">
                  <c:v>41833</c:v>
                </c:pt>
                <c:pt idx="194">
                  <c:v>41834</c:v>
                </c:pt>
                <c:pt idx="195">
                  <c:v>41835</c:v>
                </c:pt>
                <c:pt idx="196">
                  <c:v>41836</c:v>
                </c:pt>
                <c:pt idx="197">
                  <c:v>41837</c:v>
                </c:pt>
                <c:pt idx="198">
                  <c:v>41838</c:v>
                </c:pt>
                <c:pt idx="199">
                  <c:v>41839</c:v>
                </c:pt>
                <c:pt idx="200">
                  <c:v>41840</c:v>
                </c:pt>
                <c:pt idx="201">
                  <c:v>41841</c:v>
                </c:pt>
                <c:pt idx="202">
                  <c:v>41842</c:v>
                </c:pt>
                <c:pt idx="203">
                  <c:v>41843</c:v>
                </c:pt>
                <c:pt idx="204">
                  <c:v>41844</c:v>
                </c:pt>
                <c:pt idx="205">
                  <c:v>41845</c:v>
                </c:pt>
                <c:pt idx="206">
                  <c:v>41846</c:v>
                </c:pt>
                <c:pt idx="207">
                  <c:v>41847</c:v>
                </c:pt>
                <c:pt idx="208">
                  <c:v>41848</c:v>
                </c:pt>
                <c:pt idx="209">
                  <c:v>41849</c:v>
                </c:pt>
                <c:pt idx="210">
                  <c:v>41850</c:v>
                </c:pt>
                <c:pt idx="211">
                  <c:v>41851</c:v>
                </c:pt>
                <c:pt idx="212">
                  <c:v>41852</c:v>
                </c:pt>
                <c:pt idx="213">
                  <c:v>41853</c:v>
                </c:pt>
                <c:pt idx="214">
                  <c:v>41854</c:v>
                </c:pt>
                <c:pt idx="215">
                  <c:v>41855</c:v>
                </c:pt>
                <c:pt idx="216">
                  <c:v>41856</c:v>
                </c:pt>
                <c:pt idx="217">
                  <c:v>41857</c:v>
                </c:pt>
                <c:pt idx="218">
                  <c:v>41858</c:v>
                </c:pt>
                <c:pt idx="219">
                  <c:v>41859</c:v>
                </c:pt>
                <c:pt idx="220">
                  <c:v>41860</c:v>
                </c:pt>
                <c:pt idx="221">
                  <c:v>41861</c:v>
                </c:pt>
                <c:pt idx="222">
                  <c:v>41862</c:v>
                </c:pt>
                <c:pt idx="223">
                  <c:v>41863</c:v>
                </c:pt>
                <c:pt idx="224">
                  <c:v>41864</c:v>
                </c:pt>
                <c:pt idx="225">
                  <c:v>41865</c:v>
                </c:pt>
                <c:pt idx="226">
                  <c:v>41866</c:v>
                </c:pt>
                <c:pt idx="227">
                  <c:v>41867</c:v>
                </c:pt>
                <c:pt idx="228">
                  <c:v>41868</c:v>
                </c:pt>
                <c:pt idx="229">
                  <c:v>41869</c:v>
                </c:pt>
                <c:pt idx="230">
                  <c:v>41870</c:v>
                </c:pt>
                <c:pt idx="231">
                  <c:v>41871</c:v>
                </c:pt>
                <c:pt idx="232">
                  <c:v>41872</c:v>
                </c:pt>
                <c:pt idx="233">
                  <c:v>41873</c:v>
                </c:pt>
                <c:pt idx="234">
                  <c:v>41874</c:v>
                </c:pt>
                <c:pt idx="235">
                  <c:v>41875</c:v>
                </c:pt>
                <c:pt idx="236">
                  <c:v>41876</c:v>
                </c:pt>
                <c:pt idx="237">
                  <c:v>41877</c:v>
                </c:pt>
                <c:pt idx="238">
                  <c:v>41878</c:v>
                </c:pt>
                <c:pt idx="239">
                  <c:v>41879</c:v>
                </c:pt>
                <c:pt idx="240">
                  <c:v>41880</c:v>
                </c:pt>
                <c:pt idx="241">
                  <c:v>41881</c:v>
                </c:pt>
                <c:pt idx="242">
                  <c:v>41882</c:v>
                </c:pt>
                <c:pt idx="243">
                  <c:v>41883</c:v>
                </c:pt>
                <c:pt idx="244">
                  <c:v>41884</c:v>
                </c:pt>
                <c:pt idx="245">
                  <c:v>41885</c:v>
                </c:pt>
                <c:pt idx="246">
                  <c:v>41886</c:v>
                </c:pt>
                <c:pt idx="247">
                  <c:v>41887</c:v>
                </c:pt>
                <c:pt idx="248">
                  <c:v>41888</c:v>
                </c:pt>
                <c:pt idx="249">
                  <c:v>41889</c:v>
                </c:pt>
                <c:pt idx="250">
                  <c:v>41890</c:v>
                </c:pt>
                <c:pt idx="251">
                  <c:v>41891</c:v>
                </c:pt>
                <c:pt idx="252">
                  <c:v>41892</c:v>
                </c:pt>
                <c:pt idx="253">
                  <c:v>41893</c:v>
                </c:pt>
                <c:pt idx="254">
                  <c:v>41894</c:v>
                </c:pt>
                <c:pt idx="255">
                  <c:v>41895</c:v>
                </c:pt>
                <c:pt idx="256">
                  <c:v>41896</c:v>
                </c:pt>
                <c:pt idx="257">
                  <c:v>41897</c:v>
                </c:pt>
                <c:pt idx="258">
                  <c:v>41898</c:v>
                </c:pt>
                <c:pt idx="259">
                  <c:v>41899</c:v>
                </c:pt>
                <c:pt idx="260">
                  <c:v>41900</c:v>
                </c:pt>
                <c:pt idx="261">
                  <c:v>41901</c:v>
                </c:pt>
                <c:pt idx="262">
                  <c:v>41902</c:v>
                </c:pt>
                <c:pt idx="263">
                  <c:v>41903</c:v>
                </c:pt>
                <c:pt idx="264">
                  <c:v>41904</c:v>
                </c:pt>
                <c:pt idx="265">
                  <c:v>41905</c:v>
                </c:pt>
                <c:pt idx="266">
                  <c:v>41906</c:v>
                </c:pt>
                <c:pt idx="267">
                  <c:v>41907</c:v>
                </c:pt>
                <c:pt idx="268">
                  <c:v>41908</c:v>
                </c:pt>
                <c:pt idx="269">
                  <c:v>41909</c:v>
                </c:pt>
                <c:pt idx="270">
                  <c:v>41910</c:v>
                </c:pt>
                <c:pt idx="271">
                  <c:v>41911</c:v>
                </c:pt>
                <c:pt idx="272">
                  <c:v>41912</c:v>
                </c:pt>
                <c:pt idx="273">
                  <c:v>41913</c:v>
                </c:pt>
                <c:pt idx="274">
                  <c:v>41914</c:v>
                </c:pt>
                <c:pt idx="275">
                  <c:v>41915</c:v>
                </c:pt>
                <c:pt idx="276">
                  <c:v>41916</c:v>
                </c:pt>
                <c:pt idx="277">
                  <c:v>41917</c:v>
                </c:pt>
                <c:pt idx="278">
                  <c:v>41918</c:v>
                </c:pt>
                <c:pt idx="279">
                  <c:v>41919</c:v>
                </c:pt>
                <c:pt idx="280">
                  <c:v>41920</c:v>
                </c:pt>
                <c:pt idx="281">
                  <c:v>41921</c:v>
                </c:pt>
                <c:pt idx="282">
                  <c:v>41922</c:v>
                </c:pt>
                <c:pt idx="283">
                  <c:v>41923</c:v>
                </c:pt>
                <c:pt idx="284">
                  <c:v>41924</c:v>
                </c:pt>
                <c:pt idx="285">
                  <c:v>41925</c:v>
                </c:pt>
                <c:pt idx="286">
                  <c:v>41926</c:v>
                </c:pt>
                <c:pt idx="287">
                  <c:v>41927</c:v>
                </c:pt>
                <c:pt idx="288">
                  <c:v>41928</c:v>
                </c:pt>
                <c:pt idx="289">
                  <c:v>41929</c:v>
                </c:pt>
                <c:pt idx="290">
                  <c:v>41930</c:v>
                </c:pt>
                <c:pt idx="291">
                  <c:v>41931</c:v>
                </c:pt>
                <c:pt idx="292">
                  <c:v>41932</c:v>
                </c:pt>
                <c:pt idx="293">
                  <c:v>41933</c:v>
                </c:pt>
                <c:pt idx="294">
                  <c:v>41934</c:v>
                </c:pt>
                <c:pt idx="295">
                  <c:v>41935</c:v>
                </c:pt>
                <c:pt idx="296">
                  <c:v>41936</c:v>
                </c:pt>
                <c:pt idx="297">
                  <c:v>41937</c:v>
                </c:pt>
                <c:pt idx="298">
                  <c:v>41938</c:v>
                </c:pt>
                <c:pt idx="299">
                  <c:v>41939</c:v>
                </c:pt>
                <c:pt idx="300">
                  <c:v>41940</c:v>
                </c:pt>
                <c:pt idx="301">
                  <c:v>41941</c:v>
                </c:pt>
                <c:pt idx="302">
                  <c:v>41942</c:v>
                </c:pt>
                <c:pt idx="303">
                  <c:v>41943</c:v>
                </c:pt>
                <c:pt idx="304">
                  <c:v>41944</c:v>
                </c:pt>
                <c:pt idx="305">
                  <c:v>41945</c:v>
                </c:pt>
                <c:pt idx="306">
                  <c:v>41946</c:v>
                </c:pt>
                <c:pt idx="307">
                  <c:v>41947</c:v>
                </c:pt>
                <c:pt idx="308">
                  <c:v>41948</c:v>
                </c:pt>
                <c:pt idx="309">
                  <c:v>41949</c:v>
                </c:pt>
                <c:pt idx="310">
                  <c:v>41950</c:v>
                </c:pt>
                <c:pt idx="311">
                  <c:v>41951</c:v>
                </c:pt>
                <c:pt idx="312">
                  <c:v>41952</c:v>
                </c:pt>
                <c:pt idx="313">
                  <c:v>41953</c:v>
                </c:pt>
                <c:pt idx="314">
                  <c:v>41954</c:v>
                </c:pt>
                <c:pt idx="315">
                  <c:v>41955</c:v>
                </c:pt>
                <c:pt idx="316">
                  <c:v>41956</c:v>
                </c:pt>
                <c:pt idx="317">
                  <c:v>41957</c:v>
                </c:pt>
                <c:pt idx="318">
                  <c:v>41958</c:v>
                </c:pt>
                <c:pt idx="319">
                  <c:v>41959</c:v>
                </c:pt>
                <c:pt idx="320">
                  <c:v>41960</c:v>
                </c:pt>
                <c:pt idx="321">
                  <c:v>41961</c:v>
                </c:pt>
                <c:pt idx="322">
                  <c:v>41962</c:v>
                </c:pt>
                <c:pt idx="323">
                  <c:v>41963</c:v>
                </c:pt>
                <c:pt idx="324">
                  <c:v>41964</c:v>
                </c:pt>
                <c:pt idx="325">
                  <c:v>41965</c:v>
                </c:pt>
                <c:pt idx="326">
                  <c:v>41966</c:v>
                </c:pt>
                <c:pt idx="327">
                  <c:v>41967</c:v>
                </c:pt>
                <c:pt idx="328">
                  <c:v>41968</c:v>
                </c:pt>
                <c:pt idx="329">
                  <c:v>41969</c:v>
                </c:pt>
                <c:pt idx="330">
                  <c:v>41970</c:v>
                </c:pt>
                <c:pt idx="331">
                  <c:v>41971</c:v>
                </c:pt>
                <c:pt idx="332">
                  <c:v>41972</c:v>
                </c:pt>
                <c:pt idx="333">
                  <c:v>41973</c:v>
                </c:pt>
                <c:pt idx="334">
                  <c:v>41974</c:v>
                </c:pt>
                <c:pt idx="335">
                  <c:v>41975</c:v>
                </c:pt>
                <c:pt idx="336">
                  <c:v>41976</c:v>
                </c:pt>
                <c:pt idx="337">
                  <c:v>41977</c:v>
                </c:pt>
                <c:pt idx="338">
                  <c:v>41978</c:v>
                </c:pt>
                <c:pt idx="339">
                  <c:v>41979</c:v>
                </c:pt>
                <c:pt idx="340">
                  <c:v>41980</c:v>
                </c:pt>
                <c:pt idx="341">
                  <c:v>41981</c:v>
                </c:pt>
                <c:pt idx="342">
                  <c:v>41982</c:v>
                </c:pt>
                <c:pt idx="343">
                  <c:v>41983</c:v>
                </c:pt>
                <c:pt idx="344">
                  <c:v>41984</c:v>
                </c:pt>
                <c:pt idx="345">
                  <c:v>41985</c:v>
                </c:pt>
                <c:pt idx="346">
                  <c:v>41986</c:v>
                </c:pt>
                <c:pt idx="347">
                  <c:v>41987</c:v>
                </c:pt>
                <c:pt idx="348">
                  <c:v>41988</c:v>
                </c:pt>
                <c:pt idx="349">
                  <c:v>41989</c:v>
                </c:pt>
                <c:pt idx="350">
                  <c:v>41990</c:v>
                </c:pt>
                <c:pt idx="351">
                  <c:v>41991</c:v>
                </c:pt>
                <c:pt idx="352">
                  <c:v>41992</c:v>
                </c:pt>
                <c:pt idx="353">
                  <c:v>41993</c:v>
                </c:pt>
                <c:pt idx="354">
                  <c:v>41994</c:v>
                </c:pt>
                <c:pt idx="355">
                  <c:v>41995</c:v>
                </c:pt>
                <c:pt idx="356">
                  <c:v>41996</c:v>
                </c:pt>
                <c:pt idx="357">
                  <c:v>41997</c:v>
                </c:pt>
                <c:pt idx="358">
                  <c:v>41998</c:v>
                </c:pt>
                <c:pt idx="359">
                  <c:v>41999</c:v>
                </c:pt>
                <c:pt idx="360">
                  <c:v>42000</c:v>
                </c:pt>
                <c:pt idx="361">
                  <c:v>42001</c:v>
                </c:pt>
                <c:pt idx="362">
                  <c:v>42002</c:v>
                </c:pt>
                <c:pt idx="363">
                  <c:v>42003</c:v>
                </c:pt>
                <c:pt idx="364">
                  <c:v>42004</c:v>
                </c:pt>
                <c:pt idx="365">
                  <c:v>42005</c:v>
                </c:pt>
                <c:pt idx="366">
                  <c:v>42006</c:v>
                </c:pt>
                <c:pt idx="367">
                  <c:v>42007</c:v>
                </c:pt>
                <c:pt idx="368">
                  <c:v>42008</c:v>
                </c:pt>
                <c:pt idx="369">
                  <c:v>42009</c:v>
                </c:pt>
                <c:pt idx="370">
                  <c:v>42010</c:v>
                </c:pt>
                <c:pt idx="371">
                  <c:v>42011</c:v>
                </c:pt>
                <c:pt idx="372">
                  <c:v>42012</c:v>
                </c:pt>
                <c:pt idx="373">
                  <c:v>42013</c:v>
                </c:pt>
                <c:pt idx="374">
                  <c:v>42014</c:v>
                </c:pt>
                <c:pt idx="375">
                  <c:v>42015</c:v>
                </c:pt>
                <c:pt idx="376">
                  <c:v>42016</c:v>
                </c:pt>
                <c:pt idx="377">
                  <c:v>42017</c:v>
                </c:pt>
                <c:pt idx="378">
                  <c:v>42018</c:v>
                </c:pt>
                <c:pt idx="379">
                  <c:v>42019</c:v>
                </c:pt>
                <c:pt idx="380">
                  <c:v>42020</c:v>
                </c:pt>
                <c:pt idx="381">
                  <c:v>42021</c:v>
                </c:pt>
                <c:pt idx="382">
                  <c:v>42022</c:v>
                </c:pt>
                <c:pt idx="383">
                  <c:v>42023</c:v>
                </c:pt>
                <c:pt idx="384">
                  <c:v>42024</c:v>
                </c:pt>
                <c:pt idx="385">
                  <c:v>42025</c:v>
                </c:pt>
                <c:pt idx="386">
                  <c:v>42026</c:v>
                </c:pt>
                <c:pt idx="387">
                  <c:v>42027</c:v>
                </c:pt>
                <c:pt idx="388">
                  <c:v>42028</c:v>
                </c:pt>
                <c:pt idx="389">
                  <c:v>42029</c:v>
                </c:pt>
                <c:pt idx="390">
                  <c:v>42030</c:v>
                </c:pt>
                <c:pt idx="391">
                  <c:v>42031</c:v>
                </c:pt>
                <c:pt idx="392">
                  <c:v>42032</c:v>
                </c:pt>
                <c:pt idx="393">
                  <c:v>42033</c:v>
                </c:pt>
                <c:pt idx="394">
                  <c:v>42034</c:v>
                </c:pt>
                <c:pt idx="395">
                  <c:v>42035</c:v>
                </c:pt>
                <c:pt idx="396">
                  <c:v>42036</c:v>
                </c:pt>
                <c:pt idx="397">
                  <c:v>42037</c:v>
                </c:pt>
                <c:pt idx="398">
                  <c:v>42038</c:v>
                </c:pt>
                <c:pt idx="399">
                  <c:v>42039</c:v>
                </c:pt>
                <c:pt idx="400">
                  <c:v>42040</c:v>
                </c:pt>
                <c:pt idx="401">
                  <c:v>42041</c:v>
                </c:pt>
                <c:pt idx="402">
                  <c:v>42042</c:v>
                </c:pt>
                <c:pt idx="403">
                  <c:v>42043</c:v>
                </c:pt>
                <c:pt idx="404">
                  <c:v>42044</c:v>
                </c:pt>
                <c:pt idx="405">
                  <c:v>42045</c:v>
                </c:pt>
                <c:pt idx="406">
                  <c:v>42046</c:v>
                </c:pt>
                <c:pt idx="407">
                  <c:v>42047</c:v>
                </c:pt>
                <c:pt idx="408">
                  <c:v>42048</c:v>
                </c:pt>
                <c:pt idx="409">
                  <c:v>42049</c:v>
                </c:pt>
                <c:pt idx="410">
                  <c:v>42050</c:v>
                </c:pt>
                <c:pt idx="411">
                  <c:v>42051</c:v>
                </c:pt>
                <c:pt idx="412">
                  <c:v>42052</c:v>
                </c:pt>
                <c:pt idx="413">
                  <c:v>42053</c:v>
                </c:pt>
                <c:pt idx="414">
                  <c:v>42054</c:v>
                </c:pt>
                <c:pt idx="415">
                  <c:v>42055</c:v>
                </c:pt>
                <c:pt idx="416">
                  <c:v>42056</c:v>
                </c:pt>
                <c:pt idx="417">
                  <c:v>42057</c:v>
                </c:pt>
                <c:pt idx="418">
                  <c:v>42058</c:v>
                </c:pt>
                <c:pt idx="419">
                  <c:v>42059</c:v>
                </c:pt>
                <c:pt idx="420">
                  <c:v>42060</c:v>
                </c:pt>
                <c:pt idx="421">
                  <c:v>42061</c:v>
                </c:pt>
                <c:pt idx="422">
                  <c:v>42062</c:v>
                </c:pt>
                <c:pt idx="423">
                  <c:v>42063</c:v>
                </c:pt>
                <c:pt idx="424">
                  <c:v>42064</c:v>
                </c:pt>
                <c:pt idx="425">
                  <c:v>42065</c:v>
                </c:pt>
                <c:pt idx="426">
                  <c:v>42066</c:v>
                </c:pt>
                <c:pt idx="427">
                  <c:v>42067</c:v>
                </c:pt>
                <c:pt idx="428">
                  <c:v>42068</c:v>
                </c:pt>
                <c:pt idx="429">
                  <c:v>42069</c:v>
                </c:pt>
                <c:pt idx="430">
                  <c:v>42070</c:v>
                </c:pt>
                <c:pt idx="431">
                  <c:v>42071</c:v>
                </c:pt>
                <c:pt idx="432">
                  <c:v>42072</c:v>
                </c:pt>
                <c:pt idx="433">
                  <c:v>42073</c:v>
                </c:pt>
                <c:pt idx="434">
                  <c:v>42074</c:v>
                </c:pt>
                <c:pt idx="435">
                  <c:v>42075</c:v>
                </c:pt>
                <c:pt idx="436">
                  <c:v>42076</c:v>
                </c:pt>
                <c:pt idx="437">
                  <c:v>42077</c:v>
                </c:pt>
                <c:pt idx="438">
                  <c:v>42078</c:v>
                </c:pt>
                <c:pt idx="439">
                  <c:v>42079</c:v>
                </c:pt>
                <c:pt idx="440">
                  <c:v>42080</c:v>
                </c:pt>
                <c:pt idx="441">
                  <c:v>42081</c:v>
                </c:pt>
                <c:pt idx="442">
                  <c:v>42082</c:v>
                </c:pt>
                <c:pt idx="443">
                  <c:v>42083</c:v>
                </c:pt>
                <c:pt idx="444">
                  <c:v>42084</c:v>
                </c:pt>
                <c:pt idx="445">
                  <c:v>42085</c:v>
                </c:pt>
                <c:pt idx="446">
                  <c:v>42086</c:v>
                </c:pt>
                <c:pt idx="447">
                  <c:v>42087</c:v>
                </c:pt>
                <c:pt idx="448">
                  <c:v>42088</c:v>
                </c:pt>
                <c:pt idx="449">
                  <c:v>42089</c:v>
                </c:pt>
                <c:pt idx="450">
                  <c:v>42090</c:v>
                </c:pt>
                <c:pt idx="451">
                  <c:v>42091</c:v>
                </c:pt>
                <c:pt idx="452">
                  <c:v>42092</c:v>
                </c:pt>
                <c:pt idx="453">
                  <c:v>42093</c:v>
                </c:pt>
                <c:pt idx="454">
                  <c:v>42094</c:v>
                </c:pt>
                <c:pt idx="455">
                  <c:v>42095</c:v>
                </c:pt>
                <c:pt idx="456">
                  <c:v>42096</c:v>
                </c:pt>
                <c:pt idx="457">
                  <c:v>42097</c:v>
                </c:pt>
                <c:pt idx="458">
                  <c:v>42098</c:v>
                </c:pt>
                <c:pt idx="459">
                  <c:v>42099</c:v>
                </c:pt>
                <c:pt idx="460">
                  <c:v>42100</c:v>
                </c:pt>
                <c:pt idx="461">
                  <c:v>42101</c:v>
                </c:pt>
                <c:pt idx="462">
                  <c:v>42102</c:v>
                </c:pt>
                <c:pt idx="463">
                  <c:v>42103</c:v>
                </c:pt>
                <c:pt idx="464">
                  <c:v>42104</c:v>
                </c:pt>
                <c:pt idx="465">
                  <c:v>42105</c:v>
                </c:pt>
                <c:pt idx="466">
                  <c:v>42106</c:v>
                </c:pt>
                <c:pt idx="467">
                  <c:v>42107</c:v>
                </c:pt>
                <c:pt idx="468">
                  <c:v>42108</c:v>
                </c:pt>
                <c:pt idx="469">
                  <c:v>42109</c:v>
                </c:pt>
                <c:pt idx="470">
                  <c:v>42110</c:v>
                </c:pt>
                <c:pt idx="471">
                  <c:v>42111</c:v>
                </c:pt>
                <c:pt idx="472">
                  <c:v>42112</c:v>
                </c:pt>
                <c:pt idx="473">
                  <c:v>42113</c:v>
                </c:pt>
                <c:pt idx="474">
                  <c:v>42114</c:v>
                </c:pt>
                <c:pt idx="475">
                  <c:v>42115</c:v>
                </c:pt>
                <c:pt idx="476">
                  <c:v>42116</c:v>
                </c:pt>
                <c:pt idx="477">
                  <c:v>42117</c:v>
                </c:pt>
                <c:pt idx="478">
                  <c:v>42118</c:v>
                </c:pt>
                <c:pt idx="479">
                  <c:v>42119</c:v>
                </c:pt>
                <c:pt idx="480">
                  <c:v>42120</c:v>
                </c:pt>
                <c:pt idx="481">
                  <c:v>42121</c:v>
                </c:pt>
                <c:pt idx="482">
                  <c:v>42122</c:v>
                </c:pt>
                <c:pt idx="483">
                  <c:v>42123</c:v>
                </c:pt>
                <c:pt idx="484">
                  <c:v>42124</c:v>
                </c:pt>
                <c:pt idx="485">
                  <c:v>42125</c:v>
                </c:pt>
                <c:pt idx="486">
                  <c:v>42126</c:v>
                </c:pt>
                <c:pt idx="487">
                  <c:v>42127</c:v>
                </c:pt>
                <c:pt idx="488">
                  <c:v>42128</c:v>
                </c:pt>
                <c:pt idx="489">
                  <c:v>42129</c:v>
                </c:pt>
                <c:pt idx="490">
                  <c:v>42130</c:v>
                </c:pt>
                <c:pt idx="491">
                  <c:v>42131</c:v>
                </c:pt>
                <c:pt idx="492">
                  <c:v>42132</c:v>
                </c:pt>
                <c:pt idx="493">
                  <c:v>42133</c:v>
                </c:pt>
                <c:pt idx="494">
                  <c:v>42134</c:v>
                </c:pt>
                <c:pt idx="495">
                  <c:v>42135</c:v>
                </c:pt>
                <c:pt idx="496">
                  <c:v>42136</c:v>
                </c:pt>
                <c:pt idx="497">
                  <c:v>42137</c:v>
                </c:pt>
                <c:pt idx="498">
                  <c:v>42138</c:v>
                </c:pt>
                <c:pt idx="499">
                  <c:v>42139</c:v>
                </c:pt>
                <c:pt idx="500">
                  <c:v>42140</c:v>
                </c:pt>
                <c:pt idx="501">
                  <c:v>42141</c:v>
                </c:pt>
                <c:pt idx="502">
                  <c:v>42142</c:v>
                </c:pt>
                <c:pt idx="503">
                  <c:v>42143</c:v>
                </c:pt>
                <c:pt idx="504">
                  <c:v>42144</c:v>
                </c:pt>
                <c:pt idx="505">
                  <c:v>42145</c:v>
                </c:pt>
                <c:pt idx="506">
                  <c:v>42146</c:v>
                </c:pt>
                <c:pt idx="507">
                  <c:v>42147</c:v>
                </c:pt>
                <c:pt idx="508">
                  <c:v>42148</c:v>
                </c:pt>
                <c:pt idx="509">
                  <c:v>42149</c:v>
                </c:pt>
                <c:pt idx="510">
                  <c:v>42150</c:v>
                </c:pt>
                <c:pt idx="511">
                  <c:v>42151</c:v>
                </c:pt>
                <c:pt idx="512">
                  <c:v>42152</c:v>
                </c:pt>
                <c:pt idx="513">
                  <c:v>42153</c:v>
                </c:pt>
                <c:pt idx="514">
                  <c:v>42154</c:v>
                </c:pt>
                <c:pt idx="515">
                  <c:v>42155</c:v>
                </c:pt>
                <c:pt idx="516">
                  <c:v>42156</c:v>
                </c:pt>
                <c:pt idx="517">
                  <c:v>42157</c:v>
                </c:pt>
                <c:pt idx="518">
                  <c:v>42158</c:v>
                </c:pt>
                <c:pt idx="519">
                  <c:v>42159</c:v>
                </c:pt>
                <c:pt idx="520">
                  <c:v>42160</c:v>
                </c:pt>
                <c:pt idx="521">
                  <c:v>42161</c:v>
                </c:pt>
                <c:pt idx="522">
                  <c:v>42162</c:v>
                </c:pt>
                <c:pt idx="523">
                  <c:v>42163</c:v>
                </c:pt>
                <c:pt idx="524">
                  <c:v>42164</c:v>
                </c:pt>
                <c:pt idx="525">
                  <c:v>42165</c:v>
                </c:pt>
                <c:pt idx="526">
                  <c:v>42166</c:v>
                </c:pt>
                <c:pt idx="527">
                  <c:v>42167</c:v>
                </c:pt>
                <c:pt idx="528">
                  <c:v>42168</c:v>
                </c:pt>
                <c:pt idx="529">
                  <c:v>42169</c:v>
                </c:pt>
                <c:pt idx="530">
                  <c:v>42170</c:v>
                </c:pt>
                <c:pt idx="531">
                  <c:v>42171</c:v>
                </c:pt>
                <c:pt idx="532">
                  <c:v>42172</c:v>
                </c:pt>
                <c:pt idx="533">
                  <c:v>42173</c:v>
                </c:pt>
                <c:pt idx="534">
                  <c:v>42174</c:v>
                </c:pt>
                <c:pt idx="535">
                  <c:v>42175</c:v>
                </c:pt>
                <c:pt idx="536">
                  <c:v>42176</c:v>
                </c:pt>
                <c:pt idx="537">
                  <c:v>42177</c:v>
                </c:pt>
                <c:pt idx="538">
                  <c:v>42178</c:v>
                </c:pt>
                <c:pt idx="539">
                  <c:v>42179</c:v>
                </c:pt>
                <c:pt idx="540">
                  <c:v>42180</c:v>
                </c:pt>
                <c:pt idx="541">
                  <c:v>42181</c:v>
                </c:pt>
                <c:pt idx="542">
                  <c:v>42182</c:v>
                </c:pt>
                <c:pt idx="543">
                  <c:v>42183</c:v>
                </c:pt>
                <c:pt idx="544">
                  <c:v>42184</c:v>
                </c:pt>
                <c:pt idx="545">
                  <c:v>42185</c:v>
                </c:pt>
                <c:pt idx="546">
                  <c:v>42186</c:v>
                </c:pt>
                <c:pt idx="547">
                  <c:v>42187</c:v>
                </c:pt>
                <c:pt idx="548">
                  <c:v>42188</c:v>
                </c:pt>
                <c:pt idx="549">
                  <c:v>42189</c:v>
                </c:pt>
                <c:pt idx="550">
                  <c:v>42190</c:v>
                </c:pt>
                <c:pt idx="551">
                  <c:v>42191</c:v>
                </c:pt>
                <c:pt idx="552">
                  <c:v>42192</c:v>
                </c:pt>
                <c:pt idx="553">
                  <c:v>42193</c:v>
                </c:pt>
                <c:pt idx="554">
                  <c:v>42194</c:v>
                </c:pt>
                <c:pt idx="555">
                  <c:v>42195</c:v>
                </c:pt>
                <c:pt idx="556">
                  <c:v>42196</c:v>
                </c:pt>
                <c:pt idx="557">
                  <c:v>42197</c:v>
                </c:pt>
                <c:pt idx="558">
                  <c:v>42198</c:v>
                </c:pt>
                <c:pt idx="559">
                  <c:v>42199</c:v>
                </c:pt>
                <c:pt idx="560">
                  <c:v>42200</c:v>
                </c:pt>
                <c:pt idx="561">
                  <c:v>42201</c:v>
                </c:pt>
                <c:pt idx="562">
                  <c:v>42202</c:v>
                </c:pt>
                <c:pt idx="563">
                  <c:v>42203</c:v>
                </c:pt>
                <c:pt idx="564">
                  <c:v>42204</c:v>
                </c:pt>
                <c:pt idx="565">
                  <c:v>42205</c:v>
                </c:pt>
                <c:pt idx="566">
                  <c:v>42206</c:v>
                </c:pt>
                <c:pt idx="567">
                  <c:v>42207</c:v>
                </c:pt>
                <c:pt idx="568">
                  <c:v>42208</c:v>
                </c:pt>
                <c:pt idx="569">
                  <c:v>42209</c:v>
                </c:pt>
                <c:pt idx="570">
                  <c:v>42210</c:v>
                </c:pt>
                <c:pt idx="571">
                  <c:v>42211</c:v>
                </c:pt>
                <c:pt idx="572">
                  <c:v>42212</c:v>
                </c:pt>
                <c:pt idx="573">
                  <c:v>42213</c:v>
                </c:pt>
                <c:pt idx="574">
                  <c:v>42214</c:v>
                </c:pt>
                <c:pt idx="575">
                  <c:v>42215</c:v>
                </c:pt>
                <c:pt idx="576">
                  <c:v>42216</c:v>
                </c:pt>
              </c:numCache>
            </c:numRef>
          </c:cat>
          <c:val>
            <c:numRef>
              <c:f>Crop!$P$49:$P$625</c:f>
              <c:numCache>
                <c:formatCode>0.00</c:formatCode>
                <c:ptCount val="5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0.55000000000000004</c:v>
                </c:pt>
                <c:pt idx="60">
                  <c:v>0.5552401746724891</c:v>
                </c:pt>
                <c:pt idx="61">
                  <c:v>0.56048034934497815</c:v>
                </c:pt>
                <c:pt idx="62">
                  <c:v>0.5657205240174672</c:v>
                </c:pt>
                <c:pt idx="63">
                  <c:v>0.57096069868995625</c:v>
                </c:pt>
                <c:pt idx="64">
                  <c:v>0.5762008733624453</c:v>
                </c:pt>
                <c:pt idx="65">
                  <c:v>0.58144104803493435</c:v>
                </c:pt>
                <c:pt idx="66">
                  <c:v>0.5866812227074234</c:v>
                </c:pt>
                <c:pt idx="67">
                  <c:v>0.59192139737991245</c:v>
                </c:pt>
                <c:pt idx="68">
                  <c:v>0.5971615720524015</c:v>
                </c:pt>
                <c:pt idx="69">
                  <c:v>0.60240174672489055</c:v>
                </c:pt>
                <c:pt idx="70">
                  <c:v>0.6076419213973796</c:v>
                </c:pt>
                <c:pt idx="71">
                  <c:v>0.61288209606986865</c:v>
                </c:pt>
                <c:pt idx="72">
                  <c:v>0.6181222707423577</c:v>
                </c:pt>
                <c:pt idx="73">
                  <c:v>0.62336244541484676</c:v>
                </c:pt>
                <c:pt idx="74">
                  <c:v>0.62860262008733581</c:v>
                </c:pt>
                <c:pt idx="75">
                  <c:v>0.63384279475982486</c:v>
                </c:pt>
                <c:pt idx="76">
                  <c:v>0.63908296943231391</c:v>
                </c:pt>
                <c:pt idx="77">
                  <c:v>0.64432314410480296</c:v>
                </c:pt>
                <c:pt idx="78">
                  <c:v>0.64956331877729201</c:v>
                </c:pt>
                <c:pt idx="79">
                  <c:v>0.65480349344978106</c:v>
                </c:pt>
                <c:pt idx="80">
                  <c:v>0.66004366812227011</c:v>
                </c:pt>
                <c:pt idx="81">
                  <c:v>0.66528384279475916</c:v>
                </c:pt>
                <c:pt idx="82">
                  <c:v>0.67052401746724821</c:v>
                </c:pt>
                <c:pt idx="83">
                  <c:v>0.67576419213973726</c:v>
                </c:pt>
                <c:pt idx="84">
                  <c:v>0.68100436681222631</c:v>
                </c:pt>
                <c:pt idx="85">
                  <c:v>0.68624454148471536</c:v>
                </c:pt>
                <c:pt idx="86">
                  <c:v>0.69148471615720442</c:v>
                </c:pt>
                <c:pt idx="87">
                  <c:v>0.69672489082969347</c:v>
                </c:pt>
                <c:pt idx="88">
                  <c:v>0.70196506550218252</c:v>
                </c:pt>
                <c:pt idx="89">
                  <c:v>0.70720524017467157</c:v>
                </c:pt>
                <c:pt idx="90">
                  <c:v>0.71244541484716062</c:v>
                </c:pt>
                <c:pt idx="91">
                  <c:v>0.71768558951964967</c:v>
                </c:pt>
                <c:pt idx="92">
                  <c:v>0.72292576419213872</c:v>
                </c:pt>
                <c:pt idx="93">
                  <c:v>0.72816593886462777</c:v>
                </c:pt>
                <c:pt idx="94">
                  <c:v>0.73340611353711682</c:v>
                </c:pt>
                <c:pt idx="95">
                  <c:v>0.73864628820960587</c:v>
                </c:pt>
                <c:pt idx="96">
                  <c:v>0.74388646288209492</c:v>
                </c:pt>
                <c:pt idx="97">
                  <c:v>0.74912663755458397</c:v>
                </c:pt>
                <c:pt idx="98">
                  <c:v>0.75436681222707302</c:v>
                </c:pt>
                <c:pt idx="99">
                  <c:v>0.75960698689956208</c:v>
                </c:pt>
                <c:pt idx="100">
                  <c:v>0.76484716157205113</c:v>
                </c:pt>
                <c:pt idx="101">
                  <c:v>0.77008733624454018</c:v>
                </c:pt>
                <c:pt idx="102">
                  <c:v>0.77532751091702923</c:v>
                </c:pt>
                <c:pt idx="103">
                  <c:v>0.78056768558951828</c:v>
                </c:pt>
                <c:pt idx="104">
                  <c:v>0.78580786026200733</c:v>
                </c:pt>
                <c:pt idx="105">
                  <c:v>0.79104803493449638</c:v>
                </c:pt>
                <c:pt idx="106">
                  <c:v>0.79628820960698543</c:v>
                </c:pt>
                <c:pt idx="107">
                  <c:v>0.80152838427947448</c:v>
                </c:pt>
                <c:pt idx="108">
                  <c:v>0.80676855895196353</c:v>
                </c:pt>
                <c:pt idx="109">
                  <c:v>0.81200873362445258</c:v>
                </c:pt>
                <c:pt idx="110">
                  <c:v>0.81724890829694163</c:v>
                </c:pt>
                <c:pt idx="111">
                  <c:v>0.82248908296943068</c:v>
                </c:pt>
                <c:pt idx="112">
                  <c:v>0.82772925764191974</c:v>
                </c:pt>
                <c:pt idx="113">
                  <c:v>0.83296943231440879</c:v>
                </c:pt>
                <c:pt idx="114">
                  <c:v>0.83820960698689784</c:v>
                </c:pt>
                <c:pt idx="115">
                  <c:v>0.84344978165938689</c:v>
                </c:pt>
                <c:pt idx="116">
                  <c:v>0.84868995633187594</c:v>
                </c:pt>
                <c:pt idx="117">
                  <c:v>0.85393013100436499</c:v>
                </c:pt>
                <c:pt idx="118">
                  <c:v>0.85917030567685404</c:v>
                </c:pt>
                <c:pt idx="119">
                  <c:v>0.86441048034934309</c:v>
                </c:pt>
                <c:pt idx="120">
                  <c:v>0.86965065502183214</c:v>
                </c:pt>
                <c:pt idx="121">
                  <c:v>0.87489082969432119</c:v>
                </c:pt>
                <c:pt idx="122">
                  <c:v>0.88013100436681024</c:v>
                </c:pt>
                <c:pt idx="123">
                  <c:v>0.88537117903929929</c:v>
                </c:pt>
                <c:pt idx="124">
                  <c:v>0.89061135371178834</c:v>
                </c:pt>
                <c:pt idx="125">
                  <c:v>0.8958515283842774</c:v>
                </c:pt>
                <c:pt idx="126">
                  <c:v>0.90109170305676645</c:v>
                </c:pt>
                <c:pt idx="127">
                  <c:v>0.9063318777292555</c:v>
                </c:pt>
                <c:pt idx="128">
                  <c:v>0.91157205240174455</c:v>
                </c:pt>
                <c:pt idx="129">
                  <c:v>0.9168122270742336</c:v>
                </c:pt>
                <c:pt idx="130">
                  <c:v>0.92205240174672265</c:v>
                </c:pt>
                <c:pt idx="131">
                  <c:v>0.9272925764192117</c:v>
                </c:pt>
                <c:pt idx="132">
                  <c:v>0.93253275109170075</c:v>
                </c:pt>
                <c:pt idx="133">
                  <c:v>0.9377729257641898</c:v>
                </c:pt>
                <c:pt idx="134">
                  <c:v>0.94301310043667885</c:v>
                </c:pt>
                <c:pt idx="135">
                  <c:v>0.9482532751091679</c:v>
                </c:pt>
                <c:pt idx="136">
                  <c:v>0.95349344978165695</c:v>
                </c:pt>
                <c:pt idx="137">
                  <c:v>0.95873362445414601</c:v>
                </c:pt>
                <c:pt idx="138">
                  <c:v>0.96397379912663506</c:v>
                </c:pt>
                <c:pt idx="139">
                  <c:v>0.96921397379912411</c:v>
                </c:pt>
                <c:pt idx="140">
                  <c:v>0.97445414847161316</c:v>
                </c:pt>
                <c:pt idx="141">
                  <c:v>0.97969432314410221</c:v>
                </c:pt>
                <c:pt idx="142">
                  <c:v>0.98493449781659126</c:v>
                </c:pt>
                <c:pt idx="143">
                  <c:v>0.99017467248908031</c:v>
                </c:pt>
                <c:pt idx="144">
                  <c:v>0.99541484716156936</c:v>
                </c:pt>
                <c:pt idx="145">
                  <c:v>1.0006550218340584</c:v>
                </c:pt>
                <c:pt idx="146">
                  <c:v>1.0058951965065475</c:v>
                </c:pt>
                <c:pt idx="147">
                  <c:v>1.0111353711790365</c:v>
                </c:pt>
                <c:pt idx="148">
                  <c:v>1.0163755458515256</c:v>
                </c:pt>
                <c:pt idx="149">
                  <c:v>1.0216157205240146</c:v>
                </c:pt>
                <c:pt idx="150">
                  <c:v>1.0268558951965037</c:v>
                </c:pt>
                <c:pt idx="151">
                  <c:v>1.0320960698689927</c:v>
                </c:pt>
                <c:pt idx="152">
                  <c:v>1.0373362445414818</c:v>
                </c:pt>
                <c:pt idx="153">
                  <c:v>1.0425764192139708</c:v>
                </c:pt>
                <c:pt idx="154">
                  <c:v>1.0478165938864599</c:v>
                </c:pt>
                <c:pt idx="155">
                  <c:v>1.0530567685589489</c:v>
                </c:pt>
                <c:pt idx="156">
                  <c:v>1.058296943231438</c:v>
                </c:pt>
                <c:pt idx="157">
                  <c:v>1.063537117903927</c:v>
                </c:pt>
                <c:pt idx="158">
                  <c:v>1.0687772925764161</c:v>
                </c:pt>
                <c:pt idx="159">
                  <c:v>1.0740174672489051</c:v>
                </c:pt>
                <c:pt idx="160">
                  <c:v>1.0792576419213942</c:v>
                </c:pt>
                <c:pt idx="161">
                  <c:v>1.0844978165938832</c:v>
                </c:pt>
                <c:pt idx="162">
                  <c:v>1.0897379912663723</c:v>
                </c:pt>
                <c:pt idx="163">
                  <c:v>1.0949781659388613</c:v>
                </c:pt>
                <c:pt idx="164">
                  <c:v>1.1002183406113504</c:v>
                </c:pt>
                <c:pt idx="165">
                  <c:v>1.1054585152838394</c:v>
                </c:pt>
                <c:pt idx="166">
                  <c:v>1.1106986899563285</c:v>
                </c:pt>
                <c:pt idx="167">
                  <c:v>1.1159388646288175</c:v>
                </c:pt>
                <c:pt idx="168">
                  <c:v>1.1211790393013066</c:v>
                </c:pt>
                <c:pt idx="169">
                  <c:v>1.1264192139737956</c:v>
                </c:pt>
                <c:pt idx="170">
                  <c:v>1.1316593886462847</c:v>
                </c:pt>
                <c:pt idx="171">
                  <c:v>1.1368995633187737</c:v>
                </c:pt>
                <c:pt idx="172">
                  <c:v>1.1421397379912628</c:v>
                </c:pt>
                <c:pt idx="173">
                  <c:v>1.1473799126637518</c:v>
                </c:pt>
                <c:pt idx="174">
                  <c:v>1.1473799126637518</c:v>
                </c:pt>
                <c:pt idx="175">
                  <c:v>1.1473799126637518</c:v>
                </c:pt>
                <c:pt idx="176">
                  <c:v>1.1473799126637518</c:v>
                </c:pt>
                <c:pt idx="177">
                  <c:v>1.1473799126637518</c:v>
                </c:pt>
                <c:pt idx="178">
                  <c:v>1.1473799126637518</c:v>
                </c:pt>
                <c:pt idx="179">
                  <c:v>1.1473799126637518</c:v>
                </c:pt>
                <c:pt idx="180">
                  <c:v>1.1473799126637518</c:v>
                </c:pt>
                <c:pt idx="181">
                  <c:v>1.1473799126637518</c:v>
                </c:pt>
                <c:pt idx="182">
                  <c:v>1.1473799126637518</c:v>
                </c:pt>
                <c:pt idx="183">
                  <c:v>1.1473799126637518</c:v>
                </c:pt>
                <c:pt idx="184">
                  <c:v>1.1473799126637518</c:v>
                </c:pt>
                <c:pt idx="185">
                  <c:v>1.1473799126637518</c:v>
                </c:pt>
                <c:pt idx="186">
                  <c:v>1.1473799126637518</c:v>
                </c:pt>
                <c:pt idx="187">
                  <c:v>1.1473799126637518</c:v>
                </c:pt>
                <c:pt idx="188">
                  <c:v>1.1473799126637518</c:v>
                </c:pt>
                <c:pt idx="189">
                  <c:v>1.1473799126637518</c:v>
                </c:pt>
                <c:pt idx="190">
                  <c:v>1.1473799126637518</c:v>
                </c:pt>
                <c:pt idx="191">
                  <c:v>1.1473799126637518</c:v>
                </c:pt>
                <c:pt idx="192">
                  <c:v>1.1473799126637518</c:v>
                </c:pt>
                <c:pt idx="193">
                  <c:v>1.1473799126637518</c:v>
                </c:pt>
                <c:pt idx="194">
                  <c:v>1.1473799126637518</c:v>
                </c:pt>
                <c:pt idx="195">
                  <c:v>1.1473799126637518</c:v>
                </c:pt>
                <c:pt idx="196">
                  <c:v>1.1473799126637518</c:v>
                </c:pt>
                <c:pt idx="197">
                  <c:v>1.1473799126637518</c:v>
                </c:pt>
                <c:pt idx="198">
                  <c:v>1.1473799126637518</c:v>
                </c:pt>
                <c:pt idx="199">
                  <c:v>1.1473799126637518</c:v>
                </c:pt>
                <c:pt idx="200">
                  <c:v>1.1473799126637518</c:v>
                </c:pt>
                <c:pt idx="201">
                  <c:v>1.1473799126637518</c:v>
                </c:pt>
                <c:pt idx="202">
                  <c:v>1.1473799126637518</c:v>
                </c:pt>
                <c:pt idx="203">
                  <c:v>1.1473799126637518</c:v>
                </c:pt>
                <c:pt idx="204">
                  <c:v>1.1473799126637518</c:v>
                </c:pt>
                <c:pt idx="205">
                  <c:v>1.1473799126637518</c:v>
                </c:pt>
                <c:pt idx="206">
                  <c:v>1.1473799126637518</c:v>
                </c:pt>
                <c:pt idx="207">
                  <c:v>1.1473799126637518</c:v>
                </c:pt>
                <c:pt idx="208">
                  <c:v>1.1473799126637518</c:v>
                </c:pt>
                <c:pt idx="209">
                  <c:v>1.1473799126637518</c:v>
                </c:pt>
                <c:pt idx="210">
                  <c:v>1.1473799126637518</c:v>
                </c:pt>
                <c:pt idx="211">
                  <c:v>1.1473799126637518</c:v>
                </c:pt>
                <c:pt idx="212">
                  <c:v>1.1473799126637518</c:v>
                </c:pt>
                <c:pt idx="213">
                  <c:v>1.1473799126637518</c:v>
                </c:pt>
                <c:pt idx="214">
                  <c:v>1.1473799126637518</c:v>
                </c:pt>
                <c:pt idx="215">
                  <c:v>1.1473799126637518</c:v>
                </c:pt>
                <c:pt idx="216">
                  <c:v>1.1473799126637518</c:v>
                </c:pt>
                <c:pt idx="217">
                  <c:v>1.1473799126637518</c:v>
                </c:pt>
                <c:pt idx="218">
                  <c:v>1.1473799126637518</c:v>
                </c:pt>
                <c:pt idx="219">
                  <c:v>1.1473799126637518</c:v>
                </c:pt>
                <c:pt idx="220">
                  <c:v>1.1473799126637518</c:v>
                </c:pt>
                <c:pt idx="221">
                  <c:v>1.1473799126637518</c:v>
                </c:pt>
                <c:pt idx="222">
                  <c:v>1.1473799126637518</c:v>
                </c:pt>
                <c:pt idx="223">
                  <c:v>1.1473799126637518</c:v>
                </c:pt>
                <c:pt idx="224">
                  <c:v>1.1473799126637518</c:v>
                </c:pt>
                <c:pt idx="225">
                  <c:v>1.1473799126637518</c:v>
                </c:pt>
                <c:pt idx="226">
                  <c:v>1.1473799126637518</c:v>
                </c:pt>
                <c:pt idx="227">
                  <c:v>1.1473799126637518</c:v>
                </c:pt>
                <c:pt idx="228">
                  <c:v>1.1473799126637518</c:v>
                </c:pt>
                <c:pt idx="229">
                  <c:v>1.1473799126637518</c:v>
                </c:pt>
                <c:pt idx="230">
                  <c:v>1.1473799126637518</c:v>
                </c:pt>
                <c:pt idx="231">
                  <c:v>1.1473799126637518</c:v>
                </c:pt>
                <c:pt idx="232">
                  <c:v>1.1473799126637518</c:v>
                </c:pt>
                <c:pt idx="233">
                  <c:v>1.1473799126637518</c:v>
                </c:pt>
                <c:pt idx="234">
                  <c:v>1.1473799126637518</c:v>
                </c:pt>
                <c:pt idx="235">
                  <c:v>1.1473799126637518</c:v>
                </c:pt>
                <c:pt idx="236">
                  <c:v>1.1473799126637518</c:v>
                </c:pt>
                <c:pt idx="237">
                  <c:v>1.1473799126637518</c:v>
                </c:pt>
                <c:pt idx="238">
                  <c:v>1.1473799126637518</c:v>
                </c:pt>
                <c:pt idx="239">
                  <c:v>1.1473799126637518</c:v>
                </c:pt>
                <c:pt idx="240">
                  <c:v>1.1473799126637518</c:v>
                </c:pt>
                <c:pt idx="241">
                  <c:v>1.1473799126637518</c:v>
                </c:pt>
                <c:pt idx="242">
                  <c:v>1.1473799126637518</c:v>
                </c:pt>
                <c:pt idx="243">
                  <c:v>1.1473799126637518</c:v>
                </c:pt>
                <c:pt idx="244">
                  <c:v>1.1473799126637518</c:v>
                </c:pt>
                <c:pt idx="245">
                  <c:v>1.1473799126637518</c:v>
                </c:pt>
                <c:pt idx="246">
                  <c:v>1.1473799126637518</c:v>
                </c:pt>
                <c:pt idx="247">
                  <c:v>1.1473799126637518</c:v>
                </c:pt>
                <c:pt idx="248">
                  <c:v>1.1473799126637518</c:v>
                </c:pt>
                <c:pt idx="249">
                  <c:v>1.1473799126637518</c:v>
                </c:pt>
                <c:pt idx="250">
                  <c:v>1.1473799126637518</c:v>
                </c:pt>
                <c:pt idx="251">
                  <c:v>1.1473799126637518</c:v>
                </c:pt>
                <c:pt idx="252">
                  <c:v>1.1473799126637518</c:v>
                </c:pt>
                <c:pt idx="253">
                  <c:v>1.1473799126637518</c:v>
                </c:pt>
                <c:pt idx="254">
                  <c:v>1.1473799126637518</c:v>
                </c:pt>
                <c:pt idx="255">
                  <c:v>1.1473799126637518</c:v>
                </c:pt>
                <c:pt idx="256">
                  <c:v>1.1473799126637518</c:v>
                </c:pt>
                <c:pt idx="257">
                  <c:v>1.1473799126637518</c:v>
                </c:pt>
                <c:pt idx="258">
                  <c:v>1.1473799126637518</c:v>
                </c:pt>
                <c:pt idx="259">
                  <c:v>1.1473799126637518</c:v>
                </c:pt>
                <c:pt idx="260">
                  <c:v>1.1473799126637518</c:v>
                </c:pt>
                <c:pt idx="261">
                  <c:v>1.1473799126637518</c:v>
                </c:pt>
                <c:pt idx="262">
                  <c:v>1.1473799126637518</c:v>
                </c:pt>
                <c:pt idx="263">
                  <c:v>1.1473799126637518</c:v>
                </c:pt>
                <c:pt idx="264">
                  <c:v>1.1473799126637518</c:v>
                </c:pt>
                <c:pt idx="265">
                  <c:v>1.1473799126637518</c:v>
                </c:pt>
                <c:pt idx="266">
                  <c:v>1.1245488624354429</c:v>
                </c:pt>
                <c:pt idx="267">
                  <c:v>1.1017178122071341</c:v>
                </c:pt>
                <c:pt idx="268">
                  <c:v>1.0788867619788252</c:v>
                </c:pt>
                <c:pt idx="269">
                  <c:v>1.0560557117505163</c:v>
                </c:pt>
                <c:pt idx="270">
                  <c:v>1.0332246615222074</c:v>
                </c:pt>
                <c:pt idx="271">
                  <c:v>1.0103936112938985</c:v>
                </c:pt>
                <c:pt idx="272">
                  <c:v>0.98756256106558948</c:v>
                </c:pt>
                <c:pt idx="273">
                  <c:v>0.96473151083728048</c:v>
                </c:pt>
                <c:pt idx="274">
                  <c:v>0.94190046060897148</c:v>
                </c:pt>
                <c:pt idx="275">
                  <c:v>0.91906941038066248</c:v>
                </c:pt>
                <c:pt idx="276">
                  <c:v>0.89623836015235347</c:v>
                </c:pt>
                <c:pt idx="277">
                  <c:v>0.87340730992404447</c:v>
                </c:pt>
                <c:pt idx="278">
                  <c:v>0.85057625969573547</c:v>
                </c:pt>
                <c:pt idx="279">
                  <c:v>0.82774520946742647</c:v>
                </c:pt>
                <c:pt idx="280">
                  <c:v>0.80491415923911747</c:v>
                </c:pt>
                <c:pt idx="281">
                  <c:v>0.78208310901080846</c:v>
                </c:pt>
                <c:pt idx="282">
                  <c:v>0.75925205878249946</c:v>
                </c:pt>
                <c:pt idx="283">
                  <c:v>0.73642100855419046</c:v>
                </c:pt>
                <c:pt idx="284">
                  <c:v>0.71358995832588146</c:v>
                </c:pt>
                <c:pt idx="285">
                  <c:v>0.69075890809757245</c:v>
                </c:pt>
                <c:pt idx="286">
                  <c:v>0.66792785786926345</c:v>
                </c:pt>
                <c:pt idx="287">
                  <c:v>0.64509680764095445</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numCache>
            </c:numRef>
          </c:val>
          <c:smooth val="0"/>
        </c:ser>
        <c:ser>
          <c:idx val="1"/>
          <c:order val="2"/>
          <c:tx>
            <c:v>Kc</c:v>
          </c:tx>
          <c:spPr>
            <a:ln w="38100">
              <a:solidFill>
                <a:srgbClr val="FF0000"/>
              </a:solidFill>
              <a:prstDash val="solid"/>
            </a:ln>
          </c:spPr>
          <c:marker>
            <c:symbol val="none"/>
          </c:marker>
          <c:cat>
            <c:numRef>
              <c:f>Crop!$B$49:$B$625</c:f>
              <c:numCache>
                <c:formatCode>dd\-mmm\-yy</c:formatCode>
                <c:ptCount val="577"/>
                <c:pt idx="0">
                  <c:v>41640</c:v>
                </c:pt>
                <c:pt idx="1">
                  <c:v>41641</c:v>
                </c:pt>
                <c:pt idx="2">
                  <c:v>41642</c:v>
                </c:pt>
                <c:pt idx="3">
                  <c:v>41643</c:v>
                </c:pt>
                <c:pt idx="4">
                  <c:v>41644</c:v>
                </c:pt>
                <c:pt idx="5">
                  <c:v>41645</c:v>
                </c:pt>
                <c:pt idx="6">
                  <c:v>41646</c:v>
                </c:pt>
                <c:pt idx="7">
                  <c:v>41647</c:v>
                </c:pt>
                <c:pt idx="8">
                  <c:v>41648</c:v>
                </c:pt>
                <c:pt idx="9">
                  <c:v>41649</c:v>
                </c:pt>
                <c:pt idx="10">
                  <c:v>41650</c:v>
                </c:pt>
                <c:pt idx="11">
                  <c:v>41651</c:v>
                </c:pt>
                <c:pt idx="12">
                  <c:v>41652</c:v>
                </c:pt>
                <c:pt idx="13">
                  <c:v>41653</c:v>
                </c:pt>
                <c:pt idx="14">
                  <c:v>41654</c:v>
                </c:pt>
                <c:pt idx="15">
                  <c:v>41655</c:v>
                </c:pt>
                <c:pt idx="16">
                  <c:v>41656</c:v>
                </c:pt>
                <c:pt idx="17">
                  <c:v>41657</c:v>
                </c:pt>
                <c:pt idx="18">
                  <c:v>41658</c:v>
                </c:pt>
                <c:pt idx="19">
                  <c:v>41659</c:v>
                </c:pt>
                <c:pt idx="20">
                  <c:v>41660</c:v>
                </c:pt>
                <c:pt idx="21">
                  <c:v>41661</c:v>
                </c:pt>
                <c:pt idx="22">
                  <c:v>41662</c:v>
                </c:pt>
                <c:pt idx="23">
                  <c:v>41663</c:v>
                </c:pt>
                <c:pt idx="24">
                  <c:v>41664</c:v>
                </c:pt>
                <c:pt idx="25">
                  <c:v>41665</c:v>
                </c:pt>
                <c:pt idx="26">
                  <c:v>41666</c:v>
                </c:pt>
                <c:pt idx="27">
                  <c:v>41667</c:v>
                </c:pt>
                <c:pt idx="28">
                  <c:v>41668</c:v>
                </c:pt>
                <c:pt idx="29">
                  <c:v>41669</c:v>
                </c:pt>
                <c:pt idx="30">
                  <c:v>41670</c:v>
                </c:pt>
                <c:pt idx="31">
                  <c:v>41671</c:v>
                </c:pt>
                <c:pt idx="32">
                  <c:v>41672</c:v>
                </c:pt>
                <c:pt idx="33">
                  <c:v>41673</c:v>
                </c:pt>
                <c:pt idx="34">
                  <c:v>41674</c:v>
                </c:pt>
                <c:pt idx="35">
                  <c:v>41675</c:v>
                </c:pt>
                <c:pt idx="36">
                  <c:v>41676</c:v>
                </c:pt>
                <c:pt idx="37">
                  <c:v>41677</c:v>
                </c:pt>
                <c:pt idx="38">
                  <c:v>41678</c:v>
                </c:pt>
                <c:pt idx="39">
                  <c:v>41679</c:v>
                </c:pt>
                <c:pt idx="40">
                  <c:v>41680</c:v>
                </c:pt>
                <c:pt idx="41">
                  <c:v>41681</c:v>
                </c:pt>
                <c:pt idx="42">
                  <c:v>41682</c:v>
                </c:pt>
                <c:pt idx="43">
                  <c:v>41683</c:v>
                </c:pt>
                <c:pt idx="44">
                  <c:v>41684</c:v>
                </c:pt>
                <c:pt idx="45">
                  <c:v>41685</c:v>
                </c:pt>
                <c:pt idx="46">
                  <c:v>41686</c:v>
                </c:pt>
                <c:pt idx="47">
                  <c:v>41687</c:v>
                </c:pt>
                <c:pt idx="48">
                  <c:v>41688</c:v>
                </c:pt>
                <c:pt idx="49">
                  <c:v>41689</c:v>
                </c:pt>
                <c:pt idx="50">
                  <c:v>41690</c:v>
                </c:pt>
                <c:pt idx="51">
                  <c:v>41691</c:v>
                </c:pt>
                <c:pt idx="52">
                  <c:v>41692</c:v>
                </c:pt>
                <c:pt idx="53">
                  <c:v>41693</c:v>
                </c:pt>
                <c:pt idx="54">
                  <c:v>41694</c:v>
                </c:pt>
                <c:pt idx="55">
                  <c:v>41695</c:v>
                </c:pt>
                <c:pt idx="56">
                  <c:v>41696</c:v>
                </c:pt>
                <c:pt idx="57">
                  <c:v>41697</c:v>
                </c:pt>
                <c:pt idx="58">
                  <c:v>41698</c:v>
                </c:pt>
                <c:pt idx="59">
                  <c:v>41699</c:v>
                </c:pt>
                <c:pt idx="60">
                  <c:v>41700</c:v>
                </c:pt>
                <c:pt idx="61">
                  <c:v>41701</c:v>
                </c:pt>
                <c:pt idx="62">
                  <c:v>41702</c:v>
                </c:pt>
                <c:pt idx="63">
                  <c:v>41703</c:v>
                </c:pt>
                <c:pt idx="64">
                  <c:v>41704</c:v>
                </c:pt>
                <c:pt idx="65">
                  <c:v>41705</c:v>
                </c:pt>
                <c:pt idx="66">
                  <c:v>41706</c:v>
                </c:pt>
                <c:pt idx="67">
                  <c:v>41707</c:v>
                </c:pt>
                <c:pt idx="68">
                  <c:v>41708</c:v>
                </c:pt>
                <c:pt idx="69">
                  <c:v>41709</c:v>
                </c:pt>
                <c:pt idx="70">
                  <c:v>41710</c:v>
                </c:pt>
                <c:pt idx="71">
                  <c:v>41711</c:v>
                </c:pt>
                <c:pt idx="72">
                  <c:v>41712</c:v>
                </c:pt>
                <c:pt idx="73">
                  <c:v>41713</c:v>
                </c:pt>
                <c:pt idx="74">
                  <c:v>41714</c:v>
                </c:pt>
                <c:pt idx="75">
                  <c:v>41715</c:v>
                </c:pt>
                <c:pt idx="76">
                  <c:v>41716</c:v>
                </c:pt>
                <c:pt idx="77">
                  <c:v>41717</c:v>
                </c:pt>
                <c:pt idx="78">
                  <c:v>41718</c:v>
                </c:pt>
                <c:pt idx="79">
                  <c:v>41719</c:v>
                </c:pt>
                <c:pt idx="80">
                  <c:v>41720</c:v>
                </c:pt>
                <c:pt idx="81">
                  <c:v>41721</c:v>
                </c:pt>
                <c:pt idx="82">
                  <c:v>41722</c:v>
                </c:pt>
                <c:pt idx="83">
                  <c:v>41723</c:v>
                </c:pt>
                <c:pt idx="84">
                  <c:v>41724</c:v>
                </c:pt>
                <c:pt idx="85">
                  <c:v>41725</c:v>
                </c:pt>
                <c:pt idx="86">
                  <c:v>41726</c:v>
                </c:pt>
                <c:pt idx="87">
                  <c:v>41727</c:v>
                </c:pt>
                <c:pt idx="88">
                  <c:v>41728</c:v>
                </c:pt>
                <c:pt idx="89">
                  <c:v>41729</c:v>
                </c:pt>
                <c:pt idx="90">
                  <c:v>41730</c:v>
                </c:pt>
                <c:pt idx="91">
                  <c:v>41731</c:v>
                </c:pt>
                <c:pt idx="92">
                  <c:v>41732</c:v>
                </c:pt>
                <c:pt idx="93">
                  <c:v>41733</c:v>
                </c:pt>
                <c:pt idx="94">
                  <c:v>41734</c:v>
                </c:pt>
                <c:pt idx="95">
                  <c:v>41735</c:v>
                </c:pt>
                <c:pt idx="96">
                  <c:v>41736</c:v>
                </c:pt>
                <c:pt idx="97">
                  <c:v>41737</c:v>
                </c:pt>
                <c:pt idx="98">
                  <c:v>41738</c:v>
                </c:pt>
                <c:pt idx="99">
                  <c:v>41739</c:v>
                </c:pt>
                <c:pt idx="100">
                  <c:v>41740</c:v>
                </c:pt>
                <c:pt idx="101">
                  <c:v>41741</c:v>
                </c:pt>
                <c:pt idx="102">
                  <c:v>41742</c:v>
                </c:pt>
                <c:pt idx="103">
                  <c:v>41743</c:v>
                </c:pt>
                <c:pt idx="104">
                  <c:v>41744</c:v>
                </c:pt>
                <c:pt idx="105">
                  <c:v>41745</c:v>
                </c:pt>
                <c:pt idx="106">
                  <c:v>41746</c:v>
                </c:pt>
                <c:pt idx="107">
                  <c:v>41747</c:v>
                </c:pt>
                <c:pt idx="108">
                  <c:v>41748</c:v>
                </c:pt>
                <c:pt idx="109">
                  <c:v>41749</c:v>
                </c:pt>
                <c:pt idx="110">
                  <c:v>41750</c:v>
                </c:pt>
                <c:pt idx="111">
                  <c:v>41751</c:v>
                </c:pt>
                <c:pt idx="112">
                  <c:v>41752</c:v>
                </c:pt>
                <c:pt idx="113">
                  <c:v>41753</c:v>
                </c:pt>
                <c:pt idx="114">
                  <c:v>41754</c:v>
                </c:pt>
                <c:pt idx="115">
                  <c:v>41755</c:v>
                </c:pt>
                <c:pt idx="116">
                  <c:v>41756</c:v>
                </c:pt>
                <c:pt idx="117">
                  <c:v>41757</c:v>
                </c:pt>
                <c:pt idx="118">
                  <c:v>41758</c:v>
                </c:pt>
                <c:pt idx="119">
                  <c:v>41759</c:v>
                </c:pt>
                <c:pt idx="120">
                  <c:v>41760</c:v>
                </c:pt>
                <c:pt idx="121">
                  <c:v>41761</c:v>
                </c:pt>
                <c:pt idx="122">
                  <c:v>41762</c:v>
                </c:pt>
                <c:pt idx="123">
                  <c:v>41763</c:v>
                </c:pt>
                <c:pt idx="124">
                  <c:v>41764</c:v>
                </c:pt>
                <c:pt idx="125">
                  <c:v>41765</c:v>
                </c:pt>
                <c:pt idx="126">
                  <c:v>41766</c:v>
                </c:pt>
                <c:pt idx="127">
                  <c:v>41767</c:v>
                </c:pt>
                <c:pt idx="128">
                  <c:v>41768</c:v>
                </c:pt>
                <c:pt idx="129">
                  <c:v>41769</c:v>
                </c:pt>
                <c:pt idx="130">
                  <c:v>41770</c:v>
                </c:pt>
                <c:pt idx="131">
                  <c:v>41771</c:v>
                </c:pt>
                <c:pt idx="132">
                  <c:v>41772</c:v>
                </c:pt>
                <c:pt idx="133">
                  <c:v>41773</c:v>
                </c:pt>
                <c:pt idx="134">
                  <c:v>41774</c:v>
                </c:pt>
                <c:pt idx="135">
                  <c:v>41775</c:v>
                </c:pt>
                <c:pt idx="136">
                  <c:v>41776</c:v>
                </c:pt>
                <c:pt idx="137">
                  <c:v>41777</c:v>
                </c:pt>
                <c:pt idx="138">
                  <c:v>41778</c:v>
                </c:pt>
                <c:pt idx="139">
                  <c:v>41779</c:v>
                </c:pt>
                <c:pt idx="140">
                  <c:v>41780</c:v>
                </c:pt>
                <c:pt idx="141">
                  <c:v>41781</c:v>
                </c:pt>
                <c:pt idx="142">
                  <c:v>41782</c:v>
                </c:pt>
                <c:pt idx="143">
                  <c:v>41783</c:v>
                </c:pt>
                <c:pt idx="144">
                  <c:v>41784</c:v>
                </c:pt>
                <c:pt idx="145">
                  <c:v>41785</c:v>
                </c:pt>
                <c:pt idx="146">
                  <c:v>41786</c:v>
                </c:pt>
                <c:pt idx="147">
                  <c:v>41787</c:v>
                </c:pt>
                <c:pt idx="148">
                  <c:v>41788</c:v>
                </c:pt>
                <c:pt idx="149">
                  <c:v>41789</c:v>
                </c:pt>
                <c:pt idx="150">
                  <c:v>41790</c:v>
                </c:pt>
                <c:pt idx="151">
                  <c:v>41791</c:v>
                </c:pt>
                <c:pt idx="152">
                  <c:v>41792</c:v>
                </c:pt>
                <c:pt idx="153">
                  <c:v>41793</c:v>
                </c:pt>
                <c:pt idx="154">
                  <c:v>41794</c:v>
                </c:pt>
                <c:pt idx="155">
                  <c:v>41795</c:v>
                </c:pt>
                <c:pt idx="156">
                  <c:v>41796</c:v>
                </c:pt>
                <c:pt idx="157">
                  <c:v>41797</c:v>
                </c:pt>
                <c:pt idx="158">
                  <c:v>41798</c:v>
                </c:pt>
                <c:pt idx="159">
                  <c:v>41799</c:v>
                </c:pt>
                <c:pt idx="160">
                  <c:v>41800</c:v>
                </c:pt>
                <c:pt idx="161">
                  <c:v>41801</c:v>
                </c:pt>
                <c:pt idx="162">
                  <c:v>41802</c:v>
                </c:pt>
                <c:pt idx="163">
                  <c:v>41803</c:v>
                </c:pt>
                <c:pt idx="164">
                  <c:v>41804</c:v>
                </c:pt>
                <c:pt idx="165">
                  <c:v>41805</c:v>
                </c:pt>
                <c:pt idx="166">
                  <c:v>41806</c:v>
                </c:pt>
                <c:pt idx="167">
                  <c:v>41807</c:v>
                </c:pt>
                <c:pt idx="168">
                  <c:v>41808</c:v>
                </c:pt>
                <c:pt idx="169">
                  <c:v>41809</c:v>
                </c:pt>
                <c:pt idx="170">
                  <c:v>41810</c:v>
                </c:pt>
                <c:pt idx="171">
                  <c:v>41811</c:v>
                </c:pt>
                <c:pt idx="172">
                  <c:v>41812</c:v>
                </c:pt>
                <c:pt idx="173">
                  <c:v>41813</c:v>
                </c:pt>
                <c:pt idx="174">
                  <c:v>41814</c:v>
                </c:pt>
                <c:pt idx="175">
                  <c:v>41815</c:v>
                </c:pt>
                <c:pt idx="176">
                  <c:v>41816</c:v>
                </c:pt>
                <c:pt idx="177">
                  <c:v>41817</c:v>
                </c:pt>
                <c:pt idx="178">
                  <c:v>41818</c:v>
                </c:pt>
                <c:pt idx="179">
                  <c:v>41819</c:v>
                </c:pt>
                <c:pt idx="180">
                  <c:v>41820</c:v>
                </c:pt>
                <c:pt idx="181">
                  <c:v>41821</c:v>
                </c:pt>
                <c:pt idx="182">
                  <c:v>41822</c:v>
                </c:pt>
                <c:pt idx="183">
                  <c:v>41823</c:v>
                </c:pt>
                <c:pt idx="184">
                  <c:v>41824</c:v>
                </c:pt>
                <c:pt idx="185">
                  <c:v>41825</c:v>
                </c:pt>
                <c:pt idx="186">
                  <c:v>41826</c:v>
                </c:pt>
                <c:pt idx="187">
                  <c:v>41827</c:v>
                </c:pt>
                <c:pt idx="188">
                  <c:v>41828</c:v>
                </c:pt>
                <c:pt idx="189">
                  <c:v>41829</c:v>
                </c:pt>
                <c:pt idx="190">
                  <c:v>41830</c:v>
                </c:pt>
                <c:pt idx="191">
                  <c:v>41831</c:v>
                </c:pt>
                <c:pt idx="192">
                  <c:v>41832</c:v>
                </c:pt>
                <c:pt idx="193">
                  <c:v>41833</c:v>
                </c:pt>
                <c:pt idx="194">
                  <c:v>41834</c:v>
                </c:pt>
                <c:pt idx="195">
                  <c:v>41835</c:v>
                </c:pt>
                <c:pt idx="196">
                  <c:v>41836</c:v>
                </c:pt>
                <c:pt idx="197">
                  <c:v>41837</c:v>
                </c:pt>
                <c:pt idx="198">
                  <c:v>41838</c:v>
                </c:pt>
                <c:pt idx="199">
                  <c:v>41839</c:v>
                </c:pt>
                <c:pt idx="200">
                  <c:v>41840</c:v>
                </c:pt>
                <c:pt idx="201">
                  <c:v>41841</c:v>
                </c:pt>
                <c:pt idx="202">
                  <c:v>41842</c:v>
                </c:pt>
                <c:pt idx="203">
                  <c:v>41843</c:v>
                </c:pt>
                <c:pt idx="204">
                  <c:v>41844</c:v>
                </c:pt>
                <c:pt idx="205">
                  <c:v>41845</c:v>
                </c:pt>
                <c:pt idx="206">
                  <c:v>41846</c:v>
                </c:pt>
                <c:pt idx="207">
                  <c:v>41847</c:v>
                </c:pt>
                <c:pt idx="208">
                  <c:v>41848</c:v>
                </c:pt>
                <c:pt idx="209">
                  <c:v>41849</c:v>
                </c:pt>
                <c:pt idx="210">
                  <c:v>41850</c:v>
                </c:pt>
                <c:pt idx="211">
                  <c:v>41851</c:v>
                </c:pt>
                <c:pt idx="212">
                  <c:v>41852</c:v>
                </c:pt>
                <c:pt idx="213">
                  <c:v>41853</c:v>
                </c:pt>
                <c:pt idx="214">
                  <c:v>41854</c:v>
                </c:pt>
                <c:pt idx="215">
                  <c:v>41855</c:v>
                </c:pt>
                <c:pt idx="216">
                  <c:v>41856</c:v>
                </c:pt>
                <c:pt idx="217">
                  <c:v>41857</c:v>
                </c:pt>
                <c:pt idx="218">
                  <c:v>41858</c:v>
                </c:pt>
                <c:pt idx="219">
                  <c:v>41859</c:v>
                </c:pt>
                <c:pt idx="220">
                  <c:v>41860</c:v>
                </c:pt>
                <c:pt idx="221">
                  <c:v>41861</c:v>
                </c:pt>
                <c:pt idx="222">
                  <c:v>41862</c:v>
                </c:pt>
                <c:pt idx="223">
                  <c:v>41863</c:v>
                </c:pt>
                <c:pt idx="224">
                  <c:v>41864</c:v>
                </c:pt>
                <c:pt idx="225">
                  <c:v>41865</c:v>
                </c:pt>
                <c:pt idx="226">
                  <c:v>41866</c:v>
                </c:pt>
                <c:pt idx="227">
                  <c:v>41867</c:v>
                </c:pt>
                <c:pt idx="228">
                  <c:v>41868</c:v>
                </c:pt>
                <c:pt idx="229">
                  <c:v>41869</c:v>
                </c:pt>
                <c:pt idx="230">
                  <c:v>41870</c:v>
                </c:pt>
                <c:pt idx="231">
                  <c:v>41871</c:v>
                </c:pt>
                <c:pt idx="232">
                  <c:v>41872</c:v>
                </c:pt>
                <c:pt idx="233">
                  <c:v>41873</c:v>
                </c:pt>
                <c:pt idx="234">
                  <c:v>41874</c:v>
                </c:pt>
                <c:pt idx="235">
                  <c:v>41875</c:v>
                </c:pt>
                <c:pt idx="236">
                  <c:v>41876</c:v>
                </c:pt>
                <c:pt idx="237">
                  <c:v>41877</c:v>
                </c:pt>
                <c:pt idx="238">
                  <c:v>41878</c:v>
                </c:pt>
                <c:pt idx="239">
                  <c:v>41879</c:v>
                </c:pt>
                <c:pt idx="240">
                  <c:v>41880</c:v>
                </c:pt>
                <c:pt idx="241">
                  <c:v>41881</c:v>
                </c:pt>
                <c:pt idx="242">
                  <c:v>41882</c:v>
                </c:pt>
                <c:pt idx="243">
                  <c:v>41883</c:v>
                </c:pt>
                <c:pt idx="244">
                  <c:v>41884</c:v>
                </c:pt>
                <c:pt idx="245">
                  <c:v>41885</c:v>
                </c:pt>
                <c:pt idx="246">
                  <c:v>41886</c:v>
                </c:pt>
                <c:pt idx="247">
                  <c:v>41887</c:v>
                </c:pt>
                <c:pt idx="248">
                  <c:v>41888</c:v>
                </c:pt>
                <c:pt idx="249">
                  <c:v>41889</c:v>
                </c:pt>
                <c:pt idx="250">
                  <c:v>41890</c:v>
                </c:pt>
                <c:pt idx="251">
                  <c:v>41891</c:v>
                </c:pt>
                <c:pt idx="252">
                  <c:v>41892</c:v>
                </c:pt>
                <c:pt idx="253">
                  <c:v>41893</c:v>
                </c:pt>
                <c:pt idx="254">
                  <c:v>41894</c:v>
                </c:pt>
                <c:pt idx="255">
                  <c:v>41895</c:v>
                </c:pt>
                <c:pt idx="256">
                  <c:v>41896</c:v>
                </c:pt>
                <c:pt idx="257">
                  <c:v>41897</c:v>
                </c:pt>
                <c:pt idx="258">
                  <c:v>41898</c:v>
                </c:pt>
                <c:pt idx="259">
                  <c:v>41899</c:v>
                </c:pt>
                <c:pt idx="260">
                  <c:v>41900</c:v>
                </c:pt>
                <c:pt idx="261">
                  <c:v>41901</c:v>
                </c:pt>
                <c:pt idx="262">
                  <c:v>41902</c:v>
                </c:pt>
                <c:pt idx="263">
                  <c:v>41903</c:v>
                </c:pt>
                <c:pt idx="264">
                  <c:v>41904</c:v>
                </c:pt>
                <c:pt idx="265">
                  <c:v>41905</c:v>
                </c:pt>
                <c:pt idx="266">
                  <c:v>41906</c:v>
                </c:pt>
                <c:pt idx="267">
                  <c:v>41907</c:v>
                </c:pt>
                <c:pt idx="268">
                  <c:v>41908</c:v>
                </c:pt>
                <c:pt idx="269">
                  <c:v>41909</c:v>
                </c:pt>
                <c:pt idx="270">
                  <c:v>41910</c:v>
                </c:pt>
                <c:pt idx="271">
                  <c:v>41911</c:v>
                </c:pt>
                <c:pt idx="272">
                  <c:v>41912</c:v>
                </c:pt>
                <c:pt idx="273">
                  <c:v>41913</c:v>
                </c:pt>
                <c:pt idx="274">
                  <c:v>41914</c:v>
                </c:pt>
                <c:pt idx="275">
                  <c:v>41915</c:v>
                </c:pt>
                <c:pt idx="276">
                  <c:v>41916</c:v>
                </c:pt>
                <c:pt idx="277">
                  <c:v>41917</c:v>
                </c:pt>
                <c:pt idx="278">
                  <c:v>41918</c:v>
                </c:pt>
                <c:pt idx="279">
                  <c:v>41919</c:v>
                </c:pt>
                <c:pt idx="280">
                  <c:v>41920</c:v>
                </c:pt>
                <c:pt idx="281">
                  <c:v>41921</c:v>
                </c:pt>
                <c:pt idx="282">
                  <c:v>41922</c:v>
                </c:pt>
                <c:pt idx="283">
                  <c:v>41923</c:v>
                </c:pt>
                <c:pt idx="284">
                  <c:v>41924</c:v>
                </c:pt>
                <c:pt idx="285">
                  <c:v>41925</c:v>
                </c:pt>
                <c:pt idx="286">
                  <c:v>41926</c:v>
                </c:pt>
                <c:pt idx="287">
                  <c:v>41927</c:v>
                </c:pt>
                <c:pt idx="288">
                  <c:v>41928</c:v>
                </c:pt>
                <c:pt idx="289">
                  <c:v>41929</c:v>
                </c:pt>
                <c:pt idx="290">
                  <c:v>41930</c:v>
                </c:pt>
                <c:pt idx="291">
                  <c:v>41931</c:v>
                </c:pt>
                <c:pt idx="292">
                  <c:v>41932</c:v>
                </c:pt>
                <c:pt idx="293">
                  <c:v>41933</c:v>
                </c:pt>
                <c:pt idx="294">
                  <c:v>41934</c:v>
                </c:pt>
                <c:pt idx="295">
                  <c:v>41935</c:v>
                </c:pt>
                <c:pt idx="296">
                  <c:v>41936</c:v>
                </c:pt>
                <c:pt idx="297">
                  <c:v>41937</c:v>
                </c:pt>
                <c:pt idx="298">
                  <c:v>41938</c:v>
                </c:pt>
                <c:pt idx="299">
                  <c:v>41939</c:v>
                </c:pt>
                <c:pt idx="300">
                  <c:v>41940</c:v>
                </c:pt>
                <c:pt idx="301">
                  <c:v>41941</c:v>
                </c:pt>
                <c:pt idx="302">
                  <c:v>41942</c:v>
                </c:pt>
                <c:pt idx="303">
                  <c:v>41943</c:v>
                </c:pt>
                <c:pt idx="304">
                  <c:v>41944</c:v>
                </c:pt>
                <c:pt idx="305">
                  <c:v>41945</c:v>
                </c:pt>
                <c:pt idx="306">
                  <c:v>41946</c:v>
                </c:pt>
                <c:pt idx="307">
                  <c:v>41947</c:v>
                </c:pt>
                <c:pt idx="308">
                  <c:v>41948</c:v>
                </c:pt>
                <c:pt idx="309">
                  <c:v>41949</c:v>
                </c:pt>
                <c:pt idx="310">
                  <c:v>41950</c:v>
                </c:pt>
                <c:pt idx="311">
                  <c:v>41951</c:v>
                </c:pt>
                <c:pt idx="312">
                  <c:v>41952</c:v>
                </c:pt>
                <c:pt idx="313">
                  <c:v>41953</c:v>
                </c:pt>
                <c:pt idx="314">
                  <c:v>41954</c:v>
                </c:pt>
                <c:pt idx="315">
                  <c:v>41955</c:v>
                </c:pt>
                <c:pt idx="316">
                  <c:v>41956</c:v>
                </c:pt>
                <c:pt idx="317">
                  <c:v>41957</c:v>
                </c:pt>
                <c:pt idx="318">
                  <c:v>41958</c:v>
                </c:pt>
                <c:pt idx="319">
                  <c:v>41959</c:v>
                </c:pt>
                <c:pt idx="320">
                  <c:v>41960</c:v>
                </c:pt>
                <c:pt idx="321">
                  <c:v>41961</c:v>
                </c:pt>
                <c:pt idx="322">
                  <c:v>41962</c:v>
                </c:pt>
                <c:pt idx="323">
                  <c:v>41963</c:v>
                </c:pt>
                <c:pt idx="324">
                  <c:v>41964</c:v>
                </c:pt>
                <c:pt idx="325">
                  <c:v>41965</c:v>
                </c:pt>
                <c:pt idx="326">
                  <c:v>41966</c:v>
                </c:pt>
                <c:pt idx="327">
                  <c:v>41967</c:v>
                </c:pt>
                <c:pt idx="328">
                  <c:v>41968</c:v>
                </c:pt>
                <c:pt idx="329">
                  <c:v>41969</c:v>
                </c:pt>
                <c:pt idx="330">
                  <c:v>41970</c:v>
                </c:pt>
                <c:pt idx="331">
                  <c:v>41971</c:v>
                </c:pt>
                <c:pt idx="332">
                  <c:v>41972</c:v>
                </c:pt>
                <c:pt idx="333">
                  <c:v>41973</c:v>
                </c:pt>
                <c:pt idx="334">
                  <c:v>41974</c:v>
                </c:pt>
                <c:pt idx="335">
                  <c:v>41975</c:v>
                </c:pt>
                <c:pt idx="336">
                  <c:v>41976</c:v>
                </c:pt>
                <c:pt idx="337">
                  <c:v>41977</c:v>
                </c:pt>
                <c:pt idx="338">
                  <c:v>41978</c:v>
                </c:pt>
                <c:pt idx="339">
                  <c:v>41979</c:v>
                </c:pt>
                <c:pt idx="340">
                  <c:v>41980</c:v>
                </c:pt>
                <c:pt idx="341">
                  <c:v>41981</c:v>
                </c:pt>
                <c:pt idx="342">
                  <c:v>41982</c:v>
                </c:pt>
                <c:pt idx="343">
                  <c:v>41983</c:v>
                </c:pt>
                <c:pt idx="344">
                  <c:v>41984</c:v>
                </c:pt>
                <c:pt idx="345">
                  <c:v>41985</c:v>
                </c:pt>
                <c:pt idx="346">
                  <c:v>41986</c:v>
                </c:pt>
                <c:pt idx="347">
                  <c:v>41987</c:v>
                </c:pt>
                <c:pt idx="348">
                  <c:v>41988</c:v>
                </c:pt>
                <c:pt idx="349">
                  <c:v>41989</c:v>
                </c:pt>
                <c:pt idx="350">
                  <c:v>41990</c:v>
                </c:pt>
                <c:pt idx="351">
                  <c:v>41991</c:v>
                </c:pt>
                <c:pt idx="352">
                  <c:v>41992</c:v>
                </c:pt>
                <c:pt idx="353">
                  <c:v>41993</c:v>
                </c:pt>
                <c:pt idx="354">
                  <c:v>41994</c:v>
                </c:pt>
                <c:pt idx="355">
                  <c:v>41995</c:v>
                </c:pt>
                <c:pt idx="356">
                  <c:v>41996</c:v>
                </c:pt>
                <c:pt idx="357">
                  <c:v>41997</c:v>
                </c:pt>
                <c:pt idx="358">
                  <c:v>41998</c:v>
                </c:pt>
                <c:pt idx="359">
                  <c:v>41999</c:v>
                </c:pt>
                <c:pt idx="360">
                  <c:v>42000</c:v>
                </c:pt>
                <c:pt idx="361">
                  <c:v>42001</c:v>
                </c:pt>
                <c:pt idx="362">
                  <c:v>42002</c:v>
                </c:pt>
                <c:pt idx="363">
                  <c:v>42003</c:v>
                </c:pt>
                <c:pt idx="364">
                  <c:v>42004</c:v>
                </c:pt>
                <c:pt idx="365">
                  <c:v>42005</c:v>
                </c:pt>
                <c:pt idx="366">
                  <c:v>42006</c:v>
                </c:pt>
                <c:pt idx="367">
                  <c:v>42007</c:v>
                </c:pt>
                <c:pt idx="368">
                  <c:v>42008</c:v>
                </c:pt>
                <c:pt idx="369">
                  <c:v>42009</c:v>
                </c:pt>
                <c:pt idx="370">
                  <c:v>42010</c:v>
                </c:pt>
                <c:pt idx="371">
                  <c:v>42011</c:v>
                </c:pt>
                <c:pt idx="372">
                  <c:v>42012</c:v>
                </c:pt>
                <c:pt idx="373">
                  <c:v>42013</c:v>
                </c:pt>
                <c:pt idx="374">
                  <c:v>42014</c:v>
                </c:pt>
                <c:pt idx="375">
                  <c:v>42015</c:v>
                </c:pt>
                <c:pt idx="376">
                  <c:v>42016</c:v>
                </c:pt>
                <c:pt idx="377">
                  <c:v>42017</c:v>
                </c:pt>
                <c:pt idx="378">
                  <c:v>42018</c:v>
                </c:pt>
                <c:pt idx="379">
                  <c:v>42019</c:v>
                </c:pt>
                <c:pt idx="380">
                  <c:v>42020</c:v>
                </c:pt>
                <c:pt idx="381">
                  <c:v>42021</c:v>
                </c:pt>
                <c:pt idx="382">
                  <c:v>42022</c:v>
                </c:pt>
                <c:pt idx="383">
                  <c:v>42023</c:v>
                </c:pt>
                <c:pt idx="384">
                  <c:v>42024</c:v>
                </c:pt>
                <c:pt idx="385">
                  <c:v>42025</c:v>
                </c:pt>
                <c:pt idx="386">
                  <c:v>42026</c:v>
                </c:pt>
                <c:pt idx="387">
                  <c:v>42027</c:v>
                </c:pt>
                <c:pt idx="388">
                  <c:v>42028</c:v>
                </c:pt>
                <c:pt idx="389">
                  <c:v>42029</c:v>
                </c:pt>
                <c:pt idx="390">
                  <c:v>42030</c:v>
                </c:pt>
                <c:pt idx="391">
                  <c:v>42031</c:v>
                </c:pt>
                <c:pt idx="392">
                  <c:v>42032</c:v>
                </c:pt>
                <c:pt idx="393">
                  <c:v>42033</c:v>
                </c:pt>
                <c:pt idx="394">
                  <c:v>42034</c:v>
                </c:pt>
                <c:pt idx="395">
                  <c:v>42035</c:v>
                </c:pt>
                <c:pt idx="396">
                  <c:v>42036</c:v>
                </c:pt>
                <c:pt idx="397">
                  <c:v>42037</c:v>
                </c:pt>
                <c:pt idx="398">
                  <c:v>42038</c:v>
                </c:pt>
                <c:pt idx="399">
                  <c:v>42039</c:v>
                </c:pt>
                <c:pt idx="400">
                  <c:v>42040</c:v>
                </c:pt>
                <c:pt idx="401">
                  <c:v>42041</c:v>
                </c:pt>
                <c:pt idx="402">
                  <c:v>42042</c:v>
                </c:pt>
                <c:pt idx="403">
                  <c:v>42043</c:v>
                </c:pt>
                <c:pt idx="404">
                  <c:v>42044</c:v>
                </c:pt>
                <c:pt idx="405">
                  <c:v>42045</c:v>
                </c:pt>
                <c:pt idx="406">
                  <c:v>42046</c:v>
                </c:pt>
                <c:pt idx="407">
                  <c:v>42047</c:v>
                </c:pt>
                <c:pt idx="408">
                  <c:v>42048</c:v>
                </c:pt>
                <c:pt idx="409">
                  <c:v>42049</c:v>
                </c:pt>
                <c:pt idx="410">
                  <c:v>42050</c:v>
                </c:pt>
                <c:pt idx="411">
                  <c:v>42051</c:v>
                </c:pt>
                <c:pt idx="412">
                  <c:v>42052</c:v>
                </c:pt>
                <c:pt idx="413">
                  <c:v>42053</c:v>
                </c:pt>
                <c:pt idx="414">
                  <c:v>42054</c:v>
                </c:pt>
                <c:pt idx="415">
                  <c:v>42055</c:v>
                </c:pt>
                <c:pt idx="416">
                  <c:v>42056</c:v>
                </c:pt>
                <c:pt idx="417">
                  <c:v>42057</c:v>
                </c:pt>
                <c:pt idx="418">
                  <c:v>42058</c:v>
                </c:pt>
                <c:pt idx="419">
                  <c:v>42059</c:v>
                </c:pt>
                <c:pt idx="420">
                  <c:v>42060</c:v>
                </c:pt>
                <c:pt idx="421">
                  <c:v>42061</c:v>
                </c:pt>
                <c:pt idx="422">
                  <c:v>42062</c:v>
                </c:pt>
                <c:pt idx="423">
                  <c:v>42063</c:v>
                </c:pt>
                <c:pt idx="424">
                  <c:v>42064</c:v>
                </c:pt>
                <c:pt idx="425">
                  <c:v>42065</c:v>
                </c:pt>
                <c:pt idx="426">
                  <c:v>42066</c:v>
                </c:pt>
                <c:pt idx="427">
                  <c:v>42067</c:v>
                </c:pt>
                <c:pt idx="428">
                  <c:v>42068</c:v>
                </c:pt>
                <c:pt idx="429">
                  <c:v>42069</c:v>
                </c:pt>
                <c:pt idx="430">
                  <c:v>42070</c:v>
                </c:pt>
                <c:pt idx="431">
                  <c:v>42071</c:v>
                </c:pt>
                <c:pt idx="432">
                  <c:v>42072</c:v>
                </c:pt>
                <c:pt idx="433">
                  <c:v>42073</c:v>
                </c:pt>
                <c:pt idx="434">
                  <c:v>42074</c:v>
                </c:pt>
                <c:pt idx="435">
                  <c:v>42075</c:v>
                </c:pt>
                <c:pt idx="436">
                  <c:v>42076</c:v>
                </c:pt>
                <c:pt idx="437">
                  <c:v>42077</c:v>
                </c:pt>
                <c:pt idx="438">
                  <c:v>42078</c:v>
                </c:pt>
                <c:pt idx="439">
                  <c:v>42079</c:v>
                </c:pt>
                <c:pt idx="440">
                  <c:v>42080</c:v>
                </c:pt>
                <c:pt idx="441">
                  <c:v>42081</c:v>
                </c:pt>
                <c:pt idx="442">
                  <c:v>42082</c:v>
                </c:pt>
                <c:pt idx="443">
                  <c:v>42083</c:v>
                </c:pt>
                <c:pt idx="444">
                  <c:v>42084</c:v>
                </c:pt>
                <c:pt idx="445">
                  <c:v>42085</c:v>
                </c:pt>
                <c:pt idx="446">
                  <c:v>42086</c:v>
                </c:pt>
                <c:pt idx="447">
                  <c:v>42087</c:v>
                </c:pt>
                <c:pt idx="448">
                  <c:v>42088</c:v>
                </c:pt>
                <c:pt idx="449">
                  <c:v>42089</c:v>
                </c:pt>
                <c:pt idx="450">
                  <c:v>42090</c:v>
                </c:pt>
                <c:pt idx="451">
                  <c:v>42091</c:v>
                </c:pt>
                <c:pt idx="452">
                  <c:v>42092</c:v>
                </c:pt>
                <c:pt idx="453">
                  <c:v>42093</c:v>
                </c:pt>
                <c:pt idx="454">
                  <c:v>42094</c:v>
                </c:pt>
                <c:pt idx="455">
                  <c:v>42095</c:v>
                </c:pt>
                <c:pt idx="456">
                  <c:v>42096</c:v>
                </c:pt>
                <c:pt idx="457">
                  <c:v>42097</c:v>
                </c:pt>
                <c:pt idx="458">
                  <c:v>42098</c:v>
                </c:pt>
                <c:pt idx="459">
                  <c:v>42099</c:v>
                </c:pt>
                <c:pt idx="460">
                  <c:v>42100</c:v>
                </c:pt>
                <c:pt idx="461">
                  <c:v>42101</c:v>
                </c:pt>
                <c:pt idx="462">
                  <c:v>42102</c:v>
                </c:pt>
                <c:pt idx="463">
                  <c:v>42103</c:v>
                </c:pt>
                <c:pt idx="464">
                  <c:v>42104</c:v>
                </c:pt>
                <c:pt idx="465">
                  <c:v>42105</c:v>
                </c:pt>
                <c:pt idx="466">
                  <c:v>42106</c:v>
                </c:pt>
                <c:pt idx="467">
                  <c:v>42107</c:v>
                </c:pt>
                <c:pt idx="468">
                  <c:v>42108</c:v>
                </c:pt>
                <c:pt idx="469">
                  <c:v>42109</c:v>
                </c:pt>
                <c:pt idx="470">
                  <c:v>42110</c:v>
                </c:pt>
                <c:pt idx="471">
                  <c:v>42111</c:v>
                </c:pt>
                <c:pt idx="472">
                  <c:v>42112</c:v>
                </c:pt>
                <c:pt idx="473">
                  <c:v>42113</c:v>
                </c:pt>
                <c:pt idx="474">
                  <c:v>42114</c:v>
                </c:pt>
                <c:pt idx="475">
                  <c:v>42115</c:v>
                </c:pt>
                <c:pt idx="476">
                  <c:v>42116</c:v>
                </c:pt>
                <c:pt idx="477">
                  <c:v>42117</c:v>
                </c:pt>
                <c:pt idx="478">
                  <c:v>42118</c:v>
                </c:pt>
                <c:pt idx="479">
                  <c:v>42119</c:v>
                </c:pt>
                <c:pt idx="480">
                  <c:v>42120</c:v>
                </c:pt>
                <c:pt idx="481">
                  <c:v>42121</c:v>
                </c:pt>
                <c:pt idx="482">
                  <c:v>42122</c:v>
                </c:pt>
                <c:pt idx="483">
                  <c:v>42123</c:v>
                </c:pt>
                <c:pt idx="484">
                  <c:v>42124</c:v>
                </c:pt>
                <c:pt idx="485">
                  <c:v>42125</c:v>
                </c:pt>
                <c:pt idx="486">
                  <c:v>42126</c:v>
                </c:pt>
                <c:pt idx="487">
                  <c:v>42127</c:v>
                </c:pt>
                <c:pt idx="488">
                  <c:v>42128</c:v>
                </c:pt>
                <c:pt idx="489">
                  <c:v>42129</c:v>
                </c:pt>
                <c:pt idx="490">
                  <c:v>42130</c:v>
                </c:pt>
                <c:pt idx="491">
                  <c:v>42131</c:v>
                </c:pt>
                <c:pt idx="492">
                  <c:v>42132</c:v>
                </c:pt>
                <c:pt idx="493">
                  <c:v>42133</c:v>
                </c:pt>
                <c:pt idx="494">
                  <c:v>42134</c:v>
                </c:pt>
                <c:pt idx="495">
                  <c:v>42135</c:v>
                </c:pt>
                <c:pt idx="496">
                  <c:v>42136</c:v>
                </c:pt>
                <c:pt idx="497">
                  <c:v>42137</c:v>
                </c:pt>
                <c:pt idx="498">
                  <c:v>42138</c:v>
                </c:pt>
                <c:pt idx="499">
                  <c:v>42139</c:v>
                </c:pt>
                <c:pt idx="500">
                  <c:v>42140</c:v>
                </c:pt>
                <c:pt idx="501">
                  <c:v>42141</c:v>
                </c:pt>
                <c:pt idx="502">
                  <c:v>42142</c:v>
                </c:pt>
                <c:pt idx="503">
                  <c:v>42143</c:v>
                </c:pt>
                <c:pt idx="504">
                  <c:v>42144</c:v>
                </c:pt>
                <c:pt idx="505">
                  <c:v>42145</c:v>
                </c:pt>
                <c:pt idx="506">
                  <c:v>42146</c:v>
                </c:pt>
                <c:pt idx="507">
                  <c:v>42147</c:v>
                </c:pt>
                <c:pt idx="508">
                  <c:v>42148</c:v>
                </c:pt>
                <c:pt idx="509">
                  <c:v>42149</c:v>
                </c:pt>
                <c:pt idx="510">
                  <c:v>42150</c:v>
                </c:pt>
                <c:pt idx="511">
                  <c:v>42151</c:v>
                </c:pt>
                <c:pt idx="512">
                  <c:v>42152</c:v>
                </c:pt>
                <c:pt idx="513">
                  <c:v>42153</c:v>
                </c:pt>
                <c:pt idx="514">
                  <c:v>42154</c:v>
                </c:pt>
                <c:pt idx="515">
                  <c:v>42155</c:v>
                </c:pt>
                <c:pt idx="516">
                  <c:v>42156</c:v>
                </c:pt>
                <c:pt idx="517">
                  <c:v>42157</c:v>
                </c:pt>
                <c:pt idx="518">
                  <c:v>42158</c:v>
                </c:pt>
                <c:pt idx="519">
                  <c:v>42159</c:v>
                </c:pt>
                <c:pt idx="520">
                  <c:v>42160</c:v>
                </c:pt>
                <c:pt idx="521">
                  <c:v>42161</c:v>
                </c:pt>
                <c:pt idx="522">
                  <c:v>42162</c:v>
                </c:pt>
                <c:pt idx="523">
                  <c:v>42163</c:v>
                </c:pt>
                <c:pt idx="524">
                  <c:v>42164</c:v>
                </c:pt>
                <c:pt idx="525">
                  <c:v>42165</c:v>
                </c:pt>
                <c:pt idx="526">
                  <c:v>42166</c:v>
                </c:pt>
                <c:pt idx="527">
                  <c:v>42167</c:v>
                </c:pt>
                <c:pt idx="528">
                  <c:v>42168</c:v>
                </c:pt>
                <c:pt idx="529">
                  <c:v>42169</c:v>
                </c:pt>
                <c:pt idx="530">
                  <c:v>42170</c:v>
                </c:pt>
                <c:pt idx="531">
                  <c:v>42171</c:v>
                </c:pt>
                <c:pt idx="532">
                  <c:v>42172</c:v>
                </c:pt>
                <c:pt idx="533">
                  <c:v>42173</c:v>
                </c:pt>
                <c:pt idx="534">
                  <c:v>42174</c:v>
                </c:pt>
                <c:pt idx="535">
                  <c:v>42175</c:v>
                </c:pt>
                <c:pt idx="536">
                  <c:v>42176</c:v>
                </c:pt>
                <c:pt idx="537">
                  <c:v>42177</c:v>
                </c:pt>
                <c:pt idx="538">
                  <c:v>42178</c:v>
                </c:pt>
                <c:pt idx="539">
                  <c:v>42179</c:v>
                </c:pt>
                <c:pt idx="540">
                  <c:v>42180</c:v>
                </c:pt>
                <c:pt idx="541">
                  <c:v>42181</c:v>
                </c:pt>
                <c:pt idx="542">
                  <c:v>42182</c:v>
                </c:pt>
                <c:pt idx="543">
                  <c:v>42183</c:v>
                </c:pt>
                <c:pt idx="544">
                  <c:v>42184</c:v>
                </c:pt>
                <c:pt idx="545">
                  <c:v>42185</c:v>
                </c:pt>
                <c:pt idx="546">
                  <c:v>42186</c:v>
                </c:pt>
                <c:pt idx="547">
                  <c:v>42187</c:v>
                </c:pt>
                <c:pt idx="548">
                  <c:v>42188</c:v>
                </c:pt>
                <c:pt idx="549">
                  <c:v>42189</c:v>
                </c:pt>
                <c:pt idx="550">
                  <c:v>42190</c:v>
                </c:pt>
                <c:pt idx="551">
                  <c:v>42191</c:v>
                </c:pt>
                <c:pt idx="552">
                  <c:v>42192</c:v>
                </c:pt>
                <c:pt idx="553">
                  <c:v>42193</c:v>
                </c:pt>
                <c:pt idx="554">
                  <c:v>42194</c:v>
                </c:pt>
                <c:pt idx="555">
                  <c:v>42195</c:v>
                </c:pt>
                <c:pt idx="556">
                  <c:v>42196</c:v>
                </c:pt>
                <c:pt idx="557">
                  <c:v>42197</c:v>
                </c:pt>
                <c:pt idx="558">
                  <c:v>42198</c:v>
                </c:pt>
                <c:pt idx="559">
                  <c:v>42199</c:v>
                </c:pt>
                <c:pt idx="560">
                  <c:v>42200</c:v>
                </c:pt>
                <c:pt idx="561">
                  <c:v>42201</c:v>
                </c:pt>
                <c:pt idx="562">
                  <c:v>42202</c:v>
                </c:pt>
                <c:pt idx="563">
                  <c:v>42203</c:v>
                </c:pt>
                <c:pt idx="564">
                  <c:v>42204</c:v>
                </c:pt>
                <c:pt idx="565">
                  <c:v>42205</c:v>
                </c:pt>
                <c:pt idx="566">
                  <c:v>42206</c:v>
                </c:pt>
                <c:pt idx="567">
                  <c:v>42207</c:v>
                </c:pt>
                <c:pt idx="568">
                  <c:v>42208</c:v>
                </c:pt>
                <c:pt idx="569">
                  <c:v>42209</c:v>
                </c:pt>
                <c:pt idx="570">
                  <c:v>42210</c:v>
                </c:pt>
                <c:pt idx="571">
                  <c:v>42211</c:v>
                </c:pt>
                <c:pt idx="572">
                  <c:v>42212</c:v>
                </c:pt>
                <c:pt idx="573">
                  <c:v>42213</c:v>
                </c:pt>
                <c:pt idx="574">
                  <c:v>42214</c:v>
                </c:pt>
                <c:pt idx="575">
                  <c:v>42215</c:v>
                </c:pt>
                <c:pt idx="576">
                  <c:v>42216</c:v>
                </c:pt>
              </c:numCache>
            </c:numRef>
          </c:cat>
          <c:val>
            <c:numRef>
              <c:f>Crop!$T$49:$T$625</c:f>
              <c:numCache>
                <c:formatCode>0.00</c:formatCode>
                <c:ptCount val="577"/>
                <c:pt idx="0">
                  <c:v>1.2</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pt idx="15">
                  <c:v>1.2</c:v>
                </c:pt>
                <c:pt idx="16">
                  <c:v>1.2</c:v>
                </c:pt>
                <c:pt idx="17">
                  <c:v>1.2</c:v>
                </c:pt>
                <c:pt idx="18">
                  <c:v>1.2</c:v>
                </c:pt>
                <c:pt idx="19">
                  <c:v>1.2</c:v>
                </c:pt>
                <c:pt idx="20">
                  <c:v>1.2</c:v>
                </c:pt>
                <c:pt idx="21">
                  <c:v>1.2</c:v>
                </c:pt>
                <c:pt idx="22">
                  <c:v>1.2</c:v>
                </c:pt>
                <c:pt idx="23">
                  <c:v>1.2</c:v>
                </c:pt>
                <c:pt idx="24">
                  <c:v>1.2</c:v>
                </c:pt>
                <c:pt idx="25">
                  <c:v>1.2</c:v>
                </c:pt>
                <c:pt idx="26">
                  <c:v>1.2</c:v>
                </c:pt>
                <c:pt idx="27">
                  <c:v>1.2</c:v>
                </c:pt>
                <c:pt idx="28">
                  <c:v>1.2</c:v>
                </c:pt>
                <c:pt idx="29">
                  <c:v>1.2</c:v>
                </c:pt>
                <c:pt idx="30">
                  <c:v>1.2</c:v>
                </c:pt>
                <c:pt idx="31">
                  <c:v>1.2</c:v>
                </c:pt>
                <c:pt idx="32">
                  <c:v>1.2</c:v>
                </c:pt>
                <c:pt idx="33">
                  <c:v>1.2</c:v>
                </c:pt>
                <c:pt idx="34">
                  <c:v>1.2</c:v>
                </c:pt>
                <c:pt idx="35">
                  <c:v>1.2</c:v>
                </c:pt>
                <c:pt idx="36">
                  <c:v>1.2</c:v>
                </c:pt>
                <c:pt idx="37">
                  <c:v>1.2</c:v>
                </c:pt>
                <c:pt idx="38">
                  <c:v>1.2</c:v>
                </c:pt>
                <c:pt idx="39">
                  <c:v>1.2</c:v>
                </c:pt>
                <c:pt idx="40">
                  <c:v>1.2</c:v>
                </c:pt>
                <c:pt idx="41">
                  <c:v>1.2</c:v>
                </c:pt>
                <c:pt idx="42">
                  <c:v>1.2</c:v>
                </c:pt>
                <c:pt idx="43">
                  <c:v>1.2</c:v>
                </c:pt>
                <c:pt idx="44">
                  <c:v>1.2</c:v>
                </c:pt>
                <c:pt idx="45">
                  <c:v>1.2</c:v>
                </c:pt>
                <c:pt idx="46">
                  <c:v>1.2</c:v>
                </c:pt>
                <c:pt idx="47">
                  <c:v>1.2</c:v>
                </c:pt>
                <c:pt idx="48">
                  <c:v>1.2</c:v>
                </c:pt>
                <c:pt idx="49">
                  <c:v>1.2</c:v>
                </c:pt>
                <c:pt idx="50">
                  <c:v>1.2</c:v>
                </c:pt>
                <c:pt idx="51">
                  <c:v>1.2</c:v>
                </c:pt>
                <c:pt idx="52">
                  <c:v>1.2</c:v>
                </c:pt>
                <c:pt idx="53">
                  <c:v>1.2</c:v>
                </c:pt>
                <c:pt idx="54">
                  <c:v>1.2</c:v>
                </c:pt>
                <c:pt idx="55">
                  <c:v>1.2</c:v>
                </c:pt>
                <c:pt idx="56">
                  <c:v>1.2</c:v>
                </c:pt>
                <c:pt idx="57">
                  <c:v>1.2</c:v>
                </c:pt>
                <c:pt idx="58">
                  <c:v>1.2</c:v>
                </c:pt>
                <c:pt idx="59">
                  <c:v>1.2</c:v>
                </c:pt>
                <c:pt idx="60">
                  <c:v>1.2</c:v>
                </c:pt>
                <c:pt idx="61">
                  <c:v>1.2</c:v>
                </c:pt>
                <c:pt idx="62">
                  <c:v>1.2</c:v>
                </c:pt>
                <c:pt idx="63">
                  <c:v>1.2</c:v>
                </c:pt>
                <c:pt idx="64">
                  <c:v>1.2</c:v>
                </c:pt>
                <c:pt idx="65">
                  <c:v>1.1980671592289918</c:v>
                </c:pt>
                <c:pt idx="66">
                  <c:v>1.1849168156870986</c:v>
                </c:pt>
                <c:pt idx="67">
                  <c:v>1.170358714517038</c:v>
                </c:pt>
                <c:pt idx="68">
                  <c:v>1.1544463888606531</c:v>
                </c:pt>
                <c:pt idx="69">
                  <c:v>1.1372649867384628</c:v>
                </c:pt>
                <c:pt idx="70">
                  <c:v>1.1189278768804654</c:v>
                </c:pt>
                <c:pt idx="71">
                  <c:v>1.0995718534162116</c:v>
                </c:pt>
                <c:pt idx="72">
                  <c:v>1.0793513378652331</c:v>
                </c:pt>
                <c:pt idx="73">
                  <c:v>1.0584320573598891</c:v>
                </c:pt>
                <c:pt idx="74">
                  <c:v>1.0369846912948071</c:v>
                </c:pt>
                <c:pt idx="75">
                  <c:v>1.0151789293201885</c:v>
                </c:pt>
                <c:pt idx="76">
                  <c:v>0.99320793368996529</c:v>
                </c:pt>
                <c:pt idx="77">
                  <c:v>0.99432314410480294</c:v>
                </c:pt>
                <c:pt idx="78">
                  <c:v>0.99956331877729199</c:v>
                </c:pt>
                <c:pt idx="79">
                  <c:v>1.0048034934497809</c:v>
                </c:pt>
                <c:pt idx="80">
                  <c:v>1.01004366812227</c:v>
                </c:pt>
                <c:pt idx="81">
                  <c:v>1.015283842794759</c:v>
                </c:pt>
                <c:pt idx="82">
                  <c:v>1.0205240174672481</c:v>
                </c:pt>
                <c:pt idx="83">
                  <c:v>1.0257641921397371</c:v>
                </c:pt>
                <c:pt idx="84">
                  <c:v>1.0310043668122262</c:v>
                </c:pt>
                <c:pt idx="85">
                  <c:v>1.0362445414847152</c:v>
                </c:pt>
                <c:pt idx="86">
                  <c:v>1.0414847161572043</c:v>
                </c:pt>
                <c:pt idx="87">
                  <c:v>1.0467248908296933</c:v>
                </c:pt>
                <c:pt idx="88">
                  <c:v>1.0519650655021824</c:v>
                </c:pt>
                <c:pt idx="89">
                  <c:v>1.0572052401746714</c:v>
                </c:pt>
                <c:pt idx="90">
                  <c:v>1.0624454148471605</c:v>
                </c:pt>
                <c:pt idx="91">
                  <c:v>1.0676855895196495</c:v>
                </c:pt>
                <c:pt idx="92">
                  <c:v>1.0729257641921386</c:v>
                </c:pt>
                <c:pt idx="93">
                  <c:v>1.0781659388646276</c:v>
                </c:pt>
                <c:pt idx="94">
                  <c:v>1.0834061135371167</c:v>
                </c:pt>
                <c:pt idx="95">
                  <c:v>1.0886462882096057</c:v>
                </c:pt>
                <c:pt idx="96">
                  <c:v>1.0938864628820948</c:v>
                </c:pt>
                <c:pt idx="97">
                  <c:v>1.0991266375545838</c:v>
                </c:pt>
                <c:pt idx="98">
                  <c:v>1.1043668122270729</c:v>
                </c:pt>
                <c:pt idx="99">
                  <c:v>1.1096069868995619</c:v>
                </c:pt>
                <c:pt idx="100">
                  <c:v>1.114847161572051</c:v>
                </c:pt>
                <c:pt idx="101">
                  <c:v>1.12008733624454</c:v>
                </c:pt>
                <c:pt idx="102">
                  <c:v>1.1253275109170291</c:v>
                </c:pt>
                <c:pt idx="103">
                  <c:v>1.1305676855895181</c:v>
                </c:pt>
                <c:pt idx="104">
                  <c:v>1.1358078602620072</c:v>
                </c:pt>
                <c:pt idx="105">
                  <c:v>1.1410480349344962</c:v>
                </c:pt>
                <c:pt idx="106">
                  <c:v>1.1462882096069853</c:v>
                </c:pt>
                <c:pt idx="107">
                  <c:v>1.1515283842794743</c:v>
                </c:pt>
                <c:pt idx="108">
                  <c:v>1.1567685589519634</c:v>
                </c:pt>
                <c:pt idx="109">
                  <c:v>1.1620087336244525</c:v>
                </c:pt>
                <c:pt idx="110">
                  <c:v>1.1672489082969415</c:v>
                </c:pt>
                <c:pt idx="111">
                  <c:v>1.1724890829694306</c:v>
                </c:pt>
                <c:pt idx="112">
                  <c:v>1.1777292576419196</c:v>
                </c:pt>
                <c:pt idx="113">
                  <c:v>1.1829694323144087</c:v>
                </c:pt>
                <c:pt idx="114">
                  <c:v>1.1882096069868977</c:v>
                </c:pt>
                <c:pt idx="115">
                  <c:v>1.1934497816593868</c:v>
                </c:pt>
                <c:pt idx="116">
                  <c:v>1.1986899563318758</c:v>
                </c:pt>
                <c:pt idx="117">
                  <c:v>1.2</c:v>
                </c:pt>
                <c:pt idx="118">
                  <c:v>1.2</c:v>
                </c:pt>
                <c:pt idx="119">
                  <c:v>1.2</c:v>
                </c:pt>
                <c:pt idx="120">
                  <c:v>1.2</c:v>
                </c:pt>
                <c:pt idx="121">
                  <c:v>1.2</c:v>
                </c:pt>
                <c:pt idx="122">
                  <c:v>1.2</c:v>
                </c:pt>
                <c:pt idx="123">
                  <c:v>1.2</c:v>
                </c:pt>
                <c:pt idx="124">
                  <c:v>1.2</c:v>
                </c:pt>
                <c:pt idx="125">
                  <c:v>1.2</c:v>
                </c:pt>
                <c:pt idx="126">
                  <c:v>1.2</c:v>
                </c:pt>
                <c:pt idx="127">
                  <c:v>1.2</c:v>
                </c:pt>
                <c:pt idx="128">
                  <c:v>1.2</c:v>
                </c:pt>
                <c:pt idx="129">
                  <c:v>1.2</c:v>
                </c:pt>
                <c:pt idx="130">
                  <c:v>1.2</c:v>
                </c:pt>
                <c:pt idx="131">
                  <c:v>1.2</c:v>
                </c:pt>
                <c:pt idx="132">
                  <c:v>1.2</c:v>
                </c:pt>
                <c:pt idx="133">
                  <c:v>1.2</c:v>
                </c:pt>
                <c:pt idx="134">
                  <c:v>1.2</c:v>
                </c:pt>
                <c:pt idx="135">
                  <c:v>1.2</c:v>
                </c:pt>
                <c:pt idx="136">
                  <c:v>1.2</c:v>
                </c:pt>
                <c:pt idx="137">
                  <c:v>1.2</c:v>
                </c:pt>
                <c:pt idx="138">
                  <c:v>1.2</c:v>
                </c:pt>
                <c:pt idx="139">
                  <c:v>1.2</c:v>
                </c:pt>
                <c:pt idx="140">
                  <c:v>1.2</c:v>
                </c:pt>
                <c:pt idx="141">
                  <c:v>1.2</c:v>
                </c:pt>
                <c:pt idx="142">
                  <c:v>1.2</c:v>
                </c:pt>
                <c:pt idx="143">
                  <c:v>1.2</c:v>
                </c:pt>
                <c:pt idx="144">
                  <c:v>1.2</c:v>
                </c:pt>
                <c:pt idx="145">
                  <c:v>1.2</c:v>
                </c:pt>
                <c:pt idx="146">
                  <c:v>1.2</c:v>
                </c:pt>
                <c:pt idx="147">
                  <c:v>1.2</c:v>
                </c:pt>
                <c:pt idx="148">
                  <c:v>1.2</c:v>
                </c:pt>
                <c:pt idx="149">
                  <c:v>1.2</c:v>
                </c:pt>
                <c:pt idx="150">
                  <c:v>1.2</c:v>
                </c:pt>
                <c:pt idx="151">
                  <c:v>1.2</c:v>
                </c:pt>
                <c:pt idx="152">
                  <c:v>1.2</c:v>
                </c:pt>
                <c:pt idx="153">
                  <c:v>1.2</c:v>
                </c:pt>
                <c:pt idx="154">
                  <c:v>1.2</c:v>
                </c:pt>
                <c:pt idx="155">
                  <c:v>1.2</c:v>
                </c:pt>
                <c:pt idx="156">
                  <c:v>1.2</c:v>
                </c:pt>
                <c:pt idx="157">
                  <c:v>1.2</c:v>
                </c:pt>
                <c:pt idx="158">
                  <c:v>1.2</c:v>
                </c:pt>
                <c:pt idx="159">
                  <c:v>1.2</c:v>
                </c:pt>
                <c:pt idx="160">
                  <c:v>1.2</c:v>
                </c:pt>
                <c:pt idx="161">
                  <c:v>1.2</c:v>
                </c:pt>
                <c:pt idx="162">
                  <c:v>1.2</c:v>
                </c:pt>
                <c:pt idx="163">
                  <c:v>1.2</c:v>
                </c:pt>
                <c:pt idx="164">
                  <c:v>1.2</c:v>
                </c:pt>
                <c:pt idx="165">
                  <c:v>1.2</c:v>
                </c:pt>
                <c:pt idx="166">
                  <c:v>1.2</c:v>
                </c:pt>
                <c:pt idx="167">
                  <c:v>1.2</c:v>
                </c:pt>
                <c:pt idx="168">
                  <c:v>1.2</c:v>
                </c:pt>
                <c:pt idx="169">
                  <c:v>1.2</c:v>
                </c:pt>
                <c:pt idx="170">
                  <c:v>1.2</c:v>
                </c:pt>
                <c:pt idx="171">
                  <c:v>1.2</c:v>
                </c:pt>
                <c:pt idx="172">
                  <c:v>1.2</c:v>
                </c:pt>
                <c:pt idx="173">
                  <c:v>1.2</c:v>
                </c:pt>
                <c:pt idx="174">
                  <c:v>1.2</c:v>
                </c:pt>
                <c:pt idx="175">
                  <c:v>1.2</c:v>
                </c:pt>
                <c:pt idx="176">
                  <c:v>1.2</c:v>
                </c:pt>
                <c:pt idx="177">
                  <c:v>1.2</c:v>
                </c:pt>
                <c:pt idx="178">
                  <c:v>1.2</c:v>
                </c:pt>
                <c:pt idx="179">
                  <c:v>1.2</c:v>
                </c:pt>
                <c:pt idx="180">
                  <c:v>1.2</c:v>
                </c:pt>
                <c:pt idx="181">
                  <c:v>1.2</c:v>
                </c:pt>
                <c:pt idx="182">
                  <c:v>1.2</c:v>
                </c:pt>
                <c:pt idx="183">
                  <c:v>1.2</c:v>
                </c:pt>
                <c:pt idx="184">
                  <c:v>1.2</c:v>
                </c:pt>
                <c:pt idx="185">
                  <c:v>1.2</c:v>
                </c:pt>
                <c:pt idx="186">
                  <c:v>1.2</c:v>
                </c:pt>
                <c:pt idx="187">
                  <c:v>1.2</c:v>
                </c:pt>
                <c:pt idx="188">
                  <c:v>1.2</c:v>
                </c:pt>
                <c:pt idx="189">
                  <c:v>1.2</c:v>
                </c:pt>
                <c:pt idx="190">
                  <c:v>1.2</c:v>
                </c:pt>
                <c:pt idx="191">
                  <c:v>1.2</c:v>
                </c:pt>
                <c:pt idx="192">
                  <c:v>1.2</c:v>
                </c:pt>
                <c:pt idx="193">
                  <c:v>1.2</c:v>
                </c:pt>
                <c:pt idx="194">
                  <c:v>1.2</c:v>
                </c:pt>
                <c:pt idx="195">
                  <c:v>1.2</c:v>
                </c:pt>
                <c:pt idx="196">
                  <c:v>1.2</c:v>
                </c:pt>
                <c:pt idx="197">
                  <c:v>1.2</c:v>
                </c:pt>
                <c:pt idx="198">
                  <c:v>1.2</c:v>
                </c:pt>
                <c:pt idx="199">
                  <c:v>1.2</c:v>
                </c:pt>
                <c:pt idx="200">
                  <c:v>1.2</c:v>
                </c:pt>
                <c:pt idx="201">
                  <c:v>1.2</c:v>
                </c:pt>
                <c:pt idx="202">
                  <c:v>1.2</c:v>
                </c:pt>
                <c:pt idx="203">
                  <c:v>1.2</c:v>
                </c:pt>
                <c:pt idx="204">
                  <c:v>1.2</c:v>
                </c:pt>
                <c:pt idx="205">
                  <c:v>1.2</c:v>
                </c:pt>
                <c:pt idx="206">
                  <c:v>1.2</c:v>
                </c:pt>
                <c:pt idx="207">
                  <c:v>1.2</c:v>
                </c:pt>
                <c:pt idx="208">
                  <c:v>1.2</c:v>
                </c:pt>
                <c:pt idx="209">
                  <c:v>1.2</c:v>
                </c:pt>
                <c:pt idx="210">
                  <c:v>1.2</c:v>
                </c:pt>
                <c:pt idx="211">
                  <c:v>1.2</c:v>
                </c:pt>
                <c:pt idx="212">
                  <c:v>1.2</c:v>
                </c:pt>
                <c:pt idx="213">
                  <c:v>1.2</c:v>
                </c:pt>
                <c:pt idx="214">
                  <c:v>1.2</c:v>
                </c:pt>
                <c:pt idx="215">
                  <c:v>1.2</c:v>
                </c:pt>
                <c:pt idx="216">
                  <c:v>1.2</c:v>
                </c:pt>
                <c:pt idx="217">
                  <c:v>1.2</c:v>
                </c:pt>
                <c:pt idx="218">
                  <c:v>1.2</c:v>
                </c:pt>
                <c:pt idx="219">
                  <c:v>1.2</c:v>
                </c:pt>
                <c:pt idx="220">
                  <c:v>1.2</c:v>
                </c:pt>
                <c:pt idx="221">
                  <c:v>1.2</c:v>
                </c:pt>
                <c:pt idx="222">
                  <c:v>1.2</c:v>
                </c:pt>
                <c:pt idx="223">
                  <c:v>1.2</c:v>
                </c:pt>
                <c:pt idx="224">
                  <c:v>1.2</c:v>
                </c:pt>
                <c:pt idx="225">
                  <c:v>1.2</c:v>
                </c:pt>
                <c:pt idx="226">
                  <c:v>1.2</c:v>
                </c:pt>
                <c:pt idx="227">
                  <c:v>1.2</c:v>
                </c:pt>
                <c:pt idx="228">
                  <c:v>1.2</c:v>
                </c:pt>
                <c:pt idx="229">
                  <c:v>1.2</c:v>
                </c:pt>
                <c:pt idx="230">
                  <c:v>1.2</c:v>
                </c:pt>
                <c:pt idx="231">
                  <c:v>1.2</c:v>
                </c:pt>
                <c:pt idx="232">
                  <c:v>1.2</c:v>
                </c:pt>
                <c:pt idx="233">
                  <c:v>1.2</c:v>
                </c:pt>
                <c:pt idx="234">
                  <c:v>1.2</c:v>
                </c:pt>
                <c:pt idx="235">
                  <c:v>1.2</c:v>
                </c:pt>
                <c:pt idx="236">
                  <c:v>1.2</c:v>
                </c:pt>
                <c:pt idx="237">
                  <c:v>1.2</c:v>
                </c:pt>
                <c:pt idx="238">
                  <c:v>1.2</c:v>
                </c:pt>
                <c:pt idx="239">
                  <c:v>1.2</c:v>
                </c:pt>
                <c:pt idx="240">
                  <c:v>1.2</c:v>
                </c:pt>
                <c:pt idx="241">
                  <c:v>1.2</c:v>
                </c:pt>
                <c:pt idx="242">
                  <c:v>1.2</c:v>
                </c:pt>
                <c:pt idx="243">
                  <c:v>1.2</c:v>
                </c:pt>
                <c:pt idx="244">
                  <c:v>1.2</c:v>
                </c:pt>
                <c:pt idx="245">
                  <c:v>1.2</c:v>
                </c:pt>
                <c:pt idx="246">
                  <c:v>1.2</c:v>
                </c:pt>
                <c:pt idx="247">
                  <c:v>1.2</c:v>
                </c:pt>
                <c:pt idx="248">
                  <c:v>1.2</c:v>
                </c:pt>
                <c:pt idx="249">
                  <c:v>1.2</c:v>
                </c:pt>
                <c:pt idx="250">
                  <c:v>1.2</c:v>
                </c:pt>
                <c:pt idx="251">
                  <c:v>1.2</c:v>
                </c:pt>
                <c:pt idx="252">
                  <c:v>1.2</c:v>
                </c:pt>
                <c:pt idx="253">
                  <c:v>1.2</c:v>
                </c:pt>
                <c:pt idx="254">
                  <c:v>1.2</c:v>
                </c:pt>
                <c:pt idx="255">
                  <c:v>1.2</c:v>
                </c:pt>
                <c:pt idx="256">
                  <c:v>1.2</c:v>
                </c:pt>
                <c:pt idx="257">
                  <c:v>1.2</c:v>
                </c:pt>
                <c:pt idx="258">
                  <c:v>1.2</c:v>
                </c:pt>
                <c:pt idx="259">
                  <c:v>1.2</c:v>
                </c:pt>
                <c:pt idx="260">
                  <c:v>1.2</c:v>
                </c:pt>
                <c:pt idx="261">
                  <c:v>1.2</c:v>
                </c:pt>
                <c:pt idx="262">
                  <c:v>1.2</c:v>
                </c:pt>
                <c:pt idx="263">
                  <c:v>1.2</c:v>
                </c:pt>
                <c:pt idx="264">
                  <c:v>1.2</c:v>
                </c:pt>
                <c:pt idx="265">
                  <c:v>1.2</c:v>
                </c:pt>
                <c:pt idx="266">
                  <c:v>1.2</c:v>
                </c:pt>
                <c:pt idx="267">
                  <c:v>1.2</c:v>
                </c:pt>
                <c:pt idx="268">
                  <c:v>1.2</c:v>
                </c:pt>
                <c:pt idx="269">
                  <c:v>1.2</c:v>
                </c:pt>
                <c:pt idx="270">
                  <c:v>1.2</c:v>
                </c:pt>
                <c:pt idx="271">
                  <c:v>1.2</c:v>
                </c:pt>
                <c:pt idx="272">
                  <c:v>1.2</c:v>
                </c:pt>
                <c:pt idx="273">
                  <c:v>1.2</c:v>
                </c:pt>
                <c:pt idx="274">
                  <c:v>1.2</c:v>
                </c:pt>
                <c:pt idx="275">
                  <c:v>1.2</c:v>
                </c:pt>
                <c:pt idx="276">
                  <c:v>1.2</c:v>
                </c:pt>
                <c:pt idx="277">
                  <c:v>1.2</c:v>
                </c:pt>
                <c:pt idx="278">
                  <c:v>1.2</c:v>
                </c:pt>
                <c:pt idx="279">
                  <c:v>1.1777452094674263</c:v>
                </c:pt>
                <c:pt idx="280">
                  <c:v>1.1549141592391174</c:v>
                </c:pt>
                <c:pt idx="281">
                  <c:v>1.1320831090108086</c:v>
                </c:pt>
                <c:pt idx="282">
                  <c:v>1.1092520587824994</c:v>
                </c:pt>
                <c:pt idx="283">
                  <c:v>1.0864210085541903</c:v>
                </c:pt>
                <c:pt idx="284">
                  <c:v>1.0635899583258814</c:v>
                </c:pt>
                <c:pt idx="285">
                  <c:v>1.0407589080975725</c:v>
                </c:pt>
                <c:pt idx="286">
                  <c:v>1.0179278578692634</c:v>
                </c:pt>
                <c:pt idx="287">
                  <c:v>0.99509680764095443</c:v>
                </c:pt>
                <c:pt idx="288">
                  <c:v>0.9</c:v>
                </c:pt>
                <c:pt idx="289">
                  <c:v>0.9</c:v>
                </c:pt>
                <c:pt idx="290">
                  <c:v>0.9</c:v>
                </c:pt>
                <c:pt idx="291">
                  <c:v>0.9</c:v>
                </c:pt>
                <c:pt idx="292">
                  <c:v>0.9</c:v>
                </c:pt>
                <c:pt idx="293">
                  <c:v>0.9</c:v>
                </c:pt>
                <c:pt idx="294">
                  <c:v>0.9</c:v>
                </c:pt>
                <c:pt idx="295">
                  <c:v>0.9</c:v>
                </c:pt>
                <c:pt idx="296">
                  <c:v>0.9</c:v>
                </c:pt>
                <c:pt idx="297">
                  <c:v>0.9</c:v>
                </c:pt>
                <c:pt idx="298">
                  <c:v>0.9</c:v>
                </c:pt>
                <c:pt idx="299">
                  <c:v>0.9</c:v>
                </c:pt>
                <c:pt idx="300">
                  <c:v>0.9</c:v>
                </c:pt>
                <c:pt idx="301">
                  <c:v>0.9</c:v>
                </c:pt>
                <c:pt idx="302">
                  <c:v>0.9</c:v>
                </c:pt>
                <c:pt idx="303">
                  <c:v>0.9</c:v>
                </c:pt>
                <c:pt idx="304">
                  <c:v>0.9</c:v>
                </c:pt>
                <c:pt idx="305">
                  <c:v>0.9</c:v>
                </c:pt>
                <c:pt idx="306">
                  <c:v>0.9</c:v>
                </c:pt>
                <c:pt idx="307">
                  <c:v>0.9</c:v>
                </c:pt>
                <c:pt idx="308">
                  <c:v>0.9</c:v>
                </c:pt>
                <c:pt idx="309">
                  <c:v>0.9</c:v>
                </c:pt>
                <c:pt idx="310">
                  <c:v>0.9</c:v>
                </c:pt>
                <c:pt idx="311">
                  <c:v>0.9</c:v>
                </c:pt>
                <c:pt idx="312">
                  <c:v>0.9</c:v>
                </c:pt>
                <c:pt idx="313">
                  <c:v>0.9</c:v>
                </c:pt>
                <c:pt idx="314">
                  <c:v>0.9</c:v>
                </c:pt>
                <c:pt idx="315">
                  <c:v>0.9</c:v>
                </c:pt>
                <c:pt idx="316">
                  <c:v>0.90332030208956782</c:v>
                </c:pt>
                <c:pt idx="317">
                  <c:v>0.91845270907375676</c:v>
                </c:pt>
                <c:pt idx="318">
                  <c:v>0.93366611255143994</c:v>
                </c:pt>
                <c:pt idx="319">
                  <c:v>0.94885932535353956</c:v>
                </c:pt>
                <c:pt idx="320">
                  <c:v>0.96392962126962178</c:v>
                </c:pt>
                <c:pt idx="321">
                  <c:v>0.97881959494746196</c:v>
                </c:pt>
                <c:pt idx="322">
                  <c:v>0.99348616972715131</c:v>
                </c:pt>
                <c:pt idx="323">
                  <c:v>1.0078890678709393</c:v>
                </c:pt>
                <c:pt idx="324">
                  <c:v>1.0219916350121394</c:v>
                </c:pt>
                <c:pt idx="325">
                  <c:v>1.0357616002338736</c:v>
                </c:pt>
                <c:pt idx="326">
                  <c:v>1.0491717450544225</c:v>
                </c:pt>
                <c:pt idx="327">
                  <c:v>1.062200459153726</c:v>
                </c:pt>
                <c:pt idx="328">
                  <c:v>1.0748321667319063</c:v>
                </c:pt>
                <c:pt idx="329">
                  <c:v>1.0870576144604787</c:v>
                </c:pt>
                <c:pt idx="330">
                  <c:v>1.0988740194944522</c:v>
                </c:pt>
                <c:pt idx="331">
                  <c:v>1.110285083363352</c:v>
                </c:pt>
                <c:pt idx="332">
                  <c:v>1.1213008842072085</c:v>
                </c:pt>
                <c:pt idx="333">
                  <c:v>1.1319376653367159</c:v>
                </c:pt>
                <c:pt idx="334">
                  <c:v>1.1422175421933527</c:v>
                </c:pt>
                <c:pt idx="335">
                  <c:v>1.1521681523513299</c:v>
                </c:pt>
                <c:pt idx="336">
                  <c:v>1.1618222742858109</c:v>
                </c:pt>
                <c:pt idx="337">
                  <c:v>1.1712174404138058</c:v>
                </c:pt>
                <c:pt idx="338">
                  <c:v>1.1803955686769985</c:v>
                </c:pt>
                <c:pt idx="339">
                  <c:v>1.189402635018955</c:v>
                </c:pt>
                <c:pt idx="340">
                  <c:v>1.1982884068719639</c:v>
                </c:pt>
                <c:pt idx="341">
                  <c:v>1.2</c:v>
                </c:pt>
                <c:pt idx="342">
                  <c:v>1.2</c:v>
                </c:pt>
                <c:pt idx="343">
                  <c:v>1.2</c:v>
                </c:pt>
                <c:pt idx="344">
                  <c:v>1.2</c:v>
                </c:pt>
                <c:pt idx="345">
                  <c:v>1.2</c:v>
                </c:pt>
                <c:pt idx="346">
                  <c:v>1.2</c:v>
                </c:pt>
                <c:pt idx="347">
                  <c:v>1.2</c:v>
                </c:pt>
                <c:pt idx="348">
                  <c:v>1.2</c:v>
                </c:pt>
                <c:pt idx="349">
                  <c:v>1.2</c:v>
                </c:pt>
                <c:pt idx="350">
                  <c:v>1.2</c:v>
                </c:pt>
                <c:pt idx="351">
                  <c:v>1.2</c:v>
                </c:pt>
                <c:pt idx="352">
                  <c:v>1.2</c:v>
                </c:pt>
                <c:pt idx="353">
                  <c:v>1.2</c:v>
                </c:pt>
                <c:pt idx="354">
                  <c:v>1.2</c:v>
                </c:pt>
                <c:pt idx="355">
                  <c:v>1.2</c:v>
                </c:pt>
                <c:pt idx="356">
                  <c:v>1.2</c:v>
                </c:pt>
                <c:pt idx="357">
                  <c:v>1.2</c:v>
                </c:pt>
                <c:pt idx="358">
                  <c:v>1.2</c:v>
                </c:pt>
                <c:pt idx="359">
                  <c:v>1.2</c:v>
                </c:pt>
                <c:pt idx="360">
                  <c:v>1.2</c:v>
                </c:pt>
                <c:pt idx="361">
                  <c:v>1.2</c:v>
                </c:pt>
                <c:pt idx="362">
                  <c:v>1.2</c:v>
                </c:pt>
                <c:pt idx="363">
                  <c:v>1.2</c:v>
                </c:pt>
                <c:pt idx="364">
                  <c:v>1.2</c:v>
                </c:pt>
                <c:pt idx="365">
                  <c:v>1.2</c:v>
                </c:pt>
                <c:pt idx="366">
                  <c:v>1.2</c:v>
                </c:pt>
                <c:pt idx="367">
                  <c:v>1.2</c:v>
                </c:pt>
                <c:pt idx="368">
                  <c:v>1.2</c:v>
                </c:pt>
                <c:pt idx="369">
                  <c:v>1.2</c:v>
                </c:pt>
                <c:pt idx="370">
                  <c:v>1.2</c:v>
                </c:pt>
                <c:pt idx="371">
                  <c:v>1.2</c:v>
                </c:pt>
                <c:pt idx="372">
                  <c:v>1.2</c:v>
                </c:pt>
                <c:pt idx="373">
                  <c:v>1.2</c:v>
                </c:pt>
                <c:pt idx="374">
                  <c:v>1.2</c:v>
                </c:pt>
                <c:pt idx="375">
                  <c:v>1.2</c:v>
                </c:pt>
                <c:pt idx="376">
                  <c:v>1.2</c:v>
                </c:pt>
                <c:pt idx="377">
                  <c:v>1.2</c:v>
                </c:pt>
                <c:pt idx="378">
                  <c:v>1.2</c:v>
                </c:pt>
                <c:pt idx="379">
                  <c:v>1.2</c:v>
                </c:pt>
                <c:pt idx="380">
                  <c:v>1.2</c:v>
                </c:pt>
                <c:pt idx="381">
                  <c:v>1.2</c:v>
                </c:pt>
                <c:pt idx="382">
                  <c:v>1.2</c:v>
                </c:pt>
                <c:pt idx="383">
                  <c:v>1.2</c:v>
                </c:pt>
                <c:pt idx="384">
                  <c:v>1.2</c:v>
                </c:pt>
                <c:pt idx="385">
                  <c:v>1.2</c:v>
                </c:pt>
                <c:pt idx="386">
                  <c:v>1.2</c:v>
                </c:pt>
                <c:pt idx="387">
                  <c:v>1.2</c:v>
                </c:pt>
                <c:pt idx="388">
                  <c:v>1.2</c:v>
                </c:pt>
                <c:pt idx="389">
                  <c:v>1.2</c:v>
                </c:pt>
                <c:pt idx="390">
                  <c:v>1.2</c:v>
                </c:pt>
                <c:pt idx="391">
                  <c:v>1.2</c:v>
                </c:pt>
                <c:pt idx="392">
                  <c:v>1.2</c:v>
                </c:pt>
                <c:pt idx="393">
                  <c:v>1.2</c:v>
                </c:pt>
                <c:pt idx="394">
                  <c:v>1.2</c:v>
                </c:pt>
                <c:pt idx="395">
                  <c:v>1.2</c:v>
                </c:pt>
                <c:pt idx="396">
                  <c:v>1.2</c:v>
                </c:pt>
                <c:pt idx="397">
                  <c:v>1.2</c:v>
                </c:pt>
                <c:pt idx="398">
                  <c:v>1.2</c:v>
                </c:pt>
                <c:pt idx="399">
                  <c:v>1.2</c:v>
                </c:pt>
                <c:pt idx="400">
                  <c:v>1.2</c:v>
                </c:pt>
                <c:pt idx="401">
                  <c:v>1.2</c:v>
                </c:pt>
                <c:pt idx="402">
                  <c:v>1.2</c:v>
                </c:pt>
                <c:pt idx="403">
                  <c:v>1.2</c:v>
                </c:pt>
                <c:pt idx="404">
                  <c:v>1.2</c:v>
                </c:pt>
                <c:pt idx="405">
                  <c:v>1.2</c:v>
                </c:pt>
                <c:pt idx="406">
                  <c:v>1.2</c:v>
                </c:pt>
                <c:pt idx="407">
                  <c:v>1.2</c:v>
                </c:pt>
                <c:pt idx="408">
                  <c:v>1.2</c:v>
                </c:pt>
                <c:pt idx="409">
                  <c:v>1.2</c:v>
                </c:pt>
                <c:pt idx="410">
                  <c:v>1.2</c:v>
                </c:pt>
                <c:pt idx="411">
                  <c:v>1.2</c:v>
                </c:pt>
                <c:pt idx="412">
                  <c:v>1.2</c:v>
                </c:pt>
                <c:pt idx="413">
                  <c:v>1.2</c:v>
                </c:pt>
                <c:pt idx="414">
                  <c:v>1.2</c:v>
                </c:pt>
                <c:pt idx="415">
                  <c:v>1.2</c:v>
                </c:pt>
                <c:pt idx="416">
                  <c:v>1.2</c:v>
                </c:pt>
                <c:pt idx="417">
                  <c:v>1.2</c:v>
                </c:pt>
                <c:pt idx="418">
                  <c:v>1.2</c:v>
                </c:pt>
                <c:pt idx="419">
                  <c:v>1.2</c:v>
                </c:pt>
                <c:pt idx="420">
                  <c:v>1.2</c:v>
                </c:pt>
                <c:pt idx="421">
                  <c:v>1.2</c:v>
                </c:pt>
                <c:pt idx="422">
                  <c:v>1.2</c:v>
                </c:pt>
                <c:pt idx="423">
                  <c:v>1.2</c:v>
                </c:pt>
                <c:pt idx="424">
                  <c:v>1.2</c:v>
                </c:pt>
                <c:pt idx="425">
                  <c:v>1.2</c:v>
                </c:pt>
                <c:pt idx="426">
                  <c:v>1.2</c:v>
                </c:pt>
                <c:pt idx="427">
                  <c:v>1.2</c:v>
                </c:pt>
                <c:pt idx="428">
                  <c:v>1.2</c:v>
                </c:pt>
                <c:pt idx="429">
                  <c:v>1.2</c:v>
                </c:pt>
                <c:pt idx="430">
                  <c:v>1.2</c:v>
                </c:pt>
                <c:pt idx="431">
                  <c:v>1.1980671592289918</c:v>
                </c:pt>
                <c:pt idx="432">
                  <c:v>1.1849168156870986</c:v>
                </c:pt>
                <c:pt idx="433">
                  <c:v>1.170358714517038</c:v>
                </c:pt>
                <c:pt idx="434">
                  <c:v>1.1544463888606531</c:v>
                </c:pt>
                <c:pt idx="435">
                  <c:v>1.1372649867384628</c:v>
                </c:pt>
                <c:pt idx="436">
                  <c:v>1.1189278768804654</c:v>
                </c:pt>
                <c:pt idx="437">
                  <c:v>1.0995718534162116</c:v>
                </c:pt>
                <c:pt idx="438">
                  <c:v>1.0793513378652331</c:v>
                </c:pt>
                <c:pt idx="439">
                  <c:v>1.0584320573598891</c:v>
                </c:pt>
                <c:pt idx="440">
                  <c:v>1.0369846912948071</c:v>
                </c:pt>
                <c:pt idx="441">
                  <c:v>1.0151789293201885</c:v>
                </c:pt>
                <c:pt idx="442">
                  <c:v>0.99320793368996529</c:v>
                </c:pt>
                <c:pt idx="443">
                  <c:v>0.97135399298672409</c:v>
                </c:pt>
                <c:pt idx="444">
                  <c:v>0.94986672858253551</c:v>
                </c:pt>
                <c:pt idx="445">
                  <c:v>0.92893518506990214</c:v>
                </c:pt>
                <c:pt idx="446">
                  <c:v>0.90869631758024882</c:v>
                </c:pt>
                <c:pt idx="447">
                  <c:v>0.9</c:v>
                </c:pt>
                <c:pt idx="448">
                  <c:v>0.9</c:v>
                </c:pt>
                <c:pt idx="449">
                  <c:v>0.9</c:v>
                </c:pt>
                <c:pt idx="450">
                  <c:v>0.9</c:v>
                </c:pt>
                <c:pt idx="451">
                  <c:v>0.9</c:v>
                </c:pt>
                <c:pt idx="452">
                  <c:v>0.9</c:v>
                </c:pt>
                <c:pt idx="453">
                  <c:v>0.9</c:v>
                </c:pt>
                <c:pt idx="454">
                  <c:v>0.9</c:v>
                </c:pt>
                <c:pt idx="455">
                  <c:v>0.9</c:v>
                </c:pt>
                <c:pt idx="456">
                  <c:v>0.9</c:v>
                </c:pt>
                <c:pt idx="457">
                  <c:v>0.9</c:v>
                </c:pt>
                <c:pt idx="458">
                  <c:v>0.9</c:v>
                </c:pt>
                <c:pt idx="459">
                  <c:v>0.9</c:v>
                </c:pt>
                <c:pt idx="460">
                  <c:v>0.9</c:v>
                </c:pt>
                <c:pt idx="461">
                  <c:v>0.9</c:v>
                </c:pt>
                <c:pt idx="462">
                  <c:v>0.9</c:v>
                </c:pt>
                <c:pt idx="463">
                  <c:v>0.9</c:v>
                </c:pt>
                <c:pt idx="464">
                  <c:v>0.9</c:v>
                </c:pt>
                <c:pt idx="465">
                  <c:v>0.9</c:v>
                </c:pt>
                <c:pt idx="466">
                  <c:v>0.9</c:v>
                </c:pt>
                <c:pt idx="467">
                  <c:v>0.9</c:v>
                </c:pt>
                <c:pt idx="468">
                  <c:v>0.9</c:v>
                </c:pt>
                <c:pt idx="469">
                  <c:v>0.9</c:v>
                </c:pt>
                <c:pt idx="470">
                  <c:v>0.9</c:v>
                </c:pt>
                <c:pt idx="471">
                  <c:v>0.9</c:v>
                </c:pt>
                <c:pt idx="472">
                  <c:v>0.9</c:v>
                </c:pt>
                <c:pt idx="473">
                  <c:v>0.9</c:v>
                </c:pt>
                <c:pt idx="474">
                  <c:v>0.9</c:v>
                </c:pt>
                <c:pt idx="475">
                  <c:v>0.9</c:v>
                </c:pt>
                <c:pt idx="476">
                  <c:v>0.9</c:v>
                </c:pt>
                <c:pt idx="477">
                  <c:v>0.9</c:v>
                </c:pt>
                <c:pt idx="478">
                  <c:v>0.9</c:v>
                </c:pt>
                <c:pt idx="479">
                  <c:v>0.9</c:v>
                </c:pt>
                <c:pt idx="480">
                  <c:v>0.9</c:v>
                </c:pt>
                <c:pt idx="481">
                  <c:v>0.9</c:v>
                </c:pt>
                <c:pt idx="482">
                  <c:v>0.9</c:v>
                </c:pt>
                <c:pt idx="483">
                  <c:v>0.9</c:v>
                </c:pt>
                <c:pt idx="484">
                  <c:v>0.9</c:v>
                </c:pt>
                <c:pt idx="485">
                  <c:v>0.9</c:v>
                </c:pt>
                <c:pt idx="486">
                  <c:v>0.9</c:v>
                </c:pt>
                <c:pt idx="487">
                  <c:v>0.9</c:v>
                </c:pt>
                <c:pt idx="488">
                  <c:v>0.9</c:v>
                </c:pt>
                <c:pt idx="489">
                  <c:v>0.9</c:v>
                </c:pt>
                <c:pt idx="490">
                  <c:v>0.9</c:v>
                </c:pt>
                <c:pt idx="491">
                  <c:v>0.9</c:v>
                </c:pt>
                <c:pt idx="492">
                  <c:v>0.9</c:v>
                </c:pt>
                <c:pt idx="493">
                  <c:v>0.9</c:v>
                </c:pt>
                <c:pt idx="494">
                  <c:v>0.9</c:v>
                </c:pt>
                <c:pt idx="495">
                  <c:v>0.9</c:v>
                </c:pt>
                <c:pt idx="496">
                  <c:v>0.9</c:v>
                </c:pt>
                <c:pt idx="497">
                  <c:v>0.9</c:v>
                </c:pt>
                <c:pt idx="498">
                  <c:v>0.9</c:v>
                </c:pt>
                <c:pt idx="499">
                  <c:v>0.9</c:v>
                </c:pt>
                <c:pt idx="500">
                  <c:v>0.9</c:v>
                </c:pt>
                <c:pt idx="501">
                  <c:v>0.9</c:v>
                </c:pt>
                <c:pt idx="502">
                  <c:v>0.9</c:v>
                </c:pt>
                <c:pt idx="503">
                  <c:v>0.9</c:v>
                </c:pt>
                <c:pt idx="504">
                  <c:v>0.9</c:v>
                </c:pt>
                <c:pt idx="505">
                  <c:v>0.9</c:v>
                </c:pt>
                <c:pt idx="506">
                  <c:v>0.9</c:v>
                </c:pt>
                <c:pt idx="507">
                  <c:v>0.9</c:v>
                </c:pt>
                <c:pt idx="508">
                  <c:v>0.9</c:v>
                </c:pt>
                <c:pt idx="509">
                  <c:v>0.9</c:v>
                </c:pt>
                <c:pt idx="510">
                  <c:v>0.9</c:v>
                </c:pt>
                <c:pt idx="511">
                  <c:v>0.9</c:v>
                </c:pt>
                <c:pt idx="512">
                  <c:v>0.9</c:v>
                </c:pt>
                <c:pt idx="513">
                  <c:v>0.9</c:v>
                </c:pt>
                <c:pt idx="514">
                  <c:v>0.9</c:v>
                </c:pt>
                <c:pt idx="515">
                  <c:v>0.9</c:v>
                </c:pt>
                <c:pt idx="516">
                  <c:v>0.9</c:v>
                </c:pt>
                <c:pt idx="517">
                  <c:v>0.9</c:v>
                </c:pt>
                <c:pt idx="518">
                  <c:v>0.9</c:v>
                </c:pt>
                <c:pt idx="519">
                  <c:v>0.9</c:v>
                </c:pt>
                <c:pt idx="520">
                  <c:v>0.9</c:v>
                </c:pt>
                <c:pt idx="521">
                  <c:v>0.9</c:v>
                </c:pt>
                <c:pt idx="522">
                  <c:v>0.9</c:v>
                </c:pt>
                <c:pt idx="523">
                  <c:v>0.9</c:v>
                </c:pt>
                <c:pt idx="524">
                  <c:v>0.9</c:v>
                </c:pt>
                <c:pt idx="525">
                  <c:v>0.9</c:v>
                </c:pt>
                <c:pt idx="526">
                  <c:v>0.9</c:v>
                </c:pt>
                <c:pt idx="527">
                  <c:v>0.9</c:v>
                </c:pt>
                <c:pt idx="528">
                  <c:v>0.9</c:v>
                </c:pt>
                <c:pt idx="529">
                  <c:v>0.9</c:v>
                </c:pt>
                <c:pt idx="530">
                  <c:v>0.9</c:v>
                </c:pt>
                <c:pt idx="531">
                  <c:v>0.9</c:v>
                </c:pt>
                <c:pt idx="532">
                  <c:v>0.9</c:v>
                </c:pt>
                <c:pt idx="533">
                  <c:v>0.9</c:v>
                </c:pt>
                <c:pt idx="534">
                  <c:v>0.9</c:v>
                </c:pt>
                <c:pt idx="535">
                  <c:v>0.9</c:v>
                </c:pt>
                <c:pt idx="536">
                  <c:v>0.9</c:v>
                </c:pt>
                <c:pt idx="537">
                  <c:v>0.9</c:v>
                </c:pt>
                <c:pt idx="538">
                  <c:v>0.9</c:v>
                </c:pt>
                <c:pt idx="539">
                  <c:v>0.9</c:v>
                </c:pt>
                <c:pt idx="540">
                  <c:v>0.9</c:v>
                </c:pt>
                <c:pt idx="541">
                  <c:v>0.9</c:v>
                </c:pt>
                <c:pt idx="542">
                  <c:v>0.9</c:v>
                </c:pt>
                <c:pt idx="543">
                  <c:v>0.9</c:v>
                </c:pt>
                <c:pt idx="544">
                  <c:v>0.9</c:v>
                </c:pt>
                <c:pt idx="545">
                  <c:v>0.9</c:v>
                </c:pt>
                <c:pt idx="546">
                  <c:v>0.9</c:v>
                </c:pt>
                <c:pt idx="547">
                  <c:v>0.9</c:v>
                </c:pt>
                <c:pt idx="548">
                  <c:v>0.9</c:v>
                </c:pt>
                <c:pt idx="549">
                  <c:v>0.9</c:v>
                </c:pt>
                <c:pt idx="550">
                  <c:v>0.9</c:v>
                </c:pt>
                <c:pt idx="551">
                  <c:v>0.9</c:v>
                </c:pt>
                <c:pt idx="552">
                  <c:v>0.9</c:v>
                </c:pt>
                <c:pt idx="553">
                  <c:v>0.9</c:v>
                </c:pt>
                <c:pt idx="554">
                  <c:v>0.9</c:v>
                </c:pt>
                <c:pt idx="555">
                  <c:v>0.9</c:v>
                </c:pt>
                <c:pt idx="556">
                  <c:v>0.9</c:v>
                </c:pt>
                <c:pt idx="557">
                  <c:v>0.9</c:v>
                </c:pt>
                <c:pt idx="558">
                  <c:v>0.9</c:v>
                </c:pt>
                <c:pt idx="559">
                  <c:v>0.9</c:v>
                </c:pt>
                <c:pt idx="560">
                  <c:v>0.9</c:v>
                </c:pt>
                <c:pt idx="561">
                  <c:v>0.9</c:v>
                </c:pt>
                <c:pt idx="562">
                  <c:v>0.9</c:v>
                </c:pt>
                <c:pt idx="563">
                  <c:v>0.9</c:v>
                </c:pt>
                <c:pt idx="564">
                  <c:v>0.9</c:v>
                </c:pt>
                <c:pt idx="565">
                  <c:v>0.9</c:v>
                </c:pt>
                <c:pt idx="566">
                  <c:v>0.9</c:v>
                </c:pt>
                <c:pt idx="567">
                  <c:v>0.9</c:v>
                </c:pt>
                <c:pt idx="568">
                  <c:v>0.9</c:v>
                </c:pt>
                <c:pt idx="569">
                  <c:v>0.9</c:v>
                </c:pt>
                <c:pt idx="570">
                  <c:v>0.9</c:v>
                </c:pt>
                <c:pt idx="571">
                  <c:v>0.9</c:v>
                </c:pt>
                <c:pt idx="572">
                  <c:v>0.9</c:v>
                </c:pt>
                <c:pt idx="573">
                  <c:v>0.9</c:v>
                </c:pt>
                <c:pt idx="574">
                  <c:v>0.9</c:v>
                </c:pt>
                <c:pt idx="575">
                  <c:v>0.9</c:v>
                </c:pt>
                <c:pt idx="576">
                  <c:v>0.9</c:v>
                </c:pt>
              </c:numCache>
            </c:numRef>
          </c:val>
          <c:smooth val="0"/>
        </c:ser>
        <c:dLbls>
          <c:showLegendKey val="0"/>
          <c:showVal val="0"/>
          <c:showCatName val="0"/>
          <c:showSerName val="0"/>
          <c:showPercent val="0"/>
          <c:showBubbleSize val="0"/>
        </c:dLbls>
        <c:marker val="1"/>
        <c:smooth val="0"/>
        <c:axId val="219853312"/>
        <c:axId val="306952960"/>
      </c:lineChart>
      <c:dateAx>
        <c:axId val="219853312"/>
        <c:scaling>
          <c:orientation val="minMax"/>
        </c:scaling>
        <c:delete val="0"/>
        <c:axPos val="b"/>
        <c:numFmt formatCode="d\-mmm" sourceLinked="0"/>
        <c:majorTickMark val="out"/>
        <c:minorTickMark val="none"/>
        <c:tickLblPos val="nextTo"/>
        <c:spPr>
          <a:ln w="3175">
            <a:solidFill>
              <a:srgbClr val="000000"/>
            </a:solidFill>
            <a:prstDash val="solid"/>
          </a:ln>
        </c:spPr>
        <c:txPr>
          <a:bodyPr rot="-5400000" vert="horz"/>
          <a:lstStyle/>
          <a:p>
            <a:pPr>
              <a:defRPr sz="1275" b="1" i="0" u="none" strike="noStrike" baseline="0">
                <a:solidFill>
                  <a:srgbClr val="000000"/>
                </a:solidFill>
                <a:latin typeface="Arial"/>
                <a:ea typeface="Arial"/>
                <a:cs typeface="Arial"/>
              </a:defRPr>
            </a:pPr>
            <a:endParaRPr lang="en-US"/>
          </a:p>
        </c:txPr>
        <c:crossAx val="306952960"/>
        <c:crosses val="autoZero"/>
        <c:auto val="1"/>
        <c:lblOffset val="100"/>
        <c:baseTimeUnit val="days"/>
        <c:majorUnit val="1"/>
        <c:majorTimeUnit val="months"/>
        <c:minorUnit val="1"/>
        <c:minorTimeUnit val="months"/>
      </c:dateAx>
      <c:valAx>
        <c:axId val="306952960"/>
        <c:scaling>
          <c:orientation val="minMax"/>
        </c:scaling>
        <c:delete val="0"/>
        <c:axPos val="l"/>
        <c:majorGridlines>
          <c:spPr>
            <a:ln w="3175">
              <a:solidFill>
                <a:srgbClr val="000000"/>
              </a:solidFill>
              <a:prstDash val="solid"/>
            </a:ln>
          </c:spPr>
        </c:majorGridlines>
        <c:title>
          <c:tx>
            <c:rich>
              <a:bodyPr/>
              <a:lstStyle/>
              <a:p>
                <a:pPr>
                  <a:defRPr sz="1275" b="1" i="0" u="none" strike="noStrike" baseline="0">
                    <a:solidFill>
                      <a:srgbClr val="000000"/>
                    </a:solidFill>
                    <a:latin typeface="Arial"/>
                    <a:ea typeface="Arial"/>
                    <a:cs typeface="Arial"/>
                  </a:defRPr>
                </a:pPr>
                <a:r>
                  <a:t>Crop Coefficient (Kc)</a:t>
                </a:r>
              </a:p>
            </c:rich>
          </c:tx>
          <c:layout>
            <c:manualLayout>
              <c:xMode val="edge"/>
              <c:yMode val="edge"/>
              <c:x val="1.1098609666606951E-3"/>
              <c:y val="0.31810759561701457"/>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275" b="1" i="0" u="none" strike="noStrike" baseline="0">
                <a:solidFill>
                  <a:srgbClr val="000000"/>
                </a:solidFill>
                <a:latin typeface="Arial"/>
                <a:ea typeface="Arial"/>
                <a:cs typeface="Arial"/>
              </a:defRPr>
            </a:pPr>
            <a:endParaRPr lang="en-US"/>
          </a:p>
        </c:txPr>
        <c:crossAx val="219853312"/>
        <c:crosses val="autoZero"/>
        <c:crossBetween val="between"/>
      </c:valAx>
      <c:spPr>
        <a:solidFill>
          <a:srgbClr val="FFFFFF"/>
        </a:solidFill>
        <a:ln w="12700">
          <a:solidFill>
            <a:srgbClr val="808080"/>
          </a:solidFill>
          <a:prstDash val="solid"/>
        </a:ln>
      </c:spPr>
    </c:plotArea>
    <c:legend>
      <c:legendPos val="r"/>
      <c:layout>
        <c:manualLayout>
          <c:xMode val="edge"/>
          <c:yMode val="edge"/>
          <c:wMode val="edge"/>
          <c:hMode val="edge"/>
          <c:x val="0.83111114426525812"/>
          <c:y val="9.9128556178408642E-2"/>
          <c:w val="0.92148147440168993"/>
          <c:h val="0.22222220317414493"/>
        </c:manualLayout>
      </c:layout>
      <c:overlay val="0"/>
      <c:spPr>
        <a:solidFill>
          <a:srgbClr val="FFFFFF"/>
        </a:solidFill>
        <a:ln w="3175">
          <a:solidFill>
            <a:srgbClr val="000000"/>
          </a:solidFill>
          <a:prstDash val="solid"/>
        </a:ln>
      </c:spPr>
      <c:txPr>
        <a:bodyPr/>
        <a:lstStyle/>
        <a:p>
          <a:pPr>
            <a:defRPr sz="1095" b="1"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300" b="1" i="0" u="none" strike="noStrike" baseline="0">
          <a:solidFill>
            <a:srgbClr val="000000"/>
          </a:solidFill>
          <a:latin typeface="Arial"/>
          <a:ea typeface="Arial"/>
          <a:cs typeface="Arial"/>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autoTitleDeleted val="0"/>
    <c:plotArea>
      <c:layout>
        <c:manualLayout>
          <c:layoutTarget val="inner"/>
          <c:xMode val="edge"/>
          <c:yMode val="edge"/>
          <c:x val="9.3229744728079905E-2"/>
          <c:y val="4.8939641109298535E-2"/>
          <c:w val="0.87014428412874589"/>
          <c:h val="0.81729200652528544"/>
        </c:manualLayout>
      </c:layout>
      <c:lineChart>
        <c:grouping val="standard"/>
        <c:varyColors val="0"/>
        <c:ser>
          <c:idx val="0"/>
          <c:order val="0"/>
          <c:tx>
            <c:v>ETo</c:v>
          </c:tx>
          <c:spPr>
            <a:ln w="25400">
              <a:solidFill>
                <a:srgbClr val="0000FF"/>
              </a:solidFill>
              <a:prstDash val="solid"/>
            </a:ln>
          </c:spPr>
          <c:marker>
            <c:symbol val="none"/>
          </c:marker>
          <c:cat>
            <c:numRef>
              <c:f>Crop!$B$49:$B$625</c:f>
              <c:numCache>
                <c:formatCode>dd\-mmm\-yy</c:formatCode>
                <c:ptCount val="577"/>
                <c:pt idx="0">
                  <c:v>41640</c:v>
                </c:pt>
                <c:pt idx="1">
                  <c:v>41641</c:v>
                </c:pt>
                <c:pt idx="2">
                  <c:v>41642</c:v>
                </c:pt>
                <c:pt idx="3">
                  <c:v>41643</c:v>
                </c:pt>
                <c:pt idx="4">
                  <c:v>41644</c:v>
                </c:pt>
                <c:pt idx="5">
                  <c:v>41645</c:v>
                </c:pt>
                <c:pt idx="6">
                  <c:v>41646</c:v>
                </c:pt>
                <c:pt idx="7">
                  <c:v>41647</c:v>
                </c:pt>
                <c:pt idx="8">
                  <c:v>41648</c:v>
                </c:pt>
                <c:pt idx="9">
                  <c:v>41649</c:v>
                </c:pt>
                <c:pt idx="10">
                  <c:v>41650</c:v>
                </c:pt>
                <c:pt idx="11">
                  <c:v>41651</c:v>
                </c:pt>
                <c:pt idx="12">
                  <c:v>41652</c:v>
                </c:pt>
                <c:pt idx="13">
                  <c:v>41653</c:v>
                </c:pt>
                <c:pt idx="14">
                  <c:v>41654</c:v>
                </c:pt>
                <c:pt idx="15">
                  <c:v>41655</c:v>
                </c:pt>
                <c:pt idx="16">
                  <c:v>41656</c:v>
                </c:pt>
                <c:pt idx="17">
                  <c:v>41657</c:v>
                </c:pt>
                <c:pt idx="18">
                  <c:v>41658</c:v>
                </c:pt>
                <c:pt idx="19">
                  <c:v>41659</c:v>
                </c:pt>
                <c:pt idx="20">
                  <c:v>41660</c:v>
                </c:pt>
                <c:pt idx="21">
                  <c:v>41661</c:v>
                </c:pt>
                <c:pt idx="22">
                  <c:v>41662</c:v>
                </c:pt>
                <c:pt idx="23">
                  <c:v>41663</c:v>
                </c:pt>
                <c:pt idx="24">
                  <c:v>41664</c:v>
                </c:pt>
                <c:pt idx="25">
                  <c:v>41665</c:v>
                </c:pt>
                <c:pt idx="26">
                  <c:v>41666</c:v>
                </c:pt>
                <c:pt idx="27">
                  <c:v>41667</c:v>
                </c:pt>
                <c:pt idx="28">
                  <c:v>41668</c:v>
                </c:pt>
                <c:pt idx="29">
                  <c:v>41669</c:v>
                </c:pt>
                <c:pt idx="30">
                  <c:v>41670</c:v>
                </c:pt>
                <c:pt idx="31">
                  <c:v>41671</c:v>
                </c:pt>
                <c:pt idx="32">
                  <c:v>41672</c:v>
                </c:pt>
                <c:pt idx="33">
                  <c:v>41673</c:v>
                </c:pt>
                <c:pt idx="34">
                  <c:v>41674</c:v>
                </c:pt>
                <c:pt idx="35">
                  <c:v>41675</c:v>
                </c:pt>
                <c:pt idx="36">
                  <c:v>41676</c:v>
                </c:pt>
                <c:pt idx="37">
                  <c:v>41677</c:v>
                </c:pt>
                <c:pt idx="38">
                  <c:v>41678</c:v>
                </c:pt>
                <c:pt idx="39">
                  <c:v>41679</c:v>
                </c:pt>
                <c:pt idx="40">
                  <c:v>41680</c:v>
                </c:pt>
                <c:pt idx="41">
                  <c:v>41681</c:v>
                </c:pt>
                <c:pt idx="42">
                  <c:v>41682</c:v>
                </c:pt>
                <c:pt idx="43">
                  <c:v>41683</c:v>
                </c:pt>
                <c:pt idx="44">
                  <c:v>41684</c:v>
                </c:pt>
                <c:pt idx="45">
                  <c:v>41685</c:v>
                </c:pt>
                <c:pt idx="46">
                  <c:v>41686</c:v>
                </c:pt>
                <c:pt idx="47">
                  <c:v>41687</c:v>
                </c:pt>
                <c:pt idx="48">
                  <c:v>41688</c:v>
                </c:pt>
                <c:pt idx="49">
                  <c:v>41689</c:v>
                </c:pt>
                <c:pt idx="50">
                  <c:v>41690</c:v>
                </c:pt>
                <c:pt idx="51">
                  <c:v>41691</c:v>
                </c:pt>
                <c:pt idx="52">
                  <c:v>41692</c:v>
                </c:pt>
                <c:pt idx="53">
                  <c:v>41693</c:v>
                </c:pt>
                <c:pt idx="54">
                  <c:v>41694</c:v>
                </c:pt>
                <c:pt idx="55">
                  <c:v>41695</c:v>
                </c:pt>
                <c:pt idx="56">
                  <c:v>41696</c:v>
                </c:pt>
                <c:pt idx="57">
                  <c:v>41697</c:v>
                </c:pt>
                <c:pt idx="58">
                  <c:v>41698</c:v>
                </c:pt>
                <c:pt idx="59">
                  <c:v>41699</c:v>
                </c:pt>
                <c:pt idx="60">
                  <c:v>41700</c:v>
                </c:pt>
                <c:pt idx="61">
                  <c:v>41701</c:v>
                </c:pt>
                <c:pt idx="62">
                  <c:v>41702</c:v>
                </c:pt>
                <c:pt idx="63">
                  <c:v>41703</c:v>
                </c:pt>
                <c:pt idx="64">
                  <c:v>41704</c:v>
                </c:pt>
                <c:pt idx="65">
                  <c:v>41705</c:v>
                </c:pt>
                <c:pt idx="66">
                  <c:v>41706</c:v>
                </c:pt>
                <c:pt idx="67">
                  <c:v>41707</c:v>
                </c:pt>
                <c:pt idx="68">
                  <c:v>41708</c:v>
                </c:pt>
                <c:pt idx="69">
                  <c:v>41709</c:v>
                </c:pt>
                <c:pt idx="70">
                  <c:v>41710</c:v>
                </c:pt>
                <c:pt idx="71">
                  <c:v>41711</c:v>
                </c:pt>
                <c:pt idx="72">
                  <c:v>41712</c:v>
                </c:pt>
                <c:pt idx="73">
                  <c:v>41713</c:v>
                </c:pt>
                <c:pt idx="74">
                  <c:v>41714</c:v>
                </c:pt>
                <c:pt idx="75">
                  <c:v>41715</c:v>
                </c:pt>
                <c:pt idx="76">
                  <c:v>41716</c:v>
                </c:pt>
                <c:pt idx="77">
                  <c:v>41717</c:v>
                </c:pt>
                <c:pt idx="78">
                  <c:v>41718</c:v>
                </c:pt>
                <c:pt idx="79">
                  <c:v>41719</c:v>
                </c:pt>
                <c:pt idx="80">
                  <c:v>41720</c:v>
                </c:pt>
                <c:pt idx="81">
                  <c:v>41721</c:v>
                </c:pt>
                <c:pt idx="82">
                  <c:v>41722</c:v>
                </c:pt>
                <c:pt idx="83">
                  <c:v>41723</c:v>
                </c:pt>
                <c:pt idx="84">
                  <c:v>41724</c:v>
                </c:pt>
                <c:pt idx="85">
                  <c:v>41725</c:v>
                </c:pt>
                <c:pt idx="86">
                  <c:v>41726</c:v>
                </c:pt>
                <c:pt idx="87">
                  <c:v>41727</c:v>
                </c:pt>
                <c:pt idx="88">
                  <c:v>41728</c:v>
                </c:pt>
                <c:pt idx="89">
                  <c:v>41729</c:v>
                </c:pt>
                <c:pt idx="90">
                  <c:v>41730</c:v>
                </c:pt>
                <c:pt idx="91">
                  <c:v>41731</c:v>
                </c:pt>
                <c:pt idx="92">
                  <c:v>41732</c:v>
                </c:pt>
                <c:pt idx="93">
                  <c:v>41733</c:v>
                </c:pt>
                <c:pt idx="94">
                  <c:v>41734</c:v>
                </c:pt>
                <c:pt idx="95">
                  <c:v>41735</c:v>
                </c:pt>
                <c:pt idx="96">
                  <c:v>41736</c:v>
                </c:pt>
                <c:pt idx="97">
                  <c:v>41737</c:v>
                </c:pt>
                <c:pt idx="98">
                  <c:v>41738</c:v>
                </c:pt>
                <c:pt idx="99">
                  <c:v>41739</c:v>
                </c:pt>
                <c:pt idx="100">
                  <c:v>41740</c:v>
                </c:pt>
                <c:pt idx="101">
                  <c:v>41741</c:v>
                </c:pt>
                <c:pt idx="102">
                  <c:v>41742</c:v>
                </c:pt>
                <c:pt idx="103">
                  <c:v>41743</c:v>
                </c:pt>
                <c:pt idx="104">
                  <c:v>41744</c:v>
                </c:pt>
                <c:pt idx="105">
                  <c:v>41745</c:v>
                </c:pt>
                <c:pt idx="106">
                  <c:v>41746</c:v>
                </c:pt>
                <c:pt idx="107">
                  <c:v>41747</c:v>
                </c:pt>
                <c:pt idx="108">
                  <c:v>41748</c:v>
                </c:pt>
                <c:pt idx="109">
                  <c:v>41749</c:v>
                </c:pt>
                <c:pt idx="110">
                  <c:v>41750</c:v>
                </c:pt>
                <c:pt idx="111">
                  <c:v>41751</c:v>
                </c:pt>
                <c:pt idx="112">
                  <c:v>41752</c:v>
                </c:pt>
                <c:pt idx="113">
                  <c:v>41753</c:v>
                </c:pt>
                <c:pt idx="114">
                  <c:v>41754</c:v>
                </c:pt>
                <c:pt idx="115">
                  <c:v>41755</c:v>
                </c:pt>
                <c:pt idx="116">
                  <c:v>41756</c:v>
                </c:pt>
                <c:pt idx="117">
                  <c:v>41757</c:v>
                </c:pt>
                <c:pt idx="118">
                  <c:v>41758</c:v>
                </c:pt>
                <c:pt idx="119">
                  <c:v>41759</c:v>
                </c:pt>
                <c:pt idx="120">
                  <c:v>41760</c:v>
                </c:pt>
                <c:pt idx="121">
                  <c:v>41761</c:v>
                </c:pt>
                <c:pt idx="122">
                  <c:v>41762</c:v>
                </c:pt>
                <c:pt idx="123">
                  <c:v>41763</c:v>
                </c:pt>
                <c:pt idx="124">
                  <c:v>41764</c:v>
                </c:pt>
                <c:pt idx="125">
                  <c:v>41765</c:v>
                </c:pt>
                <c:pt idx="126">
                  <c:v>41766</c:v>
                </c:pt>
                <c:pt idx="127">
                  <c:v>41767</c:v>
                </c:pt>
                <c:pt idx="128">
                  <c:v>41768</c:v>
                </c:pt>
                <c:pt idx="129">
                  <c:v>41769</c:v>
                </c:pt>
                <c:pt idx="130">
                  <c:v>41770</c:v>
                </c:pt>
                <c:pt idx="131">
                  <c:v>41771</c:v>
                </c:pt>
                <c:pt idx="132">
                  <c:v>41772</c:v>
                </c:pt>
                <c:pt idx="133">
                  <c:v>41773</c:v>
                </c:pt>
                <c:pt idx="134">
                  <c:v>41774</c:v>
                </c:pt>
                <c:pt idx="135">
                  <c:v>41775</c:v>
                </c:pt>
                <c:pt idx="136">
                  <c:v>41776</c:v>
                </c:pt>
                <c:pt idx="137">
                  <c:v>41777</c:v>
                </c:pt>
                <c:pt idx="138">
                  <c:v>41778</c:v>
                </c:pt>
                <c:pt idx="139">
                  <c:v>41779</c:v>
                </c:pt>
                <c:pt idx="140">
                  <c:v>41780</c:v>
                </c:pt>
                <c:pt idx="141">
                  <c:v>41781</c:v>
                </c:pt>
                <c:pt idx="142">
                  <c:v>41782</c:v>
                </c:pt>
                <c:pt idx="143">
                  <c:v>41783</c:v>
                </c:pt>
                <c:pt idx="144">
                  <c:v>41784</c:v>
                </c:pt>
                <c:pt idx="145">
                  <c:v>41785</c:v>
                </c:pt>
                <c:pt idx="146">
                  <c:v>41786</c:v>
                </c:pt>
                <c:pt idx="147">
                  <c:v>41787</c:v>
                </c:pt>
                <c:pt idx="148">
                  <c:v>41788</c:v>
                </c:pt>
                <c:pt idx="149">
                  <c:v>41789</c:v>
                </c:pt>
                <c:pt idx="150">
                  <c:v>41790</c:v>
                </c:pt>
                <c:pt idx="151">
                  <c:v>41791</c:v>
                </c:pt>
                <c:pt idx="152">
                  <c:v>41792</c:v>
                </c:pt>
                <c:pt idx="153">
                  <c:v>41793</c:v>
                </c:pt>
                <c:pt idx="154">
                  <c:v>41794</c:v>
                </c:pt>
                <c:pt idx="155">
                  <c:v>41795</c:v>
                </c:pt>
                <c:pt idx="156">
                  <c:v>41796</c:v>
                </c:pt>
                <c:pt idx="157">
                  <c:v>41797</c:v>
                </c:pt>
                <c:pt idx="158">
                  <c:v>41798</c:v>
                </c:pt>
                <c:pt idx="159">
                  <c:v>41799</c:v>
                </c:pt>
                <c:pt idx="160">
                  <c:v>41800</c:v>
                </c:pt>
                <c:pt idx="161">
                  <c:v>41801</c:v>
                </c:pt>
                <c:pt idx="162">
                  <c:v>41802</c:v>
                </c:pt>
                <c:pt idx="163">
                  <c:v>41803</c:v>
                </c:pt>
                <c:pt idx="164">
                  <c:v>41804</c:v>
                </c:pt>
                <c:pt idx="165">
                  <c:v>41805</c:v>
                </c:pt>
                <c:pt idx="166">
                  <c:v>41806</c:v>
                </c:pt>
                <c:pt idx="167">
                  <c:v>41807</c:v>
                </c:pt>
                <c:pt idx="168">
                  <c:v>41808</c:v>
                </c:pt>
                <c:pt idx="169">
                  <c:v>41809</c:v>
                </c:pt>
                <c:pt idx="170">
                  <c:v>41810</c:v>
                </c:pt>
                <c:pt idx="171">
                  <c:v>41811</c:v>
                </c:pt>
                <c:pt idx="172">
                  <c:v>41812</c:v>
                </c:pt>
                <c:pt idx="173">
                  <c:v>41813</c:v>
                </c:pt>
                <c:pt idx="174">
                  <c:v>41814</c:v>
                </c:pt>
                <c:pt idx="175">
                  <c:v>41815</c:v>
                </c:pt>
                <c:pt idx="176">
                  <c:v>41816</c:v>
                </c:pt>
                <c:pt idx="177">
                  <c:v>41817</c:v>
                </c:pt>
                <c:pt idx="178">
                  <c:v>41818</c:v>
                </c:pt>
                <c:pt idx="179">
                  <c:v>41819</c:v>
                </c:pt>
                <c:pt idx="180">
                  <c:v>41820</c:v>
                </c:pt>
                <c:pt idx="181">
                  <c:v>41821</c:v>
                </c:pt>
                <c:pt idx="182">
                  <c:v>41822</c:v>
                </c:pt>
                <c:pt idx="183">
                  <c:v>41823</c:v>
                </c:pt>
                <c:pt idx="184">
                  <c:v>41824</c:v>
                </c:pt>
                <c:pt idx="185">
                  <c:v>41825</c:v>
                </c:pt>
                <c:pt idx="186">
                  <c:v>41826</c:v>
                </c:pt>
                <c:pt idx="187">
                  <c:v>41827</c:v>
                </c:pt>
                <c:pt idx="188">
                  <c:v>41828</c:v>
                </c:pt>
                <c:pt idx="189">
                  <c:v>41829</c:v>
                </c:pt>
                <c:pt idx="190">
                  <c:v>41830</c:v>
                </c:pt>
                <c:pt idx="191">
                  <c:v>41831</c:v>
                </c:pt>
                <c:pt idx="192">
                  <c:v>41832</c:v>
                </c:pt>
                <c:pt idx="193">
                  <c:v>41833</c:v>
                </c:pt>
                <c:pt idx="194">
                  <c:v>41834</c:v>
                </c:pt>
                <c:pt idx="195">
                  <c:v>41835</c:v>
                </c:pt>
                <c:pt idx="196">
                  <c:v>41836</c:v>
                </c:pt>
                <c:pt idx="197">
                  <c:v>41837</c:v>
                </c:pt>
                <c:pt idx="198">
                  <c:v>41838</c:v>
                </c:pt>
                <c:pt idx="199">
                  <c:v>41839</c:v>
                </c:pt>
                <c:pt idx="200">
                  <c:v>41840</c:v>
                </c:pt>
                <c:pt idx="201">
                  <c:v>41841</c:v>
                </c:pt>
                <c:pt idx="202">
                  <c:v>41842</c:v>
                </c:pt>
                <c:pt idx="203">
                  <c:v>41843</c:v>
                </c:pt>
                <c:pt idx="204">
                  <c:v>41844</c:v>
                </c:pt>
                <c:pt idx="205">
                  <c:v>41845</c:v>
                </c:pt>
                <c:pt idx="206">
                  <c:v>41846</c:v>
                </c:pt>
                <c:pt idx="207">
                  <c:v>41847</c:v>
                </c:pt>
                <c:pt idx="208">
                  <c:v>41848</c:v>
                </c:pt>
                <c:pt idx="209">
                  <c:v>41849</c:v>
                </c:pt>
                <c:pt idx="210">
                  <c:v>41850</c:v>
                </c:pt>
                <c:pt idx="211">
                  <c:v>41851</c:v>
                </c:pt>
                <c:pt idx="212">
                  <c:v>41852</c:v>
                </c:pt>
                <c:pt idx="213">
                  <c:v>41853</c:v>
                </c:pt>
                <c:pt idx="214">
                  <c:v>41854</c:v>
                </c:pt>
                <c:pt idx="215">
                  <c:v>41855</c:v>
                </c:pt>
                <c:pt idx="216">
                  <c:v>41856</c:v>
                </c:pt>
                <c:pt idx="217">
                  <c:v>41857</c:v>
                </c:pt>
                <c:pt idx="218">
                  <c:v>41858</c:v>
                </c:pt>
                <c:pt idx="219">
                  <c:v>41859</c:v>
                </c:pt>
                <c:pt idx="220">
                  <c:v>41860</c:v>
                </c:pt>
                <c:pt idx="221">
                  <c:v>41861</c:v>
                </c:pt>
                <c:pt idx="222">
                  <c:v>41862</c:v>
                </c:pt>
                <c:pt idx="223">
                  <c:v>41863</c:v>
                </c:pt>
                <c:pt idx="224">
                  <c:v>41864</c:v>
                </c:pt>
                <c:pt idx="225">
                  <c:v>41865</c:v>
                </c:pt>
                <c:pt idx="226">
                  <c:v>41866</c:v>
                </c:pt>
                <c:pt idx="227">
                  <c:v>41867</c:v>
                </c:pt>
                <c:pt idx="228">
                  <c:v>41868</c:v>
                </c:pt>
                <c:pt idx="229">
                  <c:v>41869</c:v>
                </c:pt>
                <c:pt idx="230">
                  <c:v>41870</c:v>
                </c:pt>
                <c:pt idx="231">
                  <c:v>41871</c:v>
                </c:pt>
                <c:pt idx="232">
                  <c:v>41872</c:v>
                </c:pt>
                <c:pt idx="233">
                  <c:v>41873</c:v>
                </c:pt>
                <c:pt idx="234">
                  <c:v>41874</c:v>
                </c:pt>
                <c:pt idx="235">
                  <c:v>41875</c:v>
                </c:pt>
                <c:pt idx="236">
                  <c:v>41876</c:v>
                </c:pt>
                <c:pt idx="237">
                  <c:v>41877</c:v>
                </c:pt>
                <c:pt idx="238">
                  <c:v>41878</c:v>
                </c:pt>
                <c:pt idx="239">
                  <c:v>41879</c:v>
                </c:pt>
                <c:pt idx="240">
                  <c:v>41880</c:v>
                </c:pt>
                <c:pt idx="241">
                  <c:v>41881</c:v>
                </c:pt>
                <c:pt idx="242">
                  <c:v>41882</c:v>
                </c:pt>
                <c:pt idx="243">
                  <c:v>41883</c:v>
                </c:pt>
                <c:pt idx="244">
                  <c:v>41884</c:v>
                </c:pt>
                <c:pt idx="245">
                  <c:v>41885</c:v>
                </c:pt>
                <c:pt idx="246">
                  <c:v>41886</c:v>
                </c:pt>
                <c:pt idx="247">
                  <c:v>41887</c:v>
                </c:pt>
                <c:pt idx="248">
                  <c:v>41888</c:v>
                </c:pt>
                <c:pt idx="249">
                  <c:v>41889</c:v>
                </c:pt>
                <c:pt idx="250">
                  <c:v>41890</c:v>
                </c:pt>
                <c:pt idx="251">
                  <c:v>41891</c:v>
                </c:pt>
                <c:pt idx="252">
                  <c:v>41892</c:v>
                </c:pt>
                <c:pt idx="253">
                  <c:v>41893</c:v>
                </c:pt>
                <c:pt idx="254">
                  <c:v>41894</c:v>
                </c:pt>
                <c:pt idx="255">
                  <c:v>41895</c:v>
                </c:pt>
                <c:pt idx="256">
                  <c:v>41896</c:v>
                </c:pt>
                <c:pt idx="257">
                  <c:v>41897</c:v>
                </c:pt>
                <c:pt idx="258">
                  <c:v>41898</c:v>
                </c:pt>
                <c:pt idx="259">
                  <c:v>41899</c:v>
                </c:pt>
                <c:pt idx="260">
                  <c:v>41900</c:v>
                </c:pt>
                <c:pt idx="261">
                  <c:v>41901</c:v>
                </c:pt>
                <c:pt idx="262">
                  <c:v>41902</c:v>
                </c:pt>
                <c:pt idx="263">
                  <c:v>41903</c:v>
                </c:pt>
                <c:pt idx="264">
                  <c:v>41904</c:v>
                </c:pt>
                <c:pt idx="265">
                  <c:v>41905</c:v>
                </c:pt>
                <c:pt idx="266">
                  <c:v>41906</c:v>
                </c:pt>
                <c:pt idx="267">
                  <c:v>41907</c:v>
                </c:pt>
                <c:pt idx="268">
                  <c:v>41908</c:v>
                </c:pt>
                <c:pt idx="269">
                  <c:v>41909</c:v>
                </c:pt>
                <c:pt idx="270">
                  <c:v>41910</c:v>
                </c:pt>
                <c:pt idx="271">
                  <c:v>41911</c:v>
                </c:pt>
                <c:pt idx="272">
                  <c:v>41912</c:v>
                </c:pt>
                <c:pt idx="273">
                  <c:v>41913</c:v>
                </c:pt>
                <c:pt idx="274">
                  <c:v>41914</c:v>
                </c:pt>
                <c:pt idx="275">
                  <c:v>41915</c:v>
                </c:pt>
                <c:pt idx="276">
                  <c:v>41916</c:v>
                </c:pt>
                <c:pt idx="277">
                  <c:v>41917</c:v>
                </c:pt>
                <c:pt idx="278">
                  <c:v>41918</c:v>
                </c:pt>
                <c:pt idx="279">
                  <c:v>41919</c:v>
                </c:pt>
                <c:pt idx="280">
                  <c:v>41920</c:v>
                </c:pt>
                <c:pt idx="281">
                  <c:v>41921</c:v>
                </c:pt>
                <c:pt idx="282">
                  <c:v>41922</c:v>
                </c:pt>
                <c:pt idx="283">
                  <c:v>41923</c:v>
                </c:pt>
                <c:pt idx="284">
                  <c:v>41924</c:v>
                </c:pt>
                <c:pt idx="285">
                  <c:v>41925</c:v>
                </c:pt>
                <c:pt idx="286">
                  <c:v>41926</c:v>
                </c:pt>
                <c:pt idx="287">
                  <c:v>41927</c:v>
                </c:pt>
                <c:pt idx="288">
                  <c:v>41928</c:v>
                </c:pt>
                <c:pt idx="289">
                  <c:v>41929</c:v>
                </c:pt>
                <c:pt idx="290">
                  <c:v>41930</c:v>
                </c:pt>
                <c:pt idx="291">
                  <c:v>41931</c:v>
                </c:pt>
                <c:pt idx="292">
                  <c:v>41932</c:v>
                </c:pt>
                <c:pt idx="293">
                  <c:v>41933</c:v>
                </c:pt>
                <c:pt idx="294">
                  <c:v>41934</c:v>
                </c:pt>
                <c:pt idx="295">
                  <c:v>41935</c:v>
                </c:pt>
                <c:pt idx="296">
                  <c:v>41936</c:v>
                </c:pt>
                <c:pt idx="297">
                  <c:v>41937</c:v>
                </c:pt>
                <c:pt idx="298">
                  <c:v>41938</c:v>
                </c:pt>
                <c:pt idx="299">
                  <c:v>41939</c:v>
                </c:pt>
                <c:pt idx="300">
                  <c:v>41940</c:v>
                </c:pt>
                <c:pt idx="301">
                  <c:v>41941</c:v>
                </c:pt>
                <c:pt idx="302">
                  <c:v>41942</c:v>
                </c:pt>
                <c:pt idx="303">
                  <c:v>41943</c:v>
                </c:pt>
                <c:pt idx="304">
                  <c:v>41944</c:v>
                </c:pt>
                <c:pt idx="305">
                  <c:v>41945</c:v>
                </c:pt>
                <c:pt idx="306">
                  <c:v>41946</c:v>
                </c:pt>
                <c:pt idx="307">
                  <c:v>41947</c:v>
                </c:pt>
                <c:pt idx="308">
                  <c:v>41948</c:v>
                </c:pt>
                <c:pt idx="309">
                  <c:v>41949</c:v>
                </c:pt>
                <c:pt idx="310">
                  <c:v>41950</c:v>
                </c:pt>
                <c:pt idx="311">
                  <c:v>41951</c:v>
                </c:pt>
                <c:pt idx="312">
                  <c:v>41952</c:v>
                </c:pt>
                <c:pt idx="313">
                  <c:v>41953</c:v>
                </c:pt>
                <c:pt idx="314">
                  <c:v>41954</c:v>
                </c:pt>
                <c:pt idx="315">
                  <c:v>41955</c:v>
                </c:pt>
                <c:pt idx="316">
                  <c:v>41956</c:v>
                </c:pt>
                <c:pt idx="317">
                  <c:v>41957</c:v>
                </c:pt>
                <c:pt idx="318">
                  <c:v>41958</c:v>
                </c:pt>
                <c:pt idx="319">
                  <c:v>41959</c:v>
                </c:pt>
                <c:pt idx="320">
                  <c:v>41960</c:v>
                </c:pt>
                <c:pt idx="321">
                  <c:v>41961</c:v>
                </c:pt>
                <c:pt idx="322">
                  <c:v>41962</c:v>
                </c:pt>
                <c:pt idx="323">
                  <c:v>41963</c:v>
                </c:pt>
                <c:pt idx="324">
                  <c:v>41964</c:v>
                </c:pt>
                <c:pt idx="325">
                  <c:v>41965</c:v>
                </c:pt>
                <c:pt idx="326">
                  <c:v>41966</c:v>
                </c:pt>
                <c:pt idx="327">
                  <c:v>41967</c:v>
                </c:pt>
                <c:pt idx="328">
                  <c:v>41968</c:v>
                </c:pt>
                <c:pt idx="329">
                  <c:v>41969</c:v>
                </c:pt>
                <c:pt idx="330">
                  <c:v>41970</c:v>
                </c:pt>
                <c:pt idx="331">
                  <c:v>41971</c:v>
                </c:pt>
                <c:pt idx="332">
                  <c:v>41972</c:v>
                </c:pt>
                <c:pt idx="333">
                  <c:v>41973</c:v>
                </c:pt>
                <c:pt idx="334">
                  <c:v>41974</c:v>
                </c:pt>
                <c:pt idx="335">
                  <c:v>41975</c:v>
                </c:pt>
                <c:pt idx="336">
                  <c:v>41976</c:v>
                </c:pt>
                <c:pt idx="337">
                  <c:v>41977</c:v>
                </c:pt>
                <c:pt idx="338">
                  <c:v>41978</c:v>
                </c:pt>
                <c:pt idx="339">
                  <c:v>41979</c:v>
                </c:pt>
                <c:pt idx="340">
                  <c:v>41980</c:v>
                </c:pt>
                <c:pt idx="341">
                  <c:v>41981</c:v>
                </c:pt>
                <c:pt idx="342">
                  <c:v>41982</c:v>
                </c:pt>
                <c:pt idx="343">
                  <c:v>41983</c:v>
                </c:pt>
                <c:pt idx="344">
                  <c:v>41984</c:v>
                </c:pt>
                <c:pt idx="345">
                  <c:v>41985</c:v>
                </c:pt>
                <c:pt idx="346">
                  <c:v>41986</c:v>
                </c:pt>
                <c:pt idx="347">
                  <c:v>41987</c:v>
                </c:pt>
                <c:pt idx="348">
                  <c:v>41988</c:v>
                </c:pt>
                <c:pt idx="349">
                  <c:v>41989</c:v>
                </c:pt>
                <c:pt idx="350">
                  <c:v>41990</c:v>
                </c:pt>
                <c:pt idx="351">
                  <c:v>41991</c:v>
                </c:pt>
                <c:pt idx="352">
                  <c:v>41992</c:v>
                </c:pt>
                <c:pt idx="353">
                  <c:v>41993</c:v>
                </c:pt>
                <c:pt idx="354">
                  <c:v>41994</c:v>
                </c:pt>
                <c:pt idx="355">
                  <c:v>41995</c:v>
                </c:pt>
                <c:pt idx="356">
                  <c:v>41996</c:v>
                </c:pt>
                <c:pt idx="357">
                  <c:v>41997</c:v>
                </c:pt>
                <c:pt idx="358">
                  <c:v>41998</c:v>
                </c:pt>
                <c:pt idx="359">
                  <c:v>41999</c:v>
                </c:pt>
                <c:pt idx="360">
                  <c:v>42000</c:v>
                </c:pt>
                <c:pt idx="361">
                  <c:v>42001</c:v>
                </c:pt>
                <c:pt idx="362">
                  <c:v>42002</c:v>
                </c:pt>
                <c:pt idx="363">
                  <c:v>42003</c:v>
                </c:pt>
                <c:pt idx="364">
                  <c:v>42004</c:v>
                </c:pt>
                <c:pt idx="365">
                  <c:v>42005</c:v>
                </c:pt>
                <c:pt idx="366">
                  <c:v>42006</c:v>
                </c:pt>
                <c:pt idx="367">
                  <c:v>42007</c:v>
                </c:pt>
                <c:pt idx="368">
                  <c:v>42008</c:v>
                </c:pt>
                <c:pt idx="369">
                  <c:v>42009</c:v>
                </c:pt>
                <c:pt idx="370">
                  <c:v>42010</c:v>
                </c:pt>
                <c:pt idx="371">
                  <c:v>42011</c:v>
                </c:pt>
                <c:pt idx="372">
                  <c:v>42012</c:v>
                </c:pt>
                <c:pt idx="373">
                  <c:v>42013</c:v>
                </c:pt>
                <c:pt idx="374">
                  <c:v>42014</c:v>
                </c:pt>
                <c:pt idx="375">
                  <c:v>42015</c:v>
                </c:pt>
                <c:pt idx="376">
                  <c:v>42016</c:v>
                </c:pt>
                <c:pt idx="377">
                  <c:v>42017</c:v>
                </c:pt>
                <c:pt idx="378">
                  <c:v>42018</c:v>
                </c:pt>
                <c:pt idx="379">
                  <c:v>42019</c:v>
                </c:pt>
                <c:pt idx="380">
                  <c:v>42020</c:v>
                </c:pt>
                <c:pt idx="381">
                  <c:v>42021</c:v>
                </c:pt>
                <c:pt idx="382">
                  <c:v>42022</c:v>
                </c:pt>
                <c:pt idx="383">
                  <c:v>42023</c:v>
                </c:pt>
                <c:pt idx="384">
                  <c:v>42024</c:v>
                </c:pt>
                <c:pt idx="385">
                  <c:v>42025</c:v>
                </c:pt>
                <c:pt idx="386">
                  <c:v>42026</c:v>
                </c:pt>
                <c:pt idx="387">
                  <c:v>42027</c:v>
                </c:pt>
                <c:pt idx="388">
                  <c:v>42028</c:v>
                </c:pt>
                <c:pt idx="389">
                  <c:v>42029</c:v>
                </c:pt>
                <c:pt idx="390">
                  <c:v>42030</c:v>
                </c:pt>
                <c:pt idx="391">
                  <c:v>42031</c:v>
                </c:pt>
                <c:pt idx="392">
                  <c:v>42032</c:v>
                </c:pt>
                <c:pt idx="393">
                  <c:v>42033</c:v>
                </c:pt>
                <c:pt idx="394">
                  <c:v>42034</c:v>
                </c:pt>
                <c:pt idx="395">
                  <c:v>42035</c:v>
                </c:pt>
                <c:pt idx="396">
                  <c:v>42036</c:v>
                </c:pt>
                <c:pt idx="397">
                  <c:v>42037</c:v>
                </c:pt>
                <c:pt idx="398">
                  <c:v>42038</c:v>
                </c:pt>
                <c:pt idx="399">
                  <c:v>42039</c:v>
                </c:pt>
                <c:pt idx="400">
                  <c:v>42040</c:v>
                </c:pt>
                <c:pt idx="401">
                  <c:v>42041</c:v>
                </c:pt>
                <c:pt idx="402">
                  <c:v>42042</c:v>
                </c:pt>
                <c:pt idx="403">
                  <c:v>42043</c:v>
                </c:pt>
                <c:pt idx="404">
                  <c:v>42044</c:v>
                </c:pt>
                <c:pt idx="405">
                  <c:v>42045</c:v>
                </c:pt>
                <c:pt idx="406">
                  <c:v>42046</c:v>
                </c:pt>
                <c:pt idx="407">
                  <c:v>42047</c:v>
                </c:pt>
                <c:pt idx="408">
                  <c:v>42048</c:v>
                </c:pt>
                <c:pt idx="409">
                  <c:v>42049</c:v>
                </c:pt>
                <c:pt idx="410">
                  <c:v>42050</c:v>
                </c:pt>
                <c:pt idx="411">
                  <c:v>42051</c:v>
                </c:pt>
                <c:pt idx="412">
                  <c:v>42052</c:v>
                </c:pt>
                <c:pt idx="413">
                  <c:v>42053</c:v>
                </c:pt>
                <c:pt idx="414">
                  <c:v>42054</c:v>
                </c:pt>
                <c:pt idx="415">
                  <c:v>42055</c:v>
                </c:pt>
                <c:pt idx="416">
                  <c:v>42056</c:v>
                </c:pt>
                <c:pt idx="417">
                  <c:v>42057</c:v>
                </c:pt>
                <c:pt idx="418">
                  <c:v>42058</c:v>
                </c:pt>
                <c:pt idx="419">
                  <c:v>42059</c:v>
                </c:pt>
                <c:pt idx="420">
                  <c:v>42060</c:v>
                </c:pt>
                <c:pt idx="421">
                  <c:v>42061</c:v>
                </c:pt>
                <c:pt idx="422">
                  <c:v>42062</c:v>
                </c:pt>
                <c:pt idx="423">
                  <c:v>42063</c:v>
                </c:pt>
                <c:pt idx="424">
                  <c:v>42064</c:v>
                </c:pt>
                <c:pt idx="425">
                  <c:v>42065</c:v>
                </c:pt>
                <c:pt idx="426">
                  <c:v>42066</c:v>
                </c:pt>
                <c:pt idx="427">
                  <c:v>42067</c:v>
                </c:pt>
                <c:pt idx="428">
                  <c:v>42068</c:v>
                </c:pt>
                <c:pt idx="429">
                  <c:v>42069</c:v>
                </c:pt>
                <c:pt idx="430">
                  <c:v>42070</c:v>
                </c:pt>
                <c:pt idx="431">
                  <c:v>42071</c:v>
                </c:pt>
                <c:pt idx="432">
                  <c:v>42072</c:v>
                </c:pt>
                <c:pt idx="433">
                  <c:v>42073</c:v>
                </c:pt>
                <c:pt idx="434">
                  <c:v>42074</c:v>
                </c:pt>
                <c:pt idx="435">
                  <c:v>42075</c:v>
                </c:pt>
                <c:pt idx="436">
                  <c:v>42076</c:v>
                </c:pt>
                <c:pt idx="437">
                  <c:v>42077</c:v>
                </c:pt>
                <c:pt idx="438">
                  <c:v>42078</c:v>
                </c:pt>
                <c:pt idx="439">
                  <c:v>42079</c:v>
                </c:pt>
                <c:pt idx="440">
                  <c:v>42080</c:v>
                </c:pt>
                <c:pt idx="441">
                  <c:v>42081</c:v>
                </c:pt>
                <c:pt idx="442">
                  <c:v>42082</c:v>
                </c:pt>
                <c:pt idx="443">
                  <c:v>42083</c:v>
                </c:pt>
                <c:pt idx="444">
                  <c:v>42084</c:v>
                </c:pt>
                <c:pt idx="445">
                  <c:v>42085</c:v>
                </c:pt>
                <c:pt idx="446">
                  <c:v>42086</c:v>
                </c:pt>
                <c:pt idx="447">
                  <c:v>42087</c:v>
                </c:pt>
                <c:pt idx="448">
                  <c:v>42088</c:v>
                </c:pt>
                <c:pt idx="449">
                  <c:v>42089</c:v>
                </c:pt>
                <c:pt idx="450">
                  <c:v>42090</c:v>
                </c:pt>
                <c:pt idx="451">
                  <c:v>42091</c:v>
                </c:pt>
                <c:pt idx="452">
                  <c:v>42092</c:v>
                </c:pt>
                <c:pt idx="453">
                  <c:v>42093</c:v>
                </c:pt>
                <c:pt idx="454">
                  <c:v>42094</c:v>
                </c:pt>
                <c:pt idx="455">
                  <c:v>42095</c:v>
                </c:pt>
                <c:pt idx="456">
                  <c:v>42096</c:v>
                </c:pt>
                <c:pt idx="457">
                  <c:v>42097</c:v>
                </c:pt>
                <c:pt idx="458">
                  <c:v>42098</c:v>
                </c:pt>
                <c:pt idx="459">
                  <c:v>42099</c:v>
                </c:pt>
                <c:pt idx="460">
                  <c:v>42100</c:v>
                </c:pt>
                <c:pt idx="461">
                  <c:v>42101</c:v>
                </c:pt>
                <c:pt idx="462">
                  <c:v>42102</c:v>
                </c:pt>
                <c:pt idx="463">
                  <c:v>42103</c:v>
                </c:pt>
                <c:pt idx="464">
                  <c:v>42104</c:v>
                </c:pt>
                <c:pt idx="465">
                  <c:v>42105</c:v>
                </c:pt>
                <c:pt idx="466">
                  <c:v>42106</c:v>
                </c:pt>
                <c:pt idx="467">
                  <c:v>42107</c:v>
                </c:pt>
                <c:pt idx="468">
                  <c:v>42108</c:v>
                </c:pt>
                <c:pt idx="469">
                  <c:v>42109</c:v>
                </c:pt>
                <c:pt idx="470">
                  <c:v>42110</c:v>
                </c:pt>
                <c:pt idx="471">
                  <c:v>42111</c:v>
                </c:pt>
                <c:pt idx="472">
                  <c:v>42112</c:v>
                </c:pt>
                <c:pt idx="473">
                  <c:v>42113</c:v>
                </c:pt>
                <c:pt idx="474">
                  <c:v>42114</c:v>
                </c:pt>
                <c:pt idx="475">
                  <c:v>42115</c:v>
                </c:pt>
                <c:pt idx="476">
                  <c:v>42116</c:v>
                </c:pt>
                <c:pt idx="477">
                  <c:v>42117</c:v>
                </c:pt>
                <c:pt idx="478">
                  <c:v>42118</c:v>
                </c:pt>
                <c:pt idx="479">
                  <c:v>42119</c:v>
                </c:pt>
                <c:pt idx="480">
                  <c:v>42120</c:v>
                </c:pt>
                <c:pt idx="481">
                  <c:v>42121</c:v>
                </c:pt>
                <c:pt idx="482">
                  <c:v>42122</c:v>
                </c:pt>
                <c:pt idx="483">
                  <c:v>42123</c:v>
                </c:pt>
                <c:pt idx="484">
                  <c:v>42124</c:v>
                </c:pt>
                <c:pt idx="485">
                  <c:v>42125</c:v>
                </c:pt>
                <c:pt idx="486">
                  <c:v>42126</c:v>
                </c:pt>
                <c:pt idx="487">
                  <c:v>42127</c:v>
                </c:pt>
                <c:pt idx="488">
                  <c:v>42128</c:v>
                </c:pt>
                <c:pt idx="489">
                  <c:v>42129</c:v>
                </c:pt>
                <c:pt idx="490">
                  <c:v>42130</c:v>
                </c:pt>
                <c:pt idx="491">
                  <c:v>42131</c:v>
                </c:pt>
                <c:pt idx="492">
                  <c:v>42132</c:v>
                </c:pt>
                <c:pt idx="493">
                  <c:v>42133</c:v>
                </c:pt>
                <c:pt idx="494">
                  <c:v>42134</c:v>
                </c:pt>
                <c:pt idx="495">
                  <c:v>42135</c:v>
                </c:pt>
                <c:pt idx="496">
                  <c:v>42136</c:v>
                </c:pt>
                <c:pt idx="497">
                  <c:v>42137</c:v>
                </c:pt>
                <c:pt idx="498">
                  <c:v>42138</c:v>
                </c:pt>
                <c:pt idx="499">
                  <c:v>42139</c:v>
                </c:pt>
                <c:pt idx="500">
                  <c:v>42140</c:v>
                </c:pt>
                <c:pt idx="501">
                  <c:v>42141</c:v>
                </c:pt>
                <c:pt idx="502">
                  <c:v>42142</c:v>
                </c:pt>
                <c:pt idx="503">
                  <c:v>42143</c:v>
                </c:pt>
                <c:pt idx="504">
                  <c:v>42144</c:v>
                </c:pt>
                <c:pt idx="505">
                  <c:v>42145</c:v>
                </c:pt>
                <c:pt idx="506">
                  <c:v>42146</c:v>
                </c:pt>
                <c:pt idx="507">
                  <c:v>42147</c:v>
                </c:pt>
                <c:pt idx="508">
                  <c:v>42148</c:v>
                </c:pt>
                <c:pt idx="509">
                  <c:v>42149</c:v>
                </c:pt>
                <c:pt idx="510">
                  <c:v>42150</c:v>
                </c:pt>
                <c:pt idx="511">
                  <c:v>42151</c:v>
                </c:pt>
                <c:pt idx="512">
                  <c:v>42152</c:v>
                </c:pt>
                <c:pt idx="513">
                  <c:v>42153</c:v>
                </c:pt>
                <c:pt idx="514">
                  <c:v>42154</c:v>
                </c:pt>
                <c:pt idx="515">
                  <c:v>42155</c:v>
                </c:pt>
                <c:pt idx="516">
                  <c:v>42156</c:v>
                </c:pt>
                <c:pt idx="517">
                  <c:v>42157</c:v>
                </c:pt>
                <c:pt idx="518">
                  <c:v>42158</c:v>
                </c:pt>
                <c:pt idx="519">
                  <c:v>42159</c:v>
                </c:pt>
                <c:pt idx="520">
                  <c:v>42160</c:v>
                </c:pt>
                <c:pt idx="521">
                  <c:v>42161</c:v>
                </c:pt>
                <c:pt idx="522">
                  <c:v>42162</c:v>
                </c:pt>
                <c:pt idx="523">
                  <c:v>42163</c:v>
                </c:pt>
                <c:pt idx="524">
                  <c:v>42164</c:v>
                </c:pt>
                <c:pt idx="525">
                  <c:v>42165</c:v>
                </c:pt>
                <c:pt idx="526">
                  <c:v>42166</c:v>
                </c:pt>
                <c:pt idx="527">
                  <c:v>42167</c:v>
                </c:pt>
                <c:pt idx="528">
                  <c:v>42168</c:v>
                </c:pt>
                <c:pt idx="529">
                  <c:v>42169</c:v>
                </c:pt>
                <c:pt idx="530">
                  <c:v>42170</c:v>
                </c:pt>
                <c:pt idx="531">
                  <c:v>42171</c:v>
                </c:pt>
                <c:pt idx="532">
                  <c:v>42172</c:v>
                </c:pt>
                <c:pt idx="533">
                  <c:v>42173</c:v>
                </c:pt>
                <c:pt idx="534">
                  <c:v>42174</c:v>
                </c:pt>
                <c:pt idx="535">
                  <c:v>42175</c:v>
                </c:pt>
                <c:pt idx="536">
                  <c:v>42176</c:v>
                </c:pt>
                <c:pt idx="537">
                  <c:v>42177</c:v>
                </c:pt>
                <c:pt idx="538">
                  <c:v>42178</c:v>
                </c:pt>
                <c:pt idx="539">
                  <c:v>42179</c:v>
                </c:pt>
                <c:pt idx="540">
                  <c:v>42180</c:v>
                </c:pt>
                <c:pt idx="541">
                  <c:v>42181</c:v>
                </c:pt>
                <c:pt idx="542">
                  <c:v>42182</c:v>
                </c:pt>
                <c:pt idx="543">
                  <c:v>42183</c:v>
                </c:pt>
                <c:pt idx="544">
                  <c:v>42184</c:v>
                </c:pt>
                <c:pt idx="545">
                  <c:v>42185</c:v>
                </c:pt>
                <c:pt idx="546">
                  <c:v>42186</c:v>
                </c:pt>
                <c:pt idx="547">
                  <c:v>42187</c:v>
                </c:pt>
                <c:pt idx="548">
                  <c:v>42188</c:v>
                </c:pt>
                <c:pt idx="549">
                  <c:v>42189</c:v>
                </c:pt>
                <c:pt idx="550">
                  <c:v>42190</c:v>
                </c:pt>
                <c:pt idx="551">
                  <c:v>42191</c:v>
                </c:pt>
                <c:pt idx="552">
                  <c:v>42192</c:v>
                </c:pt>
                <c:pt idx="553">
                  <c:v>42193</c:v>
                </c:pt>
                <c:pt idx="554">
                  <c:v>42194</c:v>
                </c:pt>
                <c:pt idx="555">
                  <c:v>42195</c:v>
                </c:pt>
                <c:pt idx="556">
                  <c:v>42196</c:v>
                </c:pt>
                <c:pt idx="557">
                  <c:v>42197</c:v>
                </c:pt>
                <c:pt idx="558">
                  <c:v>42198</c:v>
                </c:pt>
                <c:pt idx="559">
                  <c:v>42199</c:v>
                </c:pt>
                <c:pt idx="560">
                  <c:v>42200</c:v>
                </c:pt>
                <c:pt idx="561">
                  <c:v>42201</c:v>
                </c:pt>
                <c:pt idx="562">
                  <c:v>42202</c:v>
                </c:pt>
                <c:pt idx="563">
                  <c:v>42203</c:v>
                </c:pt>
                <c:pt idx="564">
                  <c:v>42204</c:v>
                </c:pt>
                <c:pt idx="565">
                  <c:v>42205</c:v>
                </c:pt>
                <c:pt idx="566">
                  <c:v>42206</c:v>
                </c:pt>
                <c:pt idx="567">
                  <c:v>42207</c:v>
                </c:pt>
                <c:pt idx="568">
                  <c:v>42208</c:v>
                </c:pt>
                <c:pt idx="569">
                  <c:v>42209</c:v>
                </c:pt>
                <c:pt idx="570">
                  <c:v>42210</c:v>
                </c:pt>
                <c:pt idx="571">
                  <c:v>42211</c:v>
                </c:pt>
                <c:pt idx="572">
                  <c:v>42212</c:v>
                </c:pt>
                <c:pt idx="573">
                  <c:v>42213</c:v>
                </c:pt>
                <c:pt idx="574">
                  <c:v>42214</c:v>
                </c:pt>
                <c:pt idx="575">
                  <c:v>42215</c:v>
                </c:pt>
                <c:pt idx="576">
                  <c:v>42216</c:v>
                </c:pt>
              </c:numCache>
            </c:numRef>
          </c:cat>
          <c:val>
            <c:numRef>
              <c:f>Crop!$K$49:$K$625</c:f>
              <c:numCache>
                <c:formatCode>0.00</c:formatCode>
                <c:ptCount val="577"/>
                <c:pt idx="0">
                  <c:v>0.94034754308832524</c:v>
                </c:pt>
                <c:pt idx="1">
                  <c:v>0.93755718163841528</c:v>
                </c:pt>
                <c:pt idx="2">
                  <c:v>0.93476682018850532</c:v>
                </c:pt>
                <c:pt idx="3">
                  <c:v>0.93197645873859536</c:v>
                </c:pt>
                <c:pt idx="4">
                  <c:v>0.9291860972886854</c:v>
                </c:pt>
                <c:pt idx="5">
                  <c:v>0.92639573583877521</c:v>
                </c:pt>
                <c:pt idx="6">
                  <c:v>0.93077895058450666</c:v>
                </c:pt>
                <c:pt idx="7">
                  <c:v>0.93632780254464432</c:v>
                </c:pt>
                <c:pt idx="8">
                  <c:v>0.94300294252322692</c:v>
                </c:pt>
                <c:pt idx="9">
                  <c:v>0.95076502132429297</c:v>
                </c:pt>
                <c:pt idx="10">
                  <c:v>0.95957468975188176</c:v>
                </c:pt>
                <c:pt idx="11">
                  <c:v>0.9693925986100318</c:v>
                </c:pt>
                <c:pt idx="12">
                  <c:v>0.98017939870278192</c:v>
                </c:pt>
                <c:pt idx="13">
                  <c:v>0.99189574083417142</c:v>
                </c:pt>
                <c:pt idx="14">
                  <c:v>1.0045022758082387</c:v>
                </c:pt>
                <c:pt idx="15">
                  <c:v>1.0179620672571157</c:v>
                </c:pt>
                <c:pt idx="16">
                  <c:v>1.032247830125304</c:v>
                </c:pt>
                <c:pt idx="17">
                  <c:v>1.047334692185399</c:v>
                </c:pt>
                <c:pt idx="18">
                  <c:v>1.0631977812099955</c:v>
                </c:pt>
                <c:pt idx="19">
                  <c:v>1.0798122249716882</c:v>
                </c:pt>
                <c:pt idx="20">
                  <c:v>1.0971531512430717</c:v>
                </c:pt>
                <c:pt idx="21">
                  <c:v>1.1151956877967413</c:v>
                </c:pt>
                <c:pt idx="22">
                  <c:v>1.133914962405292</c:v>
                </c:pt>
                <c:pt idx="23">
                  <c:v>1.1532861028413177</c:v>
                </c:pt>
                <c:pt idx="24">
                  <c:v>1.1732842368774141</c:v>
                </c:pt>
                <c:pt idx="25">
                  <c:v>1.193884492286176</c:v>
                </c:pt>
                <c:pt idx="26">
                  <c:v>1.2150619968401979</c:v>
                </c:pt>
                <c:pt idx="27">
                  <c:v>1.236791878312075</c:v>
                </c:pt>
                <c:pt idx="28">
                  <c:v>1.2590492644744016</c:v>
                </c:pt>
                <c:pt idx="29">
                  <c:v>1.2818092830997729</c:v>
                </c:pt>
                <c:pt idx="30">
                  <c:v>1.3050470619607843</c:v>
                </c:pt>
                <c:pt idx="31">
                  <c:v>1.3287377288300295</c:v>
                </c:pt>
                <c:pt idx="32">
                  <c:v>1.3528564114801045</c:v>
                </c:pt>
                <c:pt idx="33">
                  <c:v>1.377378237683603</c:v>
                </c:pt>
                <c:pt idx="34">
                  <c:v>1.4022783352131207</c:v>
                </c:pt>
                <c:pt idx="35">
                  <c:v>1.4275318318412524</c:v>
                </c:pt>
                <c:pt idx="36">
                  <c:v>1.4531138553405927</c:v>
                </c:pt>
                <c:pt idx="37">
                  <c:v>1.4789995334837365</c:v>
                </c:pt>
                <c:pt idx="38">
                  <c:v>1.5051639940432782</c:v>
                </c:pt>
                <c:pt idx="39">
                  <c:v>1.5315823647918134</c:v>
                </c:pt>
                <c:pt idx="40">
                  <c:v>1.5582297735019368</c:v>
                </c:pt>
                <c:pt idx="41">
                  <c:v>1.5850813479462431</c:v>
                </c:pt>
                <c:pt idx="42">
                  <c:v>1.6121122158973267</c:v>
                </c:pt>
                <c:pt idx="43">
                  <c:v>1.6392975051277832</c:v>
                </c:pt>
                <c:pt idx="44">
                  <c:v>1.6666123434102071</c:v>
                </c:pt>
                <c:pt idx="45">
                  <c:v>1.6940318585171934</c:v>
                </c:pt>
                <c:pt idx="46">
                  <c:v>1.7215417764472893</c:v>
                </c:pt>
                <c:pt idx="47">
                  <c:v>1.7491702161028528</c:v>
                </c:pt>
                <c:pt idx="48">
                  <c:v>1.7769558946121939</c:v>
                </c:pt>
                <c:pt idx="49">
                  <c:v>1.8049375291036236</c:v>
                </c:pt>
                <c:pt idx="50">
                  <c:v>1.8331538367054514</c:v>
                </c:pt>
                <c:pt idx="51">
                  <c:v>1.861643534545989</c:v>
                </c:pt>
                <c:pt idx="52">
                  <c:v>1.8904453397535455</c:v>
                </c:pt>
                <c:pt idx="53">
                  <c:v>1.9195979694564316</c:v>
                </c:pt>
                <c:pt idx="54">
                  <c:v>1.9491401407829581</c:v>
                </c:pt>
                <c:pt idx="55">
                  <c:v>1.9791105708614347</c:v>
                </c:pt>
                <c:pt idx="56">
                  <c:v>2.0095479768201732</c:v>
                </c:pt>
                <c:pt idx="57">
                  <c:v>2.0404910757874815</c:v>
                </c:pt>
                <c:pt idx="58">
                  <c:v>2.0719785848916725</c:v>
                </c:pt>
                <c:pt idx="59">
                  <c:v>2.1040492212610551</c:v>
                </c:pt>
                <c:pt idx="60">
                  <c:v>2.1367417020239401</c:v>
                </c:pt>
                <c:pt idx="61">
                  <c:v>2.1700947443086385</c:v>
                </c:pt>
                <c:pt idx="62">
                  <c:v>2.2041470652434585</c:v>
                </c:pt>
                <c:pt idx="63">
                  <c:v>2.2389373819567133</c:v>
                </c:pt>
                <c:pt idx="64">
                  <c:v>2.2745044115767117</c:v>
                </c:pt>
                <c:pt idx="65">
                  <c:v>2.3108868712317641</c:v>
                </c:pt>
                <c:pt idx="66">
                  <c:v>2.3481234780501814</c:v>
                </c:pt>
                <c:pt idx="67">
                  <c:v>2.3862529491602733</c:v>
                </c:pt>
                <c:pt idx="68">
                  <c:v>2.4253140016903516</c:v>
                </c:pt>
                <c:pt idx="69">
                  <c:v>2.4653453527687246</c:v>
                </c:pt>
                <c:pt idx="70">
                  <c:v>2.506385719523704</c:v>
                </c:pt>
                <c:pt idx="71">
                  <c:v>2.5484738190836005</c:v>
                </c:pt>
                <c:pt idx="72">
                  <c:v>2.5916483685767231</c:v>
                </c:pt>
                <c:pt idx="73">
                  <c:v>2.6359480851313828</c:v>
                </c:pt>
                <c:pt idx="74">
                  <c:v>2.6814116858758905</c:v>
                </c:pt>
                <c:pt idx="75">
                  <c:v>2.7280778879385563</c:v>
                </c:pt>
                <c:pt idx="76">
                  <c:v>2.7759654219725172</c:v>
                </c:pt>
                <c:pt idx="77">
                  <c:v>2.8250130727302176</c:v>
                </c:pt>
                <c:pt idx="78">
                  <c:v>2.8751396384889283</c:v>
                </c:pt>
                <c:pt idx="79">
                  <c:v>2.9262639175259211</c:v>
                </c:pt>
                <c:pt idx="80">
                  <c:v>2.978304708118467</c:v>
                </c:pt>
                <c:pt idx="81">
                  <c:v>3.0311808085438354</c:v>
                </c:pt>
                <c:pt idx="82">
                  <c:v>3.0848110170792999</c:v>
                </c:pt>
                <c:pt idx="83">
                  <c:v>3.1391141320021307</c:v>
                </c:pt>
                <c:pt idx="84">
                  <c:v>3.1940089515895989</c:v>
                </c:pt>
                <c:pt idx="85">
                  <c:v>3.2494142741189744</c:v>
                </c:pt>
                <c:pt idx="86">
                  <c:v>3.3052488978675303</c:v>
                </c:pt>
                <c:pt idx="87">
                  <c:v>3.3614316211125357</c:v>
                </c:pt>
                <c:pt idx="88">
                  <c:v>3.4178812421312639</c:v>
                </c:pt>
                <c:pt idx="89">
                  <c:v>3.4745165592009837</c:v>
                </c:pt>
                <c:pt idx="90">
                  <c:v>3.5312563705989684</c:v>
                </c:pt>
                <c:pt idx="91">
                  <c:v>3.5880194746024872</c:v>
                </c:pt>
                <c:pt idx="92">
                  <c:v>3.6447246694888125</c:v>
                </c:pt>
                <c:pt idx="93">
                  <c:v>3.7012907535352157</c:v>
                </c:pt>
                <c:pt idx="94">
                  <c:v>3.7576365250189658</c:v>
                </c:pt>
                <c:pt idx="95">
                  <c:v>3.813680782217336</c:v>
                </c:pt>
                <c:pt idx="96">
                  <c:v>3.8693423234075963</c:v>
                </c:pt>
                <c:pt idx="97">
                  <c:v>3.9245399468670183</c:v>
                </c:pt>
                <c:pt idx="98">
                  <c:v>3.9791924508728735</c:v>
                </c:pt>
                <c:pt idx="99">
                  <c:v>4.0332186337024316</c:v>
                </c:pt>
                <c:pt idx="100">
                  <c:v>4.0865372936329658</c:v>
                </c:pt>
                <c:pt idx="101">
                  <c:v>4.1390672289417454</c:v>
                </c:pt>
                <c:pt idx="102">
                  <c:v>4.1907272379060423</c:v>
                </c:pt>
                <c:pt idx="103">
                  <c:v>4.2414361188031267</c:v>
                </c:pt>
                <c:pt idx="104">
                  <c:v>4.2911126699102713</c:v>
                </c:pt>
                <c:pt idx="105">
                  <c:v>4.3396756895047464</c:v>
                </c:pt>
                <c:pt idx="106">
                  <c:v>4.387043975863822</c:v>
                </c:pt>
                <c:pt idx="107">
                  <c:v>4.4331614375984358</c:v>
                </c:pt>
                <c:pt idx="108">
                  <c:v>4.4780724246541812</c:v>
                </c:pt>
                <c:pt idx="109">
                  <c:v>4.5218463973103189</c:v>
                </c:pt>
                <c:pt idx="110">
                  <c:v>4.5645528158461053</c:v>
                </c:pt>
                <c:pt idx="111">
                  <c:v>4.6062611405408038</c:v>
                </c:pt>
                <c:pt idx="112">
                  <c:v>4.64704083167367</c:v>
                </c:pt>
                <c:pt idx="113">
                  <c:v>4.6869613495239664</c:v>
                </c:pt>
                <c:pt idx="114">
                  <c:v>4.7260921543709484</c:v>
                </c:pt>
                <c:pt idx="115">
                  <c:v>4.7645027064938796</c:v>
                </c:pt>
                <c:pt idx="116">
                  <c:v>4.8022624661720164</c:v>
                </c:pt>
                <c:pt idx="117">
                  <c:v>4.8394408936846185</c:v>
                </c:pt>
                <c:pt idx="118">
                  <c:v>4.8761074493109486</c:v>
                </c:pt>
                <c:pt idx="119">
                  <c:v>4.9123315933302614</c:v>
                </c:pt>
                <c:pt idx="120">
                  <c:v>4.9481827860218184</c:v>
                </c:pt>
                <c:pt idx="121">
                  <c:v>4.9837304876648787</c:v>
                </c:pt>
                <c:pt idx="122">
                  <c:v>5.0190441585387022</c:v>
                </c:pt>
                <c:pt idx="123">
                  <c:v>5.0541932589225471</c:v>
                </c:pt>
                <c:pt idx="124">
                  <c:v>5.0892472490956724</c:v>
                </c:pt>
                <c:pt idx="125">
                  <c:v>5.1242755893373388</c:v>
                </c:pt>
                <c:pt idx="126">
                  <c:v>5.1593477399268064</c:v>
                </c:pt>
                <c:pt idx="127">
                  <c:v>5.1945331611433323</c:v>
                </c:pt>
                <c:pt idx="128">
                  <c:v>5.2299013132661765</c:v>
                </c:pt>
                <c:pt idx="129">
                  <c:v>5.2655216565746006</c:v>
                </c:pt>
                <c:pt idx="130">
                  <c:v>5.3014636513478592</c:v>
                </c:pt>
                <c:pt idx="131">
                  <c:v>5.337796757865215</c:v>
                </c:pt>
                <c:pt idx="132">
                  <c:v>5.3745904364059269</c:v>
                </c:pt>
                <c:pt idx="133">
                  <c:v>5.4119141472492549</c:v>
                </c:pt>
                <c:pt idx="134">
                  <c:v>5.4498373506744562</c:v>
                </c:pt>
                <c:pt idx="135">
                  <c:v>5.4884295069607925</c:v>
                </c:pt>
                <c:pt idx="136">
                  <c:v>5.527760076387521</c:v>
                </c:pt>
                <c:pt idx="137">
                  <c:v>5.5678747829203816</c:v>
                </c:pt>
                <c:pt idx="138">
                  <c:v>5.6087244052710208</c:v>
                </c:pt>
                <c:pt idx="139">
                  <c:v>5.6502359858375657</c:v>
                </c:pt>
                <c:pt idx="140">
                  <c:v>5.6923365670181481</c:v>
                </c:pt>
                <c:pt idx="141">
                  <c:v>5.7349531912108906</c:v>
                </c:pt>
                <c:pt idx="142">
                  <c:v>5.7780129008139216</c:v>
                </c:pt>
                <c:pt idx="143">
                  <c:v>5.82144273822537</c:v>
                </c:pt>
                <c:pt idx="144">
                  <c:v>5.865169745843362</c:v>
                </c:pt>
                <c:pt idx="145">
                  <c:v>5.909120966066026</c:v>
                </c:pt>
                <c:pt idx="146">
                  <c:v>5.9532234412914873</c:v>
                </c:pt>
                <c:pt idx="147">
                  <c:v>5.997404213917874</c:v>
                </c:pt>
                <c:pt idx="148">
                  <c:v>6.0415903263433135</c:v>
                </c:pt>
                <c:pt idx="149">
                  <c:v>6.0857088209659347</c:v>
                </c:pt>
                <c:pt idx="150">
                  <c:v>6.1296867401838613</c:v>
                </c:pt>
                <c:pt idx="151">
                  <c:v>6.1734511263952241</c:v>
                </c:pt>
                <c:pt idx="152">
                  <c:v>6.2169290219981495</c:v>
                </c:pt>
                <c:pt idx="153">
                  <c:v>6.2600474693907628</c:v>
                </c:pt>
                <c:pt idx="154">
                  <c:v>6.3027335109711942</c:v>
                </c:pt>
                <c:pt idx="155">
                  <c:v>6.3449141891375689</c:v>
                </c:pt>
                <c:pt idx="156">
                  <c:v>6.3865165462880151</c:v>
                </c:pt>
                <c:pt idx="157">
                  <c:v>6.4274676248206601</c:v>
                </c:pt>
                <c:pt idx="158">
                  <c:v>6.4676944671336312</c:v>
                </c:pt>
                <c:pt idx="159">
                  <c:v>6.5071241156250563</c:v>
                </c:pt>
                <c:pt idx="160">
                  <c:v>6.5456836126930602</c:v>
                </c:pt>
                <c:pt idx="161">
                  <c:v>6.5833000007357736</c:v>
                </c:pt>
                <c:pt idx="162">
                  <c:v>6.619900322151322</c:v>
                </c:pt>
                <c:pt idx="163">
                  <c:v>6.6554116193378325</c:v>
                </c:pt>
                <c:pt idx="164">
                  <c:v>6.6897609346934326</c:v>
                </c:pt>
                <c:pt idx="165">
                  <c:v>6.7228753106162502</c:v>
                </c:pt>
                <c:pt idx="166">
                  <c:v>6.7546817895044136</c:v>
                </c:pt>
                <c:pt idx="167">
                  <c:v>6.7851074137560472</c:v>
                </c:pt>
                <c:pt idx="168">
                  <c:v>6.8140941815019502</c:v>
                </c:pt>
                <c:pt idx="169">
                  <c:v>6.8416439138036091</c:v>
                </c:pt>
                <c:pt idx="170">
                  <c:v>6.8677733874551725</c:v>
                </c:pt>
                <c:pt idx="171">
                  <c:v>6.8924993792507969</c:v>
                </c:pt>
                <c:pt idx="172">
                  <c:v>6.9158386659846371</c:v>
                </c:pt>
                <c:pt idx="173">
                  <c:v>6.9378080244508462</c:v>
                </c:pt>
                <c:pt idx="174">
                  <c:v>6.9584242314435771</c:v>
                </c:pt>
                <c:pt idx="175">
                  <c:v>6.9777040637569847</c:v>
                </c:pt>
                <c:pt idx="176">
                  <c:v>6.995664298185222</c:v>
                </c:pt>
                <c:pt idx="177">
                  <c:v>7.0123217115224463</c:v>
                </c:pt>
                <c:pt idx="178">
                  <c:v>7.0276930805628064</c:v>
                </c:pt>
                <c:pt idx="179">
                  <c:v>7.0417951821004605</c:v>
                </c:pt>
                <c:pt idx="180">
                  <c:v>7.0546447929295608</c:v>
                </c:pt>
                <c:pt idx="181">
                  <c:v>7.0662586898442612</c:v>
                </c:pt>
                <c:pt idx="182">
                  <c:v>7.0766536496387156</c:v>
                </c:pt>
                <c:pt idx="183">
                  <c:v>7.0858464491070778</c:v>
                </c:pt>
                <c:pt idx="184">
                  <c:v>7.0938538650435019</c:v>
                </c:pt>
                <c:pt idx="185">
                  <c:v>7.1006926742421435</c:v>
                </c:pt>
                <c:pt idx="186">
                  <c:v>7.1063796534971519</c:v>
                </c:pt>
                <c:pt idx="187">
                  <c:v>7.1109315796026875</c:v>
                </c:pt>
                <c:pt idx="188">
                  <c:v>7.1143652293528987</c:v>
                </c:pt>
                <c:pt idx="189">
                  <c:v>7.1166973795419421</c:v>
                </c:pt>
                <c:pt idx="190">
                  <c:v>7.1179448069639726</c:v>
                </c:pt>
                <c:pt idx="191">
                  <c:v>7.1181242884131413</c:v>
                </c:pt>
                <c:pt idx="192">
                  <c:v>7.1172526006836039</c:v>
                </c:pt>
                <c:pt idx="193">
                  <c:v>7.1153465205695134</c:v>
                </c:pt>
                <c:pt idx="194">
                  <c:v>7.1124228248650248</c:v>
                </c:pt>
                <c:pt idx="195">
                  <c:v>7.1084982903642908</c:v>
                </c:pt>
                <c:pt idx="196">
                  <c:v>7.1035896938614673</c:v>
                </c:pt>
                <c:pt idx="197">
                  <c:v>7.0977138121507055</c:v>
                </c:pt>
                <c:pt idx="198">
                  <c:v>7.0908862869129381</c:v>
                </c:pt>
                <c:pt idx="199">
                  <c:v>7.0831182193761935</c:v>
                </c:pt>
                <c:pt idx="200">
                  <c:v>7.0744195756552841</c:v>
                </c:pt>
                <c:pt idx="201">
                  <c:v>7.0648003218650155</c:v>
                </c:pt>
                <c:pt idx="202">
                  <c:v>7.0542704241201983</c:v>
                </c:pt>
                <c:pt idx="203">
                  <c:v>7.0428398485356372</c:v>
                </c:pt>
                <c:pt idx="204">
                  <c:v>7.0305185612261427</c:v>
                </c:pt>
                <c:pt idx="205">
                  <c:v>7.0173165283065222</c:v>
                </c:pt>
                <c:pt idx="206">
                  <c:v>7.0032437158915837</c:v>
                </c:pt>
                <c:pt idx="207">
                  <c:v>6.9883100900961344</c:v>
                </c:pt>
                <c:pt idx="208">
                  <c:v>6.9725256170349859</c:v>
                </c:pt>
                <c:pt idx="209">
                  <c:v>6.9559002628229436</c:v>
                </c:pt>
                <c:pt idx="210">
                  <c:v>6.9384439935748148</c:v>
                </c:pt>
                <c:pt idx="211">
                  <c:v>6.9201667754054093</c:v>
                </c:pt>
                <c:pt idx="212">
                  <c:v>6.9010785744295369</c:v>
                </c:pt>
                <c:pt idx="213">
                  <c:v>6.8811893567620013</c:v>
                </c:pt>
                <c:pt idx="214">
                  <c:v>6.8605090885176132</c:v>
                </c:pt>
                <c:pt idx="215">
                  <c:v>6.8390477358111816</c:v>
                </c:pt>
                <c:pt idx="216">
                  <c:v>6.8168152647575129</c:v>
                </c:pt>
                <c:pt idx="217">
                  <c:v>6.7938216414714168</c:v>
                </c:pt>
                <c:pt idx="218">
                  <c:v>6.7700768320676987</c:v>
                </c:pt>
                <c:pt idx="219">
                  <c:v>6.7455908026611704</c:v>
                </c:pt>
                <c:pt idx="220">
                  <c:v>6.7203735193666381</c:v>
                </c:pt>
                <c:pt idx="221">
                  <c:v>6.6944349482989081</c:v>
                </c:pt>
                <c:pt idx="222">
                  <c:v>6.6677850555727929</c:v>
                </c:pt>
                <c:pt idx="223">
                  <c:v>6.640433807303098</c:v>
                </c:pt>
                <c:pt idx="224">
                  <c:v>6.6123911696046314</c:v>
                </c:pt>
                <c:pt idx="225">
                  <c:v>6.5836671085922021</c:v>
                </c:pt>
                <c:pt idx="226">
                  <c:v>6.5542715903806164</c:v>
                </c:pt>
                <c:pt idx="227">
                  <c:v>6.5242145810846859</c:v>
                </c:pt>
                <c:pt idx="228">
                  <c:v>6.4935060468192152</c:v>
                </c:pt>
                <c:pt idx="229">
                  <c:v>6.4621570499376428</c:v>
                </c:pt>
                <c:pt idx="230">
                  <c:v>6.4301830377479163</c:v>
                </c:pt>
                <c:pt idx="231">
                  <c:v>6.3976005537966154</c:v>
                </c:pt>
                <c:pt idx="232">
                  <c:v>6.3644261416303154</c:v>
                </c:pt>
                <c:pt idx="233">
                  <c:v>6.3306763447955943</c:v>
                </c:pt>
                <c:pt idx="234">
                  <c:v>6.29636770683903</c:v>
                </c:pt>
                <c:pt idx="235">
                  <c:v>6.2615167713071997</c:v>
                </c:pt>
                <c:pt idx="236">
                  <c:v>6.2261400817466814</c:v>
                </c:pt>
                <c:pt idx="237">
                  <c:v>6.1902541817040513</c:v>
                </c:pt>
                <c:pt idx="238">
                  <c:v>6.1538756147258864</c:v>
                </c:pt>
                <c:pt idx="239">
                  <c:v>6.1170209243587665</c:v>
                </c:pt>
                <c:pt idx="240">
                  <c:v>6.0797066541492688</c:v>
                </c:pt>
                <c:pt idx="241">
                  <c:v>6.0419493476439676</c:v>
                </c:pt>
                <c:pt idx="242">
                  <c:v>6.0037655483894437</c:v>
                </c:pt>
                <c:pt idx="243">
                  <c:v>5.9651717999322722</c:v>
                </c:pt>
                <c:pt idx="244">
                  <c:v>5.9261846458190321</c:v>
                </c:pt>
                <c:pt idx="245">
                  <c:v>5.8868206295962997</c:v>
                </c:pt>
                <c:pt idx="246">
                  <c:v>5.8470962948106537</c:v>
                </c:pt>
                <c:pt idx="247">
                  <c:v>5.8070281850086696</c:v>
                </c:pt>
                <c:pt idx="248">
                  <c:v>5.7666328437369261</c:v>
                </c:pt>
                <c:pt idx="249">
                  <c:v>5.7259268145420013</c:v>
                </c:pt>
                <c:pt idx="250">
                  <c:v>5.6849266409704722</c:v>
                </c:pt>
                <c:pt idx="251">
                  <c:v>5.6436488665689151</c:v>
                </c:pt>
                <c:pt idx="252">
                  <c:v>5.6021100348839088</c:v>
                </c:pt>
                <c:pt idx="253">
                  <c:v>5.5603266894620305</c:v>
                </c:pt>
                <c:pt idx="254">
                  <c:v>5.5183153738498554</c:v>
                </c:pt>
                <c:pt idx="255">
                  <c:v>5.4760926315939642</c:v>
                </c:pt>
                <c:pt idx="256">
                  <c:v>5.4336750062409322</c:v>
                </c:pt>
                <c:pt idx="257">
                  <c:v>5.3910790413373384</c:v>
                </c:pt>
                <c:pt idx="258">
                  <c:v>5.3483212804297589</c:v>
                </c:pt>
                <c:pt idx="259">
                  <c:v>5.3054120163729168</c:v>
                </c:pt>
                <c:pt idx="260">
                  <c:v>5.2623365392541182</c:v>
                </c:pt>
                <c:pt idx="261">
                  <c:v>5.2190738884688122</c:v>
                </c:pt>
                <c:pt idx="262">
                  <c:v>5.1756031034124526</c:v>
                </c:pt>
                <c:pt idx="263">
                  <c:v>5.1319032234804869</c:v>
                </c:pt>
                <c:pt idx="264">
                  <c:v>5.0879532880683662</c:v>
                </c:pt>
                <c:pt idx="265">
                  <c:v>5.0437323365715425</c:v>
                </c:pt>
                <c:pt idx="266">
                  <c:v>4.9992194083854669</c:v>
                </c:pt>
                <c:pt idx="267">
                  <c:v>4.9543935429055885</c:v>
                </c:pt>
                <c:pt idx="268">
                  <c:v>4.9092337795273586</c:v>
                </c:pt>
                <c:pt idx="269">
                  <c:v>4.86371915764623</c:v>
                </c:pt>
                <c:pt idx="270">
                  <c:v>4.8178287166576492</c:v>
                </c:pt>
                <c:pt idx="271">
                  <c:v>4.7715414959570701</c:v>
                </c:pt>
                <c:pt idx="272">
                  <c:v>4.7248365349399419</c:v>
                </c:pt>
                <c:pt idx="273">
                  <c:v>4.6776928730017175</c:v>
                </c:pt>
                <c:pt idx="274">
                  <c:v>4.6300895495378454</c:v>
                </c:pt>
                <c:pt idx="275">
                  <c:v>4.5820056039437764</c:v>
                </c:pt>
                <c:pt idx="276">
                  <c:v>4.5334200756149645</c:v>
                </c:pt>
                <c:pt idx="277">
                  <c:v>4.4843120039468545</c:v>
                </c:pt>
                <c:pt idx="278">
                  <c:v>4.4346604283349027</c:v>
                </c:pt>
                <c:pt idx="279">
                  <c:v>4.3844443881745558</c:v>
                </c:pt>
                <c:pt idx="280">
                  <c:v>4.3336429228612676</c:v>
                </c:pt>
                <c:pt idx="281">
                  <c:v>4.2822350717904873</c:v>
                </c:pt>
                <c:pt idx="282">
                  <c:v>4.2301998743576643</c:v>
                </c:pt>
                <c:pt idx="283">
                  <c:v>4.1775163699582532</c:v>
                </c:pt>
                <c:pt idx="284">
                  <c:v>4.1241635979877023</c:v>
                </c:pt>
                <c:pt idx="285">
                  <c:v>4.0701205978414601</c:v>
                </c:pt>
                <c:pt idx="286">
                  <c:v>4.0153664089149812</c:v>
                </c:pt>
                <c:pt idx="287">
                  <c:v>3.9598800706037145</c:v>
                </c:pt>
                <c:pt idx="288">
                  <c:v>3.9036406223031115</c:v>
                </c:pt>
                <c:pt idx="289">
                  <c:v>3.8466271034086219</c:v>
                </c:pt>
                <c:pt idx="290">
                  <c:v>3.7888343479319908</c:v>
                </c:pt>
                <c:pt idx="291">
                  <c:v>3.7303203683501374</c:v>
                </c:pt>
                <c:pt idx="292">
                  <c:v>3.6711589717562756</c:v>
                </c:pt>
                <c:pt idx="293">
                  <c:v>3.6114239652436182</c:v>
                </c:pt>
                <c:pt idx="294">
                  <c:v>3.5511891559053788</c:v>
                </c:pt>
                <c:pt idx="295">
                  <c:v>3.49052835083477</c:v>
                </c:pt>
                <c:pt idx="296">
                  <c:v>3.4295153571250059</c:v>
                </c:pt>
                <c:pt idx="297">
                  <c:v>3.3682239818692992</c:v>
                </c:pt>
                <c:pt idx="298">
                  <c:v>3.3067280321608634</c:v>
                </c:pt>
                <c:pt idx="299">
                  <c:v>3.2451013150929122</c:v>
                </c:pt>
                <c:pt idx="300">
                  <c:v>3.1834176377586587</c:v>
                </c:pt>
                <c:pt idx="301">
                  <c:v>3.1217508072513156</c:v>
                </c:pt>
                <c:pt idx="302">
                  <c:v>3.0601746306640973</c:v>
                </c:pt>
                <c:pt idx="303">
                  <c:v>2.9987629150902158</c:v>
                </c:pt>
                <c:pt idx="304">
                  <c:v>2.9375894676228853</c:v>
                </c:pt>
                <c:pt idx="305">
                  <c:v>2.8767280953553191</c:v>
                </c:pt>
                <c:pt idx="306">
                  <c:v>2.81625260538073</c:v>
                </c:pt>
                <c:pt idx="307">
                  <c:v>2.7562368047923314</c:v>
                </c:pt>
                <c:pt idx="308">
                  <c:v>2.6967545006833369</c:v>
                </c:pt>
                <c:pt idx="309">
                  <c:v>2.6378795001469593</c:v>
                </c:pt>
                <c:pt idx="310">
                  <c:v>2.5796856102764125</c:v>
                </c:pt>
                <c:pt idx="311">
                  <c:v>2.5222466381649093</c:v>
                </c:pt>
                <c:pt idx="312">
                  <c:v>2.4656363909056638</c:v>
                </c:pt>
                <c:pt idx="313">
                  <c:v>2.4099286755918885</c:v>
                </c:pt>
                <c:pt idx="314">
                  <c:v>2.3551972993167967</c:v>
                </c:pt>
                <c:pt idx="315">
                  <c:v>2.3015160691736014</c:v>
                </c:pt>
                <c:pt idx="316">
                  <c:v>2.2489587922555168</c:v>
                </c:pt>
                <c:pt idx="317">
                  <c:v>2.1975992756557559</c:v>
                </c:pt>
                <c:pt idx="318">
                  <c:v>2.1475113264675314</c:v>
                </c:pt>
                <c:pt idx="319">
                  <c:v>2.0987687517840574</c:v>
                </c:pt>
                <c:pt idx="320">
                  <c:v>2.0514281174789235</c:v>
                </c:pt>
                <c:pt idx="321">
                  <c:v>2.0054770245472269</c:v>
                </c:pt>
                <c:pt idx="322">
                  <c:v>1.9608858327644427</c:v>
                </c:pt>
                <c:pt idx="323">
                  <c:v>1.9176249019060438</c:v>
                </c:pt>
                <c:pt idx="324">
                  <c:v>1.875664591747505</c:v>
                </c:pt>
                <c:pt idx="325">
                  <c:v>1.8349752620642998</c:v>
                </c:pt>
                <c:pt idx="326">
                  <c:v>1.7955272726319031</c:v>
                </c:pt>
                <c:pt idx="327">
                  <c:v>1.7572909832257888</c:v>
                </c:pt>
                <c:pt idx="328">
                  <c:v>1.7202367536214309</c:v>
                </c:pt>
                <c:pt idx="329">
                  <c:v>1.6843349435943031</c:v>
                </c:pt>
                <c:pt idx="330">
                  <c:v>1.6495559129198805</c:v>
                </c:pt>
                <c:pt idx="331">
                  <c:v>1.6158700213736361</c:v>
                </c:pt>
                <c:pt idx="332">
                  <c:v>1.5832476287310451</c:v>
                </c:pt>
                <c:pt idx="333">
                  <c:v>1.5516590947675806</c:v>
                </c:pt>
                <c:pt idx="334">
                  <c:v>1.5210747792587174</c:v>
                </c:pt>
                <c:pt idx="335">
                  <c:v>1.4914650419799291</c:v>
                </c:pt>
                <c:pt idx="336">
                  <c:v>1.4628002427066904</c:v>
                </c:pt>
                <c:pt idx="337">
                  <c:v>1.4350507412144755</c:v>
                </c:pt>
                <c:pt idx="338">
                  <c:v>1.4081868972787577</c:v>
                </c:pt>
                <c:pt idx="339">
                  <c:v>1.3821790706750117</c:v>
                </c:pt>
                <c:pt idx="340">
                  <c:v>1.3569976211787114</c:v>
                </c:pt>
                <c:pt idx="341">
                  <c:v>1.3326129085653315</c:v>
                </c:pt>
                <c:pt idx="342">
                  <c:v>1.3089952926103454</c:v>
                </c:pt>
                <c:pt idx="343">
                  <c:v>1.2861151330892273</c:v>
                </c:pt>
                <c:pt idx="344">
                  <c:v>1.2639427897774516</c:v>
                </c:pt>
                <c:pt idx="345">
                  <c:v>1.2424486224504925</c:v>
                </c:pt>
                <c:pt idx="346">
                  <c:v>1.2216029908838235</c:v>
                </c:pt>
                <c:pt idx="347">
                  <c:v>1.2013762548529192</c:v>
                </c:pt>
                <c:pt idx="348">
                  <c:v>1.1817387741332539</c:v>
                </c:pt>
                <c:pt idx="349">
                  <c:v>1.1626609085003017</c:v>
                </c:pt>
                <c:pt idx="350">
                  <c:v>1.144113017729536</c:v>
                </c:pt>
                <c:pt idx="351">
                  <c:v>1.1260778020710154</c:v>
                </c:pt>
                <c:pt idx="352">
                  <c:v>1.1085873236731325</c:v>
                </c:pt>
                <c:pt idx="353">
                  <c:v>1.0916859851588643</c:v>
                </c:pt>
                <c:pt idx="354">
                  <c:v>1.0754181891511871</c:v>
                </c:pt>
                <c:pt idx="355">
                  <c:v>1.059828338273078</c:v>
                </c:pt>
                <c:pt idx="356">
                  <c:v>1.0449608351475135</c:v>
                </c:pt>
                <c:pt idx="357">
                  <c:v>1.0308600823974701</c:v>
                </c:pt>
                <c:pt idx="358">
                  <c:v>1.0175704826459249</c:v>
                </c:pt>
                <c:pt idx="359">
                  <c:v>1.0021258947344049</c:v>
                </c:pt>
                <c:pt idx="360">
                  <c:v>0.98668130682288502</c:v>
                </c:pt>
                <c:pt idx="361">
                  <c:v>0.97123671891136509</c:v>
                </c:pt>
                <c:pt idx="362">
                  <c:v>0.95579213099984517</c:v>
                </c:pt>
                <c:pt idx="363">
                  <c:v>0.94034754308832524</c:v>
                </c:pt>
                <c:pt idx="364">
                  <c:v>0.94034754308832524</c:v>
                </c:pt>
                <c:pt idx="365">
                  <c:v>0.94034754308832524</c:v>
                </c:pt>
                <c:pt idx="366">
                  <c:v>0.94034754308832524</c:v>
                </c:pt>
                <c:pt idx="367">
                  <c:v>0.93755718163841528</c:v>
                </c:pt>
                <c:pt idx="368">
                  <c:v>0.93476682018850532</c:v>
                </c:pt>
                <c:pt idx="369">
                  <c:v>0.93197645873859536</c:v>
                </c:pt>
                <c:pt idx="370">
                  <c:v>0.9291860972886854</c:v>
                </c:pt>
                <c:pt idx="371">
                  <c:v>0.92639573583877521</c:v>
                </c:pt>
                <c:pt idx="372">
                  <c:v>0.93077895058450666</c:v>
                </c:pt>
                <c:pt idx="373">
                  <c:v>0.93632780254464432</c:v>
                </c:pt>
                <c:pt idx="374">
                  <c:v>0.94300294252322692</c:v>
                </c:pt>
                <c:pt idx="375">
                  <c:v>0.95076502132429297</c:v>
                </c:pt>
                <c:pt idx="376">
                  <c:v>0.95957468975188176</c:v>
                </c:pt>
                <c:pt idx="377">
                  <c:v>0.9693925986100318</c:v>
                </c:pt>
                <c:pt idx="378">
                  <c:v>0.98017939870278192</c:v>
                </c:pt>
                <c:pt idx="379">
                  <c:v>0.99189574083417142</c:v>
                </c:pt>
                <c:pt idx="380">
                  <c:v>1.0045022758082387</c:v>
                </c:pt>
                <c:pt idx="381">
                  <c:v>1.0179620672571157</c:v>
                </c:pt>
                <c:pt idx="382">
                  <c:v>1.032247830125304</c:v>
                </c:pt>
                <c:pt idx="383">
                  <c:v>1.047334692185399</c:v>
                </c:pt>
                <c:pt idx="384">
                  <c:v>1.0631977812099955</c:v>
                </c:pt>
                <c:pt idx="385">
                  <c:v>1.0798122249716882</c:v>
                </c:pt>
                <c:pt idx="386">
                  <c:v>1.0971531512430717</c:v>
                </c:pt>
                <c:pt idx="387">
                  <c:v>1.1151956877967413</c:v>
                </c:pt>
                <c:pt idx="388">
                  <c:v>1.133914962405292</c:v>
                </c:pt>
                <c:pt idx="389">
                  <c:v>1.1532861028413177</c:v>
                </c:pt>
                <c:pt idx="390">
                  <c:v>1.1732842368774141</c:v>
                </c:pt>
                <c:pt idx="391">
                  <c:v>1.193884492286176</c:v>
                </c:pt>
                <c:pt idx="392">
                  <c:v>1.2150619968401979</c:v>
                </c:pt>
                <c:pt idx="393">
                  <c:v>1.236791878312075</c:v>
                </c:pt>
                <c:pt idx="394">
                  <c:v>1.2590492644744016</c:v>
                </c:pt>
                <c:pt idx="395">
                  <c:v>1.2818092830997729</c:v>
                </c:pt>
                <c:pt idx="396">
                  <c:v>1.3050470619607843</c:v>
                </c:pt>
                <c:pt idx="397">
                  <c:v>1.3287377288300295</c:v>
                </c:pt>
                <c:pt idx="398">
                  <c:v>1.3528564114801045</c:v>
                </c:pt>
                <c:pt idx="399">
                  <c:v>1.377378237683603</c:v>
                </c:pt>
                <c:pt idx="400">
                  <c:v>1.4022783352131207</c:v>
                </c:pt>
                <c:pt idx="401">
                  <c:v>1.4275318318412524</c:v>
                </c:pt>
                <c:pt idx="402">
                  <c:v>1.4531138553405927</c:v>
                </c:pt>
                <c:pt idx="403">
                  <c:v>1.4789995334837365</c:v>
                </c:pt>
                <c:pt idx="404">
                  <c:v>1.5051639940432782</c:v>
                </c:pt>
                <c:pt idx="405">
                  <c:v>1.5315823647918134</c:v>
                </c:pt>
                <c:pt idx="406">
                  <c:v>1.5582297735019368</c:v>
                </c:pt>
                <c:pt idx="407">
                  <c:v>1.5850813479462431</c:v>
                </c:pt>
                <c:pt idx="408">
                  <c:v>1.6121122158973267</c:v>
                </c:pt>
                <c:pt idx="409">
                  <c:v>1.6392975051277832</c:v>
                </c:pt>
                <c:pt idx="410">
                  <c:v>1.6666123434102071</c:v>
                </c:pt>
                <c:pt idx="411">
                  <c:v>1.6940318585171934</c:v>
                </c:pt>
                <c:pt idx="412">
                  <c:v>1.7215417764472893</c:v>
                </c:pt>
                <c:pt idx="413">
                  <c:v>1.7491702161028528</c:v>
                </c:pt>
                <c:pt idx="414">
                  <c:v>1.7769558946121939</c:v>
                </c:pt>
                <c:pt idx="415">
                  <c:v>1.8049375291036236</c:v>
                </c:pt>
                <c:pt idx="416">
                  <c:v>1.8331538367054514</c:v>
                </c:pt>
                <c:pt idx="417">
                  <c:v>1.861643534545989</c:v>
                </c:pt>
                <c:pt idx="418">
                  <c:v>1.8904453397535455</c:v>
                </c:pt>
                <c:pt idx="419">
                  <c:v>1.9195979694564316</c:v>
                </c:pt>
                <c:pt idx="420">
                  <c:v>1.9491401407829581</c:v>
                </c:pt>
                <c:pt idx="421">
                  <c:v>1.9791105708614347</c:v>
                </c:pt>
                <c:pt idx="422">
                  <c:v>2.0095479768201732</c:v>
                </c:pt>
                <c:pt idx="423">
                  <c:v>2.0404910757874815</c:v>
                </c:pt>
                <c:pt idx="424">
                  <c:v>2.0719785848916725</c:v>
                </c:pt>
                <c:pt idx="425">
                  <c:v>2.1040492212610551</c:v>
                </c:pt>
                <c:pt idx="426">
                  <c:v>2.1367417020239401</c:v>
                </c:pt>
                <c:pt idx="427">
                  <c:v>2.1700947443086385</c:v>
                </c:pt>
                <c:pt idx="428">
                  <c:v>2.2041470652434585</c:v>
                </c:pt>
                <c:pt idx="429">
                  <c:v>2.2389373819567133</c:v>
                </c:pt>
                <c:pt idx="430">
                  <c:v>2.2745044115767117</c:v>
                </c:pt>
                <c:pt idx="431">
                  <c:v>2.3108868712317641</c:v>
                </c:pt>
                <c:pt idx="432">
                  <c:v>2.3481234780501814</c:v>
                </c:pt>
                <c:pt idx="433">
                  <c:v>2.3862529491602733</c:v>
                </c:pt>
                <c:pt idx="434">
                  <c:v>2.4253140016903516</c:v>
                </c:pt>
                <c:pt idx="435">
                  <c:v>2.4653453527687246</c:v>
                </c:pt>
                <c:pt idx="436">
                  <c:v>2.506385719523704</c:v>
                </c:pt>
                <c:pt idx="437">
                  <c:v>2.5484738190836005</c:v>
                </c:pt>
                <c:pt idx="438">
                  <c:v>2.5916483685767231</c:v>
                </c:pt>
                <c:pt idx="439">
                  <c:v>2.6359480851313828</c:v>
                </c:pt>
                <c:pt idx="440">
                  <c:v>2.6814116858758905</c:v>
                </c:pt>
                <c:pt idx="441">
                  <c:v>2.7280778879385563</c:v>
                </c:pt>
                <c:pt idx="442">
                  <c:v>2.7759654219725172</c:v>
                </c:pt>
                <c:pt idx="443">
                  <c:v>2.8250130727302176</c:v>
                </c:pt>
                <c:pt idx="444">
                  <c:v>2.8751396384889283</c:v>
                </c:pt>
                <c:pt idx="445">
                  <c:v>2.9262639175259211</c:v>
                </c:pt>
                <c:pt idx="446">
                  <c:v>2.978304708118467</c:v>
                </c:pt>
                <c:pt idx="447">
                  <c:v>3.0311808085438354</c:v>
                </c:pt>
                <c:pt idx="448">
                  <c:v>3.0848110170792999</c:v>
                </c:pt>
                <c:pt idx="449">
                  <c:v>3.1391141320021307</c:v>
                </c:pt>
                <c:pt idx="450">
                  <c:v>3.1940089515895989</c:v>
                </c:pt>
                <c:pt idx="451">
                  <c:v>3.2494142741189744</c:v>
                </c:pt>
                <c:pt idx="452">
                  <c:v>3.3052488978675303</c:v>
                </c:pt>
                <c:pt idx="453">
                  <c:v>3.3614316211125357</c:v>
                </c:pt>
                <c:pt idx="454">
                  <c:v>3.4178812421312639</c:v>
                </c:pt>
                <c:pt idx="455">
                  <c:v>3.4745165592009837</c:v>
                </c:pt>
                <c:pt idx="456">
                  <c:v>3.5312563705989684</c:v>
                </c:pt>
                <c:pt idx="457">
                  <c:v>3.5880194746024872</c:v>
                </c:pt>
                <c:pt idx="458">
                  <c:v>3.6447246694888125</c:v>
                </c:pt>
                <c:pt idx="459">
                  <c:v>3.7012907535352157</c:v>
                </c:pt>
                <c:pt idx="460">
                  <c:v>3.7576365250189658</c:v>
                </c:pt>
                <c:pt idx="461">
                  <c:v>3.813680782217336</c:v>
                </c:pt>
                <c:pt idx="462">
                  <c:v>3.8693423234075963</c:v>
                </c:pt>
                <c:pt idx="463">
                  <c:v>3.9245399468670183</c:v>
                </c:pt>
                <c:pt idx="464">
                  <c:v>3.9791924508728735</c:v>
                </c:pt>
                <c:pt idx="465">
                  <c:v>4.0332186337024316</c:v>
                </c:pt>
                <c:pt idx="466">
                  <c:v>4.0865372936329658</c:v>
                </c:pt>
                <c:pt idx="467">
                  <c:v>4.1390672289417454</c:v>
                </c:pt>
                <c:pt idx="468">
                  <c:v>4.1907272379060423</c:v>
                </c:pt>
                <c:pt idx="469">
                  <c:v>4.2414361188031267</c:v>
                </c:pt>
                <c:pt idx="470">
                  <c:v>4.2911126699102713</c:v>
                </c:pt>
                <c:pt idx="471">
                  <c:v>4.3396756895047464</c:v>
                </c:pt>
                <c:pt idx="472">
                  <c:v>4.387043975863822</c:v>
                </c:pt>
                <c:pt idx="473">
                  <c:v>4.4331614375984358</c:v>
                </c:pt>
                <c:pt idx="474">
                  <c:v>4.4780724246541812</c:v>
                </c:pt>
                <c:pt idx="475">
                  <c:v>4.5218463973103189</c:v>
                </c:pt>
                <c:pt idx="476">
                  <c:v>4.5645528158461053</c:v>
                </c:pt>
                <c:pt idx="477">
                  <c:v>4.6062611405408038</c:v>
                </c:pt>
                <c:pt idx="478">
                  <c:v>4.64704083167367</c:v>
                </c:pt>
                <c:pt idx="479">
                  <c:v>4.6869613495239664</c:v>
                </c:pt>
                <c:pt idx="480">
                  <c:v>4.7260921543709484</c:v>
                </c:pt>
                <c:pt idx="481">
                  <c:v>4.7645027064938796</c:v>
                </c:pt>
                <c:pt idx="482">
                  <c:v>4.8022624661720164</c:v>
                </c:pt>
                <c:pt idx="483">
                  <c:v>4.8394408936846185</c:v>
                </c:pt>
                <c:pt idx="484">
                  <c:v>4.8761074493109486</c:v>
                </c:pt>
                <c:pt idx="485">
                  <c:v>4.9123315933302614</c:v>
                </c:pt>
                <c:pt idx="486">
                  <c:v>4.9481827860218184</c:v>
                </c:pt>
                <c:pt idx="487">
                  <c:v>4.9837304876648787</c:v>
                </c:pt>
                <c:pt idx="488">
                  <c:v>5.0190441585387022</c:v>
                </c:pt>
                <c:pt idx="489">
                  <c:v>5.0541932589225471</c:v>
                </c:pt>
                <c:pt idx="490">
                  <c:v>5.0892472490956724</c:v>
                </c:pt>
                <c:pt idx="491">
                  <c:v>5.1242755893373388</c:v>
                </c:pt>
                <c:pt idx="492">
                  <c:v>5.1593477399268064</c:v>
                </c:pt>
                <c:pt idx="493">
                  <c:v>5.1945331611433323</c:v>
                </c:pt>
                <c:pt idx="494">
                  <c:v>5.2299013132661765</c:v>
                </c:pt>
                <c:pt idx="495">
                  <c:v>5.2655216565746006</c:v>
                </c:pt>
                <c:pt idx="496">
                  <c:v>5.3014636513478592</c:v>
                </c:pt>
                <c:pt idx="497">
                  <c:v>5.337796757865215</c:v>
                </c:pt>
                <c:pt idx="498">
                  <c:v>5.3745904364059269</c:v>
                </c:pt>
                <c:pt idx="499">
                  <c:v>5.4119141472492549</c:v>
                </c:pt>
                <c:pt idx="500">
                  <c:v>5.4498373506744562</c:v>
                </c:pt>
                <c:pt idx="501">
                  <c:v>5.4884295069607925</c:v>
                </c:pt>
                <c:pt idx="502">
                  <c:v>5.527760076387521</c:v>
                </c:pt>
                <c:pt idx="503">
                  <c:v>5.5678747829203816</c:v>
                </c:pt>
                <c:pt idx="504">
                  <c:v>5.6087244052710208</c:v>
                </c:pt>
                <c:pt idx="505">
                  <c:v>5.6502359858375657</c:v>
                </c:pt>
                <c:pt idx="506">
                  <c:v>5.6923365670181481</c:v>
                </c:pt>
                <c:pt idx="507">
                  <c:v>5.7349531912108906</c:v>
                </c:pt>
                <c:pt idx="508">
                  <c:v>5.7780129008139216</c:v>
                </c:pt>
                <c:pt idx="509">
                  <c:v>5.82144273822537</c:v>
                </c:pt>
                <c:pt idx="510">
                  <c:v>5.865169745843362</c:v>
                </c:pt>
                <c:pt idx="511">
                  <c:v>5.909120966066026</c:v>
                </c:pt>
                <c:pt idx="512">
                  <c:v>5.9532234412914873</c:v>
                </c:pt>
                <c:pt idx="513">
                  <c:v>5.997404213917874</c:v>
                </c:pt>
                <c:pt idx="514">
                  <c:v>6.0415903263433135</c:v>
                </c:pt>
                <c:pt idx="515">
                  <c:v>6.0857088209659347</c:v>
                </c:pt>
                <c:pt idx="516">
                  <c:v>6.1296867401838613</c:v>
                </c:pt>
                <c:pt idx="517">
                  <c:v>6.1734511263952241</c:v>
                </c:pt>
                <c:pt idx="518">
                  <c:v>6.2169290219981495</c:v>
                </c:pt>
                <c:pt idx="519">
                  <c:v>6.2600474693907628</c:v>
                </c:pt>
                <c:pt idx="520">
                  <c:v>6.3027335109711942</c:v>
                </c:pt>
                <c:pt idx="521">
                  <c:v>6.3449141891375689</c:v>
                </c:pt>
                <c:pt idx="522">
                  <c:v>6.3865165462880151</c:v>
                </c:pt>
                <c:pt idx="523">
                  <c:v>6.4274676248206601</c:v>
                </c:pt>
                <c:pt idx="524">
                  <c:v>6.4676944671336312</c:v>
                </c:pt>
                <c:pt idx="525">
                  <c:v>6.5071241156250563</c:v>
                </c:pt>
                <c:pt idx="526">
                  <c:v>6.5456836126930602</c:v>
                </c:pt>
                <c:pt idx="527">
                  <c:v>6.5833000007357736</c:v>
                </c:pt>
                <c:pt idx="528">
                  <c:v>6.619900322151322</c:v>
                </c:pt>
                <c:pt idx="529">
                  <c:v>6.6554116193378325</c:v>
                </c:pt>
                <c:pt idx="530">
                  <c:v>6.6897609346934326</c:v>
                </c:pt>
                <c:pt idx="531">
                  <c:v>6.7228753106162502</c:v>
                </c:pt>
                <c:pt idx="532">
                  <c:v>6.7546817895044136</c:v>
                </c:pt>
                <c:pt idx="533">
                  <c:v>6.7851074137560472</c:v>
                </c:pt>
                <c:pt idx="534">
                  <c:v>6.8140941815019502</c:v>
                </c:pt>
                <c:pt idx="535">
                  <c:v>6.8416439138036091</c:v>
                </c:pt>
                <c:pt idx="536">
                  <c:v>6.8677733874551725</c:v>
                </c:pt>
                <c:pt idx="537">
                  <c:v>6.8924993792507969</c:v>
                </c:pt>
                <c:pt idx="538">
                  <c:v>6.9158386659846371</c:v>
                </c:pt>
                <c:pt idx="539">
                  <c:v>6.9378080244508462</c:v>
                </c:pt>
                <c:pt idx="540">
                  <c:v>6.9584242314435771</c:v>
                </c:pt>
                <c:pt idx="541">
                  <c:v>6.9777040637569847</c:v>
                </c:pt>
                <c:pt idx="542">
                  <c:v>6.995664298185222</c:v>
                </c:pt>
                <c:pt idx="543">
                  <c:v>7.0123217115224463</c:v>
                </c:pt>
                <c:pt idx="544">
                  <c:v>7.0276930805628064</c:v>
                </c:pt>
                <c:pt idx="545">
                  <c:v>7.0417951821004605</c:v>
                </c:pt>
                <c:pt idx="546">
                  <c:v>7.0546447929295608</c:v>
                </c:pt>
                <c:pt idx="547">
                  <c:v>7.0662586898442612</c:v>
                </c:pt>
                <c:pt idx="548">
                  <c:v>7.0766536496387156</c:v>
                </c:pt>
                <c:pt idx="549">
                  <c:v>7.0858464491070778</c:v>
                </c:pt>
                <c:pt idx="550">
                  <c:v>7.0938538650435019</c:v>
                </c:pt>
                <c:pt idx="551">
                  <c:v>7.1006926742421435</c:v>
                </c:pt>
                <c:pt idx="552">
                  <c:v>7.1063796534971519</c:v>
                </c:pt>
                <c:pt idx="553">
                  <c:v>7.1109315796026875</c:v>
                </c:pt>
                <c:pt idx="554">
                  <c:v>7.1143652293528987</c:v>
                </c:pt>
                <c:pt idx="555">
                  <c:v>7.1166973795419421</c:v>
                </c:pt>
                <c:pt idx="556">
                  <c:v>7.1179448069639726</c:v>
                </c:pt>
                <c:pt idx="557">
                  <c:v>7.1181242884131413</c:v>
                </c:pt>
                <c:pt idx="558">
                  <c:v>7.1172526006836039</c:v>
                </c:pt>
                <c:pt idx="559">
                  <c:v>7.1153465205695134</c:v>
                </c:pt>
                <c:pt idx="560">
                  <c:v>7.1124228248650248</c:v>
                </c:pt>
                <c:pt idx="561">
                  <c:v>7.1084982903642908</c:v>
                </c:pt>
                <c:pt idx="562">
                  <c:v>7.1035896938614673</c:v>
                </c:pt>
                <c:pt idx="563">
                  <c:v>7.0977138121507055</c:v>
                </c:pt>
                <c:pt idx="564">
                  <c:v>7.0908862869129381</c:v>
                </c:pt>
                <c:pt idx="565">
                  <c:v>7.0831182193761935</c:v>
                </c:pt>
                <c:pt idx="566">
                  <c:v>7.0744195756552841</c:v>
                </c:pt>
                <c:pt idx="567">
                  <c:v>7.0648003218650155</c:v>
                </c:pt>
                <c:pt idx="568">
                  <c:v>7.0542704241201983</c:v>
                </c:pt>
                <c:pt idx="569">
                  <c:v>7.0428398485356372</c:v>
                </c:pt>
                <c:pt idx="570">
                  <c:v>7.0305185612261427</c:v>
                </c:pt>
                <c:pt idx="571">
                  <c:v>7.0173165283065222</c:v>
                </c:pt>
                <c:pt idx="572">
                  <c:v>7.0032437158915837</c:v>
                </c:pt>
                <c:pt idx="573">
                  <c:v>6.9883100900961344</c:v>
                </c:pt>
                <c:pt idx="574">
                  <c:v>6.9725256170349859</c:v>
                </c:pt>
                <c:pt idx="575">
                  <c:v>6.9559002628229436</c:v>
                </c:pt>
                <c:pt idx="576">
                  <c:v>6.9384439935748148</c:v>
                </c:pt>
              </c:numCache>
            </c:numRef>
          </c:val>
          <c:smooth val="0"/>
        </c:ser>
        <c:ser>
          <c:idx val="1"/>
          <c:order val="1"/>
          <c:tx>
            <c:v>ETc</c:v>
          </c:tx>
          <c:spPr>
            <a:ln w="25400">
              <a:solidFill>
                <a:srgbClr val="FF0000"/>
              </a:solidFill>
              <a:prstDash val="solid"/>
            </a:ln>
          </c:spPr>
          <c:marker>
            <c:symbol val="none"/>
          </c:marker>
          <c:cat>
            <c:numRef>
              <c:f>Crop!$B$49:$B$625</c:f>
              <c:numCache>
                <c:formatCode>dd\-mmm\-yy</c:formatCode>
                <c:ptCount val="577"/>
                <c:pt idx="0">
                  <c:v>41640</c:v>
                </c:pt>
                <c:pt idx="1">
                  <c:v>41641</c:v>
                </c:pt>
                <c:pt idx="2">
                  <c:v>41642</c:v>
                </c:pt>
                <c:pt idx="3">
                  <c:v>41643</c:v>
                </c:pt>
                <c:pt idx="4">
                  <c:v>41644</c:v>
                </c:pt>
                <c:pt idx="5">
                  <c:v>41645</c:v>
                </c:pt>
                <c:pt idx="6">
                  <c:v>41646</c:v>
                </c:pt>
                <c:pt idx="7">
                  <c:v>41647</c:v>
                </c:pt>
                <c:pt idx="8">
                  <c:v>41648</c:v>
                </c:pt>
                <c:pt idx="9">
                  <c:v>41649</c:v>
                </c:pt>
                <c:pt idx="10">
                  <c:v>41650</c:v>
                </c:pt>
                <c:pt idx="11">
                  <c:v>41651</c:v>
                </c:pt>
                <c:pt idx="12">
                  <c:v>41652</c:v>
                </c:pt>
                <c:pt idx="13">
                  <c:v>41653</c:v>
                </c:pt>
                <c:pt idx="14">
                  <c:v>41654</c:v>
                </c:pt>
                <c:pt idx="15">
                  <c:v>41655</c:v>
                </c:pt>
                <c:pt idx="16">
                  <c:v>41656</c:v>
                </c:pt>
                <c:pt idx="17">
                  <c:v>41657</c:v>
                </c:pt>
                <c:pt idx="18">
                  <c:v>41658</c:v>
                </c:pt>
                <c:pt idx="19">
                  <c:v>41659</c:v>
                </c:pt>
                <c:pt idx="20">
                  <c:v>41660</c:v>
                </c:pt>
                <c:pt idx="21">
                  <c:v>41661</c:v>
                </c:pt>
                <c:pt idx="22">
                  <c:v>41662</c:v>
                </c:pt>
                <c:pt idx="23">
                  <c:v>41663</c:v>
                </c:pt>
                <c:pt idx="24">
                  <c:v>41664</c:v>
                </c:pt>
                <c:pt idx="25">
                  <c:v>41665</c:v>
                </c:pt>
                <c:pt idx="26">
                  <c:v>41666</c:v>
                </c:pt>
                <c:pt idx="27">
                  <c:v>41667</c:v>
                </c:pt>
                <c:pt idx="28">
                  <c:v>41668</c:v>
                </c:pt>
                <c:pt idx="29">
                  <c:v>41669</c:v>
                </c:pt>
                <c:pt idx="30">
                  <c:v>41670</c:v>
                </c:pt>
                <c:pt idx="31">
                  <c:v>41671</c:v>
                </c:pt>
                <c:pt idx="32">
                  <c:v>41672</c:v>
                </c:pt>
                <c:pt idx="33">
                  <c:v>41673</c:v>
                </c:pt>
                <c:pt idx="34">
                  <c:v>41674</c:v>
                </c:pt>
                <c:pt idx="35">
                  <c:v>41675</c:v>
                </c:pt>
                <c:pt idx="36">
                  <c:v>41676</c:v>
                </c:pt>
                <c:pt idx="37">
                  <c:v>41677</c:v>
                </c:pt>
                <c:pt idx="38">
                  <c:v>41678</c:v>
                </c:pt>
                <c:pt idx="39">
                  <c:v>41679</c:v>
                </c:pt>
                <c:pt idx="40">
                  <c:v>41680</c:v>
                </c:pt>
                <c:pt idx="41">
                  <c:v>41681</c:v>
                </c:pt>
                <c:pt idx="42">
                  <c:v>41682</c:v>
                </c:pt>
                <c:pt idx="43">
                  <c:v>41683</c:v>
                </c:pt>
                <c:pt idx="44">
                  <c:v>41684</c:v>
                </c:pt>
                <c:pt idx="45">
                  <c:v>41685</c:v>
                </c:pt>
                <c:pt idx="46">
                  <c:v>41686</c:v>
                </c:pt>
                <c:pt idx="47">
                  <c:v>41687</c:v>
                </c:pt>
                <c:pt idx="48">
                  <c:v>41688</c:v>
                </c:pt>
                <c:pt idx="49">
                  <c:v>41689</c:v>
                </c:pt>
                <c:pt idx="50">
                  <c:v>41690</c:v>
                </c:pt>
                <c:pt idx="51">
                  <c:v>41691</c:v>
                </c:pt>
                <c:pt idx="52">
                  <c:v>41692</c:v>
                </c:pt>
                <c:pt idx="53">
                  <c:v>41693</c:v>
                </c:pt>
                <c:pt idx="54">
                  <c:v>41694</c:v>
                </c:pt>
                <c:pt idx="55">
                  <c:v>41695</c:v>
                </c:pt>
                <c:pt idx="56">
                  <c:v>41696</c:v>
                </c:pt>
                <c:pt idx="57">
                  <c:v>41697</c:v>
                </c:pt>
                <c:pt idx="58">
                  <c:v>41698</c:v>
                </c:pt>
                <c:pt idx="59">
                  <c:v>41699</c:v>
                </c:pt>
                <c:pt idx="60">
                  <c:v>41700</c:v>
                </c:pt>
                <c:pt idx="61">
                  <c:v>41701</c:v>
                </c:pt>
                <c:pt idx="62">
                  <c:v>41702</c:v>
                </c:pt>
                <c:pt idx="63">
                  <c:v>41703</c:v>
                </c:pt>
                <c:pt idx="64">
                  <c:v>41704</c:v>
                </c:pt>
                <c:pt idx="65">
                  <c:v>41705</c:v>
                </c:pt>
                <c:pt idx="66">
                  <c:v>41706</c:v>
                </c:pt>
                <c:pt idx="67">
                  <c:v>41707</c:v>
                </c:pt>
                <c:pt idx="68">
                  <c:v>41708</c:v>
                </c:pt>
                <c:pt idx="69">
                  <c:v>41709</c:v>
                </c:pt>
                <c:pt idx="70">
                  <c:v>41710</c:v>
                </c:pt>
                <c:pt idx="71">
                  <c:v>41711</c:v>
                </c:pt>
                <c:pt idx="72">
                  <c:v>41712</c:v>
                </c:pt>
                <c:pt idx="73">
                  <c:v>41713</c:v>
                </c:pt>
                <c:pt idx="74">
                  <c:v>41714</c:v>
                </c:pt>
                <c:pt idx="75">
                  <c:v>41715</c:v>
                </c:pt>
                <c:pt idx="76">
                  <c:v>41716</c:v>
                </c:pt>
                <c:pt idx="77">
                  <c:v>41717</c:v>
                </c:pt>
                <c:pt idx="78">
                  <c:v>41718</c:v>
                </c:pt>
                <c:pt idx="79">
                  <c:v>41719</c:v>
                </c:pt>
                <c:pt idx="80">
                  <c:v>41720</c:v>
                </c:pt>
                <c:pt idx="81">
                  <c:v>41721</c:v>
                </c:pt>
                <c:pt idx="82">
                  <c:v>41722</c:v>
                </c:pt>
                <c:pt idx="83">
                  <c:v>41723</c:v>
                </c:pt>
                <c:pt idx="84">
                  <c:v>41724</c:v>
                </c:pt>
                <c:pt idx="85">
                  <c:v>41725</c:v>
                </c:pt>
                <c:pt idx="86">
                  <c:v>41726</c:v>
                </c:pt>
                <c:pt idx="87">
                  <c:v>41727</c:v>
                </c:pt>
                <c:pt idx="88">
                  <c:v>41728</c:v>
                </c:pt>
                <c:pt idx="89">
                  <c:v>41729</c:v>
                </c:pt>
                <c:pt idx="90">
                  <c:v>41730</c:v>
                </c:pt>
                <c:pt idx="91">
                  <c:v>41731</c:v>
                </c:pt>
                <c:pt idx="92">
                  <c:v>41732</c:v>
                </c:pt>
                <c:pt idx="93">
                  <c:v>41733</c:v>
                </c:pt>
                <c:pt idx="94">
                  <c:v>41734</c:v>
                </c:pt>
                <c:pt idx="95">
                  <c:v>41735</c:v>
                </c:pt>
                <c:pt idx="96">
                  <c:v>41736</c:v>
                </c:pt>
                <c:pt idx="97">
                  <c:v>41737</c:v>
                </c:pt>
                <c:pt idx="98">
                  <c:v>41738</c:v>
                </c:pt>
                <c:pt idx="99">
                  <c:v>41739</c:v>
                </c:pt>
                <c:pt idx="100">
                  <c:v>41740</c:v>
                </c:pt>
                <c:pt idx="101">
                  <c:v>41741</c:v>
                </c:pt>
                <c:pt idx="102">
                  <c:v>41742</c:v>
                </c:pt>
                <c:pt idx="103">
                  <c:v>41743</c:v>
                </c:pt>
                <c:pt idx="104">
                  <c:v>41744</c:v>
                </c:pt>
                <c:pt idx="105">
                  <c:v>41745</c:v>
                </c:pt>
                <c:pt idx="106">
                  <c:v>41746</c:v>
                </c:pt>
                <c:pt idx="107">
                  <c:v>41747</c:v>
                </c:pt>
                <c:pt idx="108">
                  <c:v>41748</c:v>
                </c:pt>
                <c:pt idx="109">
                  <c:v>41749</c:v>
                </c:pt>
                <c:pt idx="110">
                  <c:v>41750</c:v>
                </c:pt>
                <c:pt idx="111">
                  <c:v>41751</c:v>
                </c:pt>
                <c:pt idx="112">
                  <c:v>41752</c:v>
                </c:pt>
                <c:pt idx="113">
                  <c:v>41753</c:v>
                </c:pt>
                <c:pt idx="114">
                  <c:v>41754</c:v>
                </c:pt>
                <c:pt idx="115">
                  <c:v>41755</c:v>
                </c:pt>
                <c:pt idx="116">
                  <c:v>41756</c:v>
                </c:pt>
                <c:pt idx="117">
                  <c:v>41757</c:v>
                </c:pt>
                <c:pt idx="118">
                  <c:v>41758</c:v>
                </c:pt>
                <c:pt idx="119">
                  <c:v>41759</c:v>
                </c:pt>
                <c:pt idx="120">
                  <c:v>41760</c:v>
                </c:pt>
                <c:pt idx="121">
                  <c:v>41761</c:v>
                </c:pt>
                <c:pt idx="122">
                  <c:v>41762</c:v>
                </c:pt>
                <c:pt idx="123">
                  <c:v>41763</c:v>
                </c:pt>
                <c:pt idx="124">
                  <c:v>41764</c:v>
                </c:pt>
                <c:pt idx="125">
                  <c:v>41765</c:v>
                </c:pt>
                <c:pt idx="126">
                  <c:v>41766</c:v>
                </c:pt>
                <c:pt idx="127">
                  <c:v>41767</c:v>
                </c:pt>
                <c:pt idx="128">
                  <c:v>41768</c:v>
                </c:pt>
                <c:pt idx="129">
                  <c:v>41769</c:v>
                </c:pt>
                <c:pt idx="130">
                  <c:v>41770</c:v>
                </c:pt>
                <c:pt idx="131">
                  <c:v>41771</c:v>
                </c:pt>
                <c:pt idx="132">
                  <c:v>41772</c:v>
                </c:pt>
                <c:pt idx="133">
                  <c:v>41773</c:v>
                </c:pt>
                <c:pt idx="134">
                  <c:v>41774</c:v>
                </c:pt>
                <c:pt idx="135">
                  <c:v>41775</c:v>
                </c:pt>
                <c:pt idx="136">
                  <c:v>41776</c:v>
                </c:pt>
                <c:pt idx="137">
                  <c:v>41777</c:v>
                </c:pt>
                <c:pt idx="138">
                  <c:v>41778</c:v>
                </c:pt>
                <c:pt idx="139">
                  <c:v>41779</c:v>
                </c:pt>
                <c:pt idx="140">
                  <c:v>41780</c:v>
                </c:pt>
                <c:pt idx="141">
                  <c:v>41781</c:v>
                </c:pt>
                <c:pt idx="142">
                  <c:v>41782</c:v>
                </c:pt>
                <c:pt idx="143">
                  <c:v>41783</c:v>
                </c:pt>
                <c:pt idx="144">
                  <c:v>41784</c:v>
                </c:pt>
                <c:pt idx="145">
                  <c:v>41785</c:v>
                </c:pt>
                <c:pt idx="146">
                  <c:v>41786</c:v>
                </c:pt>
                <c:pt idx="147">
                  <c:v>41787</c:v>
                </c:pt>
                <c:pt idx="148">
                  <c:v>41788</c:v>
                </c:pt>
                <c:pt idx="149">
                  <c:v>41789</c:v>
                </c:pt>
                <c:pt idx="150">
                  <c:v>41790</c:v>
                </c:pt>
                <c:pt idx="151">
                  <c:v>41791</c:v>
                </c:pt>
                <c:pt idx="152">
                  <c:v>41792</c:v>
                </c:pt>
                <c:pt idx="153">
                  <c:v>41793</c:v>
                </c:pt>
                <c:pt idx="154">
                  <c:v>41794</c:v>
                </c:pt>
                <c:pt idx="155">
                  <c:v>41795</c:v>
                </c:pt>
                <c:pt idx="156">
                  <c:v>41796</c:v>
                </c:pt>
                <c:pt idx="157">
                  <c:v>41797</c:v>
                </c:pt>
                <c:pt idx="158">
                  <c:v>41798</c:v>
                </c:pt>
                <c:pt idx="159">
                  <c:v>41799</c:v>
                </c:pt>
                <c:pt idx="160">
                  <c:v>41800</c:v>
                </c:pt>
                <c:pt idx="161">
                  <c:v>41801</c:v>
                </c:pt>
                <c:pt idx="162">
                  <c:v>41802</c:v>
                </c:pt>
                <c:pt idx="163">
                  <c:v>41803</c:v>
                </c:pt>
                <c:pt idx="164">
                  <c:v>41804</c:v>
                </c:pt>
                <c:pt idx="165">
                  <c:v>41805</c:v>
                </c:pt>
                <c:pt idx="166">
                  <c:v>41806</c:v>
                </c:pt>
                <c:pt idx="167">
                  <c:v>41807</c:v>
                </c:pt>
                <c:pt idx="168">
                  <c:v>41808</c:v>
                </c:pt>
                <c:pt idx="169">
                  <c:v>41809</c:v>
                </c:pt>
                <c:pt idx="170">
                  <c:v>41810</c:v>
                </c:pt>
                <c:pt idx="171">
                  <c:v>41811</c:v>
                </c:pt>
                <c:pt idx="172">
                  <c:v>41812</c:v>
                </c:pt>
                <c:pt idx="173">
                  <c:v>41813</c:v>
                </c:pt>
                <c:pt idx="174">
                  <c:v>41814</c:v>
                </c:pt>
                <c:pt idx="175">
                  <c:v>41815</c:v>
                </c:pt>
                <c:pt idx="176">
                  <c:v>41816</c:v>
                </c:pt>
                <c:pt idx="177">
                  <c:v>41817</c:v>
                </c:pt>
                <c:pt idx="178">
                  <c:v>41818</c:v>
                </c:pt>
                <c:pt idx="179">
                  <c:v>41819</c:v>
                </c:pt>
                <c:pt idx="180">
                  <c:v>41820</c:v>
                </c:pt>
                <c:pt idx="181">
                  <c:v>41821</c:v>
                </c:pt>
                <c:pt idx="182">
                  <c:v>41822</c:v>
                </c:pt>
                <c:pt idx="183">
                  <c:v>41823</c:v>
                </c:pt>
                <c:pt idx="184">
                  <c:v>41824</c:v>
                </c:pt>
                <c:pt idx="185">
                  <c:v>41825</c:v>
                </c:pt>
                <c:pt idx="186">
                  <c:v>41826</c:v>
                </c:pt>
                <c:pt idx="187">
                  <c:v>41827</c:v>
                </c:pt>
                <c:pt idx="188">
                  <c:v>41828</c:v>
                </c:pt>
                <c:pt idx="189">
                  <c:v>41829</c:v>
                </c:pt>
                <c:pt idx="190">
                  <c:v>41830</c:v>
                </c:pt>
                <c:pt idx="191">
                  <c:v>41831</c:v>
                </c:pt>
                <c:pt idx="192">
                  <c:v>41832</c:v>
                </c:pt>
                <c:pt idx="193">
                  <c:v>41833</c:v>
                </c:pt>
                <c:pt idx="194">
                  <c:v>41834</c:v>
                </c:pt>
                <c:pt idx="195">
                  <c:v>41835</c:v>
                </c:pt>
                <c:pt idx="196">
                  <c:v>41836</c:v>
                </c:pt>
                <c:pt idx="197">
                  <c:v>41837</c:v>
                </c:pt>
                <c:pt idx="198">
                  <c:v>41838</c:v>
                </c:pt>
                <c:pt idx="199">
                  <c:v>41839</c:v>
                </c:pt>
                <c:pt idx="200">
                  <c:v>41840</c:v>
                </c:pt>
                <c:pt idx="201">
                  <c:v>41841</c:v>
                </c:pt>
                <c:pt idx="202">
                  <c:v>41842</c:v>
                </c:pt>
                <c:pt idx="203">
                  <c:v>41843</c:v>
                </c:pt>
                <c:pt idx="204">
                  <c:v>41844</c:v>
                </c:pt>
                <c:pt idx="205">
                  <c:v>41845</c:v>
                </c:pt>
                <c:pt idx="206">
                  <c:v>41846</c:v>
                </c:pt>
                <c:pt idx="207">
                  <c:v>41847</c:v>
                </c:pt>
                <c:pt idx="208">
                  <c:v>41848</c:v>
                </c:pt>
                <c:pt idx="209">
                  <c:v>41849</c:v>
                </c:pt>
                <c:pt idx="210">
                  <c:v>41850</c:v>
                </c:pt>
                <c:pt idx="211">
                  <c:v>41851</c:v>
                </c:pt>
                <c:pt idx="212">
                  <c:v>41852</c:v>
                </c:pt>
                <c:pt idx="213">
                  <c:v>41853</c:v>
                </c:pt>
                <c:pt idx="214">
                  <c:v>41854</c:v>
                </c:pt>
                <c:pt idx="215">
                  <c:v>41855</c:v>
                </c:pt>
                <c:pt idx="216">
                  <c:v>41856</c:v>
                </c:pt>
                <c:pt idx="217">
                  <c:v>41857</c:v>
                </c:pt>
                <c:pt idx="218">
                  <c:v>41858</c:v>
                </c:pt>
                <c:pt idx="219">
                  <c:v>41859</c:v>
                </c:pt>
                <c:pt idx="220">
                  <c:v>41860</c:v>
                </c:pt>
                <c:pt idx="221">
                  <c:v>41861</c:v>
                </c:pt>
                <c:pt idx="222">
                  <c:v>41862</c:v>
                </c:pt>
                <c:pt idx="223">
                  <c:v>41863</c:v>
                </c:pt>
                <c:pt idx="224">
                  <c:v>41864</c:v>
                </c:pt>
                <c:pt idx="225">
                  <c:v>41865</c:v>
                </c:pt>
                <c:pt idx="226">
                  <c:v>41866</c:v>
                </c:pt>
                <c:pt idx="227">
                  <c:v>41867</c:v>
                </c:pt>
                <c:pt idx="228">
                  <c:v>41868</c:v>
                </c:pt>
                <c:pt idx="229">
                  <c:v>41869</c:v>
                </c:pt>
                <c:pt idx="230">
                  <c:v>41870</c:v>
                </c:pt>
                <c:pt idx="231">
                  <c:v>41871</c:v>
                </c:pt>
                <c:pt idx="232">
                  <c:v>41872</c:v>
                </c:pt>
                <c:pt idx="233">
                  <c:v>41873</c:v>
                </c:pt>
                <c:pt idx="234">
                  <c:v>41874</c:v>
                </c:pt>
                <c:pt idx="235">
                  <c:v>41875</c:v>
                </c:pt>
                <c:pt idx="236">
                  <c:v>41876</c:v>
                </c:pt>
                <c:pt idx="237">
                  <c:v>41877</c:v>
                </c:pt>
                <c:pt idx="238">
                  <c:v>41878</c:v>
                </c:pt>
                <c:pt idx="239">
                  <c:v>41879</c:v>
                </c:pt>
                <c:pt idx="240">
                  <c:v>41880</c:v>
                </c:pt>
                <c:pt idx="241">
                  <c:v>41881</c:v>
                </c:pt>
                <c:pt idx="242">
                  <c:v>41882</c:v>
                </c:pt>
                <c:pt idx="243">
                  <c:v>41883</c:v>
                </c:pt>
                <c:pt idx="244">
                  <c:v>41884</c:v>
                </c:pt>
                <c:pt idx="245">
                  <c:v>41885</c:v>
                </c:pt>
                <c:pt idx="246">
                  <c:v>41886</c:v>
                </c:pt>
                <c:pt idx="247">
                  <c:v>41887</c:v>
                </c:pt>
                <c:pt idx="248">
                  <c:v>41888</c:v>
                </c:pt>
                <c:pt idx="249">
                  <c:v>41889</c:v>
                </c:pt>
                <c:pt idx="250">
                  <c:v>41890</c:v>
                </c:pt>
                <c:pt idx="251">
                  <c:v>41891</c:v>
                </c:pt>
                <c:pt idx="252">
                  <c:v>41892</c:v>
                </c:pt>
                <c:pt idx="253">
                  <c:v>41893</c:v>
                </c:pt>
                <c:pt idx="254">
                  <c:v>41894</c:v>
                </c:pt>
                <c:pt idx="255">
                  <c:v>41895</c:v>
                </c:pt>
                <c:pt idx="256">
                  <c:v>41896</c:v>
                </c:pt>
                <c:pt idx="257">
                  <c:v>41897</c:v>
                </c:pt>
                <c:pt idx="258">
                  <c:v>41898</c:v>
                </c:pt>
                <c:pt idx="259">
                  <c:v>41899</c:v>
                </c:pt>
                <c:pt idx="260">
                  <c:v>41900</c:v>
                </c:pt>
                <c:pt idx="261">
                  <c:v>41901</c:v>
                </c:pt>
                <c:pt idx="262">
                  <c:v>41902</c:v>
                </c:pt>
                <c:pt idx="263">
                  <c:v>41903</c:v>
                </c:pt>
                <c:pt idx="264">
                  <c:v>41904</c:v>
                </c:pt>
                <c:pt idx="265">
                  <c:v>41905</c:v>
                </c:pt>
                <c:pt idx="266">
                  <c:v>41906</c:v>
                </c:pt>
                <c:pt idx="267">
                  <c:v>41907</c:v>
                </c:pt>
                <c:pt idx="268">
                  <c:v>41908</c:v>
                </c:pt>
                <c:pt idx="269">
                  <c:v>41909</c:v>
                </c:pt>
                <c:pt idx="270">
                  <c:v>41910</c:v>
                </c:pt>
                <c:pt idx="271">
                  <c:v>41911</c:v>
                </c:pt>
                <c:pt idx="272">
                  <c:v>41912</c:v>
                </c:pt>
                <c:pt idx="273">
                  <c:v>41913</c:v>
                </c:pt>
                <c:pt idx="274">
                  <c:v>41914</c:v>
                </c:pt>
                <c:pt idx="275">
                  <c:v>41915</c:v>
                </c:pt>
                <c:pt idx="276">
                  <c:v>41916</c:v>
                </c:pt>
                <c:pt idx="277">
                  <c:v>41917</c:v>
                </c:pt>
                <c:pt idx="278">
                  <c:v>41918</c:v>
                </c:pt>
                <c:pt idx="279">
                  <c:v>41919</c:v>
                </c:pt>
                <c:pt idx="280">
                  <c:v>41920</c:v>
                </c:pt>
                <c:pt idx="281">
                  <c:v>41921</c:v>
                </c:pt>
                <c:pt idx="282">
                  <c:v>41922</c:v>
                </c:pt>
                <c:pt idx="283">
                  <c:v>41923</c:v>
                </c:pt>
                <c:pt idx="284">
                  <c:v>41924</c:v>
                </c:pt>
                <c:pt idx="285">
                  <c:v>41925</c:v>
                </c:pt>
                <c:pt idx="286">
                  <c:v>41926</c:v>
                </c:pt>
                <c:pt idx="287">
                  <c:v>41927</c:v>
                </c:pt>
                <c:pt idx="288">
                  <c:v>41928</c:v>
                </c:pt>
                <c:pt idx="289">
                  <c:v>41929</c:v>
                </c:pt>
                <c:pt idx="290">
                  <c:v>41930</c:v>
                </c:pt>
                <c:pt idx="291">
                  <c:v>41931</c:v>
                </c:pt>
                <c:pt idx="292">
                  <c:v>41932</c:v>
                </c:pt>
                <c:pt idx="293">
                  <c:v>41933</c:v>
                </c:pt>
                <c:pt idx="294">
                  <c:v>41934</c:v>
                </c:pt>
                <c:pt idx="295">
                  <c:v>41935</c:v>
                </c:pt>
                <c:pt idx="296">
                  <c:v>41936</c:v>
                </c:pt>
                <c:pt idx="297">
                  <c:v>41937</c:v>
                </c:pt>
                <c:pt idx="298">
                  <c:v>41938</c:v>
                </c:pt>
                <c:pt idx="299">
                  <c:v>41939</c:v>
                </c:pt>
                <c:pt idx="300">
                  <c:v>41940</c:v>
                </c:pt>
                <c:pt idx="301">
                  <c:v>41941</c:v>
                </c:pt>
                <c:pt idx="302">
                  <c:v>41942</c:v>
                </c:pt>
                <c:pt idx="303">
                  <c:v>41943</c:v>
                </c:pt>
                <c:pt idx="304">
                  <c:v>41944</c:v>
                </c:pt>
                <c:pt idx="305">
                  <c:v>41945</c:v>
                </c:pt>
                <c:pt idx="306">
                  <c:v>41946</c:v>
                </c:pt>
                <c:pt idx="307">
                  <c:v>41947</c:v>
                </c:pt>
                <c:pt idx="308">
                  <c:v>41948</c:v>
                </c:pt>
                <c:pt idx="309">
                  <c:v>41949</c:v>
                </c:pt>
                <c:pt idx="310">
                  <c:v>41950</c:v>
                </c:pt>
                <c:pt idx="311">
                  <c:v>41951</c:v>
                </c:pt>
                <c:pt idx="312">
                  <c:v>41952</c:v>
                </c:pt>
                <c:pt idx="313">
                  <c:v>41953</c:v>
                </c:pt>
                <c:pt idx="314">
                  <c:v>41954</c:v>
                </c:pt>
                <c:pt idx="315">
                  <c:v>41955</c:v>
                </c:pt>
                <c:pt idx="316">
                  <c:v>41956</c:v>
                </c:pt>
                <c:pt idx="317">
                  <c:v>41957</c:v>
                </c:pt>
                <c:pt idx="318">
                  <c:v>41958</c:v>
                </c:pt>
                <c:pt idx="319">
                  <c:v>41959</c:v>
                </c:pt>
                <c:pt idx="320">
                  <c:v>41960</c:v>
                </c:pt>
                <c:pt idx="321">
                  <c:v>41961</c:v>
                </c:pt>
                <c:pt idx="322">
                  <c:v>41962</c:v>
                </c:pt>
                <c:pt idx="323">
                  <c:v>41963</c:v>
                </c:pt>
                <c:pt idx="324">
                  <c:v>41964</c:v>
                </c:pt>
                <c:pt idx="325">
                  <c:v>41965</c:v>
                </c:pt>
                <c:pt idx="326">
                  <c:v>41966</c:v>
                </c:pt>
                <c:pt idx="327">
                  <c:v>41967</c:v>
                </c:pt>
                <c:pt idx="328">
                  <c:v>41968</c:v>
                </c:pt>
                <c:pt idx="329">
                  <c:v>41969</c:v>
                </c:pt>
                <c:pt idx="330">
                  <c:v>41970</c:v>
                </c:pt>
                <c:pt idx="331">
                  <c:v>41971</c:v>
                </c:pt>
                <c:pt idx="332">
                  <c:v>41972</c:v>
                </c:pt>
                <c:pt idx="333">
                  <c:v>41973</c:v>
                </c:pt>
                <c:pt idx="334">
                  <c:v>41974</c:v>
                </c:pt>
                <c:pt idx="335">
                  <c:v>41975</c:v>
                </c:pt>
                <c:pt idx="336">
                  <c:v>41976</c:v>
                </c:pt>
                <c:pt idx="337">
                  <c:v>41977</c:v>
                </c:pt>
                <c:pt idx="338">
                  <c:v>41978</c:v>
                </c:pt>
                <c:pt idx="339">
                  <c:v>41979</c:v>
                </c:pt>
                <c:pt idx="340">
                  <c:v>41980</c:v>
                </c:pt>
                <c:pt idx="341">
                  <c:v>41981</c:v>
                </c:pt>
                <c:pt idx="342">
                  <c:v>41982</c:v>
                </c:pt>
                <c:pt idx="343">
                  <c:v>41983</c:v>
                </c:pt>
                <c:pt idx="344">
                  <c:v>41984</c:v>
                </c:pt>
                <c:pt idx="345">
                  <c:v>41985</c:v>
                </c:pt>
                <c:pt idx="346">
                  <c:v>41986</c:v>
                </c:pt>
                <c:pt idx="347">
                  <c:v>41987</c:v>
                </c:pt>
                <c:pt idx="348">
                  <c:v>41988</c:v>
                </c:pt>
                <c:pt idx="349">
                  <c:v>41989</c:v>
                </c:pt>
                <c:pt idx="350">
                  <c:v>41990</c:v>
                </c:pt>
                <c:pt idx="351">
                  <c:v>41991</c:v>
                </c:pt>
                <c:pt idx="352">
                  <c:v>41992</c:v>
                </c:pt>
                <c:pt idx="353">
                  <c:v>41993</c:v>
                </c:pt>
                <c:pt idx="354">
                  <c:v>41994</c:v>
                </c:pt>
                <c:pt idx="355">
                  <c:v>41995</c:v>
                </c:pt>
                <c:pt idx="356">
                  <c:v>41996</c:v>
                </c:pt>
                <c:pt idx="357">
                  <c:v>41997</c:v>
                </c:pt>
                <c:pt idx="358">
                  <c:v>41998</c:v>
                </c:pt>
                <c:pt idx="359">
                  <c:v>41999</c:v>
                </c:pt>
                <c:pt idx="360">
                  <c:v>42000</c:v>
                </c:pt>
                <c:pt idx="361">
                  <c:v>42001</c:v>
                </c:pt>
                <c:pt idx="362">
                  <c:v>42002</c:v>
                </c:pt>
                <c:pt idx="363">
                  <c:v>42003</c:v>
                </c:pt>
                <c:pt idx="364">
                  <c:v>42004</c:v>
                </c:pt>
                <c:pt idx="365">
                  <c:v>42005</c:v>
                </c:pt>
                <c:pt idx="366">
                  <c:v>42006</c:v>
                </c:pt>
                <c:pt idx="367">
                  <c:v>42007</c:v>
                </c:pt>
                <c:pt idx="368">
                  <c:v>42008</c:v>
                </c:pt>
                <c:pt idx="369">
                  <c:v>42009</c:v>
                </c:pt>
                <c:pt idx="370">
                  <c:v>42010</c:v>
                </c:pt>
                <c:pt idx="371">
                  <c:v>42011</c:v>
                </c:pt>
                <c:pt idx="372">
                  <c:v>42012</c:v>
                </c:pt>
                <c:pt idx="373">
                  <c:v>42013</c:v>
                </c:pt>
                <c:pt idx="374">
                  <c:v>42014</c:v>
                </c:pt>
                <c:pt idx="375">
                  <c:v>42015</c:v>
                </c:pt>
                <c:pt idx="376">
                  <c:v>42016</c:v>
                </c:pt>
                <c:pt idx="377">
                  <c:v>42017</c:v>
                </c:pt>
                <c:pt idx="378">
                  <c:v>42018</c:v>
                </c:pt>
                <c:pt idx="379">
                  <c:v>42019</c:v>
                </c:pt>
                <c:pt idx="380">
                  <c:v>42020</c:v>
                </c:pt>
                <c:pt idx="381">
                  <c:v>42021</c:v>
                </c:pt>
                <c:pt idx="382">
                  <c:v>42022</c:v>
                </c:pt>
                <c:pt idx="383">
                  <c:v>42023</c:v>
                </c:pt>
                <c:pt idx="384">
                  <c:v>42024</c:v>
                </c:pt>
                <c:pt idx="385">
                  <c:v>42025</c:v>
                </c:pt>
                <c:pt idx="386">
                  <c:v>42026</c:v>
                </c:pt>
                <c:pt idx="387">
                  <c:v>42027</c:v>
                </c:pt>
                <c:pt idx="388">
                  <c:v>42028</c:v>
                </c:pt>
                <c:pt idx="389">
                  <c:v>42029</c:v>
                </c:pt>
                <c:pt idx="390">
                  <c:v>42030</c:v>
                </c:pt>
                <c:pt idx="391">
                  <c:v>42031</c:v>
                </c:pt>
                <c:pt idx="392">
                  <c:v>42032</c:v>
                </c:pt>
                <c:pt idx="393">
                  <c:v>42033</c:v>
                </c:pt>
                <c:pt idx="394">
                  <c:v>42034</c:v>
                </c:pt>
                <c:pt idx="395">
                  <c:v>42035</c:v>
                </c:pt>
                <c:pt idx="396">
                  <c:v>42036</c:v>
                </c:pt>
                <c:pt idx="397">
                  <c:v>42037</c:v>
                </c:pt>
                <c:pt idx="398">
                  <c:v>42038</c:v>
                </c:pt>
                <c:pt idx="399">
                  <c:v>42039</c:v>
                </c:pt>
                <c:pt idx="400">
                  <c:v>42040</c:v>
                </c:pt>
                <c:pt idx="401">
                  <c:v>42041</c:v>
                </c:pt>
                <c:pt idx="402">
                  <c:v>42042</c:v>
                </c:pt>
                <c:pt idx="403">
                  <c:v>42043</c:v>
                </c:pt>
                <c:pt idx="404">
                  <c:v>42044</c:v>
                </c:pt>
                <c:pt idx="405">
                  <c:v>42045</c:v>
                </c:pt>
                <c:pt idx="406">
                  <c:v>42046</c:v>
                </c:pt>
                <c:pt idx="407">
                  <c:v>42047</c:v>
                </c:pt>
                <c:pt idx="408">
                  <c:v>42048</c:v>
                </c:pt>
                <c:pt idx="409">
                  <c:v>42049</c:v>
                </c:pt>
                <c:pt idx="410">
                  <c:v>42050</c:v>
                </c:pt>
                <c:pt idx="411">
                  <c:v>42051</c:v>
                </c:pt>
                <c:pt idx="412">
                  <c:v>42052</c:v>
                </c:pt>
                <c:pt idx="413">
                  <c:v>42053</c:v>
                </c:pt>
                <c:pt idx="414">
                  <c:v>42054</c:v>
                </c:pt>
                <c:pt idx="415">
                  <c:v>42055</c:v>
                </c:pt>
                <c:pt idx="416">
                  <c:v>42056</c:v>
                </c:pt>
                <c:pt idx="417">
                  <c:v>42057</c:v>
                </c:pt>
                <c:pt idx="418">
                  <c:v>42058</c:v>
                </c:pt>
                <c:pt idx="419">
                  <c:v>42059</c:v>
                </c:pt>
                <c:pt idx="420">
                  <c:v>42060</c:v>
                </c:pt>
                <c:pt idx="421">
                  <c:v>42061</c:v>
                </c:pt>
                <c:pt idx="422">
                  <c:v>42062</c:v>
                </c:pt>
                <c:pt idx="423">
                  <c:v>42063</c:v>
                </c:pt>
                <c:pt idx="424">
                  <c:v>42064</c:v>
                </c:pt>
                <c:pt idx="425">
                  <c:v>42065</c:v>
                </c:pt>
                <c:pt idx="426">
                  <c:v>42066</c:v>
                </c:pt>
                <c:pt idx="427">
                  <c:v>42067</c:v>
                </c:pt>
                <c:pt idx="428">
                  <c:v>42068</c:v>
                </c:pt>
                <c:pt idx="429">
                  <c:v>42069</c:v>
                </c:pt>
                <c:pt idx="430">
                  <c:v>42070</c:v>
                </c:pt>
                <c:pt idx="431">
                  <c:v>42071</c:v>
                </c:pt>
                <c:pt idx="432">
                  <c:v>42072</c:v>
                </c:pt>
                <c:pt idx="433">
                  <c:v>42073</c:v>
                </c:pt>
                <c:pt idx="434">
                  <c:v>42074</c:v>
                </c:pt>
                <c:pt idx="435">
                  <c:v>42075</c:v>
                </c:pt>
                <c:pt idx="436">
                  <c:v>42076</c:v>
                </c:pt>
                <c:pt idx="437">
                  <c:v>42077</c:v>
                </c:pt>
                <c:pt idx="438">
                  <c:v>42078</c:v>
                </c:pt>
                <c:pt idx="439">
                  <c:v>42079</c:v>
                </c:pt>
                <c:pt idx="440">
                  <c:v>42080</c:v>
                </c:pt>
                <c:pt idx="441">
                  <c:v>42081</c:v>
                </c:pt>
                <c:pt idx="442">
                  <c:v>42082</c:v>
                </c:pt>
                <c:pt idx="443">
                  <c:v>42083</c:v>
                </c:pt>
                <c:pt idx="444">
                  <c:v>42084</c:v>
                </c:pt>
                <c:pt idx="445">
                  <c:v>42085</c:v>
                </c:pt>
                <c:pt idx="446">
                  <c:v>42086</c:v>
                </c:pt>
                <c:pt idx="447">
                  <c:v>42087</c:v>
                </c:pt>
                <c:pt idx="448">
                  <c:v>42088</c:v>
                </c:pt>
                <c:pt idx="449">
                  <c:v>42089</c:v>
                </c:pt>
                <c:pt idx="450">
                  <c:v>42090</c:v>
                </c:pt>
                <c:pt idx="451">
                  <c:v>42091</c:v>
                </c:pt>
                <c:pt idx="452">
                  <c:v>42092</c:v>
                </c:pt>
                <c:pt idx="453">
                  <c:v>42093</c:v>
                </c:pt>
                <c:pt idx="454">
                  <c:v>42094</c:v>
                </c:pt>
                <c:pt idx="455">
                  <c:v>42095</c:v>
                </c:pt>
                <c:pt idx="456">
                  <c:v>42096</c:v>
                </c:pt>
                <c:pt idx="457">
                  <c:v>42097</c:v>
                </c:pt>
                <c:pt idx="458">
                  <c:v>42098</c:v>
                </c:pt>
                <c:pt idx="459">
                  <c:v>42099</c:v>
                </c:pt>
                <c:pt idx="460">
                  <c:v>42100</c:v>
                </c:pt>
                <c:pt idx="461">
                  <c:v>42101</c:v>
                </c:pt>
                <c:pt idx="462">
                  <c:v>42102</c:v>
                </c:pt>
                <c:pt idx="463">
                  <c:v>42103</c:v>
                </c:pt>
                <c:pt idx="464">
                  <c:v>42104</c:v>
                </c:pt>
                <c:pt idx="465">
                  <c:v>42105</c:v>
                </c:pt>
                <c:pt idx="466">
                  <c:v>42106</c:v>
                </c:pt>
                <c:pt idx="467">
                  <c:v>42107</c:v>
                </c:pt>
                <c:pt idx="468">
                  <c:v>42108</c:v>
                </c:pt>
                <c:pt idx="469">
                  <c:v>42109</c:v>
                </c:pt>
                <c:pt idx="470">
                  <c:v>42110</c:v>
                </c:pt>
                <c:pt idx="471">
                  <c:v>42111</c:v>
                </c:pt>
                <c:pt idx="472">
                  <c:v>42112</c:v>
                </c:pt>
                <c:pt idx="473">
                  <c:v>42113</c:v>
                </c:pt>
                <c:pt idx="474">
                  <c:v>42114</c:v>
                </c:pt>
                <c:pt idx="475">
                  <c:v>42115</c:v>
                </c:pt>
                <c:pt idx="476">
                  <c:v>42116</c:v>
                </c:pt>
                <c:pt idx="477">
                  <c:v>42117</c:v>
                </c:pt>
                <c:pt idx="478">
                  <c:v>42118</c:v>
                </c:pt>
                <c:pt idx="479">
                  <c:v>42119</c:v>
                </c:pt>
                <c:pt idx="480">
                  <c:v>42120</c:v>
                </c:pt>
                <c:pt idx="481">
                  <c:v>42121</c:v>
                </c:pt>
                <c:pt idx="482">
                  <c:v>42122</c:v>
                </c:pt>
                <c:pt idx="483">
                  <c:v>42123</c:v>
                </c:pt>
                <c:pt idx="484">
                  <c:v>42124</c:v>
                </c:pt>
                <c:pt idx="485">
                  <c:v>42125</c:v>
                </c:pt>
                <c:pt idx="486">
                  <c:v>42126</c:v>
                </c:pt>
                <c:pt idx="487">
                  <c:v>42127</c:v>
                </c:pt>
                <c:pt idx="488">
                  <c:v>42128</c:v>
                </c:pt>
                <c:pt idx="489">
                  <c:v>42129</c:v>
                </c:pt>
                <c:pt idx="490">
                  <c:v>42130</c:v>
                </c:pt>
                <c:pt idx="491">
                  <c:v>42131</c:v>
                </c:pt>
                <c:pt idx="492">
                  <c:v>42132</c:v>
                </c:pt>
                <c:pt idx="493">
                  <c:v>42133</c:v>
                </c:pt>
                <c:pt idx="494">
                  <c:v>42134</c:v>
                </c:pt>
                <c:pt idx="495">
                  <c:v>42135</c:v>
                </c:pt>
                <c:pt idx="496">
                  <c:v>42136</c:v>
                </c:pt>
                <c:pt idx="497">
                  <c:v>42137</c:v>
                </c:pt>
                <c:pt idx="498">
                  <c:v>42138</c:v>
                </c:pt>
                <c:pt idx="499">
                  <c:v>42139</c:v>
                </c:pt>
                <c:pt idx="500">
                  <c:v>42140</c:v>
                </c:pt>
                <c:pt idx="501">
                  <c:v>42141</c:v>
                </c:pt>
                <c:pt idx="502">
                  <c:v>42142</c:v>
                </c:pt>
                <c:pt idx="503">
                  <c:v>42143</c:v>
                </c:pt>
                <c:pt idx="504">
                  <c:v>42144</c:v>
                </c:pt>
                <c:pt idx="505">
                  <c:v>42145</c:v>
                </c:pt>
                <c:pt idx="506">
                  <c:v>42146</c:v>
                </c:pt>
                <c:pt idx="507">
                  <c:v>42147</c:v>
                </c:pt>
                <c:pt idx="508">
                  <c:v>42148</c:v>
                </c:pt>
                <c:pt idx="509">
                  <c:v>42149</c:v>
                </c:pt>
                <c:pt idx="510">
                  <c:v>42150</c:v>
                </c:pt>
                <c:pt idx="511">
                  <c:v>42151</c:v>
                </c:pt>
                <c:pt idx="512">
                  <c:v>42152</c:v>
                </c:pt>
                <c:pt idx="513">
                  <c:v>42153</c:v>
                </c:pt>
                <c:pt idx="514">
                  <c:v>42154</c:v>
                </c:pt>
                <c:pt idx="515">
                  <c:v>42155</c:v>
                </c:pt>
                <c:pt idx="516">
                  <c:v>42156</c:v>
                </c:pt>
                <c:pt idx="517">
                  <c:v>42157</c:v>
                </c:pt>
                <c:pt idx="518">
                  <c:v>42158</c:v>
                </c:pt>
                <c:pt idx="519">
                  <c:v>42159</c:v>
                </c:pt>
                <c:pt idx="520">
                  <c:v>42160</c:v>
                </c:pt>
                <c:pt idx="521">
                  <c:v>42161</c:v>
                </c:pt>
                <c:pt idx="522">
                  <c:v>42162</c:v>
                </c:pt>
                <c:pt idx="523">
                  <c:v>42163</c:v>
                </c:pt>
                <c:pt idx="524">
                  <c:v>42164</c:v>
                </c:pt>
                <c:pt idx="525">
                  <c:v>42165</c:v>
                </c:pt>
                <c:pt idx="526">
                  <c:v>42166</c:v>
                </c:pt>
                <c:pt idx="527">
                  <c:v>42167</c:v>
                </c:pt>
                <c:pt idx="528">
                  <c:v>42168</c:v>
                </c:pt>
                <c:pt idx="529">
                  <c:v>42169</c:v>
                </c:pt>
                <c:pt idx="530">
                  <c:v>42170</c:v>
                </c:pt>
                <c:pt idx="531">
                  <c:v>42171</c:v>
                </c:pt>
                <c:pt idx="532">
                  <c:v>42172</c:v>
                </c:pt>
                <c:pt idx="533">
                  <c:v>42173</c:v>
                </c:pt>
                <c:pt idx="534">
                  <c:v>42174</c:v>
                </c:pt>
                <c:pt idx="535">
                  <c:v>42175</c:v>
                </c:pt>
                <c:pt idx="536">
                  <c:v>42176</c:v>
                </c:pt>
                <c:pt idx="537">
                  <c:v>42177</c:v>
                </c:pt>
                <c:pt idx="538">
                  <c:v>42178</c:v>
                </c:pt>
                <c:pt idx="539">
                  <c:v>42179</c:v>
                </c:pt>
                <c:pt idx="540">
                  <c:v>42180</c:v>
                </c:pt>
                <c:pt idx="541">
                  <c:v>42181</c:v>
                </c:pt>
                <c:pt idx="542">
                  <c:v>42182</c:v>
                </c:pt>
                <c:pt idx="543">
                  <c:v>42183</c:v>
                </c:pt>
                <c:pt idx="544">
                  <c:v>42184</c:v>
                </c:pt>
                <c:pt idx="545">
                  <c:v>42185</c:v>
                </c:pt>
                <c:pt idx="546">
                  <c:v>42186</c:v>
                </c:pt>
                <c:pt idx="547">
                  <c:v>42187</c:v>
                </c:pt>
                <c:pt idx="548">
                  <c:v>42188</c:v>
                </c:pt>
                <c:pt idx="549">
                  <c:v>42189</c:v>
                </c:pt>
                <c:pt idx="550">
                  <c:v>42190</c:v>
                </c:pt>
                <c:pt idx="551">
                  <c:v>42191</c:v>
                </c:pt>
                <c:pt idx="552">
                  <c:v>42192</c:v>
                </c:pt>
                <c:pt idx="553">
                  <c:v>42193</c:v>
                </c:pt>
                <c:pt idx="554">
                  <c:v>42194</c:v>
                </c:pt>
                <c:pt idx="555">
                  <c:v>42195</c:v>
                </c:pt>
                <c:pt idx="556">
                  <c:v>42196</c:v>
                </c:pt>
                <c:pt idx="557">
                  <c:v>42197</c:v>
                </c:pt>
                <c:pt idx="558">
                  <c:v>42198</c:v>
                </c:pt>
                <c:pt idx="559">
                  <c:v>42199</c:v>
                </c:pt>
                <c:pt idx="560">
                  <c:v>42200</c:v>
                </c:pt>
                <c:pt idx="561">
                  <c:v>42201</c:v>
                </c:pt>
                <c:pt idx="562">
                  <c:v>42202</c:v>
                </c:pt>
                <c:pt idx="563">
                  <c:v>42203</c:v>
                </c:pt>
                <c:pt idx="564">
                  <c:v>42204</c:v>
                </c:pt>
                <c:pt idx="565">
                  <c:v>42205</c:v>
                </c:pt>
                <c:pt idx="566">
                  <c:v>42206</c:v>
                </c:pt>
                <c:pt idx="567">
                  <c:v>42207</c:v>
                </c:pt>
                <c:pt idx="568">
                  <c:v>42208</c:v>
                </c:pt>
                <c:pt idx="569">
                  <c:v>42209</c:v>
                </c:pt>
                <c:pt idx="570">
                  <c:v>42210</c:v>
                </c:pt>
                <c:pt idx="571">
                  <c:v>42211</c:v>
                </c:pt>
                <c:pt idx="572">
                  <c:v>42212</c:v>
                </c:pt>
                <c:pt idx="573">
                  <c:v>42213</c:v>
                </c:pt>
                <c:pt idx="574">
                  <c:v>42214</c:v>
                </c:pt>
                <c:pt idx="575">
                  <c:v>42215</c:v>
                </c:pt>
                <c:pt idx="576">
                  <c:v>42216</c:v>
                </c:pt>
              </c:numCache>
            </c:numRef>
          </c:cat>
          <c:val>
            <c:numRef>
              <c:f>Crop!$V$49:$V$625</c:f>
              <c:numCache>
                <c:formatCode>0.00</c:formatCode>
                <c:ptCount val="577"/>
                <c:pt idx="0">
                  <c:v>1.1284170517059902</c:v>
                </c:pt>
                <c:pt idx="1">
                  <c:v>1.1250686179660982</c:v>
                </c:pt>
                <c:pt idx="2">
                  <c:v>1.1217201842262063</c:v>
                </c:pt>
                <c:pt idx="3">
                  <c:v>1.1183717504863144</c:v>
                </c:pt>
                <c:pt idx="4">
                  <c:v>1.1150233167464225</c:v>
                </c:pt>
                <c:pt idx="5">
                  <c:v>1.1116748830065302</c:v>
                </c:pt>
                <c:pt idx="6">
                  <c:v>1.1169347407014079</c:v>
                </c:pt>
                <c:pt idx="7">
                  <c:v>1.123593363053573</c:v>
                </c:pt>
                <c:pt idx="8">
                  <c:v>1.1316035310278723</c:v>
                </c:pt>
                <c:pt idx="9">
                  <c:v>1.1409180255891516</c:v>
                </c:pt>
                <c:pt idx="10">
                  <c:v>1.1514896277022582</c:v>
                </c:pt>
                <c:pt idx="11">
                  <c:v>1.1632711183320381</c:v>
                </c:pt>
                <c:pt idx="12">
                  <c:v>1.1762152784433382</c:v>
                </c:pt>
                <c:pt idx="13">
                  <c:v>1.1902748890010058</c:v>
                </c:pt>
                <c:pt idx="14">
                  <c:v>1.2054027309698865</c:v>
                </c:pt>
                <c:pt idx="15">
                  <c:v>1.2215544807085388</c:v>
                </c:pt>
                <c:pt idx="16">
                  <c:v>1.2386973961503647</c:v>
                </c:pt>
                <c:pt idx="17">
                  <c:v>1.2568016306224787</c:v>
                </c:pt>
                <c:pt idx="18">
                  <c:v>1.2758373374519947</c:v>
                </c:pt>
                <c:pt idx="19">
                  <c:v>1.2957746699660257</c:v>
                </c:pt>
                <c:pt idx="20">
                  <c:v>1.3165837814916859</c:v>
                </c:pt>
                <c:pt idx="21">
                  <c:v>1.3382348253560894</c:v>
                </c:pt>
                <c:pt idx="22">
                  <c:v>1.3606979548863503</c:v>
                </c:pt>
                <c:pt idx="23">
                  <c:v>1.3839433234095813</c:v>
                </c:pt>
                <c:pt idx="24">
                  <c:v>1.407941084252897</c:v>
                </c:pt>
                <c:pt idx="25">
                  <c:v>1.4326613907434111</c:v>
                </c:pt>
                <c:pt idx="26">
                  <c:v>1.4580743962082374</c:v>
                </c:pt>
                <c:pt idx="27">
                  <c:v>1.48415025397449</c:v>
                </c:pt>
                <c:pt idx="28">
                  <c:v>1.5108591173692818</c:v>
                </c:pt>
                <c:pt idx="29">
                  <c:v>1.5381711397197275</c:v>
                </c:pt>
                <c:pt idx="30">
                  <c:v>1.5660564743529413</c:v>
                </c:pt>
                <c:pt idx="31">
                  <c:v>1.5944852745960354</c:v>
                </c:pt>
                <c:pt idx="32">
                  <c:v>1.6234276937761254</c:v>
                </c:pt>
                <c:pt idx="33">
                  <c:v>1.6528538852203236</c:v>
                </c:pt>
                <c:pt idx="34">
                  <c:v>1.6827340022557449</c:v>
                </c:pt>
                <c:pt idx="35">
                  <c:v>1.7130381982095029</c:v>
                </c:pt>
                <c:pt idx="36">
                  <c:v>1.7437366264087111</c:v>
                </c:pt>
                <c:pt idx="37">
                  <c:v>1.7747994401804836</c:v>
                </c:pt>
                <c:pt idx="38">
                  <c:v>1.8061967928519338</c:v>
                </c:pt>
                <c:pt idx="39">
                  <c:v>1.8378988377501759</c:v>
                </c:pt>
                <c:pt idx="40">
                  <c:v>1.8698757282023242</c:v>
                </c:pt>
                <c:pt idx="41">
                  <c:v>1.9020976175354916</c:v>
                </c:pt>
                <c:pt idx="42">
                  <c:v>1.934534659076792</c:v>
                </c:pt>
                <c:pt idx="43">
                  <c:v>1.9671570061533397</c:v>
                </c:pt>
                <c:pt idx="44">
                  <c:v>1.9999348120922484</c:v>
                </c:pt>
                <c:pt idx="45">
                  <c:v>2.0328382302206318</c:v>
                </c:pt>
                <c:pt idx="46">
                  <c:v>2.065850131736747</c:v>
                </c:pt>
                <c:pt idx="47">
                  <c:v>2.0990042593234235</c:v>
                </c:pt>
                <c:pt idx="48">
                  <c:v>2.1323470735346328</c:v>
                </c:pt>
                <c:pt idx="49">
                  <c:v>2.1659250349243484</c:v>
                </c:pt>
                <c:pt idx="50">
                  <c:v>2.1997846040465414</c:v>
                </c:pt>
                <c:pt idx="51">
                  <c:v>2.2339722414551866</c:v>
                </c:pt>
                <c:pt idx="52">
                  <c:v>2.2685344077042546</c:v>
                </c:pt>
                <c:pt idx="53">
                  <c:v>2.3035175633477176</c:v>
                </c:pt>
                <c:pt idx="54">
                  <c:v>2.3389681689395494</c:v>
                </c:pt>
                <c:pt idx="55">
                  <c:v>2.3749326850337216</c:v>
                </c:pt>
                <c:pt idx="56">
                  <c:v>2.4114575721842075</c:v>
                </c:pt>
                <c:pt idx="57">
                  <c:v>2.4485892909449776</c:v>
                </c:pt>
                <c:pt idx="58">
                  <c:v>2.4863743018700069</c:v>
                </c:pt>
                <c:pt idx="59">
                  <c:v>2.5248590655132661</c:v>
                </c:pt>
                <c:pt idx="60">
                  <c:v>2.5640900424287278</c:v>
                </c:pt>
                <c:pt idx="61">
                  <c:v>2.6041136931703659</c:v>
                </c:pt>
                <c:pt idx="62">
                  <c:v>2.6449764782921501</c:v>
                </c:pt>
                <c:pt idx="63">
                  <c:v>2.6867248583480561</c:v>
                </c:pt>
                <c:pt idx="64">
                  <c:v>2.7294052938920541</c:v>
                </c:pt>
                <c:pt idx="65">
                  <c:v>2.7685976691162124</c:v>
                </c:pt>
                <c:pt idx="66">
                  <c:v>2.7823309944513359</c:v>
                </c:pt>
                <c:pt idx="67">
                  <c:v>2.7927719340917081</c:v>
                </c:pt>
                <c:pt idx="68">
                  <c:v>2.7998949911046065</c:v>
                </c:pt>
                <c:pt idx="69">
                  <c:v>2.8037509499222542</c:v>
                </c:pt>
                <c:pt idx="70">
                  <c:v>2.8044648517901756</c:v>
                </c:pt>
                <c:pt idx="71">
                  <c:v>2.8022300806324454</c:v>
                </c:pt>
                <c:pt idx="72">
                  <c:v>2.7972991338995348</c:v>
                </c:pt>
                <c:pt idx="73">
                  <c:v>2.7899719548394697</c:v>
                </c:pt>
                <c:pt idx="74">
                  <c:v>2.7805828693122985</c:v>
                </c:pt>
                <c:pt idx="75">
                  <c:v>2.7694871893795447</c:v>
                </c:pt>
                <c:pt idx="76">
                  <c:v>2.7571108807521165</c:v>
                </c:pt>
                <c:pt idx="77">
                  <c:v>2.8089758806142804</c:v>
                </c:pt>
                <c:pt idx="78">
                  <c:v>2.8738841189961368</c:v>
                </c:pt>
                <c:pt idx="79">
                  <c:v>2.9403202070860872</c:v>
                </c:pt>
                <c:pt idx="80">
                  <c:v>3.008217812173803</c:v>
                </c:pt>
                <c:pt idx="81">
                  <c:v>3.0775088995041098</c:v>
                </c:pt>
                <c:pt idx="82">
                  <c:v>3.1481237322769946</c:v>
                </c:pt>
                <c:pt idx="83">
                  <c:v>3.2199908716475978</c:v>
                </c:pt>
                <c:pt idx="84">
                  <c:v>3.2930371767262168</c:v>
                </c:pt>
                <c:pt idx="85">
                  <c:v>3.3671878045783052</c:v>
                </c:pt>
                <c:pt idx="86">
                  <c:v>3.4423662102244772</c:v>
                </c:pt>
                <c:pt idx="87">
                  <c:v>3.518494146640498</c:v>
                </c:pt>
                <c:pt idx="88">
                  <c:v>3.5954916647572954</c:v>
                </c:pt>
                <c:pt idx="89">
                  <c:v>3.6732771134609488</c:v>
                </c:pt>
                <c:pt idx="90">
                  <c:v>3.7517671395926993</c:v>
                </c:pt>
                <c:pt idx="91">
                  <c:v>3.8308766879489395</c:v>
                </c:pt>
                <c:pt idx="92">
                  <c:v>3.9105190012812239</c:v>
                </c:pt>
                <c:pt idx="93">
                  <c:v>3.990605620296261</c:v>
                </c:pt>
                <c:pt idx="94">
                  <c:v>4.0710463836559141</c:v>
                </c:pt>
                <c:pt idx="95">
                  <c:v>4.1517494279772089</c:v>
                </c:pt>
                <c:pt idx="96">
                  <c:v>4.2326211878323221</c:v>
                </c:pt>
                <c:pt idx="97">
                  <c:v>4.313566395748591</c:v>
                </c:pt>
                <c:pt idx="98">
                  <c:v>4.3944880822085084</c:v>
                </c:pt>
                <c:pt idx="99">
                  <c:v>4.4752875756497232</c:v>
                </c:pt>
                <c:pt idx="100">
                  <c:v>4.5558645024650426</c:v>
                </c:pt>
                <c:pt idx="101">
                  <c:v>4.6361167870024298</c:v>
                </c:pt>
                <c:pt idx="102">
                  <c:v>4.7159406515650026</c:v>
                </c:pt>
                <c:pt idx="103">
                  <c:v>4.7952306164110396</c:v>
                </c:pt>
                <c:pt idx="104">
                  <c:v>4.8738794997539738</c:v>
                </c:pt>
                <c:pt idx="105">
                  <c:v>4.9517784177623962</c:v>
                </c:pt>
                <c:pt idx="106">
                  <c:v>5.0288167845600507</c:v>
                </c:pt>
                <c:pt idx="107">
                  <c:v>5.1049112274877988</c:v>
                </c:pt>
                <c:pt idx="108">
                  <c:v>5.1800933855497417</c:v>
                </c:pt>
                <c:pt idx="109">
                  <c:v>5.2544250057828563</c:v>
                </c:pt>
                <c:pt idx="110">
                  <c:v>5.3279692911600964</c:v>
                </c:pt>
                <c:pt idx="111">
                  <c:v>5.40079090059041</c:v>
                </c:pt>
                <c:pt idx="112">
                  <c:v>5.4729559489187203</c:v>
                </c:pt>
                <c:pt idx="113">
                  <c:v>5.5445320069259409</c:v>
                </c:pt>
                <c:pt idx="114">
                  <c:v>5.6155881013289655</c:v>
                </c:pt>
                <c:pt idx="115">
                  <c:v>5.6861947147806777</c:v>
                </c:pt>
                <c:pt idx="116">
                  <c:v>5.7564237858699405</c:v>
                </c:pt>
                <c:pt idx="117">
                  <c:v>5.8073290724215418</c:v>
                </c:pt>
                <c:pt idx="118">
                  <c:v>5.851328939173138</c:v>
                </c:pt>
                <c:pt idx="119">
                  <c:v>5.8947979119963136</c:v>
                </c:pt>
                <c:pt idx="120">
                  <c:v>5.9378193432261819</c:v>
                </c:pt>
                <c:pt idx="121">
                  <c:v>5.9804765851978541</c:v>
                </c:pt>
                <c:pt idx="122">
                  <c:v>6.0228529902464425</c:v>
                </c:pt>
                <c:pt idx="123">
                  <c:v>6.0650319107070567</c:v>
                </c:pt>
                <c:pt idx="124">
                  <c:v>6.1070966989148063</c:v>
                </c:pt>
                <c:pt idx="125">
                  <c:v>6.1491307072048063</c:v>
                </c:pt>
                <c:pt idx="126">
                  <c:v>6.1912172879121679</c:v>
                </c:pt>
                <c:pt idx="127">
                  <c:v>6.2334397933719989</c:v>
                </c:pt>
                <c:pt idx="128">
                  <c:v>6.2758815759194118</c:v>
                </c:pt>
                <c:pt idx="129">
                  <c:v>6.3186259878895203</c:v>
                </c:pt>
                <c:pt idx="130">
                  <c:v>6.3617563816174307</c:v>
                </c:pt>
                <c:pt idx="131">
                  <c:v>6.4053561094382578</c:v>
                </c:pt>
                <c:pt idx="132">
                  <c:v>6.4495085236871121</c:v>
                </c:pt>
                <c:pt idx="133">
                  <c:v>6.4942969766991059</c:v>
                </c:pt>
                <c:pt idx="134">
                  <c:v>6.5398048208093469</c:v>
                </c:pt>
                <c:pt idx="135">
                  <c:v>6.586115408352951</c:v>
                </c:pt>
                <c:pt idx="136">
                  <c:v>6.633312091665025</c:v>
                </c:pt>
                <c:pt idx="137">
                  <c:v>6.6814497395044574</c:v>
                </c:pt>
                <c:pt idx="138">
                  <c:v>6.7304692863252251</c:v>
                </c:pt>
                <c:pt idx="139">
                  <c:v>6.7802831830050785</c:v>
                </c:pt>
                <c:pt idx="140">
                  <c:v>6.8308038804217777</c:v>
                </c:pt>
                <c:pt idx="141">
                  <c:v>6.8819438294530686</c:v>
                </c:pt>
                <c:pt idx="142">
                  <c:v>6.9336154809767061</c:v>
                </c:pt>
                <c:pt idx="143">
                  <c:v>6.9857312858704441</c:v>
                </c:pt>
                <c:pt idx="144">
                  <c:v>7.0382036950120339</c:v>
                </c:pt>
                <c:pt idx="145">
                  <c:v>7.0909451592792312</c:v>
                </c:pt>
                <c:pt idx="146">
                  <c:v>7.1438681295497846</c:v>
                </c:pt>
                <c:pt idx="147">
                  <c:v>7.1968850567014488</c:v>
                </c:pt>
                <c:pt idx="148">
                  <c:v>7.2499083916119762</c:v>
                </c:pt>
                <c:pt idx="149">
                  <c:v>7.3028505851591214</c:v>
                </c:pt>
                <c:pt idx="150">
                  <c:v>7.3556240882206332</c:v>
                </c:pt>
                <c:pt idx="151">
                  <c:v>7.4081413516742689</c:v>
                </c:pt>
                <c:pt idx="152">
                  <c:v>7.460314826397779</c:v>
                </c:pt>
                <c:pt idx="153">
                  <c:v>7.5120569632689147</c:v>
                </c:pt>
                <c:pt idx="154">
                  <c:v>7.5632802131654326</c:v>
                </c:pt>
                <c:pt idx="155">
                  <c:v>7.6138970269650823</c:v>
                </c:pt>
                <c:pt idx="156">
                  <c:v>7.6638198555456176</c:v>
                </c:pt>
                <c:pt idx="157">
                  <c:v>7.7129611497847916</c:v>
                </c:pt>
                <c:pt idx="158">
                  <c:v>7.7612333605603574</c:v>
                </c:pt>
                <c:pt idx="159">
                  <c:v>7.8085489387500671</c:v>
                </c:pt>
                <c:pt idx="160">
                  <c:v>7.8548203352316719</c:v>
                </c:pt>
                <c:pt idx="161">
                  <c:v>7.8999600008829276</c:v>
                </c:pt>
                <c:pt idx="162">
                  <c:v>7.9438803865815864</c:v>
                </c:pt>
                <c:pt idx="163">
                  <c:v>7.9864939432053985</c:v>
                </c:pt>
                <c:pt idx="164">
                  <c:v>8.027713121632118</c:v>
                </c:pt>
                <c:pt idx="165">
                  <c:v>8.0674503727395006</c:v>
                </c:pt>
                <c:pt idx="166">
                  <c:v>8.1056181474052966</c:v>
                </c:pt>
                <c:pt idx="167">
                  <c:v>8.1421288965072556</c:v>
                </c:pt>
                <c:pt idx="168">
                  <c:v>8.1769130178023399</c:v>
                </c:pt>
                <c:pt idx="169">
                  <c:v>8.2099726965643303</c:v>
                </c:pt>
                <c:pt idx="170">
                  <c:v>8.241328064946206</c:v>
                </c:pt>
                <c:pt idx="171">
                  <c:v>8.2709992551009552</c:v>
                </c:pt>
                <c:pt idx="172">
                  <c:v>8.2990063991815646</c:v>
                </c:pt>
                <c:pt idx="173">
                  <c:v>8.3253696293410151</c:v>
                </c:pt>
                <c:pt idx="174">
                  <c:v>8.3501090777322915</c:v>
                </c:pt>
                <c:pt idx="175">
                  <c:v>8.373244876508382</c:v>
                </c:pt>
                <c:pt idx="176">
                  <c:v>8.394797157822266</c:v>
                </c:pt>
                <c:pt idx="177">
                  <c:v>8.4147860538269352</c:v>
                </c:pt>
                <c:pt idx="178">
                  <c:v>8.4332316966753673</c:v>
                </c:pt>
                <c:pt idx="179">
                  <c:v>8.4501542185205523</c:v>
                </c:pt>
                <c:pt idx="180">
                  <c:v>8.465573751515473</c:v>
                </c:pt>
                <c:pt idx="181">
                  <c:v>8.4795104278131124</c:v>
                </c:pt>
                <c:pt idx="182">
                  <c:v>8.4919843795664587</c:v>
                </c:pt>
                <c:pt idx="183">
                  <c:v>8.5030157389284931</c:v>
                </c:pt>
                <c:pt idx="184">
                  <c:v>8.5126246380522019</c:v>
                </c:pt>
                <c:pt idx="185">
                  <c:v>8.5208312090905718</c:v>
                </c:pt>
                <c:pt idx="186">
                  <c:v>8.527655584196582</c:v>
                </c:pt>
                <c:pt idx="187">
                  <c:v>8.5331178955232243</c:v>
                </c:pt>
                <c:pt idx="188">
                  <c:v>8.5372382752234781</c:v>
                </c:pt>
                <c:pt idx="189">
                  <c:v>8.5400368554503299</c:v>
                </c:pt>
                <c:pt idx="190">
                  <c:v>8.541533768356766</c:v>
                </c:pt>
                <c:pt idx="191">
                  <c:v>8.5417491460957695</c:v>
                </c:pt>
                <c:pt idx="192">
                  <c:v>8.540703120820325</c:v>
                </c:pt>
                <c:pt idx="193">
                  <c:v>8.5384158246834154</c:v>
                </c:pt>
                <c:pt idx="194">
                  <c:v>8.534907389838029</c:v>
                </c:pt>
                <c:pt idx="195">
                  <c:v>8.5301979484371486</c:v>
                </c:pt>
                <c:pt idx="196">
                  <c:v>8.5243076326337608</c:v>
                </c:pt>
                <c:pt idx="197">
                  <c:v>8.5172565745808466</c:v>
                </c:pt>
                <c:pt idx="198">
                  <c:v>8.5090635442955254</c:v>
                </c:pt>
                <c:pt idx="199">
                  <c:v>8.4997418632514314</c:v>
                </c:pt>
                <c:pt idx="200">
                  <c:v>8.4893034907863409</c:v>
                </c:pt>
                <c:pt idx="201">
                  <c:v>8.4777603862380175</c:v>
                </c:pt>
                <c:pt idx="202">
                  <c:v>8.4651245089442373</c:v>
                </c:pt>
                <c:pt idx="203">
                  <c:v>8.4514078182427639</c:v>
                </c:pt>
                <c:pt idx="204">
                  <c:v>8.4366222734713716</c:v>
                </c:pt>
                <c:pt idx="205">
                  <c:v>8.4207798339678259</c:v>
                </c:pt>
                <c:pt idx="206">
                  <c:v>8.4038924590698993</c:v>
                </c:pt>
                <c:pt idx="207">
                  <c:v>8.3859721081153609</c:v>
                </c:pt>
                <c:pt idx="208">
                  <c:v>8.367030740441983</c:v>
                </c:pt>
                <c:pt idx="209">
                  <c:v>8.3470803153875313</c:v>
                </c:pt>
                <c:pt idx="210">
                  <c:v>8.3261327922897781</c:v>
                </c:pt>
                <c:pt idx="211">
                  <c:v>8.3042001304864907</c:v>
                </c:pt>
                <c:pt idx="212">
                  <c:v>8.2812942893154435</c:v>
                </c:pt>
                <c:pt idx="213">
                  <c:v>8.2574272281144019</c:v>
                </c:pt>
                <c:pt idx="214">
                  <c:v>8.2326109062211348</c:v>
                </c:pt>
                <c:pt idx="215">
                  <c:v>8.2068572829734183</c:v>
                </c:pt>
                <c:pt idx="216">
                  <c:v>8.1801783177090144</c:v>
                </c:pt>
                <c:pt idx="217">
                  <c:v>8.152585969765699</c:v>
                </c:pt>
                <c:pt idx="218">
                  <c:v>8.1240921984812378</c:v>
                </c:pt>
                <c:pt idx="219">
                  <c:v>8.0947089631934048</c:v>
                </c:pt>
                <c:pt idx="220">
                  <c:v>8.0644482232399657</c:v>
                </c:pt>
                <c:pt idx="221">
                  <c:v>8.0333219379586893</c:v>
                </c:pt>
                <c:pt idx="222">
                  <c:v>8.0013420666873518</c:v>
                </c:pt>
                <c:pt idx="223">
                  <c:v>7.9685205687637168</c:v>
                </c:pt>
                <c:pt idx="224">
                  <c:v>7.9348694035255569</c:v>
                </c:pt>
                <c:pt idx="225">
                  <c:v>7.9004005303106419</c:v>
                </c:pt>
                <c:pt idx="226">
                  <c:v>7.8651259084567391</c:v>
                </c:pt>
                <c:pt idx="227">
                  <c:v>7.8290574973016227</c:v>
                </c:pt>
                <c:pt idx="228">
                  <c:v>7.7922072561830582</c:v>
                </c:pt>
                <c:pt idx="229">
                  <c:v>7.7545884599251709</c:v>
                </c:pt>
                <c:pt idx="230">
                  <c:v>7.7162196452974996</c:v>
                </c:pt>
                <c:pt idx="231">
                  <c:v>7.6771206645559378</c:v>
                </c:pt>
                <c:pt idx="232">
                  <c:v>7.6373113699563779</c:v>
                </c:pt>
                <c:pt idx="233">
                  <c:v>7.5968116137547126</c:v>
                </c:pt>
                <c:pt idx="234">
                  <c:v>7.555641248206836</c:v>
                </c:pt>
                <c:pt idx="235">
                  <c:v>7.513820125568639</c:v>
                </c:pt>
                <c:pt idx="236">
                  <c:v>7.4713680980960175</c:v>
                </c:pt>
                <c:pt idx="237">
                  <c:v>7.4283050180448615</c:v>
                </c:pt>
                <c:pt idx="238">
                  <c:v>7.3846507376710635</c:v>
                </c:pt>
                <c:pt idx="239">
                  <c:v>7.3404251092305195</c:v>
                </c:pt>
                <c:pt idx="240">
                  <c:v>7.295647984979122</c:v>
                </c:pt>
                <c:pt idx="241">
                  <c:v>7.250339217172761</c:v>
                </c:pt>
                <c:pt idx="242">
                  <c:v>7.2045186580673324</c:v>
                </c:pt>
                <c:pt idx="243">
                  <c:v>7.1582061599187261</c:v>
                </c:pt>
                <c:pt idx="244">
                  <c:v>7.1114215749828382</c:v>
                </c:pt>
                <c:pt idx="245">
                  <c:v>7.0641847555155595</c:v>
                </c:pt>
                <c:pt idx="246">
                  <c:v>7.0165155537727841</c:v>
                </c:pt>
                <c:pt idx="247">
                  <c:v>6.968433822010403</c:v>
                </c:pt>
                <c:pt idx="248">
                  <c:v>6.9199594124843111</c:v>
                </c:pt>
                <c:pt idx="249">
                  <c:v>6.8711121774504011</c:v>
                </c:pt>
                <c:pt idx="250">
                  <c:v>6.8219119691645664</c:v>
                </c:pt>
                <c:pt idx="251">
                  <c:v>6.7723786398826977</c:v>
                </c:pt>
                <c:pt idx="252">
                  <c:v>6.7225320418606902</c:v>
                </c:pt>
                <c:pt idx="253">
                  <c:v>6.6723920273544364</c:v>
                </c:pt>
                <c:pt idx="254">
                  <c:v>6.6219784486198261</c:v>
                </c:pt>
                <c:pt idx="255">
                  <c:v>6.5713111579127572</c:v>
                </c:pt>
                <c:pt idx="256">
                  <c:v>6.5204100074891187</c:v>
                </c:pt>
                <c:pt idx="257">
                  <c:v>6.4692948496048057</c:v>
                </c:pt>
                <c:pt idx="258">
                  <c:v>6.4179855365157108</c:v>
                </c:pt>
                <c:pt idx="259">
                  <c:v>6.3664944196475002</c:v>
                </c:pt>
                <c:pt idx="260">
                  <c:v>6.3148038471049412</c:v>
                </c:pt>
                <c:pt idx="261">
                  <c:v>6.2628886661625742</c:v>
                </c:pt>
                <c:pt idx="262">
                  <c:v>6.2107237240949429</c:v>
                </c:pt>
                <c:pt idx="263">
                  <c:v>6.1582838681765839</c:v>
                </c:pt>
                <c:pt idx="264">
                  <c:v>6.1055439456820393</c:v>
                </c:pt>
                <c:pt idx="265">
                  <c:v>6.052478803885851</c:v>
                </c:pt>
                <c:pt idx="266">
                  <c:v>5.9990632900625602</c:v>
                </c:pt>
                <c:pt idx="267">
                  <c:v>5.9452722514867062</c:v>
                </c:pt>
                <c:pt idx="268">
                  <c:v>5.8910805354328302</c:v>
                </c:pt>
                <c:pt idx="269">
                  <c:v>5.8364629891754758</c:v>
                </c:pt>
                <c:pt idx="270">
                  <c:v>5.7813944599891789</c:v>
                </c:pt>
                <c:pt idx="271">
                  <c:v>5.7258497951484841</c:v>
                </c:pt>
                <c:pt idx="272">
                  <c:v>5.66980384192793</c:v>
                </c:pt>
                <c:pt idx="273">
                  <c:v>5.6132314476020611</c:v>
                </c:pt>
                <c:pt idx="274">
                  <c:v>5.5561074594454141</c:v>
                </c:pt>
                <c:pt idx="275">
                  <c:v>5.4984067247325319</c:v>
                </c:pt>
                <c:pt idx="276">
                  <c:v>5.4401040907379574</c:v>
                </c:pt>
                <c:pt idx="277">
                  <c:v>5.3811744047362255</c:v>
                </c:pt>
                <c:pt idx="278">
                  <c:v>5.3215925140018827</c:v>
                </c:pt>
                <c:pt idx="279">
                  <c:v>5.1637583743489239</c:v>
                </c:pt>
                <c:pt idx="280">
                  <c:v>5.0049855726988728</c:v>
                </c:pt>
                <c:pt idx="281">
                  <c:v>4.8478459935876979</c:v>
                </c:pt>
                <c:pt idx="282">
                  <c:v>4.6923579196927099</c:v>
                </c:pt>
                <c:pt idx="283">
                  <c:v>4.5385415479016853</c:v>
                </c:pt>
                <c:pt idx="284">
                  <c:v>4.3864189893128573</c:v>
                </c:pt>
                <c:pt idx="285">
                  <c:v>4.236014269234917</c:v>
                </c:pt>
                <c:pt idx="286">
                  <c:v>4.0873533271870235</c:v>
                </c:pt>
                <c:pt idx="287">
                  <c:v>3.9404640168987934</c:v>
                </c:pt>
                <c:pt idx="288">
                  <c:v>3.5132765600728004</c:v>
                </c:pt>
                <c:pt idx="289">
                  <c:v>3.4619643930677597</c:v>
                </c:pt>
                <c:pt idx="290">
                  <c:v>3.409950913138792</c:v>
                </c:pt>
                <c:pt idx="291">
                  <c:v>3.3572883315151238</c:v>
                </c:pt>
                <c:pt idx="292">
                  <c:v>3.3040430745806479</c:v>
                </c:pt>
                <c:pt idx="293">
                  <c:v>3.2502815687192563</c:v>
                </c:pt>
                <c:pt idx="294">
                  <c:v>3.1960702403148411</c:v>
                </c:pt>
                <c:pt idx="295">
                  <c:v>3.141475515751293</c:v>
                </c:pt>
                <c:pt idx="296">
                  <c:v>3.0865638214125055</c:v>
                </c:pt>
                <c:pt idx="297">
                  <c:v>3.0314015836823693</c:v>
                </c:pt>
                <c:pt idx="298">
                  <c:v>2.976055228944777</c:v>
                </c:pt>
                <c:pt idx="299">
                  <c:v>2.9205911835836211</c:v>
                </c:pt>
                <c:pt idx="300">
                  <c:v>2.8650758739827928</c:v>
                </c:pt>
                <c:pt idx="301">
                  <c:v>2.8095757265261843</c:v>
                </c:pt>
                <c:pt idx="302">
                  <c:v>2.7541571675976875</c:v>
                </c:pt>
                <c:pt idx="303">
                  <c:v>2.6988866235811941</c:v>
                </c:pt>
                <c:pt idx="304">
                  <c:v>2.6438305208605968</c:v>
                </c:pt>
                <c:pt idx="305">
                  <c:v>2.5890552858197875</c:v>
                </c:pt>
                <c:pt idx="306">
                  <c:v>2.5346273448426571</c:v>
                </c:pt>
                <c:pt idx="307">
                  <c:v>2.4806131243130984</c:v>
                </c:pt>
                <c:pt idx="308">
                  <c:v>2.4270790506150033</c:v>
                </c:pt>
                <c:pt idx="309">
                  <c:v>2.3740915501322633</c:v>
                </c:pt>
                <c:pt idx="310">
                  <c:v>2.3217170492487713</c:v>
                </c:pt>
                <c:pt idx="311">
                  <c:v>2.2700219743484187</c:v>
                </c:pt>
                <c:pt idx="312">
                  <c:v>2.2190727518150974</c:v>
                </c:pt>
                <c:pt idx="313">
                  <c:v>2.1689358080326997</c:v>
                </c:pt>
                <c:pt idx="314">
                  <c:v>2.1196775693851171</c:v>
                </c:pt>
                <c:pt idx="315">
                  <c:v>2.0713644622562413</c:v>
                </c:pt>
                <c:pt idx="316">
                  <c:v>2.0315301356072428</c:v>
                </c:pt>
                <c:pt idx="317">
                  <c:v>2.0183910081845546</c:v>
                </c:pt>
                <c:pt idx="318">
                  <c:v>2.0050585518431263</c:v>
                </c:pt>
                <c:pt idx="319">
                  <c:v>1.9914363018909111</c:v>
                </c:pt>
                <c:pt idx="320">
                  <c:v>1.977432328343312</c:v>
                </c:pt>
                <c:pt idx="321">
                  <c:v>1.9630002088437579</c:v>
                </c:pt>
                <c:pt idx="322">
                  <c:v>1.9481129552653815</c:v>
                </c:pt>
                <c:pt idx="323">
                  <c:v>1.9327531749081841</c:v>
                </c:pt>
                <c:pt idx="324">
                  <c:v>1.9169135228544096</c:v>
                </c:pt>
                <c:pt idx="325">
                  <c:v>1.9005969138252909</c:v>
                </c:pt>
                <c:pt idx="326">
                  <c:v>1.8838164819200216</c:v>
                </c:pt>
                <c:pt idx="327">
                  <c:v>1.8665952892491353</c:v>
                </c:pt>
                <c:pt idx="328">
                  <c:v>1.848965797186783</c:v>
                </c:pt>
                <c:pt idx="329">
                  <c:v>1.8309691257360481</c:v>
                </c:pt>
                <c:pt idx="330">
                  <c:v>1.8126541364111095</c:v>
                </c:pt>
                <c:pt idx="331">
                  <c:v>1.7940763813851688</c:v>
                </c:pt>
                <c:pt idx="332">
                  <c:v>1.775296966015087</c:v>
                </c:pt>
                <c:pt idx="333">
                  <c:v>1.7563813731296971</c:v>
                </c:pt>
                <c:pt idx="334">
                  <c:v>1.7373982958571887</c:v>
                </c:pt>
                <c:pt idx="335">
                  <c:v>1.7184185217146135</c:v>
                </c:pt>
                <c:pt idx="336">
                  <c:v>1.6995139048073231</c:v>
                </c:pt>
                <c:pt idx="337">
                  <c:v>1.6807564559891528</c:v>
                </c:pt>
                <c:pt idx="338">
                  <c:v>1.6622175734168572</c:v>
                </c:pt>
                <c:pt idx="339">
                  <c:v>1.6439674287289094</c:v>
                </c:pt>
                <c:pt idx="340">
                  <c:v>1.6260745176112827</c:v>
                </c:pt>
                <c:pt idx="341">
                  <c:v>1.5991354902783979</c:v>
                </c:pt>
                <c:pt idx="342">
                  <c:v>1.5707943511324145</c:v>
                </c:pt>
                <c:pt idx="343">
                  <c:v>1.5433381597070728</c:v>
                </c:pt>
                <c:pt idx="344">
                  <c:v>1.5167313477329418</c:v>
                </c:pt>
                <c:pt idx="345">
                  <c:v>1.490938346940591</c:v>
                </c:pt>
                <c:pt idx="346">
                  <c:v>1.4659235890605882</c:v>
                </c:pt>
                <c:pt idx="347">
                  <c:v>1.4416515058235031</c:v>
                </c:pt>
                <c:pt idx="348">
                  <c:v>1.4180865289599047</c:v>
                </c:pt>
                <c:pt idx="349">
                  <c:v>1.395193090200362</c:v>
                </c:pt>
                <c:pt idx="350">
                  <c:v>1.3729356212754431</c:v>
                </c:pt>
                <c:pt idx="351">
                  <c:v>1.3512933624852184</c:v>
                </c:pt>
                <c:pt idx="352">
                  <c:v>1.330304788407759</c:v>
                </c:pt>
                <c:pt idx="353">
                  <c:v>1.3100231821906372</c:v>
                </c:pt>
                <c:pt idx="354">
                  <c:v>1.2905018269814246</c:v>
                </c:pt>
                <c:pt idx="355">
                  <c:v>1.2717940059276935</c:v>
                </c:pt>
                <c:pt idx="356">
                  <c:v>1.2539530021770162</c:v>
                </c:pt>
                <c:pt idx="357">
                  <c:v>1.2370320988769641</c:v>
                </c:pt>
                <c:pt idx="358">
                  <c:v>1.2210845791751097</c:v>
                </c:pt>
                <c:pt idx="359">
                  <c:v>1.2025510736812859</c:v>
                </c:pt>
                <c:pt idx="360">
                  <c:v>1.1840175681874621</c:v>
                </c:pt>
                <c:pt idx="361">
                  <c:v>1.165484062693638</c:v>
                </c:pt>
                <c:pt idx="362">
                  <c:v>1.1469505571998142</c:v>
                </c:pt>
                <c:pt idx="363">
                  <c:v>1.1284170517059902</c:v>
                </c:pt>
                <c:pt idx="364">
                  <c:v>1.1284170517059902</c:v>
                </c:pt>
                <c:pt idx="365">
                  <c:v>1.1284170517059902</c:v>
                </c:pt>
                <c:pt idx="366">
                  <c:v>1.1284170517059902</c:v>
                </c:pt>
                <c:pt idx="367">
                  <c:v>1.1250686179660982</c:v>
                </c:pt>
                <c:pt idx="368">
                  <c:v>1.1217201842262063</c:v>
                </c:pt>
                <c:pt idx="369">
                  <c:v>1.1183717504863144</c:v>
                </c:pt>
                <c:pt idx="370">
                  <c:v>1.1150233167464225</c:v>
                </c:pt>
                <c:pt idx="371">
                  <c:v>1.1116748830065302</c:v>
                </c:pt>
                <c:pt idx="372">
                  <c:v>1.1169347407014079</c:v>
                </c:pt>
                <c:pt idx="373">
                  <c:v>1.123593363053573</c:v>
                </c:pt>
                <c:pt idx="374">
                  <c:v>1.1316035310278723</c:v>
                </c:pt>
                <c:pt idx="375">
                  <c:v>1.1409180255891516</c:v>
                </c:pt>
                <c:pt idx="376">
                  <c:v>1.1514896277022582</c:v>
                </c:pt>
                <c:pt idx="377">
                  <c:v>1.1632711183320381</c:v>
                </c:pt>
                <c:pt idx="378">
                  <c:v>1.1762152784433382</c:v>
                </c:pt>
                <c:pt idx="379">
                  <c:v>1.1902748890010058</c:v>
                </c:pt>
                <c:pt idx="380">
                  <c:v>1.2054027309698865</c:v>
                </c:pt>
                <c:pt idx="381">
                  <c:v>1.2215544807085388</c:v>
                </c:pt>
                <c:pt idx="382">
                  <c:v>1.2386973961503647</c:v>
                </c:pt>
                <c:pt idx="383">
                  <c:v>1.2568016306224787</c:v>
                </c:pt>
                <c:pt idx="384">
                  <c:v>1.2758373374519947</c:v>
                </c:pt>
                <c:pt idx="385">
                  <c:v>1.2957746699660257</c:v>
                </c:pt>
                <c:pt idx="386">
                  <c:v>1.3165837814916859</c:v>
                </c:pt>
                <c:pt idx="387">
                  <c:v>1.3382348253560894</c:v>
                </c:pt>
                <c:pt idx="388">
                  <c:v>1.3606979548863503</c:v>
                </c:pt>
                <c:pt idx="389">
                  <c:v>1.3839433234095813</c:v>
                </c:pt>
                <c:pt idx="390">
                  <c:v>1.407941084252897</c:v>
                </c:pt>
                <c:pt idx="391">
                  <c:v>1.4326613907434111</c:v>
                </c:pt>
                <c:pt idx="392">
                  <c:v>1.4580743962082374</c:v>
                </c:pt>
                <c:pt idx="393">
                  <c:v>1.48415025397449</c:v>
                </c:pt>
                <c:pt idx="394">
                  <c:v>1.5108591173692818</c:v>
                </c:pt>
                <c:pt idx="395">
                  <c:v>1.5381711397197275</c:v>
                </c:pt>
                <c:pt idx="396">
                  <c:v>1.5660564743529413</c:v>
                </c:pt>
                <c:pt idx="397">
                  <c:v>1.5944852745960354</c:v>
                </c:pt>
                <c:pt idx="398">
                  <c:v>1.6234276937761254</c:v>
                </c:pt>
                <c:pt idx="399">
                  <c:v>1.6528538852203236</c:v>
                </c:pt>
                <c:pt idx="400">
                  <c:v>1.6827340022557449</c:v>
                </c:pt>
                <c:pt idx="401">
                  <c:v>1.7130381982095029</c:v>
                </c:pt>
                <c:pt idx="402">
                  <c:v>1.7437366264087111</c:v>
                </c:pt>
                <c:pt idx="403">
                  <c:v>1.7747994401804836</c:v>
                </c:pt>
                <c:pt idx="404">
                  <c:v>1.8061967928519338</c:v>
                </c:pt>
                <c:pt idx="405">
                  <c:v>1.8378988377501759</c:v>
                </c:pt>
                <c:pt idx="406">
                  <c:v>1.8698757282023242</c:v>
                </c:pt>
                <c:pt idx="407">
                  <c:v>1.9020976175354916</c:v>
                </c:pt>
                <c:pt idx="408">
                  <c:v>1.934534659076792</c:v>
                </c:pt>
                <c:pt idx="409">
                  <c:v>1.9671570061533397</c:v>
                </c:pt>
                <c:pt idx="410">
                  <c:v>1.9999348120922484</c:v>
                </c:pt>
                <c:pt idx="411">
                  <c:v>2.0328382302206318</c:v>
                </c:pt>
                <c:pt idx="412">
                  <c:v>2.065850131736747</c:v>
                </c:pt>
                <c:pt idx="413">
                  <c:v>2.0990042593234235</c:v>
                </c:pt>
                <c:pt idx="414">
                  <c:v>2.1323470735346328</c:v>
                </c:pt>
                <c:pt idx="415">
                  <c:v>2.1659250349243484</c:v>
                </c:pt>
                <c:pt idx="416">
                  <c:v>2.1997846040465414</c:v>
                </c:pt>
                <c:pt idx="417">
                  <c:v>2.2339722414551866</c:v>
                </c:pt>
                <c:pt idx="418">
                  <c:v>2.2685344077042546</c:v>
                </c:pt>
                <c:pt idx="419">
                  <c:v>2.3035175633477176</c:v>
                </c:pt>
                <c:pt idx="420">
                  <c:v>2.3389681689395494</c:v>
                </c:pt>
                <c:pt idx="421">
                  <c:v>2.3749326850337216</c:v>
                </c:pt>
                <c:pt idx="422">
                  <c:v>2.4114575721842075</c:v>
                </c:pt>
                <c:pt idx="423">
                  <c:v>2.4485892909449776</c:v>
                </c:pt>
                <c:pt idx="424">
                  <c:v>2.4863743018700069</c:v>
                </c:pt>
                <c:pt idx="425">
                  <c:v>2.5248590655132661</c:v>
                </c:pt>
                <c:pt idx="426">
                  <c:v>2.5640900424287278</c:v>
                </c:pt>
                <c:pt idx="427">
                  <c:v>2.6041136931703659</c:v>
                </c:pt>
                <c:pt idx="428">
                  <c:v>2.6449764782921501</c:v>
                </c:pt>
                <c:pt idx="429">
                  <c:v>2.6867248583480561</c:v>
                </c:pt>
                <c:pt idx="430">
                  <c:v>2.7294052938920541</c:v>
                </c:pt>
                <c:pt idx="431">
                  <c:v>2.7685976691162124</c:v>
                </c:pt>
                <c:pt idx="432">
                  <c:v>2.7823309944513359</c:v>
                </c:pt>
                <c:pt idx="433">
                  <c:v>2.7927719340917081</c:v>
                </c:pt>
                <c:pt idx="434">
                  <c:v>2.7998949911046065</c:v>
                </c:pt>
                <c:pt idx="435">
                  <c:v>2.8037509499222542</c:v>
                </c:pt>
                <c:pt idx="436">
                  <c:v>2.8044648517901756</c:v>
                </c:pt>
                <c:pt idx="437">
                  <c:v>2.8022300806324454</c:v>
                </c:pt>
                <c:pt idx="438">
                  <c:v>2.7972991338995348</c:v>
                </c:pt>
                <c:pt idx="439">
                  <c:v>2.7899719548394697</c:v>
                </c:pt>
                <c:pt idx="440">
                  <c:v>2.7805828693122985</c:v>
                </c:pt>
                <c:pt idx="441">
                  <c:v>2.7694871893795447</c:v>
                </c:pt>
                <c:pt idx="442">
                  <c:v>2.7571108807521165</c:v>
                </c:pt>
                <c:pt idx="443">
                  <c:v>2.7440877284361918</c:v>
                </c:pt>
                <c:pt idx="444">
                  <c:v>2.7309994826294521</c:v>
                </c:pt>
                <c:pt idx="445">
                  <c:v>2.7183095137903184</c:v>
                </c:pt>
                <c:pt idx="446">
                  <c:v>2.706374520899169</c:v>
                </c:pt>
                <c:pt idx="447">
                  <c:v>2.7280627276894518</c:v>
                </c:pt>
                <c:pt idx="448">
                  <c:v>2.7763299153713699</c:v>
                </c:pt>
                <c:pt idx="449">
                  <c:v>2.8252027188019175</c:v>
                </c:pt>
                <c:pt idx="450">
                  <c:v>2.8746080564306391</c:v>
                </c:pt>
                <c:pt idx="451">
                  <c:v>2.9244728467070771</c:v>
                </c:pt>
                <c:pt idx="452">
                  <c:v>2.9747240080807775</c:v>
                </c:pt>
                <c:pt idx="453">
                  <c:v>3.0252884590012821</c:v>
                </c:pt>
                <c:pt idx="454">
                  <c:v>3.0760931179181377</c:v>
                </c:pt>
                <c:pt idx="455">
                  <c:v>3.1270649032808855</c:v>
                </c:pt>
                <c:pt idx="456">
                  <c:v>3.1781307335390716</c:v>
                </c:pt>
                <c:pt idx="457">
                  <c:v>3.2292175271422385</c:v>
                </c:pt>
                <c:pt idx="458">
                  <c:v>3.2802522025399314</c:v>
                </c:pt>
                <c:pt idx="459">
                  <c:v>3.3311616781816942</c:v>
                </c:pt>
                <c:pt idx="460">
                  <c:v>3.3818728725170693</c:v>
                </c:pt>
                <c:pt idx="461">
                  <c:v>3.4323127039956023</c:v>
                </c:pt>
                <c:pt idx="462">
                  <c:v>3.4824080910668367</c:v>
                </c:pt>
                <c:pt idx="463">
                  <c:v>3.5320859521803167</c:v>
                </c:pt>
                <c:pt idx="464">
                  <c:v>3.5812732057855863</c:v>
                </c:pt>
                <c:pt idx="465">
                  <c:v>3.6298967703321887</c:v>
                </c:pt>
                <c:pt idx="466">
                  <c:v>3.6778835642696692</c:v>
                </c:pt>
                <c:pt idx="467">
                  <c:v>3.7251605060475708</c:v>
                </c:pt>
                <c:pt idx="468">
                  <c:v>3.7716545141154381</c:v>
                </c:pt>
                <c:pt idx="469">
                  <c:v>3.8172925069228141</c:v>
                </c:pt>
                <c:pt idx="470">
                  <c:v>3.8620014029192444</c:v>
                </c:pt>
                <c:pt idx="471">
                  <c:v>3.9057081205542716</c:v>
                </c:pt>
                <c:pt idx="472">
                  <c:v>3.94833957827744</c:v>
                </c:pt>
                <c:pt idx="473">
                  <c:v>3.9898452938385924</c:v>
                </c:pt>
                <c:pt idx="474">
                  <c:v>4.0302651821887636</c:v>
                </c:pt>
                <c:pt idx="475">
                  <c:v>4.0696617575792873</c:v>
                </c:pt>
                <c:pt idx="476">
                  <c:v>4.1080975342614945</c:v>
                </c:pt>
                <c:pt idx="477">
                  <c:v>4.1456350264867234</c:v>
                </c:pt>
                <c:pt idx="478">
                  <c:v>4.1823367485063034</c:v>
                </c:pt>
                <c:pt idx="479">
                  <c:v>4.21826521457157</c:v>
                </c:pt>
                <c:pt idx="480">
                  <c:v>4.2534829389338533</c:v>
                </c:pt>
                <c:pt idx="481">
                  <c:v>4.2880524358444916</c:v>
                </c:pt>
                <c:pt idx="482">
                  <c:v>4.322036219554815</c:v>
                </c:pt>
                <c:pt idx="483">
                  <c:v>4.3554968043161564</c:v>
                </c:pt>
                <c:pt idx="484">
                  <c:v>4.388496704379854</c:v>
                </c:pt>
                <c:pt idx="485">
                  <c:v>4.4210984339972352</c:v>
                </c:pt>
                <c:pt idx="486">
                  <c:v>4.4533645074196366</c:v>
                </c:pt>
                <c:pt idx="487">
                  <c:v>4.485357438898391</c:v>
                </c:pt>
                <c:pt idx="488">
                  <c:v>4.5171397426848321</c:v>
                </c:pt>
                <c:pt idx="489">
                  <c:v>4.5487739330302928</c:v>
                </c:pt>
                <c:pt idx="490">
                  <c:v>4.580322524186105</c:v>
                </c:pt>
                <c:pt idx="491">
                  <c:v>4.6118480304036051</c:v>
                </c:pt>
                <c:pt idx="492">
                  <c:v>4.6434129659341261</c:v>
                </c:pt>
                <c:pt idx="493">
                  <c:v>4.675079845028999</c:v>
                </c:pt>
                <c:pt idx="494">
                  <c:v>4.7069111819395593</c:v>
                </c:pt>
                <c:pt idx="495">
                  <c:v>4.7389694909171407</c:v>
                </c:pt>
                <c:pt idx="496">
                  <c:v>4.7713172862130735</c:v>
                </c:pt>
                <c:pt idx="497">
                  <c:v>4.804017082078694</c:v>
                </c:pt>
                <c:pt idx="498">
                  <c:v>4.8371313927653343</c:v>
                </c:pt>
                <c:pt idx="499">
                  <c:v>4.8707227325243299</c:v>
                </c:pt>
                <c:pt idx="500">
                  <c:v>4.9048536156070108</c:v>
                </c:pt>
                <c:pt idx="501">
                  <c:v>4.9395865562647137</c:v>
                </c:pt>
                <c:pt idx="502">
                  <c:v>4.9749840687487694</c:v>
                </c:pt>
                <c:pt idx="503">
                  <c:v>5.0110873046283437</c:v>
                </c:pt>
                <c:pt idx="504">
                  <c:v>5.0478519647439191</c:v>
                </c:pt>
                <c:pt idx="505">
                  <c:v>5.0852123872538089</c:v>
                </c:pt>
                <c:pt idx="506">
                  <c:v>5.1231029103163337</c:v>
                </c:pt>
                <c:pt idx="507">
                  <c:v>5.1614578720898017</c:v>
                </c:pt>
                <c:pt idx="508">
                  <c:v>5.2002116107325298</c:v>
                </c:pt>
                <c:pt idx="509">
                  <c:v>5.2392984644028333</c:v>
                </c:pt>
                <c:pt idx="510">
                  <c:v>5.2786527712590257</c:v>
                </c:pt>
                <c:pt idx="511">
                  <c:v>5.3182088694594238</c:v>
                </c:pt>
                <c:pt idx="512">
                  <c:v>5.3579010971623386</c:v>
                </c:pt>
                <c:pt idx="513">
                  <c:v>5.3976637925260871</c:v>
                </c:pt>
                <c:pt idx="514">
                  <c:v>5.4374312937089826</c:v>
                </c:pt>
                <c:pt idx="515">
                  <c:v>5.4771379388693413</c:v>
                </c:pt>
                <c:pt idx="516">
                  <c:v>5.5167180661654749</c:v>
                </c:pt>
                <c:pt idx="517">
                  <c:v>5.5561060137557021</c:v>
                </c:pt>
                <c:pt idx="518">
                  <c:v>5.5952361197983347</c:v>
                </c:pt>
                <c:pt idx="519">
                  <c:v>5.6340427224516869</c:v>
                </c:pt>
                <c:pt idx="520">
                  <c:v>5.6724601598740749</c:v>
                </c:pt>
                <c:pt idx="521">
                  <c:v>5.7104227702238122</c:v>
                </c:pt>
                <c:pt idx="522">
                  <c:v>5.7478648916592139</c:v>
                </c:pt>
                <c:pt idx="523">
                  <c:v>5.7847208623385944</c:v>
                </c:pt>
                <c:pt idx="524">
                  <c:v>5.820925020420268</c:v>
                </c:pt>
                <c:pt idx="525">
                  <c:v>5.856411704062551</c:v>
                </c:pt>
                <c:pt idx="526">
                  <c:v>5.8911152514237539</c:v>
                </c:pt>
                <c:pt idx="527">
                  <c:v>5.9249700006621966</c:v>
                </c:pt>
                <c:pt idx="528">
                  <c:v>5.9579102899361898</c:v>
                </c:pt>
                <c:pt idx="529">
                  <c:v>5.9898704574040496</c:v>
                </c:pt>
                <c:pt idx="530">
                  <c:v>6.0207848412240894</c:v>
                </c:pt>
                <c:pt idx="531">
                  <c:v>6.0505877795546255</c:v>
                </c:pt>
                <c:pt idx="532">
                  <c:v>6.079213610553972</c:v>
                </c:pt>
                <c:pt idx="533">
                  <c:v>6.1065966723804426</c:v>
                </c:pt>
                <c:pt idx="534">
                  <c:v>6.1326847633517554</c:v>
                </c:pt>
                <c:pt idx="535">
                  <c:v>6.1574795224232481</c:v>
                </c:pt>
                <c:pt idx="536">
                  <c:v>6.1809960487096554</c:v>
                </c:pt>
                <c:pt idx="537">
                  <c:v>6.2032494413257178</c:v>
                </c:pt>
                <c:pt idx="538">
                  <c:v>6.2242547993861734</c:v>
                </c:pt>
                <c:pt idx="539">
                  <c:v>6.2440272220057613</c:v>
                </c:pt>
                <c:pt idx="540">
                  <c:v>6.2625818082992195</c:v>
                </c:pt>
                <c:pt idx="541">
                  <c:v>6.2799336573812861</c:v>
                </c:pt>
                <c:pt idx="542">
                  <c:v>6.2960978683666999</c:v>
                </c:pt>
                <c:pt idx="543">
                  <c:v>6.3110895403702019</c:v>
                </c:pt>
                <c:pt idx="544">
                  <c:v>6.3249237725065255</c:v>
                </c:pt>
                <c:pt idx="545">
                  <c:v>6.3376156638904142</c:v>
                </c:pt>
                <c:pt idx="546">
                  <c:v>6.3491803136366052</c:v>
                </c:pt>
                <c:pt idx="547">
                  <c:v>6.3596328208598356</c:v>
                </c:pt>
                <c:pt idx="548">
                  <c:v>6.3689882846748445</c:v>
                </c:pt>
                <c:pt idx="549">
                  <c:v>6.3772618041963698</c:v>
                </c:pt>
                <c:pt idx="550">
                  <c:v>6.3844684785391514</c:v>
                </c:pt>
                <c:pt idx="551">
                  <c:v>6.3906234068179293</c:v>
                </c:pt>
                <c:pt idx="552">
                  <c:v>6.3957416881474369</c:v>
                </c:pt>
                <c:pt idx="553">
                  <c:v>6.3998384216424187</c:v>
                </c:pt>
                <c:pt idx="554">
                  <c:v>6.402928706417609</c:v>
                </c:pt>
                <c:pt idx="555">
                  <c:v>6.4050276415877478</c:v>
                </c:pt>
                <c:pt idx="556">
                  <c:v>6.4061503262675759</c:v>
                </c:pt>
                <c:pt idx="557">
                  <c:v>6.4063118595718276</c:v>
                </c:pt>
                <c:pt idx="558">
                  <c:v>6.4055273406152438</c:v>
                </c:pt>
                <c:pt idx="559">
                  <c:v>6.4038118685125625</c:v>
                </c:pt>
                <c:pt idx="560">
                  <c:v>6.4011805423785226</c:v>
                </c:pt>
                <c:pt idx="561">
                  <c:v>6.3976484613278615</c:v>
                </c:pt>
                <c:pt idx="562">
                  <c:v>6.3932307244753206</c:v>
                </c:pt>
                <c:pt idx="563">
                  <c:v>6.3879424309356354</c:v>
                </c:pt>
                <c:pt idx="564">
                  <c:v>6.381797658221644</c:v>
                </c:pt>
                <c:pt idx="565">
                  <c:v>6.374806397438574</c:v>
                </c:pt>
                <c:pt idx="566">
                  <c:v>6.3669776180897557</c:v>
                </c:pt>
                <c:pt idx="567">
                  <c:v>6.358320289678514</c:v>
                </c:pt>
                <c:pt idx="568">
                  <c:v>6.3488433817081784</c:v>
                </c:pt>
                <c:pt idx="569">
                  <c:v>6.3385558636820738</c:v>
                </c:pt>
                <c:pt idx="570">
                  <c:v>6.3274667051035287</c:v>
                </c:pt>
                <c:pt idx="571">
                  <c:v>6.3155848754758699</c:v>
                </c:pt>
                <c:pt idx="572">
                  <c:v>6.3029193443024258</c:v>
                </c:pt>
                <c:pt idx="573">
                  <c:v>6.2894790810865207</c:v>
                </c:pt>
                <c:pt idx="574">
                  <c:v>6.2752730553314873</c:v>
                </c:pt>
                <c:pt idx="575">
                  <c:v>6.2603102365406498</c:v>
                </c:pt>
                <c:pt idx="576">
                  <c:v>6.2445995942173331</c:v>
                </c:pt>
              </c:numCache>
            </c:numRef>
          </c:val>
          <c:smooth val="0"/>
        </c:ser>
        <c:dLbls>
          <c:showLegendKey val="0"/>
          <c:showVal val="0"/>
          <c:showCatName val="0"/>
          <c:showSerName val="0"/>
          <c:showPercent val="0"/>
          <c:showBubbleSize val="0"/>
        </c:dLbls>
        <c:marker val="1"/>
        <c:smooth val="0"/>
        <c:axId val="216841728"/>
        <c:axId val="306950656"/>
      </c:lineChart>
      <c:dateAx>
        <c:axId val="216841728"/>
        <c:scaling>
          <c:orientation val="minMax"/>
        </c:scaling>
        <c:delete val="0"/>
        <c:axPos val="b"/>
        <c:numFmt formatCode="d\-mmm" sourceLinked="0"/>
        <c:majorTickMark val="out"/>
        <c:minorTickMark val="none"/>
        <c:tickLblPos val="nextTo"/>
        <c:spPr>
          <a:ln w="3175">
            <a:solidFill>
              <a:srgbClr val="000000"/>
            </a:solidFill>
            <a:prstDash val="solid"/>
          </a:ln>
        </c:spPr>
        <c:txPr>
          <a:bodyPr rot="-5400000" vert="horz"/>
          <a:lstStyle/>
          <a:p>
            <a:pPr>
              <a:defRPr sz="1275" b="1" i="0" u="none" strike="noStrike" baseline="0">
                <a:solidFill>
                  <a:srgbClr val="000000"/>
                </a:solidFill>
                <a:latin typeface="Arial"/>
                <a:ea typeface="Arial"/>
                <a:cs typeface="Arial"/>
              </a:defRPr>
            </a:pPr>
            <a:endParaRPr lang="en-US"/>
          </a:p>
        </c:txPr>
        <c:crossAx val="306950656"/>
        <c:crosses val="autoZero"/>
        <c:auto val="1"/>
        <c:lblOffset val="100"/>
        <c:baseTimeUnit val="days"/>
        <c:majorUnit val="1"/>
        <c:majorTimeUnit val="months"/>
        <c:minorUnit val="1"/>
        <c:minorTimeUnit val="months"/>
      </c:dateAx>
      <c:valAx>
        <c:axId val="306950656"/>
        <c:scaling>
          <c:orientation val="minMax"/>
        </c:scaling>
        <c:delete val="0"/>
        <c:axPos val="l"/>
        <c:majorGridlines>
          <c:spPr>
            <a:ln w="3175">
              <a:solidFill>
                <a:srgbClr val="000000"/>
              </a:solidFill>
              <a:prstDash val="solid"/>
            </a:ln>
          </c:spPr>
        </c:majorGridlines>
        <c:title>
          <c:tx>
            <c:rich>
              <a:bodyPr/>
              <a:lstStyle/>
              <a:p>
                <a:pPr>
                  <a:defRPr sz="1000" b="0" i="0" u="none" strike="noStrike" baseline="0">
                    <a:solidFill>
                      <a:srgbClr val="000000"/>
                    </a:solidFill>
                    <a:latin typeface="Arial"/>
                    <a:ea typeface="Arial"/>
                    <a:cs typeface="Arial"/>
                  </a:defRPr>
                </a:pPr>
                <a:r>
                  <a:rPr lang="en-US" sz="1275" b="1" i="0" u="none" strike="noStrike" baseline="0">
                    <a:solidFill>
                      <a:srgbClr val="000000"/>
                    </a:solidFill>
                    <a:latin typeface="Arial"/>
                    <a:cs typeface="Arial"/>
                  </a:rPr>
                  <a:t>ETo &amp; ETc (mm d</a:t>
                </a:r>
                <a:r>
                  <a:rPr lang="en-US" sz="1275" b="1" i="0" u="none" strike="noStrike" baseline="30000">
                    <a:solidFill>
                      <a:srgbClr val="000000"/>
                    </a:solidFill>
                    <a:latin typeface="Arial"/>
                    <a:cs typeface="Arial"/>
                  </a:rPr>
                  <a:t>-1</a:t>
                </a:r>
                <a:r>
                  <a:rPr lang="en-US" sz="1275" b="1" i="0" u="none" strike="noStrike" baseline="0">
                    <a:solidFill>
                      <a:srgbClr val="000000"/>
                    </a:solidFill>
                    <a:latin typeface="Arial"/>
                    <a:cs typeface="Arial"/>
                  </a:rPr>
                  <a:t>) </a:t>
                </a:r>
              </a:p>
            </c:rich>
          </c:tx>
          <c:layout>
            <c:manualLayout>
              <c:xMode val="edge"/>
              <c:yMode val="edge"/>
              <c:x val="1.7709614277489925E-2"/>
              <c:y val="0.36512057074910814"/>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275" b="1" i="0" u="none" strike="noStrike" baseline="0">
                <a:solidFill>
                  <a:srgbClr val="000000"/>
                </a:solidFill>
                <a:latin typeface="Arial"/>
                <a:ea typeface="Arial"/>
                <a:cs typeface="Arial"/>
              </a:defRPr>
            </a:pPr>
            <a:endParaRPr lang="en-US"/>
          </a:p>
        </c:txPr>
        <c:crossAx val="216841728"/>
        <c:crosses val="autoZero"/>
        <c:crossBetween val="between"/>
      </c:valAx>
      <c:spPr>
        <a:solidFill>
          <a:srgbClr val="FFFFFF"/>
        </a:solidFill>
        <a:ln w="12700">
          <a:solidFill>
            <a:srgbClr val="808080"/>
          </a:solidFill>
          <a:prstDash val="solid"/>
        </a:ln>
      </c:spPr>
    </c:plotArea>
    <c:legend>
      <c:legendPos val="r"/>
      <c:layout>
        <c:manualLayout>
          <c:xMode val="edge"/>
          <c:yMode val="edge"/>
          <c:wMode val="edge"/>
          <c:hMode val="edge"/>
          <c:x val="0.11555555555555554"/>
          <c:y val="0.10348585017835908"/>
          <c:w val="0.19999999999999998"/>
          <c:h val="0.18736377328577089"/>
        </c:manualLayout>
      </c:layout>
      <c:overlay val="0"/>
      <c:spPr>
        <a:solidFill>
          <a:srgbClr val="FFFFFF"/>
        </a:solidFill>
        <a:ln w="3175">
          <a:solidFill>
            <a:srgbClr val="000000"/>
          </a:solidFill>
          <a:prstDash val="solid"/>
        </a:ln>
      </c:spPr>
      <c:txPr>
        <a:bodyPr/>
        <a:lstStyle/>
        <a:p>
          <a:pPr>
            <a:defRPr sz="1095" b="1"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300" b="1" i="0" u="none" strike="noStrike" baseline="0">
          <a:solidFill>
            <a:srgbClr val="000000"/>
          </a:solidFill>
          <a:latin typeface="Arial"/>
          <a:ea typeface="Arial"/>
          <a:cs typeface="Arial"/>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autoTitleDeleted val="1"/>
    <c:plotArea>
      <c:layout>
        <c:manualLayout>
          <c:layoutTarget val="inner"/>
          <c:xMode val="edge"/>
          <c:yMode val="edge"/>
          <c:x val="8.990011098779134E-2"/>
          <c:y val="3.2626427406199018E-2"/>
          <c:w val="0.87347391786903439"/>
          <c:h val="0.83360522022838501"/>
        </c:manualLayout>
      </c:layout>
      <c:lineChart>
        <c:grouping val="standard"/>
        <c:varyColors val="0"/>
        <c:ser>
          <c:idx val="1"/>
          <c:order val="0"/>
          <c:tx>
            <c:v>ETc</c:v>
          </c:tx>
          <c:spPr>
            <a:ln w="25400">
              <a:solidFill>
                <a:srgbClr val="FF0000"/>
              </a:solidFill>
              <a:prstDash val="solid"/>
            </a:ln>
          </c:spPr>
          <c:marker>
            <c:symbol val="none"/>
          </c:marker>
          <c:cat>
            <c:numRef>
              <c:f>Crop!$B$49:$B$625</c:f>
              <c:numCache>
                <c:formatCode>dd\-mmm\-yy</c:formatCode>
                <c:ptCount val="577"/>
                <c:pt idx="0">
                  <c:v>41640</c:v>
                </c:pt>
                <c:pt idx="1">
                  <c:v>41641</c:v>
                </c:pt>
                <c:pt idx="2">
                  <c:v>41642</c:v>
                </c:pt>
                <c:pt idx="3">
                  <c:v>41643</c:v>
                </c:pt>
                <c:pt idx="4">
                  <c:v>41644</c:v>
                </c:pt>
                <c:pt idx="5">
                  <c:v>41645</c:v>
                </c:pt>
                <c:pt idx="6">
                  <c:v>41646</c:v>
                </c:pt>
                <c:pt idx="7">
                  <c:v>41647</c:v>
                </c:pt>
                <c:pt idx="8">
                  <c:v>41648</c:v>
                </c:pt>
                <c:pt idx="9">
                  <c:v>41649</c:v>
                </c:pt>
                <c:pt idx="10">
                  <c:v>41650</c:v>
                </c:pt>
                <c:pt idx="11">
                  <c:v>41651</c:v>
                </c:pt>
                <c:pt idx="12">
                  <c:v>41652</c:v>
                </c:pt>
                <c:pt idx="13">
                  <c:v>41653</c:v>
                </c:pt>
                <c:pt idx="14">
                  <c:v>41654</c:v>
                </c:pt>
                <c:pt idx="15">
                  <c:v>41655</c:v>
                </c:pt>
                <c:pt idx="16">
                  <c:v>41656</c:v>
                </c:pt>
                <c:pt idx="17">
                  <c:v>41657</c:v>
                </c:pt>
                <c:pt idx="18">
                  <c:v>41658</c:v>
                </c:pt>
                <c:pt idx="19">
                  <c:v>41659</c:v>
                </c:pt>
                <c:pt idx="20">
                  <c:v>41660</c:v>
                </c:pt>
                <c:pt idx="21">
                  <c:v>41661</c:v>
                </c:pt>
                <c:pt idx="22">
                  <c:v>41662</c:v>
                </c:pt>
                <c:pt idx="23">
                  <c:v>41663</c:v>
                </c:pt>
                <c:pt idx="24">
                  <c:v>41664</c:v>
                </c:pt>
                <c:pt idx="25">
                  <c:v>41665</c:v>
                </c:pt>
                <c:pt idx="26">
                  <c:v>41666</c:v>
                </c:pt>
                <c:pt idx="27">
                  <c:v>41667</c:v>
                </c:pt>
                <c:pt idx="28">
                  <c:v>41668</c:v>
                </c:pt>
                <c:pt idx="29">
                  <c:v>41669</c:v>
                </c:pt>
                <c:pt idx="30">
                  <c:v>41670</c:v>
                </c:pt>
                <c:pt idx="31">
                  <c:v>41671</c:v>
                </c:pt>
                <c:pt idx="32">
                  <c:v>41672</c:v>
                </c:pt>
                <c:pt idx="33">
                  <c:v>41673</c:v>
                </c:pt>
                <c:pt idx="34">
                  <c:v>41674</c:v>
                </c:pt>
                <c:pt idx="35">
                  <c:v>41675</c:v>
                </c:pt>
                <c:pt idx="36">
                  <c:v>41676</c:v>
                </c:pt>
                <c:pt idx="37">
                  <c:v>41677</c:v>
                </c:pt>
                <c:pt idx="38">
                  <c:v>41678</c:v>
                </c:pt>
                <c:pt idx="39">
                  <c:v>41679</c:v>
                </c:pt>
                <c:pt idx="40">
                  <c:v>41680</c:v>
                </c:pt>
                <c:pt idx="41">
                  <c:v>41681</c:v>
                </c:pt>
                <c:pt idx="42">
                  <c:v>41682</c:v>
                </c:pt>
                <c:pt idx="43">
                  <c:v>41683</c:v>
                </c:pt>
                <c:pt idx="44">
                  <c:v>41684</c:v>
                </c:pt>
                <c:pt idx="45">
                  <c:v>41685</c:v>
                </c:pt>
                <c:pt idx="46">
                  <c:v>41686</c:v>
                </c:pt>
                <c:pt idx="47">
                  <c:v>41687</c:v>
                </c:pt>
                <c:pt idx="48">
                  <c:v>41688</c:v>
                </c:pt>
                <c:pt idx="49">
                  <c:v>41689</c:v>
                </c:pt>
                <c:pt idx="50">
                  <c:v>41690</c:v>
                </c:pt>
                <c:pt idx="51">
                  <c:v>41691</c:v>
                </c:pt>
                <c:pt idx="52">
                  <c:v>41692</c:v>
                </c:pt>
                <c:pt idx="53">
                  <c:v>41693</c:v>
                </c:pt>
                <c:pt idx="54">
                  <c:v>41694</c:v>
                </c:pt>
                <c:pt idx="55">
                  <c:v>41695</c:v>
                </c:pt>
                <c:pt idx="56">
                  <c:v>41696</c:v>
                </c:pt>
                <c:pt idx="57">
                  <c:v>41697</c:v>
                </c:pt>
                <c:pt idx="58">
                  <c:v>41698</c:v>
                </c:pt>
                <c:pt idx="59">
                  <c:v>41699</c:v>
                </c:pt>
                <c:pt idx="60">
                  <c:v>41700</c:v>
                </c:pt>
                <c:pt idx="61">
                  <c:v>41701</c:v>
                </c:pt>
                <c:pt idx="62">
                  <c:v>41702</c:v>
                </c:pt>
                <c:pt idx="63">
                  <c:v>41703</c:v>
                </c:pt>
                <c:pt idx="64">
                  <c:v>41704</c:v>
                </c:pt>
                <c:pt idx="65">
                  <c:v>41705</c:v>
                </c:pt>
                <c:pt idx="66">
                  <c:v>41706</c:v>
                </c:pt>
                <c:pt idx="67">
                  <c:v>41707</c:v>
                </c:pt>
                <c:pt idx="68">
                  <c:v>41708</c:v>
                </c:pt>
                <c:pt idx="69">
                  <c:v>41709</c:v>
                </c:pt>
                <c:pt idx="70">
                  <c:v>41710</c:v>
                </c:pt>
                <c:pt idx="71">
                  <c:v>41711</c:v>
                </c:pt>
                <c:pt idx="72">
                  <c:v>41712</c:v>
                </c:pt>
                <c:pt idx="73">
                  <c:v>41713</c:v>
                </c:pt>
                <c:pt idx="74">
                  <c:v>41714</c:v>
                </c:pt>
                <c:pt idx="75">
                  <c:v>41715</c:v>
                </c:pt>
                <c:pt idx="76">
                  <c:v>41716</c:v>
                </c:pt>
                <c:pt idx="77">
                  <c:v>41717</c:v>
                </c:pt>
                <c:pt idx="78">
                  <c:v>41718</c:v>
                </c:pt>
                <c:pt idx="79">
                  <c:v>41719</c:v>
                </c:pt>
                <c:pt idx="80">
                  <c:v>41720</c:v>
                </c:pt>
                <c:pt idx="81">
                  <c:v>41721</c:v>
                </c:pt>
                <c:pt idx="82">
                  <c:v>41722</c:v>
                </c:pt>
                <c:pt idx="83">
                  <c:v>41723</c:v>
                </c:pt>
                <c:pt idx="84">
                  <c:v>41724</c:v>
                </c:pt>
                <c:pt idx="85">
                  <c:v>41725</c:v>
                </c:pt>
                <c:pt idx="86">
                  <c:v>41726</c:v>
                </c:pt>
                <c:pt idx="87">
                  <c:v>41727</c:v>
                </c:pt>
                <c:pt idx="88">
                  <c:v>41728</c:v>
                </c:pt>
                <c:pt idx="89">
                  <c:v>41729</c:v>
                </c:pt>
                <c:pt idx="90">
                  <c:v>41730</c:v>
                </c:pt>
                <c:pt idx="91">
                  <c:v>41731</c:v>
                </c:pt>
                <c:pt idx="92">
                  <c:v>41732</c:v>
                </c:pt>
                <c:pt idx="93">
                  <c:v>41733</c:v>
                </c:pt>
                <c:pt idx="94">
                  <c:v>41734</c:v>
                </c:pt>
                <c:pt idx="95">
                  <c:v>41735</c:v>
                </c:pt>
                <c:pt idx="96">
                  <c:v>41736</c:v>
                </c:pt>
                <c:pt idx="97">
                  <c:v>41737</c:v>
                </c:pt>
                <c:pt idx="98">
                  <c:v>41738</c:v>
                </c:pt>
                <c:pt idx="99">
                  <c:v>41739</c:v>
                </c:pt>
                <c:pt idx="100">
                  <c:v>41740</c:v>
                </c:pt>
                <c:pt idx="101">
                  <c:v>41741</c:v>
                </c:pt>
                <c:pt idx="102">
                  <c:v>41742</c:v>
                </c:pt>
                <c:pt idx="103">
                  <c:v>41743</c:v>
                </c:pt>
                <c:pt idx="104">
                  <c:v>41744</c:v>
                </c:pt>
                <c:pt idx="105">
                  <c:v>41745</c:v>
                </c:pt>
                <c:pt idx="106">
                  <c:v>41746</c:v>
                </c:pt>
                <c:pt idx="107">
                  <c:v>41747</c:v>
                </c:pt>
                <c:pt idx="108">
                  <c:v>41748</c:v>
                </c:pt>
                <c:pt idx="109">
                  <c:v>41749</c:v>
                </c:pt>
                <c:pt idx="110">
                  <c:v>41750</c:v>
                </c:pt>
                <c:pt idx="111">
                  <c:v>41751</c:v>
                </c:pt>
                <c:pt idx="112">
                  <c:v>41752</c:v>
                </c:pt>
                <c:pt idx="113">
                  <c:v>41753</c:v>
                </c:pt>
                <c:pt idx="114">
                  <c:v>41754</c:v>
                </c:pt>
                <c:pt idx="115">
                  <c:v>41755</c:v>
                </c:pt>
                <c:pt idx="116">
                  <c:v>41756</c:v>
                </c:pt>
                <c:pt idx="117">
                  <c:v>41757</c:v>
                </c:pt>
                <c:pt idx="118">
                  <c:v>41758</c:v>
                </c:pt>
                <c:pt idx="119">
                  <c:v>41759</c:v>
                </c:pt>
                <c:pt idx="120">
                  <c:v>41760</c:v>
                </c:pt>
                <c:pt idx="121">
                  <c:v>41761</c:v>
                </c:pt>
                <c:pt idx="122">
                  <c:v>41762</c:v>
                </c:pt>
                <c:pt idx="123">
                  <c:v>41763</c:v>
                </c:pt>
                <c:pt idx="124">
                  <c:v>41764</c:v>
                </c:pt>
                <c:pt idx="125">
                  <c:v>41765</c:v>
                </c:pt>
                <c:pt idx="126">
                  <c:v>41766</c:v>
                </c:pt>
                <c:pt idx="127">
                  <c:v>41767</c:v>
                </c:pt>
                <c:pt idx="128">
                  <c:v>41768</c:v>
                </c:pt>
                <c:pt idx="129">
                  <c:v>41769</c:v>
                </c:pt>
                <c:pt idx="130">
                  <c:v>41770</c:v>
                </c:pt>
                <c:pt idx="131">
                  <c:v>41771</c:v>
                </c:pt>
                <c:pt idx="132">
                  <c:v>41772</c:v>
                </c:pt>
                <c:pt idx="133">
                  <c:v>41773</c:v>
                </c:pt>
                <c:pt idx="134">
                  <c:v>41774</c:v>
                </c:pt>
                <c:pt idx="135">
                  <c:v>41775</c:v>
                </c:pt>
                <c:pt idx="136">
                  <c:v>41776</c:v>
                </c:pt>
                <c:pt idx="137">
                  <c:v>41777</c:v>
                </c:pt>
                <c:pt idx="138">
                  <c:v>41778</c:v>
                </c:pt>
                <c:pt idx="139">
                  <c:v>41779</c:v>
                </c:pt>
                <c:pt idx="140">
                  <c:v>41780</c:v>
                </c:pt>
                <c:pt idx="141">
                  <c:v>41781</c:v>
                </c:pt>
                <c:pt idx="142">
                  <c:v>41782</c:v>
                </c:pt>
                <c:pt idx="143">
                  <c:v>41783</c:v>
                </c:pt>
                <c:pt idx="144">
                  <c:v>41784</c:v>
                </c:pt>
                <c:pt idx="145">
                  <c:v>41785</c:v>
                </c:pt>
                <c:pt idx="146">
                  <c:v>41786</c:v>
                </c:pt>
                <c:pt idx="147">
                  <c:v>41787</c:v>
                </c:pt>
                <c:pt idx="148">
                  <c:v>41788</c:v>
                </c:pt>
                <c:pt idx="149">
                  <c:v>41789</c:v>
                </c:pt>
                <c:pt idx="150">
                  <c:v>41790</c:v>
                </c:pt>
                <c:pt idx="151">
                  <c:v>41791</c:v>
                </c:pt>
                <c:pt idx="152">
                  <c:v>41792</c:v>
                </c:pt>
                <c:pt idx="153">
                  <c:v>41793</c:v>
                </c:pt>
                <c:pt idx="154">
                  <c:v>41794</c:v>
                </c:pt>
                <c:pt idx="155">
                  <c:v>41795</c:v>
                </c:pt>
                <c:pt idx="156">
                  <c:v>41796</c:v>
                </c:pt>
                <c:pt idx="157">
                  <c:v>41797</c:v>
                </c:pt>
                <c:pt idx="158">
                  <c:v>41798</c:v>
                </c:pt>
                <c:pt idx="159">
                  <c:v>41799</c:v>
                </c:pt>
                <c:pt idx="160">
                  <c:v>41800</c:v>
                </c:pt>
                <c:pt idx="161">
                  <c:v>41801</c:v>
                </c:pt>
                <c:pt idx="162">
                  <c:v>41802</c:v>
                </c:pt>
                <c:pt idx="163">
                  <c:v>41803</c:v>
                </c:pt>
                <c:pt idx="164">
                  <c:v>41804</c:v>
                </c:pt>
                <c:pt idx="165">
                  <c:v>41805</c:v>
                </c:pt>
                <c:pt idx="166">
                  <c:v>41806</c:v>
                </c:pt>
                <c:pt idx="167">
                  <c:v>41807</c:v>
                </c:pt>
                <c:pt idx="168">
                  <c:v>41808</c:v>
                </c:pt>
                <c:pt idx="169">
                  <c:v>41809</c:v>
                </c:pt>
                <c:pt idx="170">
                  <c:v>41810</c:v>
                </c:pt>
                <c:pt idx="171">
                  <c:v>41811</c:v>
                </c:pt>
                <c:pt idx="172">
                  <c:v>41812</c:v>
                </c:pt>
                <c:pt idx="173">
                  <c:v>41813</c:v>
                </c:pt>
                <c:pt idx="174">
                  <c:v>41814</c:v>
                </c:pt>
                <c:pt idx="175">
                  <c:v>41815</c:v>
                </c:pt>
                <c:pt idx="176">
                  <c:v>41816</c:v>
                </c:pt>
                <c:pt idx="177">
                  <c:v>41817</c:v>
                </c:pt>
                <c:pt idx="178">
                  <c:v>41818</c:v>
                </c:pt>
                <c:pt idx="179">
                  <c:v>41819</c:v>
                </c:pt>
                <c:pt idx="180">
                  <c:v>41820</c:v>
                </c:pt>
                <c:pt idx="181">
                  <c:v>41821</c:v>
                </c:pt>
                <c:pt idx="182">
                  <c:v>41822</c:v>
                </c:pt>
                <c:pt idx="183">
                  <c:v>41823</c:v>
                </c:pt>
                <c:pt idx="184">
                  <c:v>41824</c:v>
                </c:pt>
                <c:pt idx="185">
                  <c:v>41825</c:v>
                </c:pt>
                <c:pt idx="186">
                  <c:v>41826</c:v>
                </c:pt>
                <c:pt idx="187">
                  <c:v>41827</c:v>
                </c:pt>
                <c:pt idx="188">
                  <c:v>41828</c:v>
                </c:pt>
                <c:pt idx="189">
                  <c:v>41829</c:v>
                </c:pt>
                <c:pt idx="190">
                  <c:v>41830</c:v>
                </c:pt>
                <c:pt idx="191">
                  <c:v>41831</c:v>
                </c:pt>
                <c:pt idx="192">
                  <c:v>41832</c:v>
                </c:pt>
                <c:pt idx="193">
                  <c:v>41833</c:v>
                </c:pt>
                <c:pt idx="194">
                  <c:v>41834</c:v>
                </c:pt>
                <c:pt idx="195">
                  <c:v>41835</c:v>
                </c:pt>
                <c:pt idx="196">
                  <c:v>41836</c:v>
                </c:pt>
                <c:pt idx="197">
                  <c:v>41837</c:v>
                </c:pt>
                <c:pt idx="198">
                  <c:v>41838</c:v>
                </c:pt>
                <c:pt idx="199">
                  <c:v>41839</c:v>
                </c:pt>
                <c:pt idx="200">
                  <c:v>41840</c:v>
                </c:pt>
                <c:pt idx="201">
                  <c:v>41841</c:v>
                </c:pt>
                <c:pt idx="202">
                  <c:v>41842</c:v>
                </c:pt>
                <c:pt idx="203">
                  <c:v>41843</c:v>
                </c:pt>
                <c:pt idx="204">
                  <c:v>41844</c:v>
                </c:pt>
                <c:pt idx="205">
                  <c:v>41845</c:v>
                </c:pt>
                <c:pt idx="206">
                  <c:v>41846</c:v>
                </c:pt>
                <c:pt idx="207">
                  <c:v>41847</c:v>
                </c:pt>
                <c:pt idx="208">
                  <c:v>41848</c:v>
                </c:pt>
                <c:pt idx="209">
                  <c:v>41849</c:v>
                </c:pt>
                <c:pt idx="210">
                  <c:v>41850</c:v>
                </c:pt>
                <c:pt idx="211">
                  <c:v>41851</c:v>
                </c:pt>
                <c:pt idx="212">
                  <c:v>41852</c:v>
                </c:pt>
                <c:pt idx="213">
                  <c:v>41853</c:v>
                </c:pt>
                <c:pt idx="214">
                  <c:v>41854</c:v>
                </c:pt>
                <c:pt idx="215">
                  <c:v>41855</c:v>
                </c:pt>
                <c:pt idx="216">
                  <c:v>41856</c:v>
                </c:pt>
                <c:pt idx="217">
                  <c:v>41857</c:v>
                </c:pt>
                <c:pt idx="218">
                  <c:v>41858</c:v>
                </c:pt>
                <c:pt idx="219">
                  <c:v>41859</c:v>
                </c:pt>
                <c:pt idx="220">
                  <c:v>41860</c:v>
                </c:pt>
                <c:pt idx="221">
                  <c:v>41861</c:v>
                </c:pt>
                <c:pt idx="222">
                  <c:v>41862</c:v>
                </c:pt>
                <c:pt idx="223">
                  <c:v>41863</c:v>
                </c:pt>
                <c:pt idx="224">
                  <c:v>41864</c:v>
                </c:pt>
                <c:pt idx="225">
                  <c:v>41865</c:v>
                </c:pt>
                <c:pt idx="226">
                  <c:v>41866</c:v>
                </c:pt>
                <c:pt idx="227">
                  <c:v>41867</c:v>
                </c:pt>
                <c:pt idx="228">
                  <c:v>41868</c:v>
                </c:pt>
                <c:pt idx="229">
                  <c:v>41869</c:v>
                </c:pt>
                <c:pt idx="230">
                  <c:v>41870</c:v>
                </c:pt>
                <c:pt idx="231">
                  <c:v>41871</c:v>
                </c:pt>
                <c:pt idx="232">
                  <c:v>41872</c:v>
                </c:pt>
                <c:pt idx="233">
                  <c:v>41873</c:v>
                </c:pt>
                <c:pt idx="234">
                  <c:v>41874</c:v>
                </c:pt>
                <c:pt idx="235">
                  <c:v>41875</c:v>
                </c:pt>
                <c:pt idx="236">
                  <c:v>41876</c:v>
                </c:pt>
                <c:pt idx="237">
                  <c:v>41877</c:v>
                </c:pt>
                <c:pt idx="238">
                  <c:v>41878</c:v>
                </c:pt>
                <c:pt idx="239">
                  <c:v>41879</c:v>
                </c:pt>
                <c:pt idx="240">
                  <c:v>41880</c:v>
                </c:pt>
                <c:pt idx="241">
                  <c:v>41881</c:v>
                </c:pt>
                <c:pt idx="242">
                  <c:v>41882</c:v>
                </c:pt>
                <c:pt idx="243">
                  <c:v>41883</c:v>
                </c:pt>
                <c:pt idx="244">
                  <c:v>41884</c:v>
                </c:pt>
                <c:pt idx="245">
                  <c:v>41885</c:v>
                </c:pt>
                <c:pt idx="246">
                  <c:v>41886</c:v>
                </c:pt>
                <c:pt idx="247">
                  <c:v>41887</c:v>
                </c:pt>
                <c:pt idx="248">
                  <c:v>41888</c:v>
                </c:pt>
                <c:pt idx="249">
                  <c:v>41889</c:v>
                </c:pt>
                <c:pt idx="250">
                  <c:v>41890</c:v>
                </c:pt>
                <c:pt idx="251">
                  <c:v>41891</c:v>
                </c:pt>
                <c:pt idx="252">
                  <c:v>41892</c:v>
                </c:pt>
                <c:pt idx="253">
                  <c:v>41893</c:v>
                </c:pt>
                <c:pt idx="254">
                  <c:v>41894</c:v>
                </c:pt>
                <c:pt idx="255">
                  <c:v>41895</c:v>
                </c:pt>
                <c:pt idx="256">
                  <c:v>41896</c:v>
                </c:pt>
                <c:pt idx="257">
                  <c:v>41897</c:v>
                </c:pt>
                <c:pt idx="258">
                  <c:v>41898</c:v>
                </c:pt>
                <c:pt idx="259">
                  <c:v>41899</c:v>
                </c:pt>
                <c:pt idx="260">
                  <c:v>41900</c:v>
                </c:pt>
                <c:pt idx="261">
                  <c:v>41901</c:v>
                </c:pt>
                <c:pt idx="262">
                  <c:v>41902</c:v>
                </c:pt>
                <c:pt idx="263">
                  <c:v>41903</c:v>
                </c:pt>
                <c:pt idx="264">
                  <c:v>41904</c:v>
                </c:pt>
                <c:pt idx="265">
                  <c:v>41905</c:v>
                </c:pt>
                <c:pt idx="266">
                  <c:v>41906</c:v>
                </c:pt>
                <c:pt idx="267">
                  <c:v>41907</c:v>
                </c:pt>
                <c:pt idx="268">
                  <c:v>41908</c:v>
                </c:pt>
                <c:pt idx="269">
                  <c:v>41909</c:v>
                </c:pt>
                <c:pt idx="270">
                  <c:v>41910</c:v>
                </c:pt>
                <c:pt idx="271">
                  <c:v>41911</c:v>
                </c:pt>
                <c:pt idx="272">
                  <c:v>41912</c:v>
                </c:pt>
                <c:pt idx="273">
                  <c:v>41913</c:v>
                </c:pt>
                <c:pt idx="274">
                  <c:v>41914</c:v>
                </c:pt>
                <c:pt idx="275">
                  <c:v>41915</c:v>
                </c:pt>
                <c:pt idx="276">
                  <c:v>41916</c:v>
                </c:pt>
                <c:pt idx="277">
                  <c:v>41917</c:v>
                </c:pt>
                <c:pt idx="278">
                  <c:v>41918</c:v>
                </c:pt>
                <c:pt idx="279">
                  <c:v>41919</c:v>
                </c:pt>
                <c:pt idx="280">
                  <c:v>41920</c:v>
                </c:pt>
                <c:pt idx="281">
                  <c:v>41921</c:v>
                </c:pt>
                <c:pt idx="282">
                  <c:v>41922</c:v>
                </c:pt>
                <c:pt idx="283">
                  <c:v>41923</c:v>
                </c:pt>
                <c:pt idx="284">
                  <c:v>41924</c:v>
                </c:pt>
                <c:pt idx="285">
                  <c:v>41925</c:v>
                </c:pt>
                <c:pt idx="286">
                  <c:v>41926</c:v>
                </c:pt>
                <c:pt idx="287">
                  <c:v>41927</c:v>
                </c:pt>
                <c:pt idx="288">
                  <c:v>41928</c:v>
                </c:pt>
                <c:pt idx="289">
                  <c:v>41929</c:v>
                </c:pt>
                <c:pt idx="290">
                  <c:v>41930</c:v>
                </c:pt>
                <c:pt idx="291">
                  <c:v>41931</c:v>
                </c:pt>
                <c:pt idx="292">
                  <c:v>41932</c:v>
                </c:pt>
                <c:pt idx="293">
                  <c:v>41933</c:v>
                </c:pt>
                <c:pt idx="294">
                  <c:v>41934</c:v>
                </c:pt>
                <c:pt idx="295">
                  <c:v>41935</c:v>
                </c:pt>
                <c:pt idx="296">
                  <c:v>41936</c:v>
                </c:pt>
                <c:pt idx="297">
                  <c:v>41937</c:v>
                </c:pt>
                <c:pt idx="298">
                  <c:v>41938</c:v>
                </c:pt>
                <c:pt idx="299">
                  <c:v>41939</c:v>
                </c:pt>
                <c:pt idx="300">
                  <c:v>41940</c:v>
                </c:pt>
                <c:pt idx="301">
                  <c:v>41941</c:v>
                </c:pt>
                <c:pt idx="302">
                  <c:v>41942</c:v>
                </c:pt>
                <c:pt idx="303">
                  <c:v>41943</c:v>
                </c:pt>
                <c:pt idx="304">
                  <c:v>41944</c:v>
                </c:pt>
                <c:pt idx="305">
                  <c:v>41945</c:v>
                </c:pt>
                <c:pt idx="306">
                  <c:v>41946</c:v>
                </c:pt>
                <c:pt idx="307">
                  <c:v>41947</c:v>
                </c:pt>
                <c:pt idx="308">
                  <c:v>41948</c:v>
                </c:pt>
                <c:pt idx="309">
                  <c:v>41949</c:v>
                </c:pt>
                <c:pt idx="310">
                  <c:v>41950</c:v>
                </c:pt>
                <c:pt idx="311">
                  <c:v>41951</c:v>
                </c:pt>
                <c:pt idx="312">
                  <c:v>41952</c:v>
                </c:pt>
                <c:pt idx="313">
                  <c:v>41953</c:v>
                </c:pt>
                <c:pt idx="314">
                  <c:v>41954</c:v>
                </c:pt>
                <c:pt idx="315">
                  <c:v>41955</c:v>
                </c:pt>
                <c:pt idx="316">
                  <c:v>41956</c:v>
                </c:pt>
                <c:pt idx="317">
                  <c:v>41957</c:v>
                </c:pt>
                <c:pt idx="318">
                  <c:v>41958</c:v>
                </c:pt>
                <c:pt idx="319">
                  <c:v>41959</c:v>
                </c:pt>
                <c:pt idx="320">
                  <c:v>41960</c:v>
                </c:pt>
                <c:pt idx="321">
                  <c:v>41961</c:v>
                </c:pt>
                <c:pt idx="322">
                  <c:v>41962</c:v>
                </c:pt>
                <c:pt idx="323">
                  <c:v>41963</c:v>
                </c:pt>
                <c:pt idx="324">
                  <c:v>41964</c:v>
                </c:pt>
                <c:pt idx="325">
                  <c:v>41965</c:v>
                </c:pt>
                <c:pt idx="326">
                  <c:v>41966</c:v>
                </c:pt>
                <c:pt idx="327">
                  <c:v>41967</c:v>
                </c:pt>
                <c:pt idx="328">
                  <c:v>41968</c:v>
                </c:pt>
                <c:pt idx="329">
                  <c:v>41969</c:v>
                </c:pt>
                <c:pt idx="330">
                  <c:v>41970</c:v>
                </c:pt>
                <c:pt idx="331">
                  <c:v>41971</c:v>
                </c:pt>
                <c:pt idx="332">
                  <c:v>41972</c:v>
                </c:pt>
                <c:pt idx="333">
                  <c:v>41973</c:v>
                </c:pt>
                <c:pt idx="334">
                  <c:v>41974</c:v>
                </c:pt>
                <c:pt idx="335">
                  <c:v>41975</c:v>
                </c:pt>
                <c:pt idx="336">
                  <c:v>41976</c:v>
                </c:pt>
                <c:pt idx="337">
                  <c:v>41977</c:v>
                </c:pt>
                <c:pt idx="338">
                  <c:v>41978</c:v>
                </c:pt>
                <c:pt idx="339">
                  <c:v>41979</c:v>
                </c:pt>
                <c:pt idx="340">
                  <c:v>41980</c:v>
                </c:pt>
                <c:pt idx="341">
                  <c:v>41981</c:v>
                </c:pt>
                <c:pt idx="342">
                  <c:v>41982</c:v>
                </c:pt>
                <c:pt idx="343">
                  <c:v>41983</c:v>
                </c:pt>
                <c:pt idx="344">
                  <c:v>41984</c:v>
                </c:pt>
                <c:pt idx="345">
                  <c:v>41985</c:v>
                </c:pt>
                <c:pt idx="346">
                  <c:v>41986</c:v>
                </c:pt>
                <c:pt idx="347">
                  <c:v>41987</c:v>
                </c:pt>
                <c:pt idx="348">
                  <c:v>41988</c:v>
                </c:pt>
                <c:pt idx="349">
                  <c:v>41989</c:v>
                </c:pt>
                <c:pt idx="350">
                  <c:v>41990</c:v>
                </c:pt>
                <c:pt idx="351">
                  <c:v>41991</c:v>
                </c:pt>
                <c:pt idx="352">
                  <c:v>41992</c:v>
                </c:pt>
                <c:pt idx="353">
                  <c:v>41993</c:v>
                </c:pt>
                <c:pt idx="354">
                  <c:v>41994</c:v>
                </c:pt>
                <c:pt idx="355">
                  <c:v>41995</c:v>
                </c:pt>
                <c:pt idx="356">
                  <c:v>41996</c:v>
                </c:pt>
                <c:pt idx="357">
                  <c:v>41997</c:v>
                </c:pt>
                <c:pt idx="358">
                  <c:v>41998</c:v>
                </c:pt>
                <c:pt idx="359">
                  <c:v>41999</c:v>
                </c:pt>
                <c:pt idx="360">
                  <c:v>42000</c:v>
                </c:pt>
                <c:pt idx="361">
                  <c:v>42001</c:v>
                </c:pt>
                <c:pt idx="362">
                  <c:v>42002</c:v>
                </c:pt>
                <c:pt idx="363">
                  <c:v>42003</c:v>
                </c:pt>
                <c:pt idx="364">
                  <c:v>42004</c:v>
                </c:pt>
                <c:pt idx="365">
                  <c:v>42005</c:v>
                </c:pt>
                <c:pt idx="366">
                  <c:v>42006</c:v>
                </c:pt>
                <c:pt idx="367">
                  <c:v>42007</c:v>
                </c:pt>
                <c:pt idx="368">
                  <c:v>42008</c:v>
                </c:pt>
                <c:pt idx="369">
                  <c:v>42009</c:v>
                </c:pt>
                <c:pt idx="370">
                  <c:v>42010</c:v>
                </c:pt>
                <c:pt idx="371">
                  <c:v>42011</c:v>
                </c:pt>
                <c:pt idx="372">
                  <c:v>42012</c:v>
                </c:pt>
                <c:pt idx="373">
                  <c:v>42013</c:v>
                </c:pt>
                <c:pt idx="374">
                  <c:v>42014</c:v>
                </c:pt>
                <c:pt idx="375">
                  <c:v>42015</c:v>
                </c:pt>
                <c:pt idx="376">
                  <c:v>42016</c:v>
                </c:pt>
                <c:pt idx="377">
                  <c:v>42017</c:v>
                </c:pt>
                <c:pt idx="378">
                  <c:v>42018</c:v>
                </c:pt>
                <c:pt idx="379">
                  <c:v>42019</c:v>
                </c:pt>
                <c:pt idx="380">
                  <c:v>42020</c:v>
                </c:pt>
                <c:pt idx="381">
                  <c:v>42021</c:v>
                </c:pt>
                <c:pt idx="382">
                  <c:v>42022</c:v>
                </c:pt>
                <c:pt idx="383">
                  <c:v>42023</c:v>
                </c:pt>
                <c:pt idx="384">
                  <c:v>42024</c:v>
                </c:pt>
                <c:pt idx="385">
                  <c:v>42025</c:v>
                </c:pt>
                <c:pt idx="386">
                  <c:v>42026</c:v>
                </c:pt>
                <c:pt idx="387">
                  <c:v>42027</c:v>
                </c:pt>
                <c:pt idx="388">
                  <c:v>42028</c:v>
                </c:pt>
                <c:pt idx="389">
                  <c:v>42029</c:v>
                </c:pt>
                <c:pt idx="390">
                  <c:v>42030</c:v>
                </c:pt>
                <c:pt idx="391">
                  <c:v>42031</c:v>
                </c:pt>
                <c:pt idx="392">
                  <c:v>42032</c:v>
                </c:pt>
                <c:pt idx="393">
                  <c:v>42033</c:v>
                </c:pt>
                <c:pt idx="394">
                  <c:v>42034</c:v>
                </c:pt>
                <c:pt idx="395">
                  <c:v>42035</c:v>
                </c:pt>
                <c:pt idx="396">
                  <c:v>42036</c:v>
                </c:pt>
                <c:pt idx="397">
                  <c:v>42037</c:v>
                </c:pt>
                <c:pt idx="398">
                  <c:v>42038</c:v>
                </c:pt>
                <c:pt idx="399">
                  <c:v>42039</c:v>
                </c:pt>
                <c:pt idx="400">
                  <c:v>42040</c:v>
                </c:pt>
                <c:pt idx="401">
                  <c:v>42041</c:v>
                </c:pt>
                <c:pt idx="402">
                  <c:v>42042</c:v>
                </c:pt>
                <c:pt idx="403">
                  <c:v>42043</c:v>
                </c:pt>
                <c:pt idx="404">
                  <c:v>42044</c:v>
                </c:pt>
                <c:pt idx="405">
                  <c:v>42045</c:v>
                </c:pt>
                <c:pt idx="406">
                  <c:v>42046</c:v>
                </c:pt>
                <c:pt idx="407">
                  <c:v>42047</c:v>
                </c:pt>
                <c:pt idx="408">
                  <c:v>42048</c:v>
                </c:pt>
                <c:pt idx="409">
                  <c:v>42049</c:v>
                </c:pt>
                <c:pt idx="410">
                  <c:v>42050</c:v>
                </c:pt>
                <c:pt idx="411">
                  <c:v>42051</c:v>
                </c:pt>
                <c:pt idx="412">
                  <c:v>42052</c:v>
                </c:pt>
                <c:pt idx="413">
                  <c:v>42053</c:v>
                </c:pt>
                <c:pt idx="414">
                  <c:v>42054</c:v>
                </c:pt>
                <c:pt idx="415">
                  <c:v>42055</c:v>
                </c:pt>
                <c:pt idx="416">
                  <c:v>42056</c:v>
                </c:pt>
                <c:pt idx="417">
                  <c:v>42057</c:v>
                </c:pt>
                <c:pt idx="418">
                  <c:v>42058</c:v>
                </c:pt>
                <c:pt idx="419">
                  <c:v>42059</c:v>
                </c:pt>
                <c:pt idx="420">
                  <c:v>42060</c:v>
                </c:pt>
                <c:pt idx="421">
                  <c:v>42061</c:v>
                </c:pt>
                <c:pt idx="422">
                  <c:v>42062</c:v>
                </c:pt>
                <c:pt idx="423">
                  <c:v>42063</c:v>
                </c:pt>
                <c:pt idx="424">
                  <c:v>42064</c:v>
                </c:pt>
                <c:pt idx="425">
                  <c:v>42065</c:v>
                </c:pt>
                <c:pt idx="426">
                  <c:v>42066</c:v>
                </c:pt>
                <c:pt idx="427">
                  <c:v>42067</c:v>
                </c:pt>
                <c:pt idx="428">
                  <c:v>42068</c:v>
                </c:pt>
                <c:pt idx="429">
                  <c:v>42069</c:v>
                </c:pt>
                <c:pt idx="430">
                  <c:v>42070</c:v>
                </c:pt>
                <c:pt idx="431">
                  <c:v>42071</c:v>
                </c:pt>
                <c:pt idx="432">
                  <c:v>42072</c:v>
                </c:pt>
                <c:pt idx="433">
                  <c:v>42073</c:v>
                </c:pt>
                <c:pt idx="434">
                  <c:v>42074</c:v>
                </c:pt>
                <c:pt idx="435">
                  <c:v>42075</c:v>
                </c:pt>
                <c:pt idx="436">
                  <c:v>42076</c:v>
                </c:pt>
                <c:pt idx="437">
                  <c:v>42077</c:v>
                </c:pt>
                <c:pt idx="438">
                  <c:v>42078</c:v>
                </c:pt>
                <c:pt idx="439">
                  <c:v>42079</c:v>
                </c:pt>
                <c:pt idx="440">
                  <c:v>42080</c:v>
                </c:pt>
                <c:pt idx="441">
                  <c:v>42081</c:v>
                </c:pt>
                <c:pt idx="442">
                  <c:v>42082</c:v>
                </c:pt>
                <c:pt idx="443">
                  <c:v>42083</c:v>
                </c:pt>
                <c:pt idx="444">
                  <c:v>42084</c:v>
                </c:pt>
                <c:pt idx="445">
                  <c:v>42085</c:v>
                </c:pt>
                <c:pt idx="446">
                  <c:v>42086</c:v>
                </c:pt>
                <c:pt idx="447">
                  <c:v>42087</c:v>
                </c:pt>
                <c:pt idx="448">
                  <c:v>42088</c:v>
                </c:pt>
                <c:pt idx="449">
                  <c:v>42089</c:v>
                </c:pt>
                <c:pt idx="450">
                  <c:v>42090</c:v>
                </c:pt>
                <c:pt idx="451">
                  <c:v>42091</c:v>
                </c:pt>
                <c:pt idx="452">
                  <c:v>42092</c:v>
                </c:pt>
                <c:pt idx="453">
                  <c:v>42093</c:v>
                </c:pt>
                <c:pt idx="454">
                  <c:v>42094</c:v>
                </c:pt>
                <c:pt idx="455">
                  <c:v>42095</c:v>
                </c:pt>
                <c:pt idx="456">
                  <c:v>42096</c:v>
                </c:pt>
                <c:pt idx="457">
                  <c:v>42097</c:v>
                </c:pt>
                <c:pt idx="458">
                  <c:v>42098</c:v>
                </c:pt>
                <c:pt idx="459">
                  <c:v>42099</c:v>
                </c:pt>
                <c:pt idx="460">
                  <c:v>42100</c:v>
                </c:pt>
                <c:pt idx="461">
                  <c:v>42101</c:v>
                </c:pt>
                <c:pt idx="462">
                  <c:v>42102</c:v>
                </c:pt>
                <c:pt idx="463">
                  <c:v>42103</c:v>
                </c:pt>
                <c:pt idx="464">
                  <c:v>42104</c:v>
                </c:pt>
                <c:pt idx="465">
                  <c:v>42105</c:v>
                </c:pt>
                <c:pt idx="466">
                  <c:v>42106</c:v>
                </c:pt>
                <c:pt idx="467">
                  <c:v>42107</c:v>
                </c:pt>
                <c:pt idx="468">
                  <c:v>42108</c:v>
                </c:pt>
                <c:pt idx="469">
                  <c:v>42109</c:v>
                </c:pt>
                <c:pt idx="470">
                  <c:v>42110</c:v>
                </c:pt>
                <c:pt idx="471">
                  <c:v>42111</c:v>
                </c:pt>
                <c:pt idx="472">
                  <c:v>42112</c:v>
                </c:pt>
                <c:pt idx="473">
                  <c:v>42113</c:v>
                </c:pt>
                <c:pt idx="474">
                  <c:v>42114</c:v>
                </c:pt>
                <c:pt idx="475">
                  <c:v>42115</c:v>
                </c:pt>
                <c:pt idx="476">
                  <c:v>42116</c:v>
                </c:pt>
                <c:pt idx="477">
                  <c:v>42117</c:v>
                </c:pt>
                <c:pt idx="478">
                  <c:v>42118</c:v>
                </c:pt>
                <c:pt idx="479">
                  <c:v>42119</c:v>
                </c:pt>
                <c:pt idx="480">
                  <c:v>42120</c:v>
                </c:pt>
                <c:pt idx="481">
                  <c:v>42121</c:v>
                </c:pt>
                <c:pt idx="482">
                  <c:v>42122</c:v>
                </c:pt>
                <c:pt idx="483">
                  <c:v>42123</c:v>
                </c:pt>
                <c:pt idx="484">
                  <c:v>42124</c:v>
                </c:pt>
                <c:pt idx="485">
                  <c:v>42125</c:v>
                </c:pt>
                <c:pt idx="486">
                  <c:v>42126</c:v>
                </c:pt>
                <c:pt idx="487">
                  <c:v>42127</c:v>
                </c:pt>
                <c:pt idx="488">
                  <c:v>42128</c:v>
                </c:pt>
                <c:pt idx="489">
                  <c:v>42129</c:v>
                </c:pt>
                <c:pt idx="490">
                  <c:v>42130</c:v>
                </c:pt>
                <c:pt idx="491">
                  <c:v>42131</c:v>
                </c:pt>
                <c:pt idx="492">
                  <c:v>42132</c:v>
                </c:pt>
                <c:pt idx="493">
                  <c:v>42133</c:v>
                </c:pt>
                <c:pt idx="494">
                  <c:v>42134</c:v>
                </c:pt>
                <c:pt idx="495">
                  <c:v>42135</c:v>
                </c:pt>
                <c:pt idx="496">
                  <c:v>42136</c:v>
                </c:pt>
                <c:pt idx="497">
                  <c:v>42137</c:v>
                </c:pt>
                <c:pt idx="498">
                  <c:v>42138</c:v>
                </c:pt>
                <c:pt idx="499">
                  <c:v>42139</c:v>
                </c:pt>
                <c:pt idx="500">
                  <c:v>42140</c:v>
                </c:pt>
                <c:pt idx="501">
                  <c:v>42141</c:v>
                </c:pt>
                <c:pt idx="502">
                  <c:v>42142</c:v>
                </c:pt>
                <c:pt idx="503">
                  <c:v>42143</c:v>
                </c:pt>
                <c:pt idx="504">
                  <c:v>42144</c:v>
                </c:pt>
                <c:pt idx="505">
                  <c:v>42145</c:v>
                </c:pt>
                <c:pt idx="506">
                  <c:v>42146</c:v>
                </c:pt>
                <c:pt idx="507">
                  <c:v>42147</c:v>
                </c:pt>
                <c:pt idx="508">
                  <c:v>42148</c:v>
                </c:pt>
                <c:pt idx="509">
                  <c:v>42149</c:v>
                </c:pt>
                <c:pt idx="510">
                  <c:v>42150</c:v>
                </c:pt>
                <c:pt idx="511">
                  <c:v>42151</c:v>
                </c:pt>
                <c:pt idx="512">
                  <c:v>42152</c:v>
                </c:pt>
                <c:pt idx="513">
                  <c:v>42153</c:v>
                </c:pt>
                <c:pt idx="514">
                  <c:v>42154</c:v>
                </c:pt>
                <c:pt idx="515">
                  <c:v>42155</c:v>
                </c:pt>
                <c:pt idx="516">
                  <c:v>42156</c:v>
                </c:pt>
                <c:pt idx="517">
                  <c:v>42157</c:v>
                </c:pt>
                <c:pt idx="518">
                  <c:v>42158</c:v>
                </c:pt>
                <c:pt idx="519">
                  <c:v>42159</c:v>
                </c:pt>
                <c:pt idx="520">
                  <c:v>42160</c:v>
                </c:pt>
                <c:pt idx="521">
                  <c:v>42161</c:v>
                </c:pt>
                <c:pt idx="522">
                  <c:v>42162</c:v>
                </c:pt>
                <c:pt idx="523">
                  <c:v>42163</c:v>
                </c:pt>
                <c:pt idx="524">
                  <c:v>42164</c:v>
                </c:pt>
                <c:pt idx="525">
                  <c:v>42165</c:v>
                </c:pt>
                <c:pt idx="526">
                  <c:v>42166</c:v>
                </c:pt>
                <c:pt idx="527">
                  <c:v>42167</c:v>
                </c:pt>
                <c:pt idx="528">
                  <c:v>42168</c:v>
                </c:pt>
                <c:pt idx="529">
                  <c:v>42169</c:v>
                </c:pt>
                <c:pt idx="530">
                  <c:v>42170</c:v>
                </c:pt>
                <c:pt idx="531">
                  <c:v>42171</c:v>
                </c:pt>
                <c:pt idx="532">
                  <c:v>42172</c:v>
                </c:pt>
                <c:pt idx="533">
                  <c:v>42173</c:v>
                </c:pt>
                <c:pt idx="534">
                  <c:v>42174</c:v>
                </c:pt>
                <c:pt idx="535">
                  <c:v>42175</c:v>
                </c:pt>
                <c:pt idx="536">
                  <c:v>42176</c:v>
                </c:pt>
                <c:pt idx="537">
                  <c:v>42177</c:v>
                </c:pt>
                <c:pt idx="538">
                  <c:v>42178</c:v>
                </c:pt>
                <c:pt idx="539">
                  <c:v>42179</c:v>
                </c:pt>
                <c:pt idx="540">
                  <c:v>42180</c:v>
                </c:pt>
                <c:pt idx="541">
                  <c:v>42181</c:v>
                </c:pt>
                <c:pt idx="542">
                  <c:v>42182</c:v>
                </c:pt>
                <c:pt idx="543">
                  <c:v>42183</c:v>
                </c:pt>
                <c:pt idx="544">
                  <c:v>42184</c:v>
                </c:pt>
                <c:pt idx="545">
                  <c:v>42185</c:v>
                </c:pt>
                <c:pt idx="546">
                  <c:v>42186</c:v>
                </c:pt>
                <c:pt idx="547">
                  <c:v>42187</c:v>
                </c:pt>
                <c:pt idx="548">
                  <c:v>42188</c:v>
                </c:pt>
                <c:pt idx="549">
                  <c:v>42189</c:v>
                </c:pt>
                <c:pt idx="550">
                  <c:v>42190</c:v>
                </c:pt>
                <c:pt idx="551">
                  <c:v>42191</c:v>
                </c:pt>
                <c:pt idx="552">
                  <c:v>42192</c:v>
                </c:pt>
                <c:pt idx="553">
                  <c:v>42193</c:v>
                </c:pt>
                <c:pt idx="554">
                  <c:v>42194</c:v>
                </c:pt>
                <c:pt idx="555">
                  <c:v>42195</c:v>
                </c:pt>
                <c:pt idx="556">
                  <c:v>42196</c:v>
                </c:pt>
                <c:pt idx="557">
                  <c:v>42197</c:v>
                </c:pt>
                <c:pt idx="558">
                  <c:v>42198</c:v>
                </c:pt>
                <c:pt idx="559">
                  <c:v>42199</c:v>
                </c:pt>
                <c:pt idx="560">
                  <c:v>42200</c:v>
                </c:pt>
                <c:pt idx="561">
                  <c:v>42201</c:v>
                </c:pt>
                <c:pt idx="562">
                  <c:v>42202</c:v>
                </c:pt>
                <c:pt idx="563">
                  <c:v>42203</c:v>
                </c:pt>
                <c:pt idx="564">
                  <c:v>42204</c:v>
                </c:pt>
                <c:pt idx="565">
                  <c:v>42205</c:v>
                </c:pt>
                <c:pt idx="566">
                  <c:v>42206</c:v>
                </c:pt>
                <c:pt idx="567">
                  <c:v>42207</c:v>
                </c:pt>
                <c:pt idx="568">
                  <c:v>42208</c:v>
                </c:pt>
                <c:pt idx="569">
                  <c:v>42209</c:v>
                </c:pt>
                <c:pt idx="570">
                  <c:v>42210</c:v>
                </c:pt>
                <c:pt idx="571">
                  <c:v>42211</c:v>
                </c:pt>
                <c:pt idx="572">
                  <c:v>42212</c:v>
                </c:pt>
                <c:pt idx="573">
                  <c:v>42213</c:v>
                </c:pt>
                <c:pt idx="574">
                  <c:v>42214</c:v>
                </c:pt>
                <c:pt idx="575">
                  <c:v>42215</c:v>
                </c:pt>
                <c:pt idx="576">
                  <c:v>42216</c:v>
                </c:pt>
              </c:numCache>
            </c:numRef>
          </c:cat>
          <c:val>
            <c:numRef>
              <c:f>Crop!$X$49:$X$625</c:f>
              <c:numCache>
                <c:formatCode>0.00</c:formatCode>
                <c:ptCount val="5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2.5248590655132661</c:v>
                </c:pt>
                <c:pt idx="60">
                  <c:v>5.0889491079419944</c:v>
                </c:pt>
                <c:pt idx="61">
                  <c:v>7.6930628011123598</c:v>
                </c:pt>
                <c:pt idx="62">
                  <c:v>10.33803927940451</c:v>
                </c:pt>
                <c:pt idx="63">
                  <c:v>13.024764137752566</c:v>
                </c:pt>
                <c:pt idx="64">
                  <c:v>15.75416943164462</c:v>
                </c:pt>
                <c:pt idx="65">
                  <c:v>18.522767100760831</c:v>
                </c:pt>
                <c:pt idx="66">
                  <c:v>21.305098095212166</c:v>
                </c:pt>
                <c:pt idx="67">
                  <c:v>24.097870029303873</c:v>
                </c:pt>
                <c:pt idx="68">
                  <c:v>26.897765020408478</c:v>
                </c:pt>
                <c:pt idx="69">
                  <c:v>29.701515970330732</c:v>
                </c:pt>
                <c:pt idx="70">
                  <c:v>32.505980822120904</c:v>
                </c:pt>
                <c:pt idx="71">
                  <c:v>35.308210902753352</c:v>
                </c:pt>
                <c:pt idx="72">
                  <c:v>38.105510036652888</c:v>
                </c:pt>
                <c:pt idx="73">
                  <c:v>40.89548199149236</c:v>
                </c:pt>
                <c:pt idx="74">
                  <c:v>43.676064860804658</c:v>
                </c:pt>
                <c:pt idx="75">
                  <c:v>46.445552050184205</c:v>
                </c:pt>
                <c:pt idx="76">
                  <c:v>49.20266293093632</c:v>
                </c:pt>
                <c:pt idx="77">
                  <c:v>52.011638811550597</c:v>
                </c:pt>
                <c:pt idx="78">
                  <c:v>54.885522930546735</c:v>
                </c:pt>
                <c:pt idx="79">
                  <c:v>57.825843137632823</c:v>
                </c:pt>
                <c:pt idx="80">
                  <c:v>60.834060949806627</c:v>
                </c:pt>
                <c:pt idx="81">
                  <c:v>63.911569849310737</c:v>
                </c:pt>
                <c:pt idx="82">
                  <c:v>67.059693581587737</c:v>
                </c:pt>
                <c:pt idx="83">
                  <c:v>70.279684453235333</c:v>
                </c:pt>
                <c:pt idx="84">
                  <c:v>73.572721629961549</c:v>
                </c:pt>
                <c:pt idx="85">
                  <c:v>76.939909434539857</c:v>
                </c:pt>
                <c:pt idx="86">
                  <c:v>80.382275644764334</c:v>
                </c:pt>
                <c:pt idx="87">
                  <c:v>83.900769791404826</c:v>
                </c:pt>
                <c:pt idx="88">
                  <c:v>87.496261456162117</c:v>
                </c:pt>
                <c:pt idx="89">
                  <c:v>91.169538569623072</c:v>
                </c:pt>
                <c:pt idx="90">
                  <c:v>94.921305709215773</c:v>
                </c:pt>
                <c:pt idx="91">
                  <c:v>98.752182397164717</c:v>
                </c:pt>
                <c:pt idx="92">
                  <c:v>102.66270139844595</c:v>
                </c:pt>
                <c:pt idx="93">
                  <c:v>106.65330701874221</c:v>
                </c:pt>
                <c:pt idx="94">
                  <c:v>110.72435340239812</c:v>
                </c:pt>
                <c:pt idx="95">
                  <c:v>114.87610283037533</c:v>
                </c:pt>
                <c:pt idx="96">
                  <c:v>119.10872401820765</c:v>
                </c:pt>
                <c:pt idx="97">
                  <c:v>123.42229041395625</c:v>
                </c:pt>
                <c:pt idx="98">
                  <c:v>127.81677849616476</c:v>
                </c:pt>
                <c:pt idx="99">
                  <c:v>132.29206607181447</c:v>
                </c:pt>
                <c:pt idx="100">
                  <c:v>136.84793057427953</c:v>
                </c:pt>
                <c:pt idx="101">
                  <c:v>141.48404736128197</c:v>
                </c:pt>
                <c:pt idx="102">
                  <c:v>146.19998801284697</c:v>
                </c:pt>
                <c:pt idx="103">
                  <c:v>150.99521862925801</c:v>
                </c:pt>
                <c:pt idx="104">
                  <c:v>155.86909812901197</c:v>
                </c:pt>
                <c:pt idx="105">
                  <c:v>160.82087654677437</c:v>
                </c:pt>
                <c:pt idx="106">
                  <c:v>165.84969333133444</c:v>
                </c:pt>
                <c:pt idx="107">
                  <c:v>170.95460455882224</c:v>
                </c:pt>
                <c:pt idx="108">
                  <c:v>176.13469794437199</c:v>
                </c:pt>
                <c:pt idx="109">
                  <c:v>181.38912295015484</c:v>
                </c:pt>
                <c:pt idx="110">
                  <c:v>186.71709224131493</c:v>
                </c:pt>
                <c:pt idx="111">
                  <c:v>192.11788314190534</c:v>
                </c:pt>
                <c:pt idx="112">
                  <c:v>197.59083909082406</c:v>
                </c:pt>
                <c:pt idx="113">
                  <c:v>203.13537109775001</c:v>
                </c:pt>
                <c:pt idx="114">
                  <c:v>208.75095919907898</c:v>
                </c:pt>
                <c:pt idx="115">
                  <c:v>214.43715391385965</c:v>
                </c:pt>
                <c:pt idx="116">
                  <c:v>220.19357769972959</c:v>
                </c:pt>
                <c:pt idx="117">
                  <c:v>226.00090677215113</c:v>
                </c:pt>
                <c:pt idx="118">
                  <c:v>231.85223571132425</c:v>
                </c:pt>
                <c:pt idx="119">
                  <c:v>237.74703362332056</c:v>
                </c:pt>
                <c:pt idx="120">
                  <c:v>243.68485296654674</c:v>
                </c:pt>
                <c:pt idx="121">
                  <c:v>249.66532955174461</c:v>
                </c:pt>
                <c:pt idx="122">
                  <c:v>255.68818254199104</c:v>
                </c:pt>
                <c:pt idx="123">
                  <c:v>261.7532144526981</c:v>
                </c:pt>
                <c:pt idx="124">
                  <c:v>267.8603111516129</c:v>
                </c:pt>
                <c:pt idx="125">
                  <c:v>274.00944185881769</c:v>
                </c:pt>
                <c:pt idx="126">
                  <c:v>280.20065914672989</c:v>
                </c:pt>
                <c:pt idx="127">
                  <c:v>286.43409894010188</c:v>
                </c:pt>
                <c:pt idx="128">
                  <c:v>292.70998051602129</c:v>
                </c:pt>
                <c:pt idx="129">
                  <c:v>299.02860650391079</c:v>
                </c:pt>
                <c:pt idx="130">
                  <c:v>305.39036288552825</c:v>
                </c:pt>
                <c:pt idx="131">
                  <c:v>311.79571899496648</c:v>
                </c:pt>
                <c:pt idx="132">
                  <c:v>318.24522751865356</c:v>
                </c:pt>
                <c:pt idx="133">
                  <c:v>324.73952449535267</c:v>
                </c:pt>
                <c:pt idx="134">
                  <c:v>331.27932931616203</c:v>
                </c:pt>
                <c:pt idx="135">
                  <c:v>337.86544472451499</c:v>
                </c:pt>
                <c:pt idx="136">
                  <c:v>344.49875681617999</c:v>
                </c:pt>
                <c:pt idx="137">
                  <c:v>351.18020655568444</c:v>
                </c:pt>
                <c:pt idx="138">
                  <c:v>357.91067584200965</c:v>
                </c:pt>
                <c:pt idx="139">
                  <c:v>364.69095902501471</c:v>
                </c:pt>
                <c:pt idx="140">
                  <c:v>371.5217629054365</c:v>
                </c:pt>
                <c:pt idx="141">
                  <c:v>378.40370673488957</c:v>
                </c:pt>
                <c:pt idx="142">
                  <c:v>385.33732221586627</c:v>
                </c:pt>
                <c:pt idx="143">
                  <c:v>392.32305350173669</c:v>
                </c:pt>
                <c:pt idx="144">
                  <c:v>399.36125719674874</c:v>
                </c:pt>
                <c:pt idx="145">
                  <c:v>406.45220235602795</c:v>
                </c:pt>
                <c:pt idx="146">
                  <c:v>413.59607048557774</c:v>
                </c:pt>
                <c:pt idx="147">
                  <c:v>420.79295554227917</c:v>
                </c:pt>
                <c:pt idx="148">
                  <c:v>428.04286393389117</c:v>
                </c:pt>
                <c:pt idx="149">
                  <c:v>435.34571451905032</c:v>
                </c:pt>
                <c:pt idx="150">
                  <c:v>442.70133860727094</c:v>
                </c:pt>
                <c:pt idx="151">
                  <c:v>450.1094799589452</c:v>
                </c:pt>
                <c:pt idx="152">
                  <c:v>457.56979478534299</c:v>
                </c:pt>
                <c:pt idx="153">
                  <c:v>465.08185174861188</c:v>
                </c:pt>
                <c:pt idx="154">
                  <c:v>472.64513196177734</c:v>
                </c:pt>
                <c:pt idx="155">
                  <c:v>480.25902898874244</c:v>
                </c:pt>
                <c:pt idx="156">
                  <c:v>487.92284884428807</c:v>
                </c:pt>
                <c:pt idx="157">
                  <c:v>495.63580999407287</c:v>
                </c:pt>
                <c:pt idx="158">
                  <c:v>503.39704335463324</c:v>
                </c:pt>
                <c:pt idx="159">
                  <c:v>511.20559229338329</c:v>
                </c:pt>
                <c:pt idx="160">
                  <c:v>519.06041262861493</c:v>
                </c:pt>
                <c:pt idx="161">
                  <c:v>526.9603726294979</c:v>
                </c:pt>
                <c:pt idx="162">
                  <c:v>534.90425301607945</c:v>
                </c:pt>
                <c:pt idx="163">
                  <c:v>542.8907469592848</c:v>
                </c:pt>
                <c:pt idx="164">
                  <c:v>550.91846008091693</c:v>
                </c:pt>
                <c:pt idx="165">
                  <c:v>558.9859104536564</c:v>
                </c:pt>
                <c:pt idx="166">
                  <c:v>567.09152860106167</c:v>
                </c:pt>
                <c:pt idx="167">
                  <c:v>575.23365749756897</c:v>
                </c:pt>
                <c:pt idx="168">
                  <c:v>583.41057051537132</c:v>
                </c:pt>
                <c:pt idx="169">
                  <c:v>591.62054321193568</c:v>
                </c:pt>
                <c:pt idx="170">
                  <c:v>599.86187127688186</c:v>
                </c:pt>
                <c:pt idx="171">
                  <c:v>608.1328705319828</c:v>
                </c:pt>
                <c:pt idx="172">
                  <c:v>616.43187693116442</c:v>
                </c:pt>
                <c:pt idx="173">
                  <c:v>624.75724656050545</c:v>
                </c:pt>
                <c:pt idx="174">
                  <c:v>633.10735563823778</c:v>
                </c:pt>
                <c:pt idx="175">
                  <c:v>641.48060051474613</c:v>
                </c:pt>
                <c:pt idx="176">
                  <c:v>649.8753976725684</c:v>
                </c:pt>
                <c:pt idx="177">
                  <c:v>658.2901837263953</c:v>
                </c:pt>
                <c:pt idx="178">
                  <c:v>666.72341542307072</c:v>
                </c:pt>
                <c:pt idx="179">
                  <c:v>675.17356964159126</c:v>
                </c:pt>
                <c:pt idx="180">
                  <c:v>683.63914339310668</c:v>
                </c:pt>
                <c:pt idx="181">
                  <c:v>692.1186538209198</c:v>
                </c:pt>
                <c:pt idx="182">
                  <c:v>700.61063820048628</c:v>
                </c:pt>
                <c:pt idx="183">
                  <c:v>709.1136539394148</c:v>
                </c:pt>
                <c:pt idx="184">
                  <c:v>717.62627857746702</c:v>
                </c:pt>
                <c:pt idx="185">
                  <c:v>726.14710978655762</c:v>
                </c:pt>
                <c:pt idx="186">
                  <c:v>734.67476537075424</c:v>
                </c:pt>
                <c:pt idx="187">
                  <c:v>743.20788326627746</c:v>
                </c:pt>
                <c:pt idx="188">
                  <c:v>751.74512154150091</c:v>
                </c:pt>
                <c:pt idx="189">
                  <c:v>760.28515839695126</c:v>
                </c:pt>
                <c:pt idx="190">
                  <c:v>768.82669216530803</c:v>
                </c:pt>
                <c:pt idx="191">
                  <c:v>777.36844131140379</c:v>
                </c:pt>
                <c:pt idx="192">
                  <c:v>785.90914443222414</c:v>
                </c:pt>
                <c:pt idx="193">
                  <c:v>794.44756025690754</c:v>
                </c:pt>
                <c:pt idx="194">
                  <c:v>802.98246764674559</c:v>
                </c:pt>
                <c:pt idx="195">
                  <c:v>811.51266559518274</c:v>
                </c:pt>
                <c:pt idx="196">
                  <c:v>820.03697322781647</c:v>
                </c:pt>
                <c:pt idx="197">
                  <c:v>828.55422980239734</c:v>
                </c:pt>
                <c:pt idx="198">
                  <c:v>837.06329334669283</c:v>
                </c:pt>
                <c:pt idx="199">
                  <c:v>845.56303520994425</c:v>
                </c:pt>
                <c:pt idx="200">
                  <c:v>854.05233870073062</c:v>
                </c:pt>
                <c:pt idx="201">
                  <c:v>862.53009908696868</c:v>
                </c:pt>
                <c:pt idx="202">
                  <c:v>870.99522359591288</c:v>
                </c:pt>
                <c:pt idx="203">
                  <c:v>879.4466314141556</c:v>
                </c:pt>
                <c:pt idx="204">
                  <c:v>887.88325368762696</c:v>
                </c:pt>
                <c:pt idx="205">
                  <c:v>896.30403352159476</c:v>
                </c:pt>
                <c:pt idx="206">
                  <c:v>904.70792598066464</c:v>
                </c:pt>
                <c:pt idx="207">
                  <c:v>913.09389808877995</c:v>
                </c:pt>
                <c:pt idx="208">
                  <c:v>921.46092882922198</c:v>
                </c:pt>
                <c:pt idx="209">
                  <c:v>929.80800914460951</c:v>
                </c:pt>
                <c:pt idx="210">
                  <c:v>938.13414193689925</c:v>
                </c:pt>
                <c:pt idx="211">
                  <c:v>946.43834206738575</c:v>
                </c:pt>
                <c:pt idx="212">
                  <c:v>954.71963635670124</c:v>
                </c:pt>
                <c:pt idx="213">
                  <c:v>962.9770635848156</c:v>
                </c:pt>
                <c:pt idx="214">
                  <c:v>971.20967449103671</c:v>
                </c:pt>
                <c:pt idx="215">
                  <c:v>979.41653177401008</c:v>
                </c:pt>
                <c:pt idx="216">
                  <c:v>987.59671009171905</c:v>
                </c:pt>
                <c:pt idx="217">
                  <c:v>995.74929606148476</c:v>
                </c:pt>
                <c:pt idx="218">
                  <c:v>1003.873388259966</c:v>
                </c:pt>
                <c:pt idx="219">
                  <c:v>1011.9680972231594</c:v>
                </c:pt>
                <c:pt idx="220">
                  <c:v>1020.0325454463994</c:v>
                </c:pt>
                <c:pt idx="221">
                  <c:v>1028.0658673843579</c:v>
                </c:pt>
                <c:pt idx="222">
                  <c:v>1036.0672094510453</c:v>
                </c:pt>
                <c:pt idx="223">
                  <c:v>1044.0357300198091</c:v>
                </c:pt>
                <c:pt idx="224">
                  <c:v>1051.9705994233345</c:v>
                </c:pt>
                <c:pt idx="225">
                  <c:v>1059.8709999536452</c:v>
                </c:pt>
                <c:pt idx="226">
                  <c:v>1067.736125862102</c:v>
                </c:pt>
                <c:pt idx="227">
                  <c:v>1075.5651833594036</c:v>
                </c:pt>
                <c:pt idx="228">
                  <c:v>1083.3573906155866</c:v>
                </c:pt>
                <c:pt idx="229">
                  <c:v>1091.1119790755117</c:v>
                </c:pt>
                <c:pt idx="230">
                  <c:v>1098.8281987208093</c:v>
                </c:pt>
                <c:pt idx="231">
                  <c:v>1106.5053193853653</c:v>
                </c:pt>
                <c:pt idx="232">
                  <c:v>1114.1426307553218</c:v>
                </c:pt>
                <c:pt idx="233">
                  <c:v>1121.7394423690764</c:v>
                </c:pt>
                <c:pt idx="234">
                  <c:v>1129.2950836172834</c:v>
                </c:pt>
                <c:pt idx="235">
                  <c:v>1136.808903742852</c:v>
                </c:pt>
                <c:pt idx="236">
                  <c:v>1144.280271840948</c:v>
                </c:pt>
                <c:pt idx="237">
                  <c:v>1151.708576858993</c:v>
                </c:pt>
                <c:pt idx="238">
                  <c:v>1159.0932275966641</c:v>
                </c:pt>
                <c:pt idx="239">
                  <c:v>1166.4336527058945</c:v>
                </c:pt>
                <c:pt idx="240">
                  <c:v>1173.7293006908735</c:v>
                </c:pt>
                <c:pt idx="241">
                  <c:v>1180.9796399080462</c:v>
                </c:pt>
                <c:pt idx="242">
                  <c:v>1188.1841585661136</c:v>
                </c:pt>
                <c:pt idx="243">
                  <c:v>1195.3423647260324</c:v>
                </c:pt>
                <c:pt idx="244">
                  <c:v>1202.4537863010153</c:v>
                </c:pt>
                <c:pt idx="245">
                  <c:v>1209.5179710565308</c:v>
                </c:pt>
                <c:pt idx="246">
                  <c:v>1216.5344866103035</c:v>
                </c:pt>
                <c:pt idx="247">
                  <c:v>1223.5029204323139</c:v>
                </c:pt>
                <c:pt idx="248">
                  <c:v>1230.4228798447982</c:v>
                </c:pt>
                <c:pt idx="249">
                  <c:v>1237.2939920222486</c:v>
                </c:pt>
                <c:pt idx="250">
                  <c:v>1244.1159039914132</c:v>
                </c:pt>
                <c:pt idx="251">
                  <c:v>1250.8882826312959</c:v>
                </c:pt>
                <c:pt idx="252">
                  <c:v>1257.6108146731565</c:v>
                </c:pt>
                <c:pt idx="253">
                  <c:v>1264.2832067005108</c:v>
                </c:pt>
                <c:pt idx="254">
                  <c:v>1270.9051851491306</c:v>
                </c:pt>
                <c:pt idx="255">
                  <c:v>1277.4764963070434</c:v>
                </c:pt>
                <c:pt idx="256">
                  <c:v>1283.9969063145325</c:v>
                </c:pt>
                <c:pt idx="257">
                  <c:v>1290.4662011641371</c:v>
                </c:pt>
                <c:pt idx="258">
                  <c:v>1296.8841867006529</c:v>
                </c:pt>
                <c:pt idx="259">
                  <c:v>1303.2506811203004</c:v>
                </c:pt>
                <c:pt idx="260">
                  <c:v>1309.5654849674054</c:v>
                </c:pt>
                <c:pt idx="261">
                  <c:v>1315.8283736335679</c:v>
                </c:pt>
                <c:pt idx="262">
                  <c:v>1322.039097357663</c:v>
                </c:pt>
                <c:pt idx="263">
                  <c:v>1328.1973812258395</c:v>
                </c:pt>
                <c:pt idx="264">
                  <c:v>1334.3029251715216</c:v>
                </c:pt>
                <c:pt idx="265">
                  <c:v>1340.3554039754074</c:v>
                </c:pt>
                <c:pt idx="266">
                  <c:v>1346.35446726547</c:v>
                </c:pt>
                <c:pt idx="267">
                  <c:v>1352.2997395169568</c:v>
                </c:pt>
                <c:pt idx="268">
                  <c:v>1358.1908200523897</c:v>
                </c:pt>
                <c:pt idx="269">
                  <c:v>1364.0272830415652</c:v>
                </c:pt>
                <c:pt idx="270">
                  <c:v>1369.8086775015543</c:v>
                </c:pt>
                <c:pt idx="271">
                  <c:v>1375.5345272967027</c:v>
                </c:pt>
                <c:pt idx="272">
                  <c:v>1381.2043311386306</c:v>
                </c:pt>
                <c:pt idx="273">
                  <c:v>1386.8175625862327</c:v>
                </c:pt>
                <c:pt idx="274">
                  <c:v>1392.3736700456782</c:v>
                </c:pt>
                <c:pt idx="275">
                  <c:v>1397.8720767704108</c:v>
                </c:pt>
                <c:pt idx="276">
                  <c:v>1403.3121808611488</c:v>
                </c:pt>
                <c:pt idx="277">
                  <c:v>1408.693355265885</c:v>
                </c:pt>
                <c:pt idx="278">
                  <c:v>1414.0149477798868</c:v>
                </c:pt>
                <c:pt idx="279">
                  <c:v>1419.1787061542357</c:v>
                </c:pt>
                <c:pt idx="280">
                  <c:v>1424.1836917269345</c:v>
                </c:pt>
                <c:pt idx="281">
                  <c:v>1429.0315377205222</c:v>
                </c:pt>
                <c:pt idx="282">
                  <c:v>1433.723895640215</c:v>
                </c:pt>
                <c:pt idx="283">
                  <c:v>1438.2624371881168</c:v>
                </c:pt>
                <c:pt idx="284">
                  <c:v>1442.6488561774297</c:v>
                </c:pt>
                <c:pt idx="285">
                  <c:v>1446.8848704466645</c:v>
                </c:pt>
                <c:pt idx="286">
                  <c:v>1450.9722237738515</c:v>
                </c:pt>
                <c:pt idx="287">
                  <c:v>1454.9126877907504</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numCache>
            </c:numRef>
          </c:val>
          <c:smooth val="0"/>
        </c:ser>
        <c:dLbls>
          <c:showLegendKey val="0"/>
          <c:showVal val="0"/>
          <c:showCatName val="0"/>
          <c:showSerName val="0"/>
          <c:showPercent val="0"/>
          <c:showBubbleSize val="0"/>
        </c:dLbls>
        <c:marker val="1"/>
        <c:smooth val="0"/>
        <c:axId val="307219968"/>
        <c:axId val="249961216"/>
      </c:lineChart>
      <c:dateAx>
        <c:axId val="307219968"/>
        <c:scaling>
          <c:orientation val="minMax"/>
        </c:scaling>
        <c:delete val="0"/>
        <c:axPos val="b"/>
        <c:numFmt formatCode="d\-mmm" sourceLinked="0"/>
        <c:majorTickMark val="out"/>
        <c:minorTickMark val="none"/>
        <c:tickLblPos val="nextTo"/>
        <c:spPr>
          <a:ln w="3175">
            <a:solidFill>
              <a:srgbClr val="000000"/>
            </a:solidFill>
            <a:prstDash val="solid"/>
          </a:ln>
        </c:spPr>
        <c:txPr>
          <a:bodyPr rot="-5400000" vert="horz"/>
          <a:lstStyle/>
          <a:p>
            <a:pPr>
              <a:defRPr sz="1275" b="1" i="0" u="none" strike="noStrike" baseline="0">
                <a:solidFill>
                  <a:srgbClr val="000000"/>
                </a:solidFill>
                <a:latin typeface="Arial"/>
                <a:ea typeface="Arial"/>
                <a:cs typeface="Arial"/>
              </a:defRPr>
            </a:pPr>
            <a:endParaRPr lang="en-US"/>
          </a:p>
        </c:txPr>
        <c:crossAx val="249961216"/>
        <c:crosses val="autoZero"/>
        <c:auto val="1"/>
        <c:lblOffset val="100"/>
        <c:baseTimeUnit val="days"/>
        <c:majorUnit val="1"/>
        <c:majorTimeUnit val="months"/>
        <c:minorUnit val="1"/>
        <c:minorTimeUnit val="months"/>
      </c:dateAx>
      <c:valAx>
        <c:axId val="249961216"/>
        <c:scaling>
          <c:orientation val="minMax"/>
        </c:scaling>
        <c:delete val="0"/>
        <c:axPos val="l"/>
        <c:majorGridlines>
          <c:spPr>
            <a:ln w="3175">
              <a:solidFill>
                <a:srgbClr val="000000"/>
              </a:solidFill>
              <a:prstDash val="solid"/>
            </a:ln>
          </c:spPr>
        </c:majorGridlines>
        <c:title>
          <c:tx>
            <c:rich>
              <a:bodyPr/>
              <a:lstStyle/>
              <a:p>
                <a:pPr>
                  <a:defRPr sz="1275" b="1" i="0" u="none" strike="noStrike" baseline="0">
                    <a:solidFill>
                      <a:srgbClr val="000000"/>
                    </a:solidFill>
                    <a:latin typeface="Arial"/>
                    <a:ea typeface="Arial"/>
                    <a:cs typeface="Arial"/>
                  </a:defRPr>
                </a:pPr>
                <a:r>
                  <a:t>cumulative ETc (mm) </a:t>
                </a:r>
              </a:p>
            </c:rich>
          </c:tx>
          <c:layout>
            <c:manualLayout>
              <c:xMode val="edge"/>
              <c:yMode val="edge"/>
              <c:x val="1.4167645365572825E-2"/>
              <c:y val="0.34210003963535474"/>
            </c:manualLayout>
          </c:layout>
          <c:overlay val="0"/>
          <c:spPr>
            <a:noFill/>
            <a:ln w="25400">
              <a:noFill/>
            </a:ln>
          </c:spPr>
        </c:title>
        <c:numFmt formatCode="0" sourceLinked="0"/>
        <c:majorTickMark val="out"/>
        <c:minorTickMark val="cross"/>
        <c:tickLblPos val="nextTo"/>
        <c:spPr>
          <a:ln w="3175">
            <a:solidFill>
              <a:srgbClr val="000000"/>
            </a:solidFill>
            <a:prstDash val="solid"/>
          </a:ln>
        </c:spPr>
        <c:txPr>
          <a:bodyPr rot="0" vert="horz"/>
          <a:lstStyle/>
          <a:p>
            <a:pPr>
              <a:defRPr sz="1275" b="1" i="0" u="none" strike="noStrike" baseline="0">
                <a:solidFill>
                  <a:srgbClr val="000000"/>
                </a:solidFill>
                <a:latin typeface="Arial"/>
                <a:ea typeface="Arial"/>
                <a:cs typeface="Arial"/>
              </a:defRPr>
            </a:pPr>
            <a:endParaRPr lang="en-US"/>
          </a:p>
        </c:txPr>
        <c:crossAx val="307219968"/>
        <c:crosses val="autoZero"/>
        <c:crossBetween val="between"/>
        <c:majorUnit val="200"/>
        <c:minorUnit val="100"/>
      </c:valAx>
      <c:spPr>
        <a:solidFill>
          <a:srgbClr val="FFFFFF"/>
        </a:solidFill>
        <a:ln w="12700">
          <a:solidFill>
            <a:srgbClr val="808080"/>
          </a:solidFill>
          <a:prstDash val="solid"/>
        </a:ln>
      </c:spPr>
    </c:plotArea>
    <c:plotVisOnly val="1"/>
    <c:dispBlanksAs val="gap"/>
    <c:showDLblsOverMax val="0"/>
  </c:chart>
  <c:spPr>
    <a:noFill/>
    <a:ln w="9525">
      <a:noFill/>
    </a:ln>
  </c:spPr>
  <c:txPr>
    <a:bodyPr/>
    <a:lstStyle/>
    <a:p>
      <a:pPr>
        <a:defRPr sz="1300" b="1" i="0" u="none" strike="noStrike" baseline="0">
          <a:solidFill>
            <a:srgbClr val="000000"/>
          </a:solidFill>
          <a:latin typeface="Arial"/>
          <a:ea typeface="Arial"/>
          <a:cs typeface="Arial"/>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724750277469481E-2"/>
          <c:y val="3.9151712887438822E-2"/>
          <c:w val="0.91675915649278583"/>
          <c:h val="0.84176182707993474"/>
        </c:manualLayout>
      </c:layout>
      <c:scatterChart>
        <c:scatterStyle val="lineMarker"/>
        <c:varyColors val="0"/>
        <c:ser>
          <c:idx val="0"/>
          <c:order val="0"/>
          <c:tx>
            <c:v>ETo</c:v>
          </c:tx>
          <c:spPr>
            <a:ln w="25400">
              <a:solidFill>
                <a:srgbClr val="0000FF"/>
              </a:solidFill>
              <a:prstDash val="solid"/>
            </a:ln>
          </c:spPr>
          <c:marker>
            <c:symbol val="none"/>
          </c:marker>
          <c:xVal>
            <c:numRef>
              <c:f>Crop!$B$49:$B$625</c:f>
              <c:numCache>
                <c:formatCode>dd\-mmm\-yy</c:formatCode>
                <c:ptCount val="577"/>
                <c:pt idx="0">
                  <c:v>41640</c:v>
                </c:pt>
                <c:pt idx="1">
                  <c:v>41641</c:v>
                </c:pt>
                <c:pt idx="2">
                  <c:v>41642</c:v>
                </c:pt>
                <c:pt idx="3">
                  <c:v>41643</c:v>
                </c:pt>
                <c:pt idx="4">
                  <c:v>41644</c:v>
                </c:pt>
                <c:pt idx="5">
                  <c:v>41645</c:v>
                </c:pt>
                <c:pt idx="6">
                  <c:v>41646</c:v>
                </c:pt>
                <c:pt idx="7">
                  <c:v>41647</c:v>
                </c:pt>
                <c:pt idx="8">
                  <c:v>41648</c:v>
                </c:pt>
                <c:pt idx="9">
                  <c:v>41649</c:v>
                </c:pt>
                <c:pt idx="10">
                  <c:v>41650</c:v>
                </c:pt>
                <c:pt idx="11">
                  <c:v>41651</c:v>
                </c:pt>
                <c:pt idx="12">
                  <c:v>41652</c:v>
                </c:pt>
                <c:pt idx="13">
                  <c:v>41653</c:v>
                </c:pt>
                <c:pt idx="14">
                  <c:v>41654</c:v>
                </c:pt>
                <c:pt idx="15">
                  <c:v>41655</c:v>
                </c:pt>
                <c:pt idx="16">
                  <c:v>41656</c:v>
                </c:pt>
                <c:pt idx="17">
                  <c:v>41657</c:v>
                </c:pt>
                <c:pt idx="18">
                  <c:v>41658</c:v>
                </c:pt>
                <c:pt idx="19">
                  <c:v>41659</c:v>
                </c:pt>
                <c:pt idx="20">
                  <c:v>41660</c:v>
                </c:pt>
                <c:pt idx="21">
                  <c:v>41661</c:v>
                </c:pt>
                <c:pt idx="22">
                  <c:v>41662</c:v>
                </c:pt>
                <c:pt idx="23">
                  <c:v>41663</c:v>
                </c:pt>
                <c:pt idx="24">
                  <c:v>41664</c:v>
                </c:pt>
                <c:pt idx="25">
                  <c:v>41665</c:v>
                </c:pt>
                <c:pt idx="26">
                  <c:v>41666</c:v>
                </c:pt>
                <c:pt idx="27">
                  <c:v>41667</c:v>
                </c:pt>
                <c:pt idx="28">
                  <c:v>41668</c:v>
                </c:pt>
                <c:pt idx="29">
                  <c:v>41669</c:v>
                </c:pt>
                <c:pt idx="30">
                  <c:v>41670</c:v>
                </c:pt>
                <c:pt idx="31">
                  <c:v>41671</c:v>
                </c:pt>
                <c:pt idx="32">
                  <c:v>41672</c:v>
                </c:pt>
                <c:pt idx="33">
                  <c:v>41673</c:v>
                </c:pt>
                <c:pt idx="34">
                  <c:v>41674</c:v>
                </c:pt>
                <c:pt idx="35">
                  <c:v>41675</c:v>
                </c:pt>
                <c:pt idx="36">
                  <c:v>41676</c:v>
                </c:pt>
                <c:pt idx="37">
                  <c:v>41677</c:v>
                </c:pt>
                <c:pt idx="38">
                  <c:v>41678</c:v>
                </c:pt>
                <c:pt idx="39">
                  <c:v>41679</c:v>
                </c:pt>
                <c:pt idx="40">
                  <c:v>41680</c:v>
                </c:pt>
                <c:pt idx="41">
                  <c:v>41681</c:v>
                </c:pt>
                <c:pt idx="42">
                  <c:v>41682</c:v>
                </c:pt>
                <c:pt idx="43">
                  <c:v>41683</c:v>
                </c:pt>
                <c:pt idx="44">
                  <c:v>41684</c:v>
                </c:pt>
                <c:pt idx="45">
                  <c:v>41685</c:v>
                </c:pt>
                <c:pt idx="46">
                  <c:v>41686</c:v>
                </c:pt>
                <c:pt idx="47">
                  <c:v>41687</c:v>
                </c:pt>
                <c:pt idx="48">
                  <c:v>41688</c:v>
                </c:pt>
                <c:pt idx="49">
                  <c:v>41689</c:v>
                </c:pt>
                <c:pt idx="50">
                  <c:v>41690</c:v>
                </c:pt>
                <c:pt idx="51">
                  <c:v>41691</c:v>
                </c:pt>
                <c:pt idx="52">
                  <c:v>41692</c:v>
                </c:pt>
                <c:pt idx="53">
                  <c:v>41693</c:v>
                </c:pt>
                <c:pt idx="54">
                  <c:v>41694</c:v>
                </c:pt>
                <c:pt idx="55">
                  <c:v>41695</c:v>
                </c:pt>
                <c:pt idx="56">
                  <c:v>41696</c:v>
                </c:pt>
                <c:pt idx="57">
                  <c:v>41697</c:v>
                </c:pt>
                <c:pt idx="58">
                  <c:v>41698</c:v>
                </c:pt>
                <c:pt idx="59">
                  <c:v>41699</c:v>
                </c:pt>
                <c:pt idx="60">
                  <c:v>41700</c:v>
                </c:pt>
                <c:pt idx="61">
                  <c:v>41701</c:v>
                </c:pt>
                <c:pt idx="62">
                  <c:v>41702</c:v>
                </c:pt>
                <c:pt idx="63">
                  <c:v>41703</c:v>
                </c:pt>
                <c:pt idx="64">
                  <c:v>41704</c:v>
                </c:pt>
                <c:pt idx="65">
                  <c:v>41705</c:v>
                </c:pt>
                <c:pt idx="66">
                  <c:v>41706</c:v>
                </c:pt>
                <c:pt idx="67">
                  <c:v>41707</c:v>
                </c:pt>
                <c:pt idx="68">
                  <c:v>41708</c:v>
                </c:pt>
                <c:pt idx="69">
                  <c:v>41709</c:v>
                </c:pt>
                <c:pt idx="70">
                  <c:v>41710</c:v>
                </c:pt>
                <c:pt idx="71">
                  <c:v>41711</c:v>
                </c:pt>
                <c:pt idx="72">
                  <c:v>41712</c:v>
                </c:pt>
                <c:pt idx="73">
                  <c:v>41713</c:v>
                </c:pt>
                <c:pt idx="74">
                  <c:v>41714</c:v>
                </c:pt>
                <c:pt idx="75">
                  <c:v>41715</c:v>
                </c:pt>
                <c:pt idx="76">
                  <c:v>41716</c:v>
                </c:pt>
                <c:pt idx="77">
                  <c:v>41717</c:v>
                </c:pt>
                <c:pt idx="78">
                  <c:v>41718</c:v>
                </c:pt>
                <c:pt idx="79">
                  <c:v>41719</c:v>
                </c:pt>
                <c:pt idx="80">
                  <c:v>41720</c:v>
                </c:pt>
                <c:pt idx="81">
                  <c:v>41721</c:v>
                </c:pt>
                <c:pt idx="82">
                  <c:v>41722</c:v>
                </c:pt>
                <c:pt idx="83">
                  <c:v>41723</c:v>
                </c:pt>
                <c:pt idx="84">
                  <c:v>41724</c:v>
                </c:pt>
                <c:pt idx="85">
                  <c:v>41725</c:v>
                </c:pt>
                <c:pt idx="86">
                  <c:v>41726</c:v>
                </c:pt>
                <c:pt idx="87">
                  <c:v>41727</c:v>
                </c:pt>
                <c:pt idx="88">
                  <c:v>41728</c:v>
                </c:pt>
                <c:pt idx="89">
                  <c:v>41729</c:v>
                </c:pt>
                <c:pt idx="90">
                  <c:v>41730</c:v>
                </c:pt>
                <c:pt idx="91">
                  <c:v>41731</c:v>
                </c:pt>
                <c:pt idx="92">
                  <c:v>41732</c:v>
                </c:pt>
                <c:pt idx="93">
                  <c:v>41733</c:v>
                </c:pt>
                <c:pt idx="94">
                  <c:v>41734</c:v>
                </c:pt>
                <c:pt idx="95">
                  <c:v>41735</c:v>
                </c:pt>
                <c:pt idx="96">
                  <c:v>41736</c:v>
                </c:pt>
                <c:pt idx="97">
                  <c:v>41737</c:v>
                </c:pt>
                <c:pt idx="98">
                  <c:v>41738</c:v>
                </c:pt>
                <c:pt idx="99">
                  <c:v>41739</c:v>
                </c:pt>
                <c:pt idx="100">
                  <c:v>41740</c:v>
                </c:pt>
                <c:pt idx="101">
                  <c:v>41741</c:v>
                </c:pt>
                <c:pt idx="102">
                  <c:v>41742</c:v>
                </c:pt>
                <c:pt idx="103">
                  <c:v>41743</c:v>
                </c:pt>
                <c:pt idx="104">
                  <c:v>41744</c:v>
                </c:pt>
                <c:pt idx="105">
                  <c:v>41745</c:v>
                </c:pt>
                <c:pt idx="106">
                  <c:v>41746</c:v>
                </c:pt>
                <c:pt idx="107">
                  <c:v>41747</c:v>
                </c:pt>
                <c:pt idx="108">
                  <c:v>41748</c:v>
                </c:pt>
                <c:pt idx="109">
                  <c:v>41749</c:v>
                </c:pt>
                <c:pt idx="110">
                  <c:v>41750</c:v>
                </c:pt>
                <c:pt idx="111">
                  <c:v>41751</c:v>
                </c:pt>
                <c:pt idx="112">
                  <c:v>41752</c:v>
                </c:pt>
                <c:pt idx="113">
                  <c:v>41753</c:v>
                </c:pt>
                <c:pt idx="114">
                  <c:v>41754</c:v>
                </c:pt>
                <c:pt idx="115">
                  <c:v>41755</c:v>
                </c:pt>
                <c:pt idx="116">
                  <c:v>41756</c:v>
                </c:pt>
                <c:pt idx="117">
                  <c:v>41757</c:v>
                </c:pt>
                <c:pt idx="118">
                  <c:v>41758</c:v>
                </c:pt>
                <c:pt idx="119">
                  <c:v>41759</c:v>
                </c:pt>
                <c:pt idx="120">
                  <c:v>41760</c:v>
                </c:pt>
                <c:pt idx="121">
                  <c:v>41761</c:v>
                </c:pt>
                <c:pt idx="122">
                  <c:v>41762</c:v>
                </c:pt>
                <c:pt idx="123">
                  <c:v>41763</c:v>
                </c:pt>
                <c:pt idx="124">
                  <c:v>41764</c:v>
                </c:pt>
                <c:pt idx="125">
                  <c:v>41765</c:v>
                </c:pt>
                <c:pt idx="126">
                  <c:v>41766</c:v>
                </c:pt>
                <c:pt idx="127">
                  <c:v>41767</c:v>
                </c:pt>
                <c:pt idx="128">
                  <c:v>41768</c:v>
                </c:pt>
                <c:pt idx="129">
                  <c:v>41769</c:v>
                </c:pt>
                <c:pt idx="130">
                  <c:v>41770</c:v>
                </c:pt>
                <c:pt idx="131">
                  <c:v>41771</c:v>
                </c:pt>
                <c:pt idx="132">
                  <c:v>41772</c:v>
                </c:pt>
                <c:pt idx="133">
                  <c:v>41773</c:v>
                </c:pt>
                <c:pt idx="134">
                  <c:v>41774</c:v>
                </c:pt>
                <c:pt idx="135">
                  <c:v>41775</c:v>
                </c:pt>
                <c:pt idx="136">
                  <c:v>41776</c:v>
                </c:pt>
                <c:pt idx="137">
                  <c:v>41777</c:v>
                </c:pt>
                <c:pt idx="138">
                  <c:v>41778</c:v>
                </c:pt>
                <c:pt idx="139">
                  <c:v>41779</c:v>
                </c:pt>
                <c:pt idx="140">
                  <c:v>41780</c:v>
                </c:pt>
                <c:pt idx="141">
                  <c:v>41781</c:v>
                </c:pt>
                <c:pt idx="142">
                  <c:v>41782</c:v>
                </c:pt>
                <c:pt idx="143">
                  <c:v>41783</c:v>
                </c:pt>
                <c:pt idx="144">
                  <c:v>41784</c:v>
                </c:pt>
                <c:pt idx="145">
                  <c:v>41785</c:v>
                </c:pt>
                <c:pt idx="146">
                  <c:v>41786</c:v>
                </c:pt>
                <c:pt idx="147">
                  <c:v>41787</c:v>
                </c:pt>
                <c:pt idx="148">
                  <c:v>41788</c:v>
                </c:pt>
                <c:pt idx="149">
                  <c:v>41789</c:v>
                </c:pt>
                <c:pt idx="150">
                  <c:v>41790</c:v>
                </c:pt>
                <c:pt idx="151">
                  <c:v>41791</c:v>
                </c:pt>
                <c:pt idx="152">
                  <c:v>41792</c:v>
                </c:pt>
                <c:pt idx="153">
                  <c:v>41793</c:v>
                </c:pt>
                <c:pt idx="154">
                  <c:v>41794</c:v>
                </c:pt>
                <c:pt idx="155">
                  <c:v>41795</c:v>
                </c:pt>
                <c:pt idx="156">
                  <c:v>41796</c:v>
                </c:pt>
                <c:pt idx="157">
                  <c:v>41797</c:v>
                </c:pt>
                <c:pt idx="158">
                  <c:v>41798</c:v>
                </c:pt>
                <c:pt idx="159">
                  <c:v>41799</c:v>
                </c:pt>
                <c:pt idx="160">
                  <c:v>41800</c:v>
                </c:pt>
                <c:pt idx="161">
                  <c:v>41801</c:v>
                </c:pt>
                <c:pt idx="162">
                  <c:v>41802</c:v>
                </c:pt>
                <c:pt idx="163">
                  <c:v>41803</c:v>
                </c:pt>
                <c:pt idx="164">
                  <c:v>41804</c:v>
                </c:pt>
                <c:pt idx="165">
                  <c:v>41805</c:v>
                </c:pt>
                <c:pt idx="166">
                  <c:v>41806</c:v>
                </c:pt>
                <c:pt idx="167">
                  <c:v>41807</c:v>
                </c:pt>
                <c:pt idx="168">
                  <c:v>41808</c:v>
                </c:pt>
                <c:pt idx="169">
                  <c:v>41809</c:v>
                </c:pt>
                <c:pt idx="170">
                  <c:v>41810</c:v>
                </c:pt>
                <c:pt idx="171">
                  <c:v>41811</c:v>
                </c:pt>
                <c:pt idx="172">
                  <c:v>41812</c:v>
                </c:pt>
                <c:pt idx="173">
                  <c:v>41813</c:v>
                </c:pt>
                <c:pt idx="174">
                  <c:v>41814</c:v>
                </c:pt>
                <c:pt idx="175">
                  <c:v>41815</c:v>
                </c:pt>
                <c:pt idx="176">
                  <c:v>41816</c:v>
                </c:pt>
                <c:pt idx="177">
                  <c:v>41817</c:v>
                </c:pt>
                <c:pt idx="178">
                  <c:v>41818</c:v>
                </c:pt>
                <c:pt idx="179">
                  <c:v>41819</c:v>
                </c:pt>
                <c:pt idx="180">
                  <c:v>41820</c:v>
                </c:pt>
                <c:pt idx="181">
                  <c:v>41821</c:v>
                </c:pt>
                <c:pt idx="182">
                  <c:v>41822</c:v>
                </c:pt>
                <c:pt idx="183">
                  <c:v>41823</c:v>
                </c:pt>
                <c:pt idx="184">
                  <c:v>41824</c:v>
                </c:pt>
                <c:pt idx="185">
                  <c:v>41825</c:v>
                </c:pt>
                <c:pt idx="186">
                  <c:v>41826</c:v>
                </c:pt>
                <c:pt idx="187">
                  <c:v>41827</c:v>
                </c:pt>
                <c:pt idx="188">
                  <c:v>41828</c:v>
                </c:pt>
                <c:pt idx="189">
                  <c:v>41829</c:v>
                </c:pt>
                <c:pt idx="190">
                  <c:v>41830</c:v>
                </c:pt>
                <c:pt idx="191">
                  <c:v>41831</c:v>
                </c:pt>
                <c:pt idx="192">
                  <c:v>41832</c:v>
                </c:pt>
                <c:pt idx="193">
                  <c:v>41833</c:v>
                </c:pt>
                <c:pt idx="194">
                  <c:v>41834</c:v>
                </c:pt>
                <c:pt idx="195">
                  <c:v>41835</c:v>
                </c:pt>
                <c:pt idx="196">
                  <c:v>41836</c:v>
                </c:pt>
                <c:pt idx="197">
                  <c:v>41837</c:v>
                </c:pt>
                <c:pt idx="198">
                  <c:v>41838</c:v>
                </c:pt>
                <c:pt idx="199">
                  <c:v>41839</c:v>
                </c:pt>
                <c:pt idx="200">
                  <c:v>41840</c:v>
                </c:pt>
                <c:pt idx="201">
                  <c:v>41841</c:v>
                </c:pt>
                <c:pt idx="202">
                  <c:v>41842</c:v>
                </c:pt>
                <c:pt idx="203">
                  <c:v>41843</c:v>
                </c:pt>
                <c:pt idx="204">
                  <c:v>41844</c:v>
                </c:pt>
                <c:pt idx="205">
                  <c:v>41845</c:v>
                </c:pt>
                <c:pt idx="206">
                  <c:v>41846</c:v>
                </c:pt>
                <c:pt idx="207">
                  <c:v>41847</c:v>
                </c:pt>
                <c:pt idx="208">
                  <c:v>41848</c:v>
                </c:pt>
                <c:pt idx="209">
                  <c:v>41849</c:v>
                </c:pt>
                <c:pt idx="210">
                  <c:v>41850</c:v>
                </c:pt>
                <c:pt idx="211">
                  <c:v>41851</c:v>
                </c:pt>
                <c:pt idx="212">
                  <c:v>41852</c:v>
                </c:pt>
                <c:pt idx="213">
                  <c:v>41853</c:v>
                </c:pt>
                <c:pt idx="214">
                  <c:v>41854</c:v>
                </c:pt>
                <c:pt idx="215">
                  <c:v>41855</c:v>
                </c:pt>
                <c:pt idx="216">
                  <c:v>41856</c:v>
                </c:pt>
                <c:pt idx="217">
                  <c:v>41857</c:v>
                </c:pt>
                <c:pt idx="218">
                  <c:v>41858</c:v>
                </c:pt>
                <c:pt idx="219">
                  <c:v>41859</c:v>
                </c:pt>
                <c:pt idx="220">
                  <c:v>41860</c:v>
                </c:pt>
                <c:pt idx="221">
                  <c:v>41861</c:v>
                </c:pt>
                <c:pt idx="222">
                  <c:v>41862</c:v>
                </c:pt>
                <c:pt idx="223">
                  <c:v>41863</c:v>
                </c:pt>
                <c:pt idx="224">
                  <c:v>41864</c:v>
                </c:pt>
                <c:pt idx="225">
                  <c:v>41865</c:v>
                </c:pt>
                <c:pt idx="226">
                  <c:v>41866</c:v>
                </c:pt>
                <c:pt idx="227">
                  <c:v>41867</c:v>
                </c:pt>
                <c:pt idx="228">
                  <c:v>41868</c:v>
                </c:pt>
                <c:pt idx="229">
                  <c:v>41869</c:v>
                </c:pt>
                <c:pt idx="230">
                  <c:v>41870</c:v>
                </c:pt>
                <c:pt idx="231">
                  <c:v>41871</c:v>
                </c:pt>
                <c:pt idx="232">
                  <c:v>41872</c:v>
                </c:pt>
                <c:pt idx="233">
                  <c:v>41873</c:v>
                </c:pt>
                <c:pt idx="234">
                  <c:v>41874</c:v>
                </c:pt>
                <c:pt idx="235">
                  <c:v>41875</c:v>
                </c:pt>
                <c:pt idx="236">
                  <c:v>41876</c:v>
                </c:pt>
                <c:pt idx="237">
                  <c:v>41877</c:v>
                </c:pt>
                <c:pt idx="238">
                  <c:v>41878</c:v>
                </c:pt>
                <c:pt idx="239">
                  <c:v>41879</c:v>
                </c:pt>
                <c:pt idx="240">
                  <c:v>41880</c:v>
                </c:pt>
                <c:pt idx="241">
                  <c:v>41881</c:v>
                </c:pt>
                <c:pt idx="242">
                  <c:v>41882</c:v>
                </c:pt>
                <c:pt idx="243">
                  <c:v>41883</c:v>
                </c:pt>
                <c:pt idx="244">
                  <c:v>41884</c:v>
                </c:pt>
                <c:pt idx="245">
                  <c:v>41885</c:v>
                </c:pt>
                <c:pt idx="246">
                  <c:v>41886</c:v>
                </c:pt>
                <c:pt idx="247">
                  <c:v>41887</c:v>
                </c:pt>
                <c:pt idx="248">
                  <c:v>41888</c:v>
                </c:pt>
                <c:pt idx="249">
                  <c:v>41889</c:v>
                </c:pt>
                <c:pt idx="250">
                  <c:v>41890</c:v>
                </c:pt>
                <c:pt idx="251">
                  <c:v>41891</c:v>
                </c:pt>
                <c:pt idx="252">
                  <c:v>41892</c:v>
                </c:pt>
                <c:pt idx="253">
                  <c:v>41893</c:v>
                </c:pt>
                <c:pt idx="254">
                  <c:v>41894</c:v>
                </c:pt>
                <c:pt idx="255">
                  <c:v>41895</c:v>
                </c:pt>
                <c:pt idx="256">
                  <c:v>41896</c:v>
                </c:pt>
                <c:pt idx="257">
                  <c:v>41897</c:v>
                </c:pt>
                <c:pt idx="258">
                  <c:v>41898</c:v>
                </c:pt>
                <c:pt idx="259">
                  <c:v>41899</c:v>
                </c:pt>
                <c:pt idx="260">
                  <c:v>41900</c:v>
                </c:pt>
                <c:pt idx="261">
                  <c:v>41901</c:v>
                </c:pt>
                <c:pt idx="262">
                  <c:v>41902</c:v>
                </c:pt>
                <c:pt idx="263">
                  <c:v>41903</c:v>
                </c:pt>
                <c:pt idx="264">
                  <c:v>41904</c:v>
                </c:pt>
                <c:pt idx="265">
                  <c:v>41905</c:v>
                </c:pt>
                <c:pt idx="266">
                  <c:v>41906</c:v>
                </c:pt>
                <c:pt idx="267">
                  <c:v>41907</c:v>
                </c:pt>
                <c:pt idx="268">
                  <c:v>41908</c:v>
                </c:pt>
                <c:pt idx="269">
                  <c:v>41909</c:v>
                </c:pt>
                <c:pt idx="270">
                  <c:v>41910</c:v>
                </c:pt>
                <c:pt idx="271">
                  <c:v>41911</c:v>
                </c:pt>
                <c:pt idx="272">
                  <c:v>41912</c:v>
                </c:pt>
                <c:pt idx="273">
                  <c:v>41913</c:v>
                </c:pt>
                <c:pt idx="274">
                  <c:v>41914</c:v>
                </c:pt>
                <c:pt idx="275">
                  <c:v>41915</c:v>
                </c:pt>
                <c:pt idx="276">
                  <c:v>41916</c:v>
                </c:pt>
                <c:pt idx="277">
                  <c:v>41917</c:v>
                </c:pt>
                <c:pt idx="278">
                  <c:v>41918</c:v>
                </c:pt>
                <c:pt idx="279">
                  <c:v>41919</c:v>
                </c:pt>
                <c:pt idx="280">
                  <c:v>41920</c:v>
                </c:pt>
                <c:pt idx="281">
                  <c:v>41921</c:v>
                </c:pt>
                <c:pt idx="282">
                  <c:v>41922</c:v>
                </c:pt>
                <c:pt idx="283">
                  <c:v>41923</c:v>
                </c:pt>
                <c:pt idx="284">
                  <c:v>41924</c:v>
                </c:pt>
                <c:pt idx="285">
                  <c:v>41925</c:v>
                </c:pt>
                <c:pt idx="286">
                  <c:v>41926</c:v>
                </c:pt>
                <c:pt idx="287">
                  <c:v>41927</c:v>
                </c:pt>
                <c:pt idx="288">
                  <c:v>41928</c:v>
                </c:pt>
                <c:pt idx="289">
                  <c:v>41929</c:v>
                </c:pt>
                <c:pt idx="290">
                  <c:v>41930</c:v>
                </c:pt>
                <c:pt idx="291">
                  <c:v>41931</c:v>
                </c:pt>
                <c:pt idx="292">
                  <c:v>41932</c:v>
                </c:pt>
                <c:pt idx="293">
                  <c:v>41933</c:v>
                </c:pt>
                <c:pt idx="294">
                  <c:v>41934</c:v>
                </c:pt>
                <c:pt idx="295">
                  <c:v>41935</c:v>
                </c:pt>
                <c:pt idx="296">
                  <c:v>41936</c:v>
                </c:pt>
                <c:pt idx="297">
                  <c:v>41937</c:v>
                </c:pt>
                <c:pt idx="298">
                  <c:v>41938</c:v>
                </c:pt>
                <c:pt idx="299">
                  <c:v>41939</c:v>
                </c:pt>
                <c:pt idx="300">
                  <c:v>41940</c:v>
                </c:pt>
                <c:pt idx="301">
                  <c:v>41941</c:v>
                </c:pt>
                <c:pt idx="302">
                  <c:v>41942</c:v>
                </c:pt>
                <c:pt idx="303">
                  <c:v>41943</c:v>
                </c:pt>
                <c:pt idx="304">
                  <c:v>41944</c:v>
                </c:pt>
                <c:pt idx="305">
                  <c:v>41945</c:v>
                </c:pt>
                <c:pt idx="306">
                  <c:v>41946</c:v>
                </c:pt>
                <c:pt idx="307">
                  <c:v>41947</c:v>
                </c:pt>
                <c:pt idx="308">
                  <c:v>41948</c:v>
                </c:pt>
                <c:pt idx="309">
                  <c:v>41949</c:v>
                </c:pt>
                <c:pt idx="310">
                  <c:v>41950</c:v>
                </c:pt>
                <c:pt idx="311">
                  <c:v>41951</c:v>
                </c:pt>
                <c:pt idx="312">
                  <c:v>41952</c:v>
                </c:pt>
                <c:pt idx="313">
                  <c:v>41953</c:v>
                </c:pt>
                <c:pt idx="314">
                  <c:v>41954</c:v>
                </c:pt>
                <c:pt idx="315">
                  <c:v>41955</c:v>
                </c:pt>
                <c:pt idx="316">
                  <c:v>41956</c:v>
                </c:pt>
                <c:pt idx="317">
                  <c:v>41957</c:v>
                </c:pt>
                <c:pt idx="318">
                  <c:v>41958</c:v>
                </c:pt>
                <c:pt idx="319">
                  <c:v>41959</c:v>
                </c:pt>
                <c:pt idx="320">
                  <c:v>41960</c:v>
                </c:pt>
                <c:pt idx="321">
                  <c:v>41961</c:v>
                </c:pt>
                <c:pt idx="322">
                  <c:v>41962</c:v>
                </c:pt>
                <c:pt idx="323">
                  <c:v>41963</c:v>
                </c:pt>
                <c:pt idx="324">
                  <c:v>41964</c:v>
                </c:pt>
                <c:pt idx="325">
                  <c:v>41965</c:v>
                </c:pt>
                <c:pt idx="326">
                  <c:v>41966</c:v>
                </c:pt>
                <c:pt idx="327">
                  <c:v>41967</c:v>
                </c:pt>
                <c:pt idx="328">
                  <c:v>41968</c:v>
                </c:pt>
                <c:pt idx="329">
                  <c:v>41969</c:v>
                </c:pt>
                <c:pt idx="330">
                  <c:v>41970</c:v>
                </c:pt>
                <c:pt idx="331">
                  <c:v>41971</c:v>
                </c:pt>
                <c:pt idx="332">
                  <c:v>41972</c:v>
                </c:pt>
                <c:pt idx="333">
                  <c:v>41973</c:v>
                </c:pt>
                <c:pt idx="334">
                  <c:v>41974</c:v>
                </c:pt>
                <c:pt idx="335">
                  <c:v>41975</c:v>
                </c:pt>
                <c:pt idx="336">
                  <c:v>41976</c:v>
                </c:pt>
                <c:pt idx="337">
                  <c:v>41977</c:v>
                </c:pt>
                <c:pt idx="338">
                  <c:v>41978</c:v>
                </c:pt>
                <c:pt idx="339">
                  <c:v>41979</c:v>
                </c:pt>
                <c:pt idx="340">
                  <c:v>41980</c:v>
                </c:pt>
                <c:pt idx="341">
                  <c:v>41981</c:v>
                </c:pt>
                <c:pt idx="342">
                  <c:v>41982</c:v>
                </c:pt>
                <c:pt idx="343">
                  <c:v>41983</c:v>
                </c:pt>
                <c:pt idx="344">
                  <c:v>41984</c:v>
                </c:pt>
                <c:pt idx="345">
                  <c:v>41985</c:v>
                </c:pt>
                <c:pt idx="346">
                  <c:v>41986</c:v>
                </c:pt>
                <c:pt idx="347">
                  <c:v>41987</c:v>
                </c:pt>
                <c:pt idx="348">
                  <c:v>41988</c:v>
                </c:pt>
                <c:pt idx="349">
                  <c:v>41989</c:v>
                </c:pt>
                <c:pt idx="350">
                  <c:v>41990</c:v>
                </c:pt>
                <c:pt idx="351">
                  <c:v>41991</c:v>
                </c:pt>
                <c:pt idx="352">
                  <c:v>41992</c:v>
                </c:pt>
                <c:pt idx="353">
                  <c:v>41993</c:v>
                </c:pt>
                <c:pt idx="354">
                  <c:v>41994</c:v>
                </c:pt>
                <c:pt idx="355">
                  <c:v>41995</c:v>
                </c:pt>
                <c:pt idx="356">
                  <c:v>41996</c:v>
                </c:pt>
                <c:pt idx="357">
                  <c:v>41997</c:v>
                </c:pt>
                <c:pt idx="358">
                  <c:v>41998</c:v>
                </c:pt>
                <c:pt idx="359">
                  <c:v>41999</c:v>
                </c:pt>
                <c:pt idx="360">
                  <c:v>42000</c:v>
                </c:pt>
                <c:pt idx="361">
                  <c:v>42001</c:v>
                </c:pt>
                <c:pt idx="362">
                  <c:v>42002</c:v>
                </c:pt>
                <c:pt idx="363">
                  <c:v>42003</c:v>
                </c:pt>
                <c:pt idx="364">
                  <c:v>42004</c:v>
                </c:pt>
                <c:pt idx="365">
                  <c:v>42005</c:v>
                </c:pt>
                <c:pt idx="366">
                  <c:v>42006</c:v>
                </c:pt>
                <c:pt idx="367">
                  <c:v>42007</c:v>
                </c:pt>
                <c:pt idx="368">
                  <c:v>42008</c:v>
                </c:pt>
                <c:pt idx="369">
                  <c:v>42009</c:v>
                </c:pt>
                <c:pt idx="370">
                  <c:v>42010</c:v>
                </c:pt>
                <c:pt idx="371">
                  <c:v>42011</c:v>
                </c:pt>
                <c:pt idx="372">
                  <c:v>42012</c:v>
                </c:pt>
                <c:pt idx="373">
                  <c:v>42013</c:v>
                </c:pt>
                <c:pt idx="374">
                  <c:v>42014</c:v>
                </c:pt>
                <c:pt idx="375">
                  <c:v>42015</c:v>
                </c:pt>
                <c:pt idx="376">
                  <c:v>42016</c:v>
                </c:pt>
                <c:pt idx="377">
                  <c:v>42017</c:v>
                </c:pt>
                <c:pt idx="378">
                  <c:v>42018</c:v>
                </c:pt>
                <c:pt idx="379">
                  <c:v>42019</c:v>
                </c:pt>
                <c:pt idx="380">
                  <c:v>42020</c:v>
                </c:pt>
                <c:pt idx="381">
                  <c:v>42021</c:v>
                </c:pt>
                <c:pt idx="382">
                  <c:v>42022</c:v>
                </c:pt>
                <c:pt idx="383">
                  <c:v>42023</c:v>
                </c:pt>
                <c:pt idx="384">
                  <c:v>42024</c:v>
                </c:pt>
                <c:pt idx="385">
                  <c:v>42025</c:v>
                </c:pt>
                <c:pt idx="386">
                  <c:v>42026</c:v>
                </c:pt>
                <c:pt idx="387">
                  <c:v>42027</c:v>
                </c:pt>
                <c:pt idx="388">
                  <c:v>42028</c:v>
                </c:pt>
                <c:pt idx="389">
                  <c:v>42029</c:v>
                </c:pt>
                <c:pt idx="390">
                  <c:v>42030</c:v>
                </c:pt>
                <c:pt idx="391">
                  <c:v>42031</c:v>
                </c:pt>
                <c:pt idx="392">
                  <c:v>42032</c:v>
                </c:pt>
                <c:pt idx="393">
                  <c:v>42033</c:v>
                </c:pt>
                <c:pt idx="394">
                  <c:v>42034</c:v>
                </c:pt>
                <c:pt idx="395">
                  <c:v>42035</c:v>
                </c:pt>
                <c:pt idx="396">
                  <c:v>42036</c:v>
                </c:pt>
                <c:pt idx="397">
                  <c:v>42037</c:v>
                </c:pt>
                <c:pt idx="398">
                  <c:v>42038</c:v>
                </c:pt>
                <c:pt idx="399">
                  <c:v>42039</c:v>
                </c:pt>
                <c:pt idx="400">
                  <c:v>42040</c:v>
                </c:pt>
                <c:pt idx="401">
                  <c:v>42041</c:v>
                </c:pt>
                <c:pt idx="402">
                  <c:v>42042</c:v>
                </c:pt>
                <c:pt idx="403">
                  <c:v>42043</c:v>
                </c:pt>
                <c:pt idx="404">
                  <c:v>42044</c:v>
                </c:pt>
                <c:pt idx="405">
                  <c:v>42045</c:v>
                </c:pt>
                <c:pt idx="406">
                  <c:v>42046</c:v>
                </c:pt>
                <c:pt idx="407">
                  <c:v>42047</c:v>
                </c:pt>
                <c:pt idx="408">
                  <c:v>42048</c:v>
                </c:pt>
                <c:pt idx="409">
                  <c:v>42049</c:v>
                </c:pt>
                <c:pt idx="410">
                  <c:v>42050</c:v>
                </c:pt>
                <c:pt idx="411">
                  <c:v>42051</c:v>
                </c:pt>
                <c:pt idx="412">
                  <c:v>42052</c:v>
                </c:pt>
                <c:pt idx="413">
                  <c:v>42053</c:v>
                </c:pt>
                <c:pt idx="414">
                  <c:v>42054</c:v>
                </c:pt>
                <c:pt idx="415">
                  <c:v>42055</c:v>
                </c:pt>
                <c:pt idx="416">
                  <c:v>42056</c:v>
                </c:pt>
                <c:pt idx="417">
                  <c:v>42057</c:v>
                </c:pt>
                <c:pt idx="418">
                  <c:v>42058</c:v>
                </c:pt>
                <c:pt idx="419">
                  <c:v>42059</c:v>
                </c:pt>
                <c:pt idx="420">
                  <c:v>42060</c:v>
                </c:pt>
                <c:pt idx="421">
                  <c:v>42061</c:v>
                </c:pt>
                <c:pt idx="422">
                  <c:v>42062</c:v>
                </c:pt>
                <c:pt idx="423">
                  <c:v>42063</c:v>
                </c:pt>
                <c:pt idx="424">
                  <c:v>42064</c:v>
                </c:pt>
                <c:pt idx="425">
                  <c:v>42065</c:v>
                </c:pt>
                <c:pt idx="426">
                  <c:v>42066</c:v>
                </c:pt>
                <c:pt idx="427">
                  <c:v>42067</c:v>
                </c:pt>
                <c:pt idx="428">
                  <c:v>42068</c:v>
                </c:pt>
                <c:pt idx="429">
                  <c:v>42069</c:v>
                </c:pt>
                <c:pt idx="430">
                  <c:v>42070</c:v>
                </c:pt>
                <c:pt idx="431">
                  <c:v>42071</c:v>
                </c:pt>
                <c:pt idx="432">
                  <c:v>42072</c:v>
                </c:pt>
                <c:pt idx="433">
                  <c:v>42073</c:v>
                </c:pt>
                <c:pt idx="434">
                  <c:v>42074</c:v>
                </c:pt>
                <c:pt idx="435">
                  <c:v>42075</c:v>
                </c:pt>
                <c:pt idx="436">
                  <c:v>42076</c:v>
                </c:pt>
                <c:pt idx="437">
                  <c:v>42077</c:v>
                </c:pt>
                <c:pt idx="438">
                  <c:v>42078</c:v>
                </c:pt>
                <c:pt idx="439">
                  <c:v>42079</c:v>
                </c:pt>
                <c:pt idx="440">
                  <c:v>42080</c:v>
                </c:pt>
                <c:pt idx="441">
                  <c:v>42081</c:v>
                </c:pt>
                <c:pt idx="442">
                  <c:v>42082</c:v>
                </c:pt>
                <c:pt idx="443">
                  <c:v>42083</c:v>
                </c:pt>
                <c:pt idx="444">
                  <c:v>42084</c:v>
                </c:pt>
                <c:pt idx="445">
                  <c:v>42085</c:v>
                </c:pt>
                <c:pt idx="446">
                  <c:v>42086</c:v>
                </c:pt>
                <c:pt idx="447">
                  <c:v>42087</c:v>
                </c:pt>
                <c:pt idx="448">
                  <c:v>42088</c:v>
                </c:pt>
                <c:pt idx="449">
                  <c:v>42089</c:v>
                </c:pt>
                <c:pt idx="450">
                  <c:v>42090</c:v>
                </c:pt>
                <c:pt idx="451">
                  <c:v>42091</c:v>
                </c:pt>
                <c:pt idx="452">
                  <c:v>42092</c:v>
                </c:pt>
                <c:pt idx="453">
                  <c:v>42093</c:v>
                </c:pt>
                <c:pt idx="454">
                  <c:v>42094</c:v>
                </c:pt>
                <c:pt idx="455">
                  <c:v>42095</c:v>
                </c:pt>
                <c:pt idx="456">
                  <c:v>42096</c:v>
                </c:pt>
                <c:pt idx="457">
                  <c:v>42097</c:v>
                </c:pt>
                <c:pt idx="458">
                  <c:v>42098</c:v>
                </c:pt>
                <c:pt idx="459">
                  <c:v>42099</c:v>
                </c:pt>
                <c:pt idx="460">
                  <c:v>42100</c:v>
                </c:pt>
                <c:pt idx="461">
                  <c:v>42101</c:v>
                </c:pt>
                <c:pt idx="462">
                  <c:v>42102</c:v>
                </c:pt>
                <c:pt idx="463">
                  <c:v>42103</c:v>
                </c:pt>
                <c:pt idx="464">
                  <c:v>42104</c:v>
                </c:pt>
                <c:pt idx="465">
                  <c:v>42105</c:v>
                </c:pt>
                <c:pt idx="466">
                  <c:v>42106</c:v>
                </c:pt>
                <c:pt idx="467">
                  <c:v>42107</c:v>
                </c:pt>
                <c:pt idx="468">
                  <c:v>42108</c:v>
                </c:pt>
                <c:pt idx="469">
                  <c:v>42109</c:v>
                </c:pt>
                <c:pt idx="470">
                  <c:v>42110</c:v>
                </c:pt>
                <c:pt idx="471">
                  <c:v>42111</c:v>
                </c:pt>
                <c:pt idx="472">
                  <c:v>42112</c:v>
                </c:pt>
                <c:pt idx="473">
                  <c:v>42113</c:v>
                </c:pt>
                <c:pt idx="474">
                  <c:v>42114</c:v>
                </c:pt>
                <c:pt idx="475">
                  <c:v>42115</c:v>
                </c:pt>
                <c:pt idx="476">
                  <c:v>42116</c:v>
                </c:pt>
                <c:pt idx="477">
                  <c:v>42117</c:v>
                </c:pt>
                <c:pt idx="478">
                  <c:v>42118</c:v>
                </c:pt>
                <c:pt idx="479">
                  <c:v>42119</c:v>
                </c:pt>
                <c:pt idx="480">
                  <c:v>42120</c:v>
                </c:pt>
                <c:pt idx="481">
                  <c:v>42121</c:v>
                </c:pt>
                <c:pt idx="482">
                  <c:v>42122</c:v>
                </c:pt>
                <c:pt idx="483">
                  <c:v>42123</c:v>
                </c:pt>
                <c:pt idx="484">
                  <c:v>42124</c:v>
                </c:pt>
                <c:pt idx="485">
                  <c:v>42125</c:v>
                </c:pt>
                <c:pt idx="486">
                  <c:v>42126</c:v>
                </c:pt>
                <c:pt idx="487">
                  <c:v>42127</c:v>
                </c:pt>
                <c:pt idx="488">
                  <c:v>42128</c:v>
                </c:pt>
                <c:pt idx="489">
                  <c:v>42129</c:v>
                </c:pt>
                <c:pt idx="490">
                  <c:v>42130</c:v>
                </c:pt>
                <c:pt idx="491">
                  <c:v>42131</c:v>
                </c:pt>
                <c:pt idx="492">
                  <c:v>42132</c:v>
                </c:pt>
                <c:pt idx="493">
                  <c:v>42133</c:v>
                </c:pt>
                <c:pt idx="494">
                  <c:v>42134</c:v>
                </c:pt>
                <c:pt idx="495">
                  <c:v>42135</c:v>
                </c:pt>
                <c:pt idx="496">
                  <c:v>42136</c:v>
                </c:pt>
                <c:pt idx="497">
                  <c:v>42137</c:v>
                </c:pt>
                <c:pt idx="498">
                  <c:v>42138</c:v>
                </c:pt>
                <c:pt idx="499">
                  <c:v>42139</c:v>
                </c:pt>
                <c:pt idx="500">
                  <c:v>42140</c:v>
                </c:pt>
                <c:pt idx="501">
                  <c:v>42141</c:v>
                </c:pt>
                <c:pt idx="502">
                  <c:v>42142</c:v>
                </c:pt>
                <c:pt idx="503">
                  <c:v>42143</c:v>
                </c:pt>
                <c:pt idx="504">
                  <c:v>42144</c:v>
                </c:pt>
                <c:pt idx="505">
                  <c:v>42145</c:v>
                </c:pt>
                <c:pt idx="506">
                  <c:v>42146</c:v>
                </c:pt>
                <c:pt idx="507">
                  <c:v>42147</c:v>
                </c:pt>
                <c:pt idx="508">
                  <c:v>42148</c:v>
                </c:pt>
                <c:pt idx="509">
                  <c:v>42149</c:v>
                </c:pt>
                <c:pt idx="510">
                  <c:v>42150</c:v>
                </c:pt>
                <c:pt idx="511">
                  <c:v>42151</c:v>
                </c:pt>
                <c:pt idx="512">
                  <c:v>42152</c:v>
                </c:pt>
                <c:pt idx="513">
                  <c:v>42153</c:v>
                </c:pt>
                <c:pt idx="514">
                  <c:v>42154</c:v>
                </c:pt>
                <c:pt idx="515">
                  <c:v>42155</c:v>
                </c:pt>
                <c:pt idx="516">
                  <c:v>42156</c:v>
                </c:pt>
                <c:pt idx="517">
                  <c:v>42157</c:v>
                </c:pt>
                <c:pt idx="518">
                  <c:v>42158</c:v>
                </c:pt>
                <c:pt idx="519">
                  <c:v>42159</c:v>
                </c:pt>
                <c:pt idx="520">
                  <c:v>42160</c:v>
                </c:pt>
                <c:pt idx="521">
                  <c:v>42161</c:v>
                </c:pt>
                <c:pt idx="522">
                  <c:v>42162</c:v>
                </c:pt>
                <c:pt idx="523">
                  <c:v>42163</c:v>
                </c:pt>
                <c:pt idx="524">
                  <c:v>42164</c:v>
                </c:pt>
                <c:pt idx="525">
                  <c:v>42165</c:v>
                </c:pt>
                <c:pt idx="526">
                  <c:v>42166</c:v>
                </c:pt>
                <c:pt idx="527">
                  <c:v>42167</c:v>
                </c:pt>
                <c:pt idx="528">
                  <c:v>42168</c:v>
                </c:pt>
                <c:pt idx="529">
                  <c:v>42169</c:v>
                </c:pt>
                <c:pt idx="530">
                  <c:v>42170</c:v>
                </c:pt>
                <c:pt idx="531">
                  <c:v>42171</c:v>
                </c:pt>
                <c:pt idx="532">
                  <c:v>42172</c:v>
                </c:pt>
                <c:pt idx="533">
                  <c:v>42173</c:v>
                </c:pt>
                <c:pt idx="534">
                  <c:v>42174</c:v>
                </c:pt>
                <c:pt idx="535">
                  <c:v>42175</c:v>
                </c:pt>
                <c:pt idx="536">
                  <c:v>42176</c:v>
                </c:pt>
                <c:pt idx="537">
                  <c:v>42177</c:v>
                </c:pt>
                <c:pt idx="538">
                  <c:v>42178</c:v>
                </c:pt>
                <c:pt idx="539">
                  <c:v>42179</c:v>
                </c:pt>
                <c:pt idx="540">
                  <c:v>42180</c:v>
                </c:pt>
                <c:pt idx="541">
                  <c:v>42181</c:v>
                </c:pt>
                <c:pt idx="542">
                  <c:v>42182</c:v>
                </c:pt>
                <c:pt idx="543">
                  <c:v>42183</c:v>
                </c:pt>
                <c:pt idx="544">
                  <c:v>42184</c:v>
                </c:pt>
                <c:pt idx="545">
                  <c:v>42185</c:v>
                </c:pt>
                <c:pt idx="546">
                  <c:v>42186</c:v>
                </c:pt>
                <c:pt idx="547">
                  <c:v>42187</c:v>
                </c:pt>
                <c:pt idx="548">
                  <c:v>42188</c:v>
                </c:pt>
                <c:pt idx="549">
                  <c:v>42189</c:v>
                </c:pt>
                <c:pt idx="550">
                  <c:v>42190</c:v>
                </c:pt>
                <c:pt idx="551">
                  <c:v>42191</c:v>
                </c:pt>
                <c:pt idx="552">
                  <c:v>42192</c:v>
                </c:pt>
                <c:pt idx="553">
                  <c:v>42193</c:v>
                </c:pt>
                <c:pt idx="554">
                  <c:v>42194</c:v>
                </c:pt>
                <c:pt idx="555">
                  <c:v>42195</c:v>
                </c:pt>
                <c:pt idx="556">
                  <c:v>42196</c:v>
                </c:pt>
                <c:pt idx="557">
                  <c:v>42197</c:v>
                </c:pt>
                <c:pt idx="558">
                  <c:v>42198</c:v>
                </c:pt>
                <c:pt idx="559">
                  <c:v>42199</c:v>
                </c:pt>
                <c:pt idx="560">
                  <c:v>42200</c:v>
                </c:pt>
                <c:pt idx="561">
                  <c:v>42201</c:v>
                </c:pt>
                <c:pt idx="562">
                  <c:v>42202</c:v>
                </c:pt>
                <c:pt idx="563">
                  <c:v>42203</c:v>
                </c:pt>
                <c:pt idx="564">
                  <c:v>42204</c:v>
                </c:pt>
                <c:pt idx="565">
                  <c:v>42205</c:v>
                </c:pt>
                <c:pt idx="566">
                  <c:v>42206</c:v>
                </c:pt>
                <c:pt idx="567">
                  <c:v>42207</c:v>
                </c:pt>
                <c:pt idx="568">
                  <c:v>42208</c:v>
                </c:pt>
                <c:pt idx="569">
                  <c:v>42209</c:v>
                </c:pt>
                <c:pt idx="570">
                  <c:v>42210</c:v>
                </c:pt>
                <c:pt idx="571">
                  <c:v>42211</c:v>
                </c:pt>
                <c:pt idx="572">
                  <c:v>42212</c:v>
                </c:pt>
                <c:pt idx="573">
                  <c:v>42213</c:v>
                </c:pt>
                <c:pt idx="574">
                  <c:v>42214</c:v>
                </c:pt>
                <c:pt idx="575">
                  <c:v>42215</c:v>
                </c:pt>
                <c:pt idx="576">
                  <c:v>42216</c:v>
                </c:pt>
              </c:numCache>
            </c:numRef>
          </c:xVal>
          <c:yVal>
            <c:numRef>
              <c:f>Crop!$K$49:$K$625</c:f>
              <c:numCache>
                <c:formatCode>0.00</c:formatCode>
                <c:ptCount val="577"/>
                <c:pt idx="0">
                  <c:v>0.94034754308832524</c:v>
                </c:pt>
                <c:pt idx="1">
                  <c:v>0.93755718163841528</c:v>
                </c:pt>
                <c:pt idx="2">
                  <c:v>0.93476682018850532</c:v>
                </c:pt>
                <c:pt idx="3">
                  <c:v>0.93197645873859536</c:v>
                </c:pt>
                <c:pt idx="4">
                  <c:v>0.9291860972886854</c:v>
                </c:pt>
                <c:pt idx="5">
                  <c:v>0.92639573583877521</c:v>
                </c:pt>
                <c:pt idx="6">
                  <c:v>0.93077895058450666</c:v>
                </c:pt>
                <c:pt idx="7">
                  <c:v>0.93632780254464432</c:v>
                </c:pt>
                <c:pt idx="8">
                  <c:v>0.94300294252322692</c:v>
                </c:pt>
                <c:pt idx="9">
                  <c:v>0.95076502132429297</c:v>
                </c:pt>
                <c:pt idx="10">
                  <c:v>0.95957468975188176</c:v>
                </c:pt>
                <c:pt idx="11">
                  <c:v>0.9693925986100318</c:v>
                </c:pt>
                <c:pt idx="12">
                  <c:v>0.98017939870278192</c:v>
                </c:pt>
                <c:pt idx="13">
                  <c:v>0.99189574083417142</c:v>
                </c:pt>
                <c:pt idx="14">
                  <c:v>1.0045022758082387</c:v>
                </c:pt>
                <c:pt idx="15">
                  <c:v>1.0179620672571157</c:v>
                </c:pt>
                <c:pt idx="16">
                  <c:v>1.032247830125304</c:v>
                </c:pt>
                <c:pt idx="17">
                  <c:v>1.047334692185399</c:v>
                </c:pt>
                <c:pt idx="18">
                  <c:v>1.0631977812099955</c:v>
                </c:pt>
                <c:pt idx="19">
                  <c:v>1.0798122249716882</c:v>
                </c:pt>
                <c:pt idx="20">
                  <c:v>1.0971531512430717</c:v>
                </c:pt>
                <c:pt idx="21">
                  <c:v>1.1151956877967413</c:v>
                </c:pt>
                <c:pt idx="22">
                  <c:v>1.133914962405292</c:v>
                </c:pt>
                <c:pt idx="23">
                  <c:v>1.1532861028413177</c:v>
                </c:pt>
                <c:pt idx="24">
                  <c:v>1.1732842368774141</c:v>
                </c:pt>
                <c:pt idx="25">
                  <c:v>1.193884492286176</c:v>
                </c:pt>
                <c:pt idx="26">
                  <c:v>1.2150619968401979</c:v>
                </c:pt>
                <c:pt idx="27">
                  <c:v>1.236791878312075</c:v>
                </c:pt>
                <c:pt idx="28">
                  <c:v>1.2590492644744016</c:v>
                </c:pt>
                <c:pt idx="29">
                  <c:v>1.2818092830997729</c:v>
                </c:pt>
                <c:pt idx="30">
                  <c:v>1.3050470619607843</c:v>
                </c:pt>
                <c:pt idx="31">
                  <c:v>1.3287377288300295</c:v>
                </c:pt>
                <c:pt idx="32">
                  <c:v>1.3528564114801045</c:v>
                </c:pt>
                <c:pt idx="33">
                  <c:v>1.377378237683603</c:v>
                </c:pt>
                <c:pt idx="34">
                  <c:v>1.4022783352131207</c:v>
                </c:pt>
                <c:pt idx="35">
                  <c:v>1.4275318318412524</c:v>
                </c:pt>
                <c:pt idx="36">
                  <c:v>1.4531138553405927</c:v>
                </c:pt>
                <c:pt idx="37">
                  <c:v>1.4789995334837365</c:v>
                </c:pt>
                <c:pt idx="38">
                  <c:v>1.5051639940432782</c:v>
                </c:pt>
                <c:pt idx="39">
                  <c:v>1.5315823647918134</c:v>
                </c:pt>
                <c:pt idx="40">
                  <c:v>1.5582297735019368</c:v>
                </c:pt>
                <c:pt idx="41">
                  <c:v>1.5850813479462431</c:v>
                </c:pt>
                <c:pt idx="42">
                  <c:v>1.6121122158973267</c:v>
                </c:pt>
                <c:pt idx="43">
                  <c:v>1.6392975051277832</c:v>
                </c:pt>
                <c:pt idx="44">
                  <c:v>1.6666123434102071</c:v>
                </c:pt>
                <c:pt idx="45">
                  <c:v>1.6940318585171934</c:v>
                </c:pt>
                <c:pt idx="46">
                  <c:v>1.7215417764472893</c:v>
                </c:pt>
                <c:pt idx="47">
                  <c:v>1.7491702161028528</c:v>
                </c:pt>
                <c:pt idx="48">
                  <c:v>1.7769558946121939</c:v>
                </c:pt>
                <c:pt idx="49">
                  <c:v>1.8049375291036236</c:v>
                </c:pt>
                <c:pt idx="50">
                  <c:v>1.8331538367054514</c:v>
                </c:pt>
                <c:pt idx="51">
                  <c:v>1.861643534545989</c:v>
                </c:pt>
                <c:pt idx="52">
                  <c:v>1.8904453397535455</c:v>
                </c:pt>
                <c:pt idx="53">
                  <c:v>1.9195979694564316</c:v>
                </c:pt>
                <c:pt idx="54">
                  <c:v>1.9491401407829581</c:v>
                </c:pt>
                <c:pt idx="55">
                  <c:v>1.9791105708614347</c:v>
                </c:pt>
                <c:pt idx="56">
                  <c:v>2.0095479768201732</c:v>
                </c:pt>
                <c:pt idx="57">
                  <c:v>2.0404910757874815</c:v>
                </c:pt>
                <c:pt idx="58">
                  <c:v>2.0719785848916725</c:v>
                </c:pt>
                <c:pt idx="59">
                  <c:v>2.1040492212610551</c:v>
                </c:pt>
                <c:pt idx="60">
                  <c:v>2.1367417020239401</c:v>
                </c:pt>
                <c:pt idx="61">
                  <c:v>2.1700947443086385</c:v>
                </c:pt>
                <c:pt idx="62">
                  <c:v>2.2041470652434585</c:v>
                </c:pt>
                <c:pt idx="63">
                  <c:v>2.2389373819567133</c:v>
                </c:pt>
                <c:pt idx="64">
                  <c:v>2.2745044115767117</c:v>
                </c:pt>
                <c:pt idx="65">
                  <c:v>2.3108868712317641</c:v>
                </c:pt>
                <c:pt idx="66">
                  <c:v>2.3481234780501814</c:v>
                </c:pt>
                <c:pt idx="67">
                  <c:v>2.3862529491602733</c:v>
                </c:pt>
                <c:pt idx="68">
                  <c:v>2.4253140016903516</c:v>
                </c:pt>
                <c:pt idx="69">
                  <c:v>2.4653453527687246</c:v>
                </c:pt>
                <c:pt idx="70">
                  <c:v>2.506385719523704</c:v>
                </c:pt>
                <c:pt idx="71">
                  <c:v>2.5484738190836005</c:v>
                </c:pt>
                <c:pt idx="72">
                  <c:v>2.5916483685767231</c:v>
                </c:pt>
                <c:pt idx="73">
                  <c:v>2.6359480851313828</c:v>
                </c:pt>
                <c:pt idx="74">
                  <c:v>2.6814116858758905</c:v>
                </c:pt>
                <c:pt idx="75">
                  <c:v>2.7280778879385563</c:v>
                </c:pt>
                <c:pt idx="76">
                  <c:v>2.7759654219725172</c:v>
                </c:pt>
                <c:pt idx="77">
                  <c:v>2.8250130727302176</c:v>
                </c:pt>
                <c:pt idx="78">
                  <c:v>2.8751396384889283</c:v>
                </c:pt>
                <c:pt idx="79">
                  <c:v>2.9262639175259211</c:v>
                </c:pt>
                <c:pt idx="80">
                  <c:v>2.978304708118467</c:v>
                </c:pt>
                <c:pt idx="81">
                  <c:v>3.0311808085438354</c:v>
                </c:pt>
                <c:pt idx="82">
                  <c:v>3.0848110170792999</c:v>
                </c:pt>
                <c:pt idx="83">
                  <c:v>3.1391141320021307</c:v>
                </c:pt>
                <c:pt idx="84">
                  <c:v>3.1940089515895989</c:v>
                </c:pt>
                <c:pt idx="85">
                  <c:v>3.2494142741189744</c:v>
                </c:pt>
                <c:pt idx="86">
                  <c:v>3.3052488978675303</c:v>
                </c:pt>
                <c:pt idx="87">
                  <c:v>3.3614316211125357</c:v>
                </c:pt>
                <c:pt idx="88">
                  <c:v>3.4178812421312639</c:v>
                </c:pt>
                <c:pt idx="89">
                  <c:v>3.4745165592009837</c:v>
                </c:pt>
                <c:pt idx="90">
                  <c:v>3.5312563705989684</c:v>
                </c:pt>
                <c:pt idx="91">
                  <c:v>3.5880194746024872</c:v>
                </c:pt>
                <c:pt idx="92">
                  <c:v>3.6447246694888125</c:v>
                </c:pt>
                <c:pt idx="93">
                  <c:v>3.7012907535352157</c:v>
                </c:pt>
                <c:pt idx="94">
                  <c:v>3.7576365250189658</c:v>
                </c:pt>
                <c:pt idx="95">
                  <c:v>3.813680782217336</c:v>
                </c:pt>
                <c:pt idx="96">
                  <c:v>3.8693423234075963</c:v>
                </c:pt>
                <c:pt idx="97">
                  <c:v>3.9245399468670183</c:v>
                </c:pt>
                <c:pt idx="98">
                  <c:v>3.9791924508728735</c:v>
                </c:pt>
                <c:pt idx="99">
                  <c:v>4.0332186337024316</c:v>
                </c:pt>
                <c:pt idx="100">
                  <c:v>4.0865372936329658</c:v>
                </c:pt>
                <c:pt idx="101">
                  <c:v>4.1390672289417454</c:v>
                </c:pt>
                <c:pt idx="102">
                  <c:v>4.1907272379060423</c:v>
                </c:pt>
                <c:pt idx="103">
                  <c:v>4.2414361188031267</c:v>
                </c:pt>
                <c:pt idx="104">
                  <c:v>4.2911126699102713</c:v>
                </c:pt>
                <c:pt idx="105">
                  <c:v>4.3396756895047464</c:v>
                </c:pt>
                <c:pt idx="106">
                  <c:v>4.387043975863822</c:v>
                </c:pt>
                <c:pt idx="107">
                  <c:v>4.4331614375984358</c:v>
                </c:pt>
                <c:pt idx="108">
                  <c:v>4.4780724246541812</c:v>
                </c:pt>
                <c:pt idx="109">
                  <c:v>4.5218463973103189</c:v>
                </c:pt>
                <c:pt idx="110">
                  <c:v>4.5645528158461053</c:v>
                </c:pt>
                <c:pt idx="111">
                  <c:v>4.6062611405408038</c:v>
                </c:pt>
                <c:pt idx="112">
                  <c:v>4.64704083167367</c:v>
                </c:pt>
                <c:pt idx="113">
                  <c:v>4.6869613495239664</c:v>
                </c:pt>
                <c:pt idx="114">
                  <c:v>4.7260921543709484</c:v>
                </c:pt>
                <c:pt idx="115">
                  <c:v>4.7645027064938796</c:v>
                </c:pt>
                <c:pt idx="116">
                  <c:v>4.8022624661720164</c:v>
                </c:pt>
                <c:pt idx="117">
                  <c:v>4.8394408936846185</c:v>
                </c:pt>
                <c:pt idx="118">
                  <c:v>4.8761074493109486</c:v>
                </c:pt>
                <c:pt idx="119">
                  <c:v>4.9123315933302614</c:v>
                </c:pt>
                <c:pt idx="120">
                  <c:v>4.9481827860218184</c:v>
                </c:pt>
                <c:pt idx="121">
                  <c:v>4.9837304876648787</c:v>
                </c:pt>
                <c:pt idx="122">
                  <c:v>5.0190441585387022</c:v>
                </c:pt>
                <c:pt idx="123">
                  <c:v>5.0541932589225471</c:v>
                </c:pt>
                <c:pt idx="124">
                  <c:v>5.0892472490956724</c:v>
                </c:pt>
                <c:pt idx="125">
                  <c:v>5.1242755893373388</c:v>
                </c:pt>
                <c:pt idx="126">
                  <c:v>5.1593477399268064</c:v>
                </c:pt>
                <c:pt idx="127">
                  <c:v>5.1945331611433323</c:v>
                </c:pt>
                <c:pt idx="128">
                  <c:v>5.2299013132661765</c:v>
                </c:pt>
                <c:pt idx="129">
                  <c:v>5.2655216565746006</c:v>
                </c:pt>
                <c:pt idx="130">
                  <c:v>5.3014636513478592</c:v>
                </c:pt>
                <c:pt idx="131">
                  <c:v>5.337796757865215</c:v>
                </c:pt>
                <c:pt idx="132">
                  <c:v>5.3745904364059269</c:v>
                </c:pt>
                <c:pt idx="133">
                  <c:v>5.4119141472492549</c:v>
                </c:pt>
                <c:pt idx="134">
                  <c:v>5.4498373506744562</c:v>
                </c:pt>
                <c:pt idx="135">
                  <c:v>5.4884295069607925</c:v>
                </c:pt>
                <c:pt idx="136">
                  <c:v>5.527760076387521</c:v>
                </c:pt>
                <c:pt idx="137">
                  <c:v>5.5678747829203816</c:v>
                </c:pt>
                <c:pt idx="138">
                  <c:v>5.6087244052710208</c:v>
                </c:pt>
                <c:pt idx="139">
                  <c:v>5.6502359858375657</c:v>
                </c:pt>
                <c:pt idx="140">
                  <c:v>5.6923365670181481</c:v>
                </c:pt>
                <c:pt idx="141">
                  <c:v>5.7349531912108906</c:v>
                </c:pt>
                <c:pt idx="142">
                  <c:v>5.7780129008139216</c:v>
                </c:pt>
                <c:pt idx="143">
                  <c:v>5.82144273822537</c:v>
                </c:pt>
                <c:pt idx="144">
                  <c:v>5.865169745843362</c:v>
                </c:pt>
                <c:pt idx="145">
                  <c:v>5.909120966066026</c:v>
                </c:pt>
                <c:pt idx="146">
                  <c:v>5.9532234412914873</c:v>
                </c:pt>
                <c:pt idx="147">
                  <c:v>5.997404213917874</c:v>
                </c:pt>
                <c:pt idx="148">
                  <c:v>6.0415903263433135</c:v>
                </c:pt>
                <c:pt idx="149">
                  <c:v>6.0857088209659347</c:v>
                </c:pt>
                <c:pt idx="150">
                  <c:v>6.1296867401838613</c:v>
                </c:pt>
                <c:pt idx="151">
                  <c:v>6.1734511263952241</c:v>
                </c:pt>
                <c:pt idx="152">
                  <c:v>6.2169290219981495</c:v>
                </c:pt>
                <c:pt idx="153">
                  <c:v>6.2600474693907628</c:v>
                </c:pt>
                <c:pt idx="154">
                  <c:v>6.3027335109711942</c:v>
                </c:pt>
                <c:pt idx="155">
                  <c:v>6.3449141891375689</c:v>
                </c:pt>
                <c:pt idx="156">
                  <c:v>6.3865165462880151</c:v>
                </c:pt>
                <c:pt idx="157">
                  <c:v>6.4274676248206601</c:v>
                </c:pt>
                <c:pt idx="158">
                  <c:v>6.4676944671336312</c:v>
                </c:pt>
                <c:pt idx="159">
                  <c:v>6.5071241156250563</c:v>
                </c:pt>
                <c:pt idx="160">
                  <c:v>6.5456836126930602</c:v>
                </c:pt>
                <c:pt idx="161">
                  <c:v>6.5833000007357736</c:v>
                </c:pt>
                <c:pt idx="162">
                  <c:v>6.619900322151322</c:v>
                </c:pt>
                <c:pt idx="163">
                  <c:v>6.6554116193378325</c:v>
                </c:pt>
                <c:pt idx="164">
                  <c:v>6.6897609346934326</c:v>
                </c:pt>
                <c:pt idx="165">
                  <c:v>6.7228753106162502</c:v>
                </c:pt>
                <c:pt idx="166">
                  <c:v>6.7546817895044136</c:v>
                </c:pt>
                <c:pt idx="167">
                  <c:v>6.7851074137560472</c:v>
                </c:pt>
                <c:pt idx="168">
                  <c:v>6.8140941815019502</c:v>
                </c:pt>
                <c:pt idx="169">
                  <c:v>6.8416439138036091</c:v>
                </c:pt>
                <c:pt idx="170">
                  <c:v>6.8677733874551725</c:v>
                </c:pt>
                <c:pt idx="171">
                  <c:v>6.8924993792507969</c:v>
                </c:pt>
                <c:pt idx="172">
                  <c:v>6.9158386659846371</c:v>
                </c:pt>
                <c:pt idx="173">
                  <c:v>6.9378080244508462</c:v>
                </c:pt>
                <c:pt idx="174">
                  <c:v>6.9584242314435771</c:v>
                </c:pt>
                <c:pt idx="175">
                  <c:v>6.9777040637569847</c:v>
                </c:pt>
                <c:pt idx="176">
                  <c:v>6.995664298185222</c:v>
                </c:pt>
                <c:pt idx="177">
                  <c:v>7.0123217115224463</c:v>
                </c:pt>
                <c:pt idx="178">
                  <c:v>7.0276930805628064</c:v>
                </c:pt>
                <c:pt idx="179">
                  <c:v>7.0417951821004605</c:v>
                </c:pt>
                <c:pt idx="180">
                  <c:v>7.0546447929295608</c:v>
                </c:pt>
                <c:pt idx="181">
                  <c:v>7.0662586898442612</c:v>
                </c:pt>
                <c:pt idx="182">
                  <c:v>7.0766536496387156</c:v>
                </c:pt>
                <c:pt idx="183">
                  <c:v>7.0858464491070778</c:v>
                </c:pt>
                <c:pt idx="184">
                  <c:v>7.0938538650435019</c:v>
                </c:pt>
                <c:pt idx="185">
                  <c:v>7.1006926742421435</c:v>
                </c:pt>
                <c:pt idx="186">
                  <c:v>7.1063796534971519</c:v>
                </c:pt>
                <c:pt idx="187">
                  <c:v>7.1109315796026875</c:v>
                </c:pt>
                <c:pt idx="188">
                  <c:v>7.1143652293528987</c:v>
                </c:pt>
                <c:pt idx="189">
                  <c:v>7.1166973795419421</c:v>
                </c:pt>
                <c:pt idx="190">
                  <c:v>7.1179448069639726</c:v>
                </c:pt>
                <c:pt idx="191">
                  <c:v>7.1181242884131413</c:v>
                </c:pt>
                <c:pt idx="192">
                  <c:v>7.1172526006836039</c:v>
                </c:pt>
                <c:pt idx="193">
                  <c:v>7.1153465205695134</c:v>
                </c:pt>
                <c:pt idx="194">
                  <c:v>7.1124228248650248</c:v>
                </c:pt>
                <c:pt idx="195">
                  <c:v>7.1084982903642908</c:v>
                </c:pt>
                <c:pt idx="196">
                  <c:v>7.1035896938614673</c:v>
                </c:pt>
                <c:pt idx="197">
                  <c:v>7.0977138121507055</c:v>
                </c:pt>
                <c:pt idx="198">
                  <c:v>7.0908862869129381</c:v>
                </c:pt>
                <c:pt idx="199">
                  <c:v>7.0831182193761935</c:v>
                </c:pt>
                <c:pt idx="200">
                  <c:v>7.0744195756552841</c:v>
                </c:pt>
                <c:pt idx="201">
                  <c:v>7.0648003218650155</c:v>
                </c:pt>
                <c:pt idx="202">
                  <c:v>7.0542704241201983</c:v>
                </c:pt>
                <c:pt idx="203">
                  <c:v>7.0428398485356372</c:v>
                </c:pt>
                <c:pt idx="204">
                  <c:v>7.0305185612261427</c:v>
                </c:pt>
                <c:pt idx="205">
                  <c:v>7.0173165283065222</c:v>
                </c:pt>
                <c:pt idx="206">
                  <c:v>7.0032437158915837</c:v>
                </c:pt>
                <c:pt idx="207">
                  <c:v>6.9883100900961344</c:v>
                </c:pt>
                <c:pt idx="208">
                  <c:v>6.9725256170349859</c:v>
                </c:pt>
                <c:pt idx="209">
                  <c:v>6.9559002628229436</c:v>
                </c:pt>
                <c:pt idx="210">
                  <c:v>6.9384439935748148</c:v>
                </c:pt>
                <c:pt idx="211">
                  <c:v>6.9201667754054093</c:v>
                </c:pt>
                <c:pt idx="212">
                  <c:v>6.9010785744295369</c:v>
                </c:pt>
                <c:pt idx="213">
                  <c:v>6.8811893567620013</c:v>
                </c:pt>
                <c:pt idx="214">
                  <c:v>6.8605090885176132</c:v>
                </c:pt>
                <c:pt idx="215">
                  <c:v>6.8390477358111816</c:v>
                </c:pt>
                <c:pt idx="216">
                  <c:v>6.8168152647575129</c:v>
                </c:pt>
                <c:pt idx="217">
                  <c:v>6.7938216414714168</c:v>
                </c:pt>
                <c:pt idx="218">
                  <c:v>6.7700768320676987</c:v>
                </c:pt>
                <c:pt idx="219">
                  <c:v>6.7455908026611704</c:v>
                </c:pt>
                <c:pt idx="220">
                  <c:v>6.7203735193666381</c:v>
                </c:pt>
                <c:pt idx="221">
                  <c:v>6.6944349482989081</c:v>
                </c:pt>
                <c:pt idx="222">
                  <c:v>6.6677850555727929</c:v>
                </c:pt>
                <c:pt idx="223">
                  <c:v>6.640433807303098</c:v>
                </c:pt>
                <c:pt idx="224">
                  <c:v>6.6123911696046314</c:v>
                </c:pt>
                <c:pt idx="225">
                  <c:v>6.5836671085922021</c:v>
                </c:pt>
                <c:pt idx="226">
                  <c:v>6.5542715903806164</c:v>
                </c:pt>
                <c:pt idx="227">
                  <c:v>6.5242145810846859</c:v>
                </c:pt>
                <c:pt idx="228">
                  <c:v>6.4935060468192152</c:v>
                </c:pt>
                <c:pt idx="229">
                  <c:v>6.4621570499376428</c:v>
                </c:pt>
                <c:pt idx="230">
                  <c:v>6.4301830377479163</c:v>
                </c:pt>
                <c:pt idx="231">
                  <c:v>6.3976005537966154</c:v>
                </c:pt>
                <c:pt idx="232">
                  <c:v>6.3644261416303154</c:v>
                </c:pt>
                <c:pt idx="233">
                  <c:v>6.3306763447955943</c:v>
                </c:pt>
                <c:pt idx="234">
                  <c:v>6.29636770683903</c:v>
                </c:pt>
                <c:pt idx="235">
                  <c:v>6.2615167713071997</c:v>
                </c:pt>
                <c:pt idx="236">
                  <c:v>6.2261400817466814</c:v>
                </c:pt>
                <c:pt idx="237">
                  <c:v>6.1902541817040513</c:v>
                </c:pt>
                <c:pt idx="238">
                  <c:v>6.1538756147258864</c:v>
                </c:pt>
                <c:pt idx="239">
                  <c:v>6.1170209243587665</c:v>
                </c:pt>
                <c:pt idx="240">
                  <c:v>6.0797066541492688</c:v>
                </c:pt>
                <c:pt idx="241">
                  <c:v>6.0419493476439676</c:v>
                </c:pt>
                <c:pt idx="242">
                  <c:v>6.0037655483894437</c:v>
                </c:pt>
                <c:pt idx="243">
                  <c:v>5.9651717999322722</c:v>
                </c:pt>
                <c:pt idx="244">
                  <c:v>5.9261846458190321</c:v>
                </c:pt>
                <c:pt idx="245">
                  <c:v>5.8868206295962997</c:v>
                </c:pt>
                <c:pt idx="246">
                  <c:v>5.8470962948106537</c:v>
                </c:pt>
                <c:pt idx="247">
                  <c:v>5.8070281850086696</c:v>
                </c:pt>
                <c:pt idx="248">
                  <c:v>5.7666328437369261</c:v>
                </c:pt>
                <c:pt idx="249">
                  <c:v>5.7259268145420013</c:v>
                </c:pt>
                <c:pt idx="250">
                  <c:v>5.6849266409704722</c:v>
                </c:pt>
                <c:pt idx="251">
                  <c:v>5.6436488665689151</c:v>
                </c:pt>
                <c:pt idx="252">
                  <c:v>5.6021100348839088</c:v>
                </c:pt>
                <c:pt idx="253">
                  <c:v>5.5603266894620305</c:v>
                </c:pt>
                <c:pt idx="254">
                  <c:v>5.5183153738498554</c:v>
                </c:pt>
                <c:pt idx="255">
                  <c:v>5.4760926315939642</c:v>
                </c:pt>
                <c:pt idx="256">
                  <c:v>5.4336750062409322</c:v>
                </c:pt>
                <c:pt idx="257">
                  <c:v>5.3910790413373384</c:v>
                </c:pt>
                <c:pt idx="258">
                  <c:v>5.3483212804297589</c:v>
                </c:pt>
                <c:pt idx="259">
                  <c:v>5.3054120163729168</c:v>
                </c:pt>
                <c:pt idx="260">
                  <c:v>5.2623365392541182</c:v>
                </c:pt>
                <c:pt idx="261">
                  <c:v>5.2190738884688122</c:v>
                </c:pt>
                <c:pt idx="262">
                  <c:v>5.1756031034124526</c:v>
                </c:pt>
                <c:pt idx="263">
                  <c:v>5.1319032234804869</c:v>
                </c:pt>
                <c:pt idx="264">
                  <c:v>5.0879532880683662</c:v>
                </c:pt>
                <c:pt idx="265">
                  <c:v>5.0437323365715425</c:v>
                </c:pt>
                <c:pt idx="266">
                  <c:v>4.9992194083854669</c:v>
                </c:pt>
                <c:pt idx="267">
                  <c:v>4.9543935429055885</c:v>
                </c:pt>
                <c:pt idx="268">
                  <c:v>4.9092337795273586</c:v>
                </c:pt>
                <c:pt idx="269">
                  <c:v>4.86371915764623</c:v>
                </c:pt>
                <c:pt idx="270">
                  <c:v>4.8178287166576492</c:v>
                </c:pt>
                <c:pt idx="271">
                  <c:v>4.7715414959570701</c:v>
                </c:pt>
                <c:pt idx="272">
                  <c:v>4.7248365349399419</c:v>
                </c:pt>
                <c:pt idx="273">
                  <c:v>4.6776928730017175</c:v>
                </c:pt>
                <c:pt idx="274">
                  <c:v>4.6300895495378454</c:v>
                </c:pt>
                <c:pt idx="275">
                  <c:v>4.5820056039437764</c:v>
                </c:pt>
                <c:pt idx="276">
                  <c:v>4.5334200756149645</c:v>
                </c:pt>
                <c:pt idx="277">
                  <c:v>4.4843120039468545</c:v>
                </c:pt>
                <c:pt idx="278">
                  <c:v>4.4346604283349027</c:v>
                </c:pt>
                <c:pt idx="279">
                  <c:v>4.3844443881745558</c:v>
                </c:pt>
                <c:pt idx="280">
                  <c:v>4.3336429228612676</c:v>
                </c:pt>
                <c:pt idx="281">
                  <c:v>4.2822350717904873</c:v>
                </c:pt>
                <c:pt idx="282">
                  <c:v>4.2301998743576643</c:v>
                </c:pt>
                <c:pt idx="283">
                  <c:v>4.1775163699582532</c:v>
                </c:pt>
                <c:pt idx="284">
                  <c:v>4.1241635979877023</c:v>
                </c:pt>
                <c:pt idx="285">
                  <c:v>4.0701205978414601</c:v>
                </c:pt>
                <c:pt idx="286">
                  <c:v>4.0153664089149812</c:v>
                </c:pt>
                <c:pt idx="287">
                  <c:v>3.9598800706037145</c:v>
                </c:pt>
                <c:pt idx="288">
                  <c:v>3.9036406223031115</c:v>
                </c:pt>
                <c:pt idx="289">
                  <c:v>3.8466271034086219</c:v>
                </c:pt>
                <c:pt idx="290">
                  <c:v>3.7888343479319908</c:v>
                </c:pt>
                <c:pt idx="291">
                  <c:v>3.7303203683501374</c:v>
                </c:pt>
                <c:pt idx="292">
                  <c:v>3.6711589717562756</c:v>
                </c:pt>
                <c:pt idx="293">
                  <c:v>3.6114239652436182</c:v>
                </c:pt>
                <c:pt idx="294">
                  <c:v>3.5511891559053788</c:v>
                </c:pt>
                <c:pt idx="295">
                  <c:v>3.49052835083477</c:v>
                </c:pt>
                <c:pt idx="296">
                  <c:v>3.4295153571250059</c:v>
                </c:pt>
                <c:pt idx="297">
                  <c:v>3.3682239818692992</c:v>
                </c:pt>
                <c:pt idx="298">
                  <c:v>3.3067280321608634</c:v>
                </c:pt>
                <c:pt idx="299">
                  <c:v>3.2451013150929122</c:v>
                </c:pt>
                <c:pt idx="300">
                  <c:v>3.1834176377586587</c:v>
                </c:pt>
                <c:pt idx="301">
                  <c:v>3.1217508072513156</c:v>
                </c:pt>
                <c:pt idx="302">
                  <c:v>3.0601746306640973</c:v>
                </c:pt>
                <c:pt idx="303">
                  <c:v>2.9987629150902158</c:v>
                </c:pt>
                <c:pt idx="304">
                  <c:v>2.9375894676228853</c:v>
                </c:pt>
                <c:pt idx="305">
                  <c:v>2.8767280953553191</c:v>
                </c:pt>
                <c:pt idx="306">
                  <c:v>2.81625260538073</c:v>
                </c:pt>
                <c:pt idx="307">
                  <c:v>2.7562368047923314</c:v>
                </c:pt>
                <c:pt idx="308">
                  <c:v>2.6967545006833369</c:v>
                </c:pt>
                <c:pt idx="309">
                  <c:v>2.6378795001469593</c:v>
                </c:pt>
                <c:pt idx="310">
                  <c:v>2.5796856102764125</c:v>
                </c:pt>
                <c:pt idx="311">
                  <c:v>2.5222466381649093</c:v>
                </c:pt>
                <c:pt idx="312">
                  <c:v>2.4656363909056638</c:v>
                </c:pt>
                <c:pt idx="313">
                  <c:v>2.4099286755918885</c:v>
                </c:pt>
                <c:pt idx="314">
                  <c:v>2.3551972993167967</c:v>
                </c:pt>
                <c:pt idx="315">
                  <c:v>2.3015160691736014</c:v>
                </c:pt>
                <c:pt idx="316">
                  <c:v>2.2489587922555168</c:v>
                </c:pt>
                <c:pt idx="317">
                  <c:v>2.1975992756557559</c:v>
                </c:pt>
                <c:pt idx="318">
                  <c:v>2.1475113264675314</c:v>
                </c:pt>
                <c:pt idx="319">
                  <c:v>2.0987687517840574</c:v>
                </c:pt>
                <c:pt idx="320">
                  <c:v>2.0514281174789235</c:v>
                </c:pt>
                <c:pt idx="321">
                  <c:v>2.0054770245472269</c:v>
                </c:pt>
                <c:pt idx="322">
                  <c:v>1.9608858327644427</c:v>
                </c:pt>
                <c:pt idx="323">
                  <c:v>1.9176249019060438</c:v>
                </c:pt>
                <c:pt idx="324">
                  <c:v>1.875664591747505</c:v>
                </c:pt>
                <c:pt idx="325">
                  <c:v>1.8349752620642998</c:v>
                </c:pt>
                <c:pt idx="326">
                  <c:v>1.7955272726319031</c:v>
                </c:pt>
                <c:pt idx="327">
                  <c:v>1.7572909832257888</c:v>
                </c:pt>
                <c:pt idx="328">
                  <c:v>1.7202367536214309</c:v>
                </c:pt>
                <c:pt idx="329">
                  <c:v>1.6843349435943031</c:v>
                </c:pt>
                <c:pt idx="330">
                  <c:v>1.6495559129198805</c:v>
                </c:pt>
                <c:pt idx="331">
                  <c:v>1.6158700213736361</c:v>
                </c:pt>
                <c:pt idx="332">
                  <c:v>1.5832476287310451</c:v>
                </c:pt>
                <c:pt idx="333">
                  <c:v>1.5516590947675806</c:v>
                </c:pt>
                <c:pt idx="334">
                  <c:v>1.5210747792587174</c:v>
                </c:pt>
                <c:pt idx="335">
                  <c:v>1.4914650419799291</c:v>
                </c:pt>
                <c:pt idx="336">
                  <c:v>1.4628002427066904</c:v>
                </c:pt>
                <c:pt idx="337">
                  <c:v>1.4350507412144755</c:v>
                </c:pt>
                <c:pt idx="338">
                  <c:v>1.4081868972787577</c:v>
                </c:pt>
                <c:pt idx="339">
                  <c:v>1.3821790706750117</c:v>
                </c:pt>
                <c:pt idx="340">
                  <c:v>1.3569976211787114</c:v>
                </c:pt>
                <c:pt idx="341">
                  <c:v>1.3326129085653315</c:v>
                </c:pt>
                <c:pt idx="342">
                  <c:v>1.3089952926103454</c:v>
                </c:pt>
                <c:pt idx="343">
                  <c:v>1.2861151330892273</c:v>
                </c:pt>
                <c:pt idx="344">
                  <c:v>1.2639427897774516</c:v>
                </c:pt>
                <c:pt idx="345">
                  <c:v>1.2424486224504925</c:v>
                </c:pt>
                <c:pt idx="346">
                  <c:v>1.2216029908838235</c:v>
                </c:pt>
                <c:pt idx="347">
                  <c:v>1.2013762548529192</c:v>
                </c:pt>
                <c:pt idx="348">
                  <c:v>1.1817387741332539</c:v>
                </c:pt>
                <c:pt idx="349">
                  <c:v>1.1626609085003017</c:v>
                </c:pt>
                <c:pt idx="350">
                  <c:v>1.144113017729536</c:v>
                </c:pt>
                <c:pt idx="351">
                  <c:v>1.1260778020710154</c:v>
                </c:pt>
                <c:pt idx="352">
                  <c:v>1.1085873236731325</c:v>
                </c:pt>
                <c:pt idx="353">
                  <c:v>1.0916859851588643</c:v>
                </c:pt>
                <c:pt idx="354">
                  <c:v>1.0754181891511871</c:v>
                </c:pt>
                <c:pt idx="355">
                  <c:v>1.059828338273078</c:v>
                </c:pt>
                <c:pt idx="356">
                  <c:v>1.0449608351475135</c:v>
                </c:pt>
                <c:pt idx="357">
                  <c:v>1.0308600823974701</c:v>
                </c:pt>
                <c:pt idx="358">
                  <c:v>1.0175704826459249</c:v>
                </c:pt>
                <c:pt idx="359">
                  <c:v>1.0021258947344049</c:v>
                </c:pt>
                <c:pt idx="360">
                  <c:v>0.98668130682288502</c:v>
                </c:pt>
                <c:pt idx="361">
                  <c:v>0.97123671891136509</c:v>
                </c:pt>
                <c:pt idx="362">
                  <c:v>0.95579213099984517</c:v>
                </c:pt>
                <c:pt idx="363">
                  <c:v>0.94034754308832524</c:v>
                </c:pt>
                <c:pt idx="364">
                  <c:v>0.94034754308832524</c:v>
                </c:pt>
                <c:pt idx="365">
                  <c:v>0.94034754308832524</c:v>
                </c:pt>
                <c:pt idx="366">
                  <c:v>0.94034754308832524</c:v>
                </c:pt>
                <c:pt idx="367">
                  <c:v>0.93755718163841528</c:v>
                </c:pt>
                <c:pt idx="368">
                  <c:v>0.93476682018850532</c:v>
                </c:pt>
                <c:pt idx="369">
                  <c:v>0.93197645873859536</c:v>
                </c:pt>
                <c:pt idx="370">
                  <c:v>0.9291860972886854</c:v>
                </c:pt>
                <c:pt idx="371">
                  <c:v>0.92639573583877521</c:v>
                </c:pt>
                <c:pt idx="372">
                  <c:v>0.93077895058450666</c:v>
                </c:pt>
                <c:pt idx="373">
                  <c:v>0.93632780254464432</c:v>
                </c:pt>
                <c:pt idx="374">
                  <c:v>0.94300294252322692</c:v>
                </c:pt>
                <c:pt idx="375">
                  <c:v>0.95076502132429297</c:v>
                </c:pt>
                <c:pt idx="376">
                  <c:v>0.95957468975188176</c:v>
                </c:pt>
                <c:pt idx="377">
                  <c:v>0.9693925986100318</c:v>
                </c:pt>
                <c:pt idx="378">
                  <c:v>0.98017939870278192</c:v>
                </c:pt>
                <c:pt idx="379">
                  <c:v>0.99189574083417142</c:v>
                </c:pt>
                <c:pt idx="380">
                  <c:v>1.0045022758082387</c:v>
                </c:pt>
                <c:pt idx="381">
                  <c:v>1.0179620672571157</c:v>
                </c:pt>
                <c:pt idx="382">
                  <c:v>1.032247830125304</c:v>
                </c:pt>
                <c:pt idx="383">
                  <c:v>1.047334692185399</c:v>
                </c:pt>
                <c:pt idx="384">
                  <c:v>1.0631977812099955</c:v>
                </c:pt>
                <c:pt idx="385">
                  <c:v>1.0798122249716882</c:v>
                </c:pt>
                <c:pt idx="386">
                  <c:v>1.0971531512430717</c:v>
                </c:pt>
                <c:pt idx="387">
                  <c:v>1.1151956877967413</c:v>
                </c:pt>
                <c:pt idx="388">
                  <c:v>1.133914962405292</c:v>
                </c:pt>
                <c:pt idx="389">
                  <c:v>1.1532861028413177</c:v>
                </c:pt>
                <c:pt idx="390">
                  <c:v>1.1732842368774141</c:v>
                </c:pt>
                <c:pt idx="391">
                  <c:v>1.193884492286176</c:v>
                </c:pt>
                <c:pt idx="392">
                  <c:v>1.2150619968401979</c:v>
                </c:pt>
                <c:pt idx="393">
                  <c:v>1.236791878312075</c:v>
                </c:pt>
                <c:pt idx="394">
                  <c:v>1.2590492644744016</c:v>
                </c:pt>
                <c:pt idx="395">
                  <c:v>1.2818092830997729</c:v>
                </c:pt>
                <c:pt idx="396">
                  <c:v>1.3050470619607843</c:v>
                </c:pt>
                <c:pt idx="397">
                  <c:v>1.3287377288300295</c:v>
                </c:pt>
                <c:pt idx="398">
                  <c:v>1.3528564114801045</c:v>
                </c:pt>
                <c:pt idx="399">
                  <c:v>1.377378237683603</c:v>
                </c:pt>
                <c:pt idx="400">
                  <c:v>1.4022783352131207</c:v>
                </c:pt>
                <c:pt idx="401">
                  <c:v>1.4275318318412524</c:v>
                </c:pt>
                <c:pt idx="402">
                  <c:v>1.4531138553405927</c:v>
                </c:pt>
                <c:pt idx="403">
                  <c:v>1.4789995334837365</c:v>
                </c:pt>
                <c:pt idx="404">
                  <c:v>1.5051639940432782</c:v>
                </c:pt>
                <c:pt idx="405">
                  <c:v>1.5315823647918134</c:v>
                </c:pt>
                <c:pt idx="406">
                  <c:v>1.5582297735019368</c:v>
                </c:pt>
                <c:pt idx="407">
                  <c:v>1.5850813479462431</c:v>
                </c:pt>
                <c:pt idx="408">
                  <c:v>1.6121122158973267</c:v>
                </c:pt>
                <c:pt idx="409">
                  <c:v>1.6392975051277832</c:v>
                </c:pt>
                <c:pt idx="410">
                  <c:v>1.6666123434102071</c:v>
                </c:pt>
                <c:pt idx="411">
                  <c:v>1.6940318585171934</c:v>
                </c:pt>
                <c:pt idx="412">
                  <c:v>1.7215417764472893</c:v>
                </c:pt>
                <c:pt idx="413">
                  <c:v>1.7491702161028528</c:v>
                </c:pt>
                <c:pt idx="414">
                  <c:v>1.7769558946121939</c:v>
                </c:pt>
                <c:pt idx="415">
                  <c:v>1.8049375291036236</c:v>
                </c:pt>
                <c:pt idx="416">
                  <c:v>1.8331538367054514</c:v>
                </c:pt>
                <c:pt idx="417">
                  <c:v>1.861643534545989</c:v>
                </c:pt>
                <c:pt idx="418">
                  <c:v>1.8904453397535455</c:v>
                </c:pt>
                <c:pt idx="419">
                  <c:v>1.9195979694564316</c:v>
                </c:pt>
                <c:pt idx="420">
                  <c:v>1.9491401407829581</c:v>
                </c:pt>
                <c:pt idx="421">
                  <c:v>1.9791105708614347</c:v>
                </c:pt>
                <c:pt idx="422">
                  <c:v>2.0095479768201732</c:v>
                </c:pt>
                <c:pt idx="423">
                  <c:v>2.0404910757874815</c:v>
                </c:pt>
                <c:pt idx="424">
                  <c:v>2.0719785848916725</c:v>
                </c:pt>
                <c:pt idx="425">
                  <c:v>2.1040492212610551</c:v>
                </c:pt>
                <c:pt idx="426">
                  <c:v>2.1367417020239401</c:v>
                </c:pt>
                <c:pt idx="427">
                  <c:v>2.1700947443086385</c:v>
                </c:pt>
                <c:pt idx="428">
                  <c:v>2.2041470652434585</c:v>
                </c:pt>
                <c:pt idx="429">
                  <c:v>2.2389373819567133</c:v>
                </c:pt>
                <c:pt idx="430">
                  <c:v>2.2745044115767117</c:v>
                </c:pt>
                <c:pt idx="431">
                  <c:v>2.3108868712317641</c:v>
                </c:pt>
                <c:pt idx="432">
                  <c:v>2.3481234780501814</c:v>
                </c:pt>
                <c:pt idx="433">
                  <c:v>2.3862529491602733</c:v>
                </c:pt>
                <c:pt idx="434">
                  <c:v>2.4253140016903516</c:v>
                </c:pt>
                <c:pt idx="435">
                  <c:v>2.4653453527687246</c:v>
                </c:pt>
                <c:pt idx="436">
                  <c:v>2.506385719523704</c:v>
                </c:pt>
                <c:pt idx="437">
                  <c:v>2.5484738190836005</c:v>
                </c:pt>
                <c:pt idx="438">
                  <c:v>2.5916483685767231</c:v>
                </c:pt>
                <c:pt idx="439">
                  <c:v>2.6359480851313828</c:v>
                </c:pt>
                <c:pt idx="440">
                  <c:v>2.6814116858758905</c:v>
                </c:pt>
                <c:pt idx="441">
                  <c:v>2.7280778879385563</c:v>
                </c:pt>
                <c:pt idx="442">
                  <c:v>2.7759654219725172</c:v>
                </c:pt>
                <c:pt idx="443">
                  <c:v>2.8250130727302176</c:v>
                </c:pt>
                <c:pt idx="444">
                  <c:v>2.8751396384889283</c:v>
                </c:pt>
                <c:pt idx="445">
                  <c:v>2.9262639175259211</c:v>
                </c:pt>
                <c:pt idx="446">
                  <c:v>2.978304708118467</c:v>
                </c:pt>
                <c:pt idx="447">
                  <c:v>3.0311808085438354</c:v>
                </c:pt>
                <c:pt idx="448">
                  <c:v>3.0848110170792999</c:v>
                </c:pt>
                <c:pt idx="449">
                  <c:v>3.1391141320021307</c:v>
                </c:pt>
                <c:pt idx="450">
                  <c:v>3.1940089515895989</c:v>
                </c:pt>
                <c:pt idx="451">
                  <c:v>3.2494142741189744</c:v>
                </c:pt>
                <c:pt idx="452">
                  <c:v>3.3052488978675303</c:v>
                </c:pt>
                <c:pt idx="453">
                  <c:v>3.3614316211125357</c:v>
                </c:pt>
                <c:pt idx="454">
                  <c:v>3.4178812421312639</c:v>
                </c:pt>
                <c:pt idx="455">
                  <c:v>3.4745165592009837</c:v>
                </c:pt>
                <c:pt idx="456">
                  <c:v>3.5312563705989684</c:v>
                </c:pt>
                <c:pt idx="457">
                  <c:v>3.5880194746024872</c:v>
                </c:pt>
                <c:pt idx="458">
                  <c:v>3.6447246694888125</c:v>
                </c:pt>
                <c:pt idx="459">
                  <c:v>3.7012907535352157</c:v>
                </c:pt>
                <c:pt idx="460">
                  <c:v>3.7576365250189658</c:v>
                </c:pt>
                <c:pt idx="461">
                  <c:v>3.813680782217336</c:v>
                </c:pt>
                <c:pt idx="462">
                  <c:v>3.8693423234075963</c:v>
                </c:pt>
                <c:pt idx="463">
                  <c:v>3.9245399468670183</c:v>
                </c:pt>
                <c:pt idx="464">
                  <c:v>3.9791924508728735</c:v>
                </c:pt>
                <c:pt idx="465">
                  <c:v>4.0332186337024316</c:v>
                </c:pt>
                <c:pt idx="466">
                  <c:v>4.0865372936329658</c:v>
                </c:pt>
                <c:pt idx="467">
                  <c:v>4.1390672289417454</c:v>
                </c:pt>
                <c:pt idx="468">
                  <c:v>4.1907272379060423</c:v>
                </c:pt>
                <c:pt idx="469">
                  <c:v>4.2414361188031267</c:v>
                </c:pt>
                <c:pt idx="470">
                  <c:v>4.2911126699102713</c:v>
                </c:pt>
                <c:pt idx="471">
                  <c:v>4.3396756895047464</c:v>
                </c:pt>
                <c:pt idx="472">
                  <c:v>4.387043975863822</c:v>
                </c:pt>
                <c:pt idx="473">
                  <c:v>4.4331614375984358</c:v>
                </c:pt>
                <c:pt idx="474">
                  <c:v>4.4780724246541812</c:v>
                </c:pt>
                <c:pt idx="475">
                  <c:v>4.5218463973103189</c:v>
                </c:pt>
                <c:pt idx="476">
                  <c:v>4.5645528158461053</c:v>
                </c:pt>
                <c:pt idx="477">
                  <c:v>4.6062611405408038</c:v>
                </c:pt>
                <c:pt idx="478">
                  <c:v>4.64704083167367</c:v>
                </c:pt>
                <c:pt idx="479">
                  <c:v>4.6869613495239664</c:v>
                </c:pt>
                <c:pt idx="480">
                  <c:v>4.7260921543709484</c:v>
                </c:pt>
                <c:pt idx="481">
                  <c:v>4.7645027064938796</c:v>
                </c:pt>
                <c:pt idx="482">
                  <c:v>4.8022624661720164</c:v>
                </c:pt>
                <c:pt idx="483">
                  <c:v>4.8394408936846185</c:v>
                </c:pt>
                <c:pt idx="484">
                  <c:v>4.8761074493109486</c:v>
                </c:pt>
                <c:pt idx="485">
                  <c:v>4.9123315933302614</c:v>
                </c:pt>
                <c:pt idx="486">
                  <c:v>4.9481827860218184</c:v>
                </c:pt>
                <c:pt idx="487">
                  <c:v>4.9837304876648787</c:v>
                </c:pt>
                <c:pt idx="488">
                  <c:v>5.0190441585387022</c:v>
                </c:pt>
                <c:pt idx="489">
                  <c:v>5.0541932589225471</c:v>
                </c:pt>
                <c:pt idx="490">
                  <c:v>5.0892472490956724</c:v>
                </c:pt>
                <c:pt idx="491">
                  <c:v>5.1242755893373388</c:v>
                </c:pt>
                <c:pt idx="492">
                  <c:v>5.1593477399268064</c:v>
                </c:pt>
                <c:pt idx="493">
                  <c:v>5.1945331611433323</c:v>
                </c:pt>
                <c:pt idx="494">
                  <c:v>5.2299013132661765</c:v>
                </c:pt>
                <c:pt idx="495">
                  <c:v>5.2655216565746006</c:v>
                </c:pt>
                <c:pt idx="496">
                  <c:v>5.3014636513478592</c:v>
                </c:pt>
                <c:pt idx="497">
                  <c:v>5.337796757865215</c:v>
                </c:pt>
                <c:pt idx="498">
                  <c:v>5.3745904364059269</c:v>
                </c:pt>
                <c:pt idx="499">
                  <c:v>5.4119141472492549</c:v>
                </c:pt>
                <c:pt idx="500">
                  <c:v>5.4498373506744562</c:v>
                </c:pt>
                <c:pt idx="501">
                  <c:v>5.4884295069607925</c:v>
                </c:pt>
                <c:pt idx="502">
                  <c:v>5.527760076387521</c:v>
                </c:pt>
                <c:pt idx="503">
                  <c:v>5.5678747829203816</c:v>
                </c:pt>
                <c:pt idx="504">
                  <c:v>5.6087244052710208</c:v>
                </c:pt>
                <c:pt idx="505">
                  <c:v>5.6502359858375657</c:v>
                </c:pt>
                <c:pt idx="506">
                  <c:v>5.6923365670181481</c:v>
                </c:pt>
                <c:pt idx="507">
                  <c:v>5.7349531912108906</c:v>
                </c:pt>
                <c:pt idx="508">
                  <c:v>5.7780129008139216</c:v>
                </c:pt>
                <c:pt idx="509">
                  <c:v>5.82144273822537</c:v>
                </c:pt>
                <c:pt idx="510">
                  <c:v>5.865169745843362</c:v>
                </c:pt>
                <c:pt idx="511">
                  <c:v>5.909120966066026</c:v>
                </c:pt>
                <c:pt idx="512">
                  <c:v>5.9532234412914873</c:v>
                </c:pt>
                <c:pt idx="513">
                  <c:v>5.997404213917874</c:v>
                </c:pt>
                <c:pt idx="514">
                  <c:v>6.0415903263433135</c:v>
                </c:pt>
                <c:pt idx="515">
                  <c:v>6.0857088209659347</c:v>
                </c:pt>
                <c:pt idx="516">
                  <c:v>6.1296867401838613</c:v>
                </c:pt>
                <c:pt idx="517">
                  <c:v>6.1734511263952241</c:v>
                </c:pt>
                <c:pt idx="518">
                  <c:v>6.2169290219981495</c:v>
                </c:pt>
                <c:pt idx="519">
                  <c:v>6.2600474693907628</c:v>
                </c:pt>
                <c:pt idx="520">
                  <c:v>6.3027335109711942</c:v>
                </c:pt>
                <c:pt idx="521">
                  <c:v>6.3449141891375689</c:v>
                </c:pt>
                <c:pt idx="522">
                  <c:v>6.3865165462880151</c:v>
                </c:pt>
                <c:pt idx="523">
                  <c:v>6.4274676248206601</c:v>
                </c:pt>
                <c:pt idx="524">
                  <c:v>6.4676944671336312</c:v>
                </c:pt>
                <c:pt idx="525">
                  <c:v>6.5071241156250563</c:v>
                </c:pt>
                <c:pt idx="526">
                  <c:v>6.5456836126930602</c:v>
                </c:pt>
                <c:pt idx="527">
                  <c:v>6.5833000007357736</c:v>
                </c:pt>
                <c:pt idx="528">
                  <c:v>6.619900322151322</c:v>
                </c:pt>
                <c:pt idx="529">
                  <c:v>6.6554116193378325</c:v>
                </c:pt>
                <c:pt idx="530">
                  <c:v>6.6897609346934326</c:v>
                </c:pt>
                <c:pt idx="531">
                  <c:v>6.7228753106162502</c:v>
                </c:pt>
                <c:pt idx="532">
                  <c:v>6.7546817895044136</c:v>
                </c:pt>
                <c:pt idx="533">
                  <c:v>6.7851074137560472</c:v>
                </c:pt>
                <c:pt idx="534">
                  <c:v>6.8140941815019502</c:v>
                </c:pt>
                <c:pt idx="535">
                  <c:v>6.8416439138036091</c:v>
                </c:pt>
                <c:pt idx="536">
                  <c:v>6.8677733874551725</c:v>
                </c:pt>
                <c:pt idx="537">
                  <c:v>6.8924993792507969</c:v>
                </c:pt>
                <c:pt idx="538">
                  <c:v>6.9158386659846371</c:v>
                </c:pt>
                <c:pt idx="539">
                  <c:v>6.9378080244508462</c:v>
                </c:pt>
                <c:pt idx="540">
                  <c:v>6.9584242314435771</c:v>
                </c:pt>
                <c:pt idx="541">
                  <c:v>6.9777040637569847</c:v>
                </c:pt>
                <c:pt idx="542">
                  <c:v>6.995664298185222</c:v>
                </c:pt>
                <c:pt idx="543">
                  <c:v>7.0123217115224463</c:v>
                </c:pt>
                <c:pt idx="544">
                  <c:v>7.0276930805628064</c:v>
                </c:pt>
                <c:pt idx="545">
                  <c:v>7.0417951821004605</c:v>
                </c:pt>
                <c:pt idx="546">
                  <c:v>7.0546447929295608</c:v>
                </c:pt>
                <c:pt idx="547">
                  <c:v>7.0662586898442612</c:v>
                </c:pt>
                <c:pt idx="548">
                  <c:v>7.0766536496387156</c:v>
                </c:pt>
                <c:pt idx="549">
                  <c:v>7.0858464491070778</c:v>
                </c:pt>
                <c:pt idx="550">
                  <c:v>7.0938538650435019</c:v>
                </c:pt>
                <c:pt idx="551">
                  <c:v>7.1006926742421435</c:v>
                </c:pt>
                <c:pt idx="552">
                  <c:v>7.1063796534971519</c:v>
                </c:pt>
                <c:pt idx="553">
                  <c:v>7.1109315796026875</c:v>
                </c:pt>
                <c:pt idx="554">
                  <c:v>7.1143652293528987</c:v>
                </c:pt>
                <c:pt idx="555">
                  <c:v>7.1166973795419421</c:v>
                </c:pt>
                <c:pt idx="556">
                  <c:v>7.1179448069639726</c:v>
                </c:pt>
                <c:pt idx="557">
                  <c:v>7.1181242884131413</c:v>
                </c:pt>
                <c:pt idx="558">
                  <c:v>7.1172526006836039</c:v>
                </c:pt>
                <c:pt idx="559">
                  <c:v>7.1153465205695134</c:v>
                </c:pt>
                <c:pt idx="560">
                  <c:v>7.1124228248650248</c:v>
                </c:pt>
                <c:pt idx="561">
                  <c:v>7.1084982903642908</c:v>
                </c:pt>
                <c:pt idx="562">
                  <c:v>7.1035896938614673</c:v>
                </c:pt>
                <c:pt idx="563">
                  <c:v>7.0977138121507055</c:v>
                </c:pt>
                <c:pt idx="564">
                  <c:v>7.0908862869129381</c:v>
                </c:pt>
                <c:pt idx="565">
                  <c:v>7.0831182193761935</c:v>
                </c:pt>
                <c:pt idx="566">
                  <c:v>7.0744195756552841</c:v>
                </c:pt>
                <c:pt idx="567">
                  <c:v>7.0648003218650155</c:v>
                </c:pt>
                <c:pt idx="568">
                  <c:v>7.0542704241201983</c:v>
                </c:pt>
                <c:pt idx="569">
                  <c:v>7.0428398485356372</c:v>
                </c:pt>
                <c:pt idx="570">
                  <c:v>7.0305185612261427</c:v>
                </c:pt>
                <c:pt idx="571">
                  <c:v>7.0173165283065222</c:v>
                </c:pt>
                <c:pt idx="572">
                  <c:v>7.0032437158915837</c:v>
                </c:pt>
                <c:pt idx="573">
                  <c:v>6.9883100900961344</c:v>
                </c:pt>
                <c:pt idx="574">
                  <c:v>6.9725256170349859</c:v>
                </c:pt>
                <c:pt idx="575">
                  <c:v>6.9559002628229436</c:v>
                </c:pt>
                <c:pt idx="576">
                  <c:v>6.9384439935748148</c:v>
                </c:pt>
              </c:numCache>
            </c:numRef>
          </c:yVal>
          <c:smooth val="0"/>
        </c:ser>
        <c:ser>
          <c:idx val="2"/>
          <c:order val="2"/>
          <c:tx>
            <c:v>Kc</c:v>
          </c:tx>
          <c:spPr>
            <a:ln w="38100">
              <a:solidFill>
                <a:srgbClr val="008000"/>
              </a:solidFill>
              <a:prstDash val="solid"/>
            </a:ln>
          </c:spPr>
          <c:marker>
            <c:symbol val="none"/>
          </c:marker>
          <c:xVal>
            <c:numRef>
              <c:f>Crop!$B$49:$B$625</c:f>
              <c:numCache>
                <c:formatCode>dd\-mmm\-yy</c:formatCode>
                <c:ptCount val="577"/>
                <c:pt idx="0">
                  <c:v>41640</c:v>
                </c:pt>
                <c:pt idx="1">
                  <c:v>41641</c:v>
                </c:pt>
                <c:pt idx="2">
                  <c:v>41642</c:v>
                </c:pt>
                <c:pt idx="3">
                  <c:v>41643</c:v>
                </c:pt>
                <c:pt idx="4">
                  <c:v>41644</c:v>
                </c:pt>
                <c:pt idx="5">
                  <c:v>41645</c:v>
                </c:pt>
                <c:pt idx="6">
                  <c:v>41646</c:v>
                </c:pt>
                <c:pt idx="7">
                  <c:v>41647</c:v>
                </c:pt>
                <c:pt idx="8">
                  <c:v>41648</c:v>
                </c:pt>
                <c:pt idx="9">
                  <c:v>41649</c:v>
                </c:pt>
                <c:pt idx="10">
                  <c:v>41650</c:v>
                </c:pt>
                <c:pt idx="11">
                  <c:v>41651</c:v>
                </c:pt>
                <c:pt idx="12">
                  <c:v>41652</c:v>
                </c:pt>
                <c:pt idx="13">
                  <c:v>41653</c:v>
                </c:pt>
                <c:pt idx="14">
                  <c:v>41654</c:v>
                </c:pt>
                <c:pt idx="15">
                  <c:v>41655</c:v>
                </c:pt>
                <c:pt idx="16">
                  <c:v>41656</c:v>
                </c:pt>
                <c:pt idx="17">
                  <c:v>41657</c:v>
                </c:pt>
                <c:pt idx="18">
                  <c:v>41658</c:v>
                </c:pt>
                <c:pt idx="19">
                  <c:v>41659</c:v>
                </c:pt>
                <c:pt idx="20">
                  <c:v>41660</c:v>
                </c:pt>
                <c:pt idx="21">
                  <c:v>41661</c:v>
                </c:pt>
                <c:pt idx="22">
                  <c:v>41662</c:v>
                </c:pt>
                <c:pt idx="23">
                  <c:v>41663</c:v>
                </c:pt>
                <c:pt idx="24">
                  <c:v>41664</c:v>
                </c:pt>
                <c:pt idx="25">
                  <c:v>41665</c:v>
                </c:pt>
                <c:pt idx="26">
                  <c:v>41666</c:v>
                </c:pt>
                <c:pt idx="27">
                  <c:v>41667</c:v>
                </c:pt>
                <c:pt idx="28">
                  <c:v>41668</c:v>
                </c:pt>
                <c:pt idx="29">
                  <c:v>41669</c:v>
                </c:pt>
                <c:pt idx="30">
                  <c:v>41670</c:v>
                </c:pt>
                <c:pt idx="31">
                  <c:v>41671</c:v>
                </c:pt>
                <c:pt idx="32">
                  <c:v>41672</c:v>
                </c:pt>
                <c:pt idx="33">
                  <c:v>41673</c:v>
                </c:pt>
                <c:pt idx="34">
                  <c:v>41674</c:v>
                </c:pt>
                <c:pt idx="35">
                  <c:v>41675</c:v>
                </c:pt>
                <c:pt idx="36">
                  <c:v>41676</c:v>
                </c:pt>
                <c:pt idx="37">
                  <c:v>41677</c:v>
                </c:pt>
                <c:pt idx="38">
                  <c:v>41678</c:v>
                </c:pt>
                <c:pt idx="39">
                  <c:v>41679</c:v>
                </c:pt>
                <c:pt idx="40">
                  <c:v>41680</c:v>
                </c:pt>
                <c:pt idx="41">
                  <c:v>41681</c:v>
                </c:pt>
                <c:pt idx="42">
                  <c:v>41682</c:v>
                </c:pt>
                <c:pt idx="43">
                  <c:v>41683</c:v>
                </c:pt>
                <c:pt idx="44">
                  <c:v>41684</c:v>
                </c:pt>
                <c:pt idx="45">
                  <c:v>41685</c:v>
                </c:pt>
                <c:pt idx="46">
                  <c:v>41686</c:v>
                </c:pt>
                <c:pt idx="47">
                  <c:v>41687</c:v>
                </c:pt>
                <c:pt idx="48">
                  <c:v>41688</c:v>
                </c:pt>
                <c:pt idx="49">
                  <c:v>41689</c:v>
                </c:pt>
                <c:pt idx="50">
                  <c:v>41690</c:v>
                </c:pt>
                <c:pt idx="51">
                  <c:v>41691</c:v>
                </c:pt>
                <c:pt idx="52">
                  <c:v>41692</c:v>
                </c:pt>
                <c:pt idx="53">
                  <c:v>41693</c:v>
                </c:pt>
                <c:pt idx="54">
                  <c:v>41694</c:v>
                </c:pt>
                <c:pt idx="55">
                  <c:v>41695</c:v>
                </c:pt>
                <c:pt idx="56">
                  <c:v>41696</c:v>
                </c:pt>
                <c:pt idx="57">
                  <c:v>41697</c:v>
                </c:pt>
                <c:pt idx="58">
                  <c:v>41698</c:v>
                </c:pt>
                <c:pt idx="59">
                  <c:v>41699</c:v>
                </c:pt>
                <c:pt idx="60">
                  <c:v>41700</c:v>
                </c:pt>
                <c:pt idx="61">
                  <c:v>41701</c:v>
                </c:pt>
                <c:pt idx="62">
                  <c:v>41702</c:v>
                </c:pt>
                <c:pt idx="63">
                  <c:v>41703</c:v>
                </c:pt>
                <c:pt idx="64">
                  <c:v>41704</c:v>
                </c:pt>
                <c:pt idx="65">
                  <c:v>41705</c:v>
                </c:pt>
                <c:pt idx="66">
                  <c:v>41706</c:v>
                </c:pt>
                <c:pt idx="67">
                  <c:v>41707</c:v>
                </c:pt>
                <c:pt idx="68">
                  <c:v>41708</c:v>
                </c:pt>
                <c:pt idx="69">
                  <c:v>41709</c:v>
                </c:pt>
                <c:pt idx="70">
                  <c:v>41710</c:v>
                </c:pt>
                <c:pt idx="71">
                  <c:v>41711</c:v>
                </c:pt>
                <c:pt idx="72">
                  <c:v>41712</c:v>
                </c:pt>
                <c:pt idx="73">
                  <c:v>41713</c:v>
                </c:pt>
                <c:pt idx="74">
                  <c:v>41714</c:v>
                </c:pt>
                <c:pt idx="75">
                  <c:v>41715</c:v>
                </c:pt>
                <c:pt idx="76">
                  <c:v>41716</c:v>
                </c:pt>
                <c:pt idx="77">
                  <c:v>41717</c:v>
                </c:pt>
                <c:pt idx="78">
                  <c:v>41718</c:v>
                </c:pt>
                <c:pt idx="79">
                  <c:v>41719</c:v>
                </c:pt>
                <c:pt idx="80">
                  <c:v>41720</c:v>
                </c:pt>
                <c:pt idx="81">
                  <c:v>41721</c:v>
                </c:pt>
                <c:pt idx="82">
                  <c:v>41722</c:v>
                </c:pt>
                <c:pt idx="83">
                  <c:v>41723</c:v>
                </c:pt>
                <c:pt idx="84">
                  <c:v>41724</c:v>
                </c:pt>
                <c:pt idx="85">
                  <c:v>41725</c:v>
                </c:pt>
                <c:pt idx="86">
                  <c:v>41726</c:v>
                </c:pt>
                <c:pt idx="87">
                  <c:v>41727</c:v>
                </c:pt>
                <c:pt idx="88">
                  <c:v>41728</c:v>
                </c:pt>
                <c:pt idx="89">
                  <c:v>41729</c:v>
                </c:pt>
                <c:pt idx="90">
                  <c:v>41730</c:v>
                </c:pt>
                <c:pt idx="91">
                  <c:v>41731</c:v>
                </c:pt>
                <c:pt idx="92">
                  <c:v>41732</c:v>
                </c:pt>
                <c:pt idx="93">
                  <c:v>41733</c:v>
                </c:pt>
                <c:pt idx="94">
                  <c:v>41734</c:v>
                </c:pt>
                <c:pt idx="95">
                  <c:v>41735</c:v>
                </c:pt>
                <c:pt idx="96">
                  <c:v>41736</c:v>
                </c:pt>
                <c:pt idx="97">
                  <c:v>41737</c:v>
                </c:pt>
                <c:pt idx="98">
                  <c:v>41738</c:v>
                </c:pt>
                <c:pt idx="99">
                  <c:v>41739</c:v>
                </c:pt>
                <c:pt idx="100">
                  <c:v>41740</c:v>
                </c:pt>
                <c:pt idx="101">
                  <c:v>41741</c:v>
                </c:pt>
                <c:pt idx="102">
                  <c:v>41742</c:v>
                </c:pt>
                <c:pt idx="103">
                  <c:v>41743</c:v>
                </c:pt>
                <c:pt idx="104">
                  <c:v>41744</c:v>
                </c:pt>
                <c:pt idx="105">
                  <c:v>41745</c:v>
                </c:pt>
                <c:pt idx="106">
                  <c:v>41746</c:v>
                </c:pt>
                <c:pt idx="107">
                  <c:v>41747</c:v>
                </c:pt>
                <c:pt idx="108">
                  <c:v>41748</c:v>
                </c:pt>
                <c:pt idx="109">
                  <c:v>41749</c:v>
                </c:pt>
                <c:pt idx="110">
                  <c:v>41750</c:v>
                </c:pt>
                <c:pt idx="111">
                  <c:v>41751</c:v>
                </c:pt>
                <c:pt idx="112">
                  <c:v>41752</c:v>
                </c:pt>
                <c:pt idx="113">
                  <c:v>41753</c:v>
                </c:pt>
                <c:pt idx="114">
                  <c:v>41754</c:v>
                </c:pt>
                <c:pt idx="115">
                  <c:v>41755</c:v>
                </c:pt>
                <c:pt idx="116">
                  <c:v>41756</c:v>
                </c:pt>
                <c:pt idx="117">
                  <c:v>41757</c:v>
                </c:pt>
                <c:pt idx="118">
                  <c:v>41758</c:v>
                </c:pt>
                <c:pt idx="119">
                  <c:v>41759</c:v>
                </c:pt>
                <c:pt idx="120">
                  <c:v>41760</c:v>
                </c:pt>
                <c:pt idx="121">
                  <c:v>41761</c:v>
                </c:pt>
                <c:pt idx="122">
                  <c:v>41762</c:v>
                </c:pt>
                <c:pt idx="123">
                  <c:v>41763</c:v>
                </c:pt>
                <c:pt idx="124">
                  <c:v>41764</c:v>
                </c:pt>
                <c:pt idx="125">
                  <c:v>41765</c:v>
                </c:pt>
                <c:pt idx="126">
                  <c:v>41766</c:v>
                </c:pt>
                <c:pt idx="127">
                  <c:v>41767</c:v>
                </c:pt>
                <c:pt idx="128">
                  <c:v>41768</c:v>
                </c:pt>
                <c:pt idx="129">
                  <c:v>41769</c:v>
                </c:pt>
                <c:pt idx="130">
                  <c:v>41770</c:v>
                </c:pt>
                <c:pt idx="131">
                  <c:v>41771</c:v>
                </c:pt>
                <c:pt idx="132">
                  <c:v>41772</c:v>
                </c:pt>
                <c:pt idx="133">
                  <c:v>41773</c:v>
                </c:pt>
                <c:pt idx="134">
                  <c:v>41774</c:v>
                </c:pt>
                <c:pt idx="135">
                  <c:v>41775</c:v>
                </c:pt>
                <c:pt idx="136">
                  <c:v>41776</c:v>
                </c:pt>
                <c:pt idx="137">
                  <c:v>41777</c:v>
                </c:pt>
                <c:pt idx="138">
                  <c:v>41778</c:v>
                </c:pt>
                <c:pt idx="139">
                  <c:v>41779</c:v>
                </c:pt>
                <c:pt idx="140">
                  <c:v>41780</c:v>
                </c:pt>
                <c:pt idx="141">
                  <c:v>41781</c:v>
                </c:pt>
                <c:pt idx="142">
                  <c:v>41782</c:v>
                </c:pt>
                <c:pt idx="143">
                  <c:v>41783</c:v>
                </c:pt>
                <c:pt idx="144">
                  <c:v>41784</c:v>
                </c:pt>
                <c:pt idx="145">
                  <c:v>41785</c:v>
                </c:pt>
                <c:pt idx="146">
                  <c:v>41786</c:v>
                </c:pt>
                <c:pt idx="147">
                  <c:v>41787</c:v>
                </c:pt>
                <c:pt idx="148">
                  <c:v>41788</c:v>
                </c:pt>
                <c:pt idx="149">
                  <c:v>41789</c:v>
                </c:pt>
                <c:pt idx="150">
                  <c:v>41790</c:v>
                </c:pt>
                <c:pt idx="151">
                  <c:v>41791</c:v>
                </c:pt>
                <c:pt idx="152">
                  <c:v>41792</c:v>
                </c:pt>
                <c:pt idx="153">
                  <c:v>41793</c:v>
                </c:pt>
                <c:pt idx="154">
                  <c:v>41794</c:v>
                </c:pt>
                <c:pt idx="155">
                  <c:v>41795</c:v>
                </c:pt>
                <c:pt idx="156">
                  <c:v>41796</c:v>
                </c:pt>
                <c:pt idx="157">
                  <c:v>41797</c:v>
                </c:pt>
                <c:pt idx="158">
                  <c:v>41798</c:v>
                </c:pt>
                <c:pt idx="159">
                  <c:v>41799</c:v>
                </c:pt>
                <c:pt idx="160">
                  <c:v>41800</c:v>
                </c:pt>
                <c:pt idx="161">
                  <c:v>41801</c:v>
                </c:pt>
                <c:pt idx="162">
                  <c:v>41802</c:v>
                </c:pt>
                <c:pt idx="163">
                  <c:v>41803</c:v>
                </c:pt>
                <c:pt idx="164">
                  <c:v>41804</c:v>
                </c:pt>
                <c:pt idx="165">
                  <c:v>41805</c:v>
                </c:pt>
                <c:pt idx="166">
                  <c:v>41806</c:v>
                </c:pt>
                <c:pt idx="167">
                  <c:v>41807</c:v>
                </c:pt>
                <c:pt idx="168">
                  <c:v>41808</c:v>
                </c:pt>
                <c:pt idx="169">
                  <c:v>41809</c:v>
                </c:pt>
                <c:pt idx="170">
                  <c:v>41810</c:v>
                </c:pt>
                <c:pt idx="171">
                  <c:v>41811</c:v>
                </c:pt>
                <c:pt idx="172">
                  <c:v>41812</c:v>
                </c:pt>
                <c:pt idx="173">
                  <c:v>41813</c:v>
                </c:pt>
                <c:pt idx="174">
                  <c:v>41814</c:v>
                </c:pt>
                <c:pt idx="175">
                  <c:v>41815</c:v>
                </c:pt>
                <c:pt idx="176">
                  <c:v>41816</c:v>
                </c:pt>
                <c:pt idx="177">
                  <c:v>41817</c:v>
                </c:pt>
                <c:pt idx="178">
                  <c:v>41818</c:v>
                </c:pt>
                <c:pt idx="179">
                  <c:v>41819</c:v>
                </c:pt>
                <c:pt idx="180">
                  <c:v>41820</c:v>
                </c:pt>
                <c:pt idx="181">
                  <c:v>41821</c:v>
                </c:pt>
                <c:pt idx="182">
                  <c:v>41822</c:v>
                </c:pt>
                <c:pt idx="183">
                  <c:v>41823</c:v>
                </c:pt>
                <c:pt idx="184">
                  <c:v>41824</c:v>
                </c:pt>
                <c:pt idx="185">
                  <c:v>41825</c:v>
                </c:pt>
                <c:pt idx="186">
                  <c:v>41826</c:v>
                </c:pt>
                <c:pt idx="187">
                  <c:v>41827</c:v>
                </c:pt>
                <c:pt idx="188">
                  <c:v>41828</c:v>
                </c:pt>
                <c:pt idx="189">
                  <c:v>41829</c:v>
                </c:pt>
                <c:pt idx="190">
                  <c:v>41830</c:v>
                </c:pt>
                <c:pt idx="191">
                  <c:v>41831</c:v>
                </c:pt>
                <c:pt idx="192">
                  <c:v>41832</c:v>
                </c:pt>
                <c:pt idx="193">
                  <c:v>41833</c:v>
                </c:pt>
                <c:pt idx="194">
                  <c:v>41834</c:v>
                </c:pt>
                <c:pt idx="195">
                  <c:v>41835</c:v>
                </c:pt>
                <c:pt idx="196">
                  <c:v>41836</c:v>
                </c:pt>
                <c:pt idx="197">
                  <c:v>41837</c:v>
                </c:pt>
                <c:pt idx="198">
                  <c:v>41838</c:v>
                </c:pt>
                <c:pt idx="199">
                  <c:v>41839</c:v>
                </c:pt>
                <c:pt idx="200">
                  <c:v>41840</c:v>
                </c:pt>
                <c:pt idx="201">
                  <c:v>41841</c:v>
                </c:pt>
                <c:pt idx="202">
                  <c:v>41842</c:v>
                </c:pt>
                <c:pt idx="203">
                  <c:v>41843</c:v>
                </c:pt>
                <c:pt idx="204">
                  <c:v>41844</c:v>
                </c:pt>
                <c:pt idx="205">
                  <c:v>41845</c:v>
                </c:pt>
                <c:pt idx="206">
                  <c:v>41846</c:v>
                </c:pt>
                <c:pt idx="207">
                  <c:v>41847</c:v>
                </c:pt>
                <c:pt idx="208">
                  <c:v>41848</c:v>
                </c:pt>
                <c:pt idx="209">
                  <c:v>41849</c:v>
                </c:pt>
                <c:pt idx="210">
                  <c:v>41850</c:v>
                </c:pt>
                <c:pt idx="211">
                  <c:v>41851</c:v>
                </c:pt>
                <c:pt idx="212">
                  <c:v>41852</c:v>
                </c:pt>
                <c:pt idx="213">
                  <c:v>41853</c:v>
                </c:pt>
                <c:pt idx="214">
                  <c:v>41854</c:v>
                </c:pt>
                <c:pt idx="215">
                  <c:v>41855</c:v>
                </c:pt>
                <c:pt idx="216">
                  <c:v>41856</c:v>
                </c:pt>
                <c:pt idx="217">
                  <c:v>41857</c:v>
                </c:pt>
                <c:pt idx="218">
                  <c:v>41858</c:v>
                </c:pt>
                <c:pt idx="219">
                  <c:v>41859</c:v>
                </c:pt>
                <c:pt idx="220">
                  <c:v>41860</c:v>
                </c:pt>
                <c:pt idx="221">
                  <c:v>41861</c:v>
                </c:pt>
                <c:pt idx="222">
                  <c:v>41862</c:v>
                </c:pt>
                <c:pt idx="223">
                  <c:v>41863</c:v>
                </c:pt>
                <c:pt idx="224">
                  <c:v>41864</c:v>
                </c:pt>
                <c:pt idx="225">
                  <c:v>41865</c:v>
                </c:pt>
                <c:pt idx="226">
                  <c:v>41866</c:v>
                </c:pt>
                <c:pt idx="227">
                  <c:v>41867</c:v>
                </c:pt>
                <c:pt idx="228">
                  <c:v>41868</c:v>
                </c:pt>
                <c:pt idx="229">
                  <c:v>41869</c:v>
                </c:pt>
                <c:pt idx="230">
                  <c:v>41870</c:v>
                </c:pt>
                <c:pt idx="231">
                  <c:v>41871</c:v>
                </c:pt>
                <c:pt idx="232">
                  <c:v>41872</c:v>
                </c:pt>
                <c:pt idx="233">
                  <c:v>41873</c:v>
                </c:pt>
                <c:pt idx="234">
                  <c:v>41874</c:v>
                </c:pt>
                <c:pt idx="235">
                  <c:v>41875</c:v>
                </c:pt>
                <c:pt idx="236">
                  <c:v>41876</c:v>
                </c:pt>
                <c:pt idx="237">
                  <c:v>41877</c:v>
                </c:pt>
                <c:pt idx="238">
                  <c:v>41878</c:v>
                </c:pt>
                <c:pt idx="239">
                  <c:v>41879</c:v>
                </c:pt>
                <c:pt idx="240">
                  <c:v>41880</c:v>
                </c:pt>
                <c:pt idx="241">
                  <c:v>41881</c:v>
                </c:pt>
                <c:pt idx="242">
                  <c:v>41882</c:v>
                </c:pt>
                <c:pt idx="243">
                  <c:v>41883</c:v>
                </c:pt>
                <c:pt idx="244">
                  <c:v>41884</c:v>
                </c:pt>
                <c:pt idx="245">
                  <c:v>41885</c:v>
                </c:pt>
                <c:pt idx="246">
                  <c:v>41886</c:v>
                </c:pt>
                <c:pt idx="247">
                  <c:v>41887</c:v>
                </c:pt>
                <c:pt idx="248">
                  <c:v>41888</c:v>
                </c:pt>
                <c:pt idx="249">
                  <c:v>41889</c:v>
                </c:pt>
                <c:pt idx="250">
                  <c:v>41890</c:v>
                </c:pt>
                <c:pt idx="251">
                  <c:v>41891</c:v>
                </c:pt>
                <c:pt idx="252">
                  <c:v>41892</c:v>
                </c:pt>
                <c:pt idx="253">
                  <c:v>41893</c:v>
                </c:pt>
                <c:pt idx="254">
                  <c:v>41894</c:v>
                </c:pt>
                <c:pt idx="255">
                  <c:v>41895</c:v>
                </c:pt>
                <c:pt idx="256">
                  <c:v>41896</c:v>
                </c:pt>
                <c:pt idx="257">
                  <c:v>41897</c:v>
                </c:pt>
                <c:pt idx="258">
                  <c:v>41898</c:v>
                </c:pt>
                <c:pt idx="259">
                  <c:v>41899</c:v>
                </c:pt>
                <c:pt idx="260">
                  <c:v>41900</c:v>
                </c:pt>
                <c:pt idx="261">
                  <c:v>41901</c:v>
                </c:pt>
                <c:pt idx="262">
                  <c:v>41902</c:v>
                </c:pt>
                <c:pt idx="263">
                  <c:v>41903</c:v>
                </c:pt>
                <c:pt idx="264">
                  <c:v>41904</c:v>
                </c:pt>
                <c:pt idx="265">
                  <c:v>41905</c:v>
                </c:pt>
                <c:pt idx="266">
                  <c:v>41906</c:v>
                </c:pt>
                <c:pt idx="267">
                  <c:v>41907</c:v>
                </c:pt>
                <c:pt idx="268">
                  <c:v>41908</c:v>
                </c:pt>
                <c:pt idx="269">
                  <c:v>41909</c:v>
                </c:pt>
                <c:pt idx="270">
                  <c:v>41910</c:v>
                </c:pt>
                <c:pt idx="271">
                  <c:v>41911</c:v>
                </c:pt>
                <c:pt idx="272">
                  <c:v>41912</c:v>
                </c:pt>
                <c:pt idx="273">
                  <c:v>41913</c:v>
                </c:pt>
                <c:pt idx="274">
                  <c:v>41914</c:v>
                </c:pt>
                <c:pt idx="275">
                  <c:v>41915</c:v>
                </c:pt>
                <c:pt idx="276">
                  <c:v>41916</c:v>
                </c:pt>
                <c:pt idx="277">
                  <c:v>41917</c:v>
                </c:pt>
                <c:pt idx="278">
                  <c:v>41918</c:v>
                </c:pt>
                <c:pt idx="279">
                  <c:v>41919</c:v>
                </c:pt>
                <c:pt idx="280">
                  <c:v>41920</c:v>
                </c:pt>
                <c:pt idx="281">
                  <c:v>41921</c:v>
                </c:pt>
                <c:pt idx="282">
                  <c:v>41922</c:v>
                </c:pt>
                <c:pt idx="283">
                  <c:v>41923</c:v>
                </c:pt>
                <c:pt idx="284">
                  <c:v>41924</c:v>
                </c:pt>
                <c:pt idx="285">
                  <c:v>41925</c:v>
                </c:pt>
                <c:pt idx="286">
                  <c:v>41926</c:v>
                </c:pt>
                <c:pt idx="287">
                  <c:v>41927</c:v>
                </c:pt>
                <c:pt idx="288">
                  <c:v>41928</c:v>
                </c:pt>
                <c:pt idx="289">
                  <c:v>41929</c:v>
                </c:pt>
                <c:pt idx="290">
                  <c:v>41930</c:v>
                </c:pt>
                <c:pt idx="291">
                  <c:v>41931</c:v>
                </c:pt>
                <c:pt idx="292">
                  <c:v>41932</c:v>
                </c:pt>
                <c:pt idx="293">
                  <c:v>41933</c:v>
                </c:pt>
                <c:pt idx="294">
                  <c:v>41934</c:v>
                </c:pt>
                <c:pt idx="295">
                  <c:v>41935</c:v>
                </c:pt>
                <c:pt idx="296">
                  <c:v>41936</c:v>
                </c:pt>
                <c:pt idx="297">
                  <c:v>41937</c:v>
                </c:pt>
                <c:pt idx="298">
                  <c:v>41938</c:v>
                </c:pt>
                <c:pt idx="299">
                  <c:v>41939</c:v>
                </c:pt>
                <c:pt idx="300">
                  <c:v>41940</c:v>
                </c:pt>
                <c:pt idx="301">
                  <c:v>41941</c:v>
                </c:pt>
                <c:pt idx="302">
                  <c:v>41942</c:v>
                </c:pt>
                <c:pt idx="303">
                  <c:v>41943</c:v>
                </c:pt>
                <c:pt idx="304">
                  <c:v>41944</c:v>
                </c:pt>
                <c:pt idx="305">
                  <c:v>41945</c:v>
                </c:pt>
                <c:pt idx="306">
                  <c:v>41946</c:v>
                </c:pt>
                <c:pt idx="307">
                  <c:v>41947</c:v>
                </c:pt>
                <c:pt idx="308">
                  <c:v>41948</c:v>
                </c:pt>
                <c:pt idx="309">
                  <c:v>41949</c:v>
                </c:pt>
                <c:pt idx="310">
                  <c:v>41950</c:v>
                </c:pt>
                <c:pt idx="311">
                  <c:v>41951</c:v>
                </c:pt>
                <c:pt idx="312">
                  <c:v>41952</c:v>
                </c:pt>
                <c:pt idx="313">
                  <c:v>41953</c:v>
                </c:pt>
                <c:pt idx="314">
                  <c:v>41954</c:v>
                </c:pt>
                <c:pt idx="315">
                  <c:v>41955</c:v>
                </c:pt>
                <c:pt idx="316">
                  <c:v>41956</c:v>
                </c:pt>
                <c:pt idx="317">
                  <c:v>41957</c:v>
                </c:pt>
                <c:pt idx="318">
                  <c:v>41958</c:v>
                </c:pt>
                <c:pt idx="319">
                  <c:v>41959</c:v>
                </c:pt>
                <c:pt idx="320">
                  <c:v>41960</c:v>
                </c:pt>
                <c:pt idx="321">
                  <c:v>41961</c:v>
                </c:pt>
                <c:pt idx="322">
                  <c:v>41962</c:v>
                </c:pt>
                <c:pt idx="323">
                  <c:v>41963</c:v>
                </c:pt>
                <c:pt idx="324">
                  <c:v>41964</c:v>
                </c:pt>
                <c:pt idx="325">
                  <c:v>41965</c:v>
                </c:pt>
                <c:pt idx="326">
                  <c:v>41966</c:v>
                </c:pt>
                <c:pt idx="327">
                  <c:v>41967</c:v>
                </c:pt>
                <c:pt idx="328">
                  <c:v>41968</c:v>
                </c:pt>
                <c:pt idx="329">
                  <c:v>41969</c:v>
                </c:pt>
                <c:pt idx="330">
                  <c:v>41970</c:v>
                </c:pt>
                <c:pt idx="331">
                  <c:v>41971</c:v>
                </c:pt>
                <c:pt idx="332">
                  <c:v>41972</c:v>
                </c:pt>
                <c:pt idx="333">
                  <c:v>41973</c:v>
                </c:pt>
                <c:pt idx="334">
                  <c:v>41974</c:v>
                </c:pt>
                <c:pt idx="335">
                  <c:v>41975</c:v>
                </c:pt>
                <c:pt idx="336">
                  <c:v>41976</c:v>
                </c:pt>
                <c:pt idx="337">
                  <c:v>41977</c:v>
                </c:pt>
                <c:pt idx="338">
                  <c:v>41978</c:v>
                </c:pt>
                <c:pt idx="339">
                  <c:v>41979</c:v>
                </c:pt>
                <c:pt idx="340">
                  <c:v>41980</c:v>
                </c:pt>
                <c:pt idx="341">
                  <c:v>41981</c:v>
                </c:pt>
                <c:pt idx="342">
                  <c:v>41982</c:v>
                </c:pt>
                <c:pt idx="343">
                  <c:v>41983</c:v>
                </c:pt>
                <c:pt idx="344">
                  <c:v>41984</c:v>
                </c:pt>
                <c:pt idx="345">
                  <c:v>41985</c:v>
                </c:pt>
                <c:pt idx="346">
                  <c:v>41986</c:v>
                </c:pt>
                <c:pt idx="347">
                  <c:v>41987</c:v>
                </c:pt>
                <c:pt idx="348">
                  <c:v>41988</c:v>
                </c:pt>
                <c:pt idx="349">
                  <c:v>41989</c:v>
                </c:pt>
                <c:pt idx="350">
                  <c:v>41990</c:v>
                </c:pt>
                <c:pt idx="351">
                  <c:v>41991</c:v>
                </c:pt>
                <c:pt idx="352">
                  <c:v>41992</c:v>
                </c:pt>
                <c:pt idx="353">
                  <c:v>41993</c:v>
                </c:pt>
                <c:pt idx="354">
                  <c:v>41994</c:v>
                </c:pt>
                <c:pt idx="355">
                  <c:v>41995</c:v>
                </c:pt>
                <c:pt idx="356">
                  <c:v>41996</c:v>
                </c:pt>
                <c:pt idx="357">
                  <c:v>41997</c:v>
                </c:pt>
                <c:pt idx="358">
                  <c:v>41998</c:v>
                </c:pt>
                <c:pt idx="359">
                  <c:v>41999</c:v>
                </c:pt>
                <c:pt idx="360">
                  <c:v>42000</c:v>
                </c:pt>
                <c:pt idx="361">
                  <c:v>42001</c:v>
                </c:pt>
                <c:pt idx="362">
                  <c:v>42002</c:v>
                </c:pt>
                <c:pt idx="363">
                  <c:v>42003</c:v>
                </c:pt>
                <c:pt idx="364">
                  <c:v>42004</c:v>
                </c:pt>
                <c:pt idx="365">
                  <c:v>42005</c:v>
                </c:pt>
                <c:pt idx="366">
                  <c:v>42006</c:v>
                </c:pt>
                <c:pt idx="367">
                  <c:v>42007</c:v>
                </c:pt>
                <c:pt idx="368">
                  <c:v>42008</c:v>
                </c:pt>
                <c:pt idx="369">
                  <c:v>42009</c:v>
                </c:pt>
                <c:pt idx="370">
                  <c:v>42010</c:v>
                </c:pt>
                <c:pt idx="371">
                  <c:v>42011</c:v>
                </c:pt>
                <c:pt idx="372">
                  <c:v>42012</c:v>
                </c:pt>
                <c:pt idx="373">
                  <c:v>42013</c:v>
                </c:pt>
                <c:pt idx="374">
                  <c:v>42014</c:v>
                </c:pt>
                <c:pt idx="375">
                  <c:v>42015</c:v>
                </c:pt>
                <c:pt idx="376">
                  <c:v>42016</c:v>
                </c:pt>
                <c:pt idx="377">
                  <c:v>42017</c:v>
                </c:pt>
                <c:pt idx="378">
                  <c:v>42018</c:v>
                </c:pt>
                <c:pt idx="379">
                  <c:v>42019</c:v>
                </c:pt>
                <c:pt idx="380">
                  <c:v>42020</c:v>
                </c:pt>
                <c:pt idx="381">
                  <c:v>42021</c:v>
                </c:pt>
                <c:pt idx="382">
                  <c:v>42022</c:v>
                </c:pt>
                <c:pt idx="383">
                  <c:v>42023</c:v>
                </c:pt>
                <c:pt idx="384">
                  <c:v>42024</c:v>
                </c:pt>
                <c:pt idx="385">
                  <c:v>42025</c:v>
                </c:pt>
                <c:pt idx="386">
                  <c:v>42026</c:v>
                </c:pt>
                <c:pt idx="387">
                  <c:v>42027</c:v>
                </c:pt>
                <c:pt idx="388">
                  <c:v>42028</c:v>
                </c:pt>
                <c:pt idx="389">
                  <c:v>42029</c:v>
                </c:pt>
                <c:pt idx="390">
                  <c:v>42030</c:v>
                </c:pt>
                <c:pt idx="391">
                  <c:v>42031</c:v>
                </c:pt>
                <c:pt idx="392">
                  <c:v>42032</c:v>
                </c:pt>
                <c:pt idx="393">
                  <c:v>42033</c:v>
                </c:pt>
                <c:pt idx="394">
                  <c:v>42034</c:v>
                </c:pt>
                <c:pt idx="395">
                  <c:v>42035</c:v>
                </c:pt>
                <c:pt idx="396">
                  <c:v>42036</c:v>
                </c:pt>
                <c:pt idx="397">
                  <c:v>42037</c:v>
                </c:pt>
                <c:pt idx="398">
                  <c:v>42038</c:v>
                </c:pt>
                <c:pt idx="399">
                  <c:v>42039</c:v>
                </c:pt>
                <c:pt idx="400">
                  <c:v>42040</c:v>
                </c:pt>
                <c:pt idx="401">
                  <c:v>42041</c:v>
                </c:pt>
                <c:pt idx="402">
                  <c:v>42042</c:v>
                </c:pt>
                <c:pt idx="403">
                  <c:v>42043</c:v>
                </c:pt>
                <c:pt idx="404">
                  <c:v>42044</c:v>
                </c:pt>
                <c:pt idx="405">
                  <c:v>42045</c:v>
                </c:pt>
                <c:pt idx="406">
                  <c:v>42046</c:v>
                </c:pt>
                <c:pt idx="407">
                  <c:v>42047</c:v>
                </c:pt>
                <c:pt idx="408">
                  <c:v>42048</c:v>
                </c:pt>
                <c:pt idx="409">
                  <c:v>42049</c:v>
                </c:pt>
                <c:pt idx="410">
                  <c:v>42050</c:v>
                </c:pt>
                <c:pt idx="411">
                  <c:v>42051</c:v>
                </c:pt>
                <c:pt idx="412">
                  <c:v>42052</c:v>
                </c:pt>
                <c:pt idx="413">
                  <c:v>42053</c:v>
                </c:pt>
                <c:pt idx="414">
                  <c:v>42054</c:v>
                </c:pt>
                <c:pt idx="415">
                  <c:v>42055</c:v>
                </c:pt>
                <c:pt idx="416">
                  <c:v>42056</c:v>
                </c:pt>
                <c:pt idx="417">
                  <c:v>42057</c:v>
                </c:pt>
                <c:pt idx="418">
                  <c:v>42058</c:v>
                </c:pt>
                <c:pt idx="419">
                  <c:v>42059</c:v>
                </c:pt>
                <c:pt idx="420">
                  <c:v>42060</c:v>
                </c:pt>
                <c:pt idx="421">
                  <c:v>42061</c:v>
                </c:pt>
                <c:pt idx="422">
                  <c:v>42062</c:v>
                </c:pt>
                <c:pt idx="423">
                  <c:v>42063</c:v>
                </c:pt>
                <c:pt idx="424">
                  <c:v>42064</c:v>
                </c:pt>
                <c:pt idx="425">
                  <c:v>42065</c:v>
                </c:pt>
                <c:pt idx="426">
                  <c:v>42066</c:v>
                </c:pt>
                <c:pt idx="427">
                  <c:v>42067</c:v>
                </c:pt>
                <c:pt idx="428">
                  <c:v>42068</c:v>
                </c:pt>
                <c:pt idx="429">
                  <c:v>42069</c:v>
                </c:pt>
                <c:pt idx="430">
                  <c:v>42070</c:v>
                </c:pt>
                <c:pt idx="431">
                  <c:v>42071</c:v>
                </c:pt>
                <c:pt idx="432">
                  <c:v>42072</c:v>
                </c:pt>
                <c:pt idx="433">
                  <c:v>42073</c:v>
                </c:pt>
                <c:pt idx="434">
                  <c:v>42074</c:v>
                </c:pt>
                <c:pt idx="435">
                  <c:v>42075</c:v>
                </c:pt>
                <c:pt idx="436">
                  <c:v>42076</c:v>
                </c:pt>
                <c:pt idx="437">
                  <c:v>42077</c:v>
                </c:pt>
                <c:pt idx="438">
                  <c:v>42078</c:v>
                </c:pt>
                <c:pt idx="439">
                  <c:v>42079</c:v>
                </c:pt>
                <c:pt idx="440">
                  <c:v>42080</c:v>
                </c:pt>
                <c:pt idx="441">
                  <c:v>42081</c:v>
                </c:pt>
                <c:pt idx="442">
                  <c:v>42082</c:v>
                </c:pt>
                <c:pt idx="443">
                  <c:v>42083</c:v>
                </c:pt>
                <c:pt idx="444">
                  <c:v>42084</c:v>
                </c:pt>
                <c:pt idx="445">
                  <c:v>42085</c:v>
                </c:pt>
                <c:pt idx="446">
                  <c:v>42086</c:v>
                </c:pt>
                <c:pt idx="447">
                  <c:v>42087</c:v>
                </c:pt>
                <c:pt idx="448">
                  <c:v>42088</c:v>
                </c:pt>
                <c:pt idx="449">
                  <c:v>42089</c:v>
                </c:pt>
                <c:pt idx="450">
                  <c:v>42090</c:v>
                </c:pt>
                <c:pt idx="451">
                  <c:v>42091</c:v>
                </c:pt>
                <c:pt idx="452">
                  <c:v>42092</c:v>
                </c:pt>
                <c:pt idx="453">
                  <c:v>42093</c:v>
                </c:pt>
                <c:pt idx="454">
                  <c:v>42094</c:v>
                </c:pt>
                <c:pt idx="455">
                  <c:v>42095</c:v>
                </c:pt>
                <c:pt idx="456">
                  <c:v>42096</c:v>
                </c:pt>
                <c:pt idx="457">
                  <c:v>42097</c:v>
                </c:pt>
                <c:pt idx="458">
                  <c:v>42098</c:v>
                </c:pt>
                <c:pt idx="459">
                  <c:v>42099</c:v>
                </c:pt>
                <c:pt idx="460">
                  <c:v>42100</c:v>
                </c:pt>
                <c:pt idx="461">
                  <c:v>42101</c:v>
                </c:pt>
                <c:pt idx="462">
                  <c:v>42102</c:v>
                </c:pt>
                <c:pt idx="463">
                  <c:v>42103</c:v>
                </c:pt>
                <c:pt idx="464">
                  <c:v>42104</c:v>
                </c:pt>
                <c:pt idx="465">
                  <c:v>42105</c:v>
                </c:pt>
                <c:pt idx="466">
                  <c:v>42106</c:v>
                </c:pt>
                <c:pt idx="467">
                  <c:v>42107</c:v>
                </c:pt>
                <c:pt idx="468">
                  <c:v>42108</c:v>
                </c:pt>
                <c:pt idx="469">
                  <c:v>42109</c:v>
                </c:pt>
                <c:pt idx="470">
                  <c:v>42110</c:v>
                </c:pt>
                <c:pt idx="471">
                  <c:v>42111</c:v>
                </c:pt>
                <c:pt idx="472">
                  <c:v>42112</c:v>
                </c:pt>
                <c:pt idx="473">
                  <c:v>42113</c:v>
                </c:pt>
                <c:pt idx="474">
                  <c:v>42114</c:v>
                </c:pt>
                <c:pt idx="475">
                  <c:v>42115</c:v>
                </c:pt>
                <c:pt idx="476">
                  <c:v>42116</c:v>
                </c:pt>
                <c:pt idx="477">
                  <c:v>42117</c:v>
                </c:pt>
                <c:pt idx="478">
                  <c:v>42118</c:v>
                </c:pt>
                <c:pt idx="479">
                  <c:v>42119</c:v>
                </c:pt>
                <c:pt idx="480">
                  <c:v>42120</c:v>
                </c:pt>
                <c:pt idx="481">
                  <c:v>42121</c:v>
                </c:pt>
                <c:pt idx="482">
                  <c:v>42122</c:v>
                </c:pt>
                <c:pt idx="483">
                  <c:v>42123</c:v>
                </c:pt>
                <c:pt idx="484">
                  <c:v>42124</c:v>
                </c:pt>
                <c:pt idx="485">
                  <c:v>42125</c:v>
                </c:pt>
                <c:pt idx="486">
                  <c:v>42126</c:v>
                </c:pt>
                <c:pt idx="487">
                  <c:v>42127</c:v>
                </c:pt>
                <c:pt idx="488">
                  <c:v>42128</c:v>
                </c:pt>
                <c:pt idx="489">
                  <c:v>42129</c:v>
                </c:pt>
                <c:pt idx="490">
                  <c:v>42130</c:v>
                </c:pt>
                <c:pt idx="491">
                  <c:v>42131</c:v>
                </c:pt>
                <c:pt idx="492">
                  <c:v>42132</c:v>
                </c:pt>
                <c:pt idx="493">
                  <c:v>42133</c:v>
                </c:pt>
                <c:pt idx="494">
                  <c:v>42134</c:v>
                </c:pt>
                <c:pt idx="495">
                  <c:v>42135</c:v>
                </c:pt>
                <c:pt idx="496">
                  <c:v>42136</c:v>
                </c:pt>
                <c:pt idx="497">
                  <c:v>42137</c:v>
                </c:pt>
                <c:pt idx="498">
                  <c:v>42138</c:v>
                </c:pt>
                <c:pt idx="499">
                  <c:v>42139</c:v>
                </c:pt>
                <c:pt idx="500">
                  <c:v>42140</c:v>
                </c:pt>
                <c:pt idx="501">
                  <c:v>42141</c:v>
                </c:pt>
                <c:pt idx="502">
                  <c:v>42142</c:v>
                </c:pt>
                <c:pt idx="503">
                  <c:v>42143</c:v>
                </c:pt>
                <c:pt idx="504">
                  <c:v>42144</c:v>
                </c:pt>
                <c:pt idx="505">
                  <c:v>42145</c:v>
                </c:pt>
                <c:pt idx="506">
                  <c:v>42146</c:v>
                </c:pt>
                <c:pt idx="507">
                  <c:v>42147</c:v>
                </c:pt>
                <c:pt idx="508">
                  <c:v>42148</c:v>
                </c:pt>
                <c:pt idx="509">
                  <c:v>42149</c:v>
                </c:pt>
                <c:pt idx="510">
                  <c:v>42150</c:v>
                </c:pt>
                <c:pt idx="511">
                  <c:v>42151</c:v>
                </c:pt>
                <c:pt idx="512">
                  <c:v>42152</c:v>
                </c:pt>
                <c:pt idx="513">
                  <c:v>42153</c:v>
                </c:pt>
                <c:pt idx="514">
                  <c:v>42154</c:v>
                </c:pt>
                <c:pt idx="515">
                  <c:v>42155</c:v>
                </c:pt>
                <c:pt idx="516">
                  <c:v>42156</c:v>
                </c:pt>
                <c:pt idx="517">
                  <c:v>42157</c:v>
                </c:pt>
                <c:pt idx="518">
                  <c:v>42158</c:v>
                </c:pt>
                <c:pt idx="519">
                  <c:v>42159</c:v>
                </c:pt>
                <c:pt idx="520">
                  <c:v>42160</c:v>
                </c:pt>
                <c:pt idx="521">
                  <c:v>42161</c:v>
                </c:pt>
                <c:pt idx="522">
                  <c:v>42162</c:v>
                </c:pt>
                <c:pt idx="523">
                  <c:v>42163</c:v>
                </c:pt>
                <c:pt idx="524">
                  <c:v>42164</c:v>
                </c:pt>
                <c:pt idx="525">
                  <c:v>42165</c:v>
                </c:pt>
                <c:pt idx="526">
                  <c:v>42166</c:v>
                </c:pt>
                <c:pt idx="527">
                  <c:v>42167</c:v>
                </c:pt>
                <c:pt idx="528">
                  <c:v>42168</c:v>
                </c:pt>
                <c:pt idx="529">
                  <c:v>42169</c:v>
                </c:pt>
                <c:pt idx="530">
                  <c:v>42170</c:v>
                </c:pt>
                <c:pt idx="531">
                  <c:v>42171</c:v>
                </c:pt>
                <c:pt idx="532">
                  <c:v>42172</c:v>
                </c:pt>
                <c:pt idx="533">
                  <c:v>42173</c:v>
                </c:pt>
                <c:pt idx="534">
                  <c:v>42174</c:v>
                </c:pt>
                <c:pt idx="535">
                  <c:v>42175</c:v>
                </c:pt>
                <c:pt idx="536">
                  <c:v>42176</c:v>
                </c:pt>
                <c:pt idx="537">
                  <c:v>42177</c:v>
                </c:pt>
                <c:pt idx="538">
                  <c:v>42178</c:v>
                </c:pt>
                <c:pt idx="539">
                  <c:v>42179</c:v>
                </c:pt>
                <c:pt idx="540">
                  <c:v>42180</c:v>
                </c:pt>
                <c:pt idx="541">
                  <c:v>42181</c:v>
                </c:pt>
                <c:pt idx="542">
                  <c:v>42182</c:v>
                </c:pt>
                <c:pt idx="543">
                  <c:v>42183</c:v>
                </c:pt>
                <c:pt idx="544">
                  <c:v>42184</c:v>
                </c:pt>
                <c:pt idx="545">
                  <c:v>42185</c:v>
                </c:pt>
                <c:pt idx="546">
                  <c:v>42186</c:v>
                </c:pt>
                <c:pt idx="547">
                  <c:v>42187</c:v>
                </c:pt>
                <c:pt idx="548">
                  <c:v>42188</c:v>
                </c:pt>
                <c:pt idx="549">
                  <c:v>42189</c:v>
                </c:pt>
                <c:pt idx="550">
                  <c:v>42190</c:v>
                </c:pt>
                <c:pt idx="551">
                  <c:v>42191</c:v>
                </c:pt>
                <c:pt idx="552">
                  <c:v>42192</c:v>
                </c:pt>
                <c:pt idx="553">
                  <c:v>42193</c:v>
                </c:pt>
                <c:pt idx="554">
                  <c:v>42194</c:v>
                </c:pt>
                <c:pt idx="555">
                  <c:v>42195</c:v>
                </c:pt>
                <c:pt idx="556">
                  <c:v>42196</c:v>
                </c:pt>
                <c:pt idx="557">
                  <c:v>42197</c:v>
                </c:pt>
                <c:pt idx="558">
                  <c:v>42198</c:v>
                </c:pt>
                <c:pt idx="559">
                  <c:v>42199</c:v>
                </c:pt>
                <c:pt idx="560">
                  <c:v>42200</c:v>
                </c:pt>
                <c:pt idx="561">
                  <c:v>42201</c:v>
                </c:pt>
                <c:pt idx="562">
                  <c:v>42202</c:v>
                </c:pt>
                <c:pt idx="563">
                  <c:v>42203</c:v>
                </c:pt>
                <c:pt idx="564">
                  <c:v>42204</c:v>
                </c:pt>
                <c:pt idx="565">
                  <c:v>42205</c:v>
                </c:pt>
                <c:pt idx="566">
                  <c:v>42206</c:v>
                </c:pt>
                <c:pt idx="567">
                  <c:v>42207</c:v>
                </c:pt>
                <c:pt idx="568">
                  <c:v>42208</c:v>
                </c:pt>
                <c:pt idx="569">
                  <c:v>42209</c:v>
                </c:pt>
                <c:pt idx="570">
                  <c:v>42210</c:v>
                </c:pt>
                <c:pt idx="571">
                  <c:v>42211</c:v>
                </c:pt>
                <c:pt idx="572">
                  <c:v>42212</c:v>
                </c:pt>
                <c:pt idx="573">
                  <c:v>42213</c:v>
                </c:pt>
                <c:pt idx="574">
                  <c:v>42214</c:v>
                </c:pt>
                <c:pt idx="575">
                  <c:v>42215</c:v>
                </c:pt>
                <c:pt idx="576">
                  <c:v>42216</c:v>
                </c:pt>
              </c:numCache>
            </c:numRef>
          </c:xVal>
          <c:yVal>
            <c:numRef>
              <c:f>Crop!$N$49:$N$625</c:f>
              <c:numCache>
                <c:formatCode>0.00</c:formatCode>
                <c:ptCount val="5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numCache>
            </c:numRef>
          </c:yVal>
          <c:smooth val="0"/>
        </c:ser>
        <c:dLbls>
          <c:showLegendKey val="0"/>
          <c:showVal val="0"/>
          <c:showCatName val="0"/>
          <c:showSerName val="0"/>
          <c:showPercent val="0"/>
          <c:showBubbleSize val="0"/>
        </c:dLbls>
        <c:axId val="306947776"/>
        <c:axId val="306948352"/>
      </c:scatterChart>
      <c:scatterChart>
        <c:scatterStyle val="lineMarker"/>
        <c:varyColors val="0"/>
        <c:ser>
          <c:idx val="1"/>
          <c:order val="1"/>
          <c:tx>
            <c:v>Days</c:v>
          </c:tx>
          <c:spPr>
            <a:ln w="25400">
              <a:solidFill>
                <a:srgbClr val="FF0000"/>
              </a:solidFill>
              <a:prstDash val="solid"/>
            </a:ln>
          </c:spPr>
          <c:marker>
            <c:symbol val="none"/>
          </c:marker>
          <c:xVal>
            <c:numRef>
              <c:f>Crop!$B$49:$B$625</c:f>
              <c:numCache>
                <c:formatCode>dd\-mmm\-yy</c:formatCode>
                <c:ptCount val="577"/>
                <c:pt idx="0">
                  <c:v>41640</c:v>
                </c:pt>
                <c:pt idx="1">
                  <c:v>41641</c:v>
                </c:pt>
                <c:pt idx="2">
                  <c:v>41642</c:v>
                </c:pt>
                <c:pt idx="3">
                  <c:v>41643</c:v>
                </c:pt>
                <c:pt idx="4">
                  <c:v>41644</c:v>
                </c:pt>
                <c:pt idx="5">
                  <c:v>41645</c:v>
                </c:pt>
                <c:pt idx="6">
                  <c:v>41646</c:v>
                </c:pt>
                <c:pt idx="7">
                  <c:v>41647</c:v>
                </c:pt>
                <c:pt idx="8">
                  <c:v>41648</c:v>
                </c:pt>
                <c:pt idx="9">
                  <c:v>41649</c:v>
                </c:pt>
                <c:pt idx="10">
                  <c:v>41650</c:v>
                </c:pt>
                <c:pt idx="11">
                  <c:v>41651</c:v>
                </c:pt>
                <c:pt idx="12">
                  <c:v>41652</c:v>
                </c:pt>
                <c:pt idx="13">
                  <c:v>41653</c:v>
                </c:pt>
                <c:pt idx="14">
                  <c:v>41654</c:v>
                </c:pt>
                <c:pt idx="15">
                  <c:v>41655</c:v>
                </c:pt>
                <c:pt idx="16">
                  <c:v>41656</c:v>
                </c:pt>
                <c:pt idx="17">
                  <c:v>41657</c:v>
                </c:pt>
                <c:pt idx="18">
                  <c:v>41658</c:v>
                </c:pt>
                <c:pt idx="19">
                  <c:v>41659</c:v>
                </c:pt>
                <c:pt idx="20">
                  <c:v>41660</c:v>
                </c:pt>
                <c:pt idx="21">
                  <c:v>41661</c:v>
                </c:pt>
                <c:pt idx="22">
                  <c:v>41662</c:v>
                </c:pt>
                <c:pt idx="23">
                  <c:v>41663</c:v>
                </c:pt>
                <c:pt idx="24">
                  <c:v>41664</c:v>
                </c:pt>
                <c:pt idx="25">
                  <c:v>41665</c:v>
                </c:pt>
                <c:pt idx="26">
                  <c:v>41666</c:v>
                </c:pt>
                <c:pt idx="27">
                  <c:v>41667</c:v>
                </c:pt>
                <c:pt idx="28">
                  <c:v>41668</c:v>
                </c:pt>
                <c:pt idx="29">
                  <c:v>41669</c:v>
                </c:pt>
                <c:pt idx="30">
                  <c:v>41670</c:v>
                </c:pt>
                <c:pt idx="31">
                  <c:v>41671</c:v>
                </c:pt>
                <c:pt idx="32">
                  <c:v>41672</c:v>
                </c:pt>
                <c:pt idx="33">
                  <c:v>41673</c:v>
                </c:pt>
                <c:pt idx="34">
                  <c:v>41674</c:v>
                </c:pt>
                <c:pt idx="35">
                  <c:v>41675</c:v>
                </c:pt>
                <c:pt idx="36">
                  <c:v>41676</c:v>
                </c:pt>
                <c:pt idx="37">
                  <c:v>41677</c:v>
                </c:pt>
                <c:pt idx="38">
                  <c:v>41678</c:v>
                </c:pt>
                <c:pt idx="39">
                  <c:v>41679</c:v>
                </c:pt>
                <c:pt idx="40">
                  <c:v>41680</c:v>
                </c:pt>
                <c:pt idx="41">
                  <c:v>41681</c:v>
                </c:pt>
                <c:pt idx="42">
                  <c:v>41682</c:v>
                </c:pt>
                <c:pt idx="43">
                  <c:v>41683</c:v>
                </c:pt>
                <c:pt idx="44">
                  <c:v>41684</c:v>
                </c:pt>
                <c:pt idx="45">
                  <c:v>41685</c:v>
                </c:pt>
                <c:pt idx="46">
                  <c:v>41686</c:v>
                </c:pt>
                <c:pt idx="47">
                  <c:v>41687</c:v>
                </c:pt>
                <c:pt idx="48">
                  <c:v>41688</c:v>
                </c:pt>
                <c:pt idx="49">
                  <c:v>41689</c:v>
                </c:pt>
                <c:pt idx="50">
                  <c:v>41690</c:v>
                </c:pt>
                <c:pt idx="51">
                  <c:v>41691</c:v>
                </c:pt>
                <c:pt idx="52">
                  <c:v>41692</c:v>
                </c:pt>
                <c:pt idx="53">
                  <c:v>41693</c:v>
                </c:pt>
                <c:pt idx="54">
                  <c:v>41694</c:v>
                </c:pt>
                <c:pt idx="55">
                  <c:v>41695</c:v>
                </c:pt>
                <c:pt idx="56">
                  <c:v>41696</c:v>
                </c:pt>
                <c:pt idx="57">
                  <c:v>41697</c:v>
                </c:pt>
                <c:pt idx="58">
                  <c:v>41698</c:v>
                </c:pt>
                <c:pt idx="59">
                  <c:v>41699</c:v>
                </c:pt>
                <c:pt idx="60">
                  <c:v>41700</c:v>
                </c:pt>
                <c:pt idx="61">
                  <c:v>41701</c:v>
                </c:pt>
                <c:pt idx="62">
                  <c:v>41702</c:v>
                </c:pt>
                <c:pt idx="63">
                  <c:v>41703</c:v>
                </c:pt>
                <c:pt idx="64">
                  <c:v>41704</c:v>
                </c:pt>
                <c:pt idx="65">
                  <c:v>41705</c:v>
                </c:pt>
                <c:pt idx="66">
                  <c:v>41706</c:v>
                </c:pt>
                <c:pt idx="67">
                  <c:v>41707</c:v>
                </c:pt>
                <c:pt idx="68">
                  <c:v>41708</c:v>
                </c:pt>
                <c:pt idx="69">
                  <c:v>41709</c:v>
                </c:pt>
                <c:pt idx="70">
                  <c:v>41710</c:v>
                </c:pt>
                <c:pt idx="71">
                  <c:v>41711</c:v>
                </c:pt>
                <c:pt idx="72">
                  <c:v>41712</c:v>
                </c:pt>
                <c:pt idx="73">
                  <c:v>41713</c:v>
                </c:pt>
                <c:pt idx="74">
                  <c:v>41714</c:v>
                </c:pt>
                <c:pt idx="75">
                  <c:v>41715</c:v>
                </c:pt>
                <c:pt idx="76">
                  <c:v>41716</c:v>
                </c:pt>
                <c:pt idx="77">
                  <c:v>41717</c:v>
                </c:pt>
                <c:pt idx="78">
                  <c:v>41718</c:v>
                </c:pt>
                <c:pt idx="79">
                  <c:v>41719</c:v>
                </c:pt>
                <c:pt idx="80">
                  <c:v>41720</c:v>
                </c:pt>
                <c:pt idx="81">
                  <c:v>41721</c:v>
                </c:pt>
                <c:pt idx="82">
                  <c:v>41722</c:v>
                </c:pt>
                <c:pt idx="83">
                  <c:v>41723</c:v>
                </c:pt>
                <c:pt idx="84">
                  <c:v>41724</c:v>
                </c:pt>
                <c:pt idx="85">
                  <c:v>41725</c:v>
                </c:pt>
                <c:pt idx="86">
                  <c:v>41726</c:v>
                </c:pt>
                <c:pt idx="87">
                  <c:v>41727</c:v>
                </c:pt>
                <c:pt idx="88">
                  <c:v>41728</c:v>
                </c:pt>
                <c:pt idx="89">
                  <c:v>41729</c:v>
                </c:pt>
                <c:pt idx="90">
                  <c:v>41730</c:v>
                </c:pt>
                <c:pt idx="91">
                  <c:v>41731</c:v>
                </c:pt>
                <c:pt idx="92">
                  <c:v>41732</c:v>
                </c:pt>
                <c:pt idx="93">
                  <c:v>41733</c:v>
                </c:pt>
                <c:pt idx="94">
                  <c:v>41734</c:v>
                </c:pt>
                <c:pt idx="95">
                  <c:v>41735</c:v>
                </c:pt>
                <c:pt idx="96">
                  <c:v>41736</c:v>
                </c:pt>
                <c:pt idx="97">
                  <c:v>41737</c:v>
                </c:pt>
                <c:pt idx="98">
                  <c:v>41738</c:v>
                </c:pt>
                <c:pt idx="99">
                  <c:v>41739</c:v>
                </c:pt>
                <c:pt idx="100">
                  <c:v>41740</c:v>
                </c:pt>
                <c:pt idx="101">
                  <c:v>41741</c:v>
                </c:pt>
                <c:pt idx="102">
                  <c:v>41742</c:v>
                </c:pt>
                <c:pt idx="103">
                  <c:v>41743</c:v>
                </c:pt>
                <c:pt idx="104">
                  <c:v>41744</c:v>
                </c:pt>
                <c:pt idx="105">
                  <c:v>41745</c:v>
                </c:pt>
                <c:pt idx="106">
                  <c:v>41746</c:v>
                </c:pt>
                <c:pt idx="107">
                  <c:v>41747</c:v>
                </c:pt>
                <c:pt idx="108">
                  <c:v>41748</c:v>
                </c:pt>
                <c:pt idx="109">
                  <c:v>41749</c:v>
                </c:pt>
                <c:pt idx="110">
                  <c:v>41750</c:v>
                </c:pt>
                <c:pt idx="111">
                  <c:v>41751</c:v>
                </c:pt>
                <c:pt idx="112">
                  <c:v>41752</c:v>
                </c:pt>
                <c:pt idx="113">
                  <c:v>41753</c:v>
                </c:pt>
                <c:pt idx="114">
                  <c:v>41754</c:v>
                </c:pt>
                <c:pt idx="115">
                  <c:v>41755</c:v>
                </c:pt>
                <c:pt idx="116">
                  <c:v>41756</c:v>
                </c:pt>
                <c:pt idx="117">
                  <c:v>41757</c:v>
                </c:pt>
                <c:pt idx="118">
                  <c:v>41758</c:v>
                </c:pt>
                <c:pt idx="119">
                  <c:v>41759</c:v>
                </c:pt>
                <c:pt idx="120">
                  <c:v>41760</c:v>
                </c:pt>
                <c:pt idx="121">
                  <c:v>41761</c:v>
                </c:pt>
                <c:pt idx="122">
                  <c:v>41762</c:v>
                </c:pt>
                <c:pt idx="123">
                  <c:v>41763</c:v>
                </c:pt>
                <c:pt idx="124">
                  <c:v>41764</c:v>
                </c:pt>
                <c:pt idx="125">
                  <c:v>41765</c:v>
                </c:pt>
                <c:pt idx="126">
                  <c:v>41766</c:v>
                </c:pt>
                <c:pt idx="127">
                  <c:v>41767</c:v>
                </c:pt>
                <c:pt idx="128">
                  <c:v>41768</c:v>
                </c:pt>
                <c:pt idx="129">
                  <c:v>41769</c:v>
                </c:pt>
                <c:pt idx="130">
                  <c:v>41770</c:v>
                </c:pt>
                <c:pt idx="131">
                  <c:v>41771</c:v>
                </c:pt>
                <c:pt idx="132">
                  <c:v>41772</c:v>
                </c:pt>
                <c:pt idx="133">
                  <c:v>41773</c:v>
                </c:pt>
                <c:pt idx="134">
                  <c:v>41774</c:v>
                </c:pt>
                <c:pt idx="135">
                  <c:v>41775</c:v>
                </c:pt>
                <c:pt idx="136">
                  <c:v>41776</c:v>
                </c:pt>
                <c:pt idx="137">
                  <c:v>41777</c:v>
                </c:pt>
                <c:pt idx="138">
                  <c:v>41778</c:v>
                </c:pt>
                <c:pt idx="139">
                  <c:v>41779</c:v>
                </c:pt>
                <c:pt idx="140">
                  <c:v>41780</c:v>
                </c:pt>
                <c:pt idx="141">
                  <c:v>41781</c:v>
                </c:pt>
                <c:pt idx="142">
                  <c:v>41782</c:v>
                </c:pt>
                <c:pt idx="143">
                  <c:v>41783</c:v>
                </c:pt>
                <c:pt idx="144">
                  <c:v>41784</c:v>
                </c:pt>
                <c:pt idx="145">
                  <c:v>41785</c:v>
                </c:pt>
                <c:pt idx="146">
                  <c:v>41786</c:v>
                </c:pt>
                <c:pt idx="147">
                  <c:v>41787</c:v>
                </c:pt>
                <c:pt idx="148">
                  <c:v>41788</c:v>
                </c:pt>
                <c:pt idx="149">
                  <c:v>41789</c:v>
                </c:pt>
                <c:pt idx="150">
                  <c:v>41790</c:v>
                </c:pt>
                <c:pt idx="151">
                  <c:v>41791</c:v>
                </c:pt>
                <c:pt idx="152">
                  <c:v>41792</c:v>
                </c:pt>
                <c:pt idx="153">
                  <c:v>41793</c:v>
                </c:pt>
                <c:pt idx="154">
                  <c:v>41794</c:v>
                </c:pt>
                <c:pt idx="155">
                  <c:v>41795</c:v>
                </c:pt>
                <c:pt idx="156">
                  <c:v>41796</c:v>
                </c:pt>
                <c:pt idx="157">
                  <c:v>41797</c:v>
                </c:pt>
                <c:pt idx="158">
                  <c:v>41798</c:v>
                </c:pt>
                <c:pt idx="159">
                  <c:v>41799</c:v>
                </c:pt>
                <c:pt idx="160">
                  <c:v>41800</c:v>
                </c:pt>
                <c:pt idx="161">
                  <c:v>41801</c:v>
                </c:pt>
                <c:pt idx="162">
                  <c:v>41802</c:v>
                </c:pt>
                <c:pt idx="163">
                  <c:v>41803</c:v>
                </c:pt>
                <c:pt idx="164">
                  <c:v>41804</c:v>
                </c:pt>
                <c:pt idx="165">
                  <c:v>41805</c:v>
                </c:pt>
                <c:pt idx="166">
                  <c:v>41806</c:v>
                </c:pt>
                <c:pt idx="167">
                  <c:v>41807</c:v>
                </c:pt>
                <c:pt idx="168">
                  <c:v>41808</c:v>
                </c:pt>
                <c:pt idx="169">
                  <c:v>41809</c:v>
                </c:pt>
                <c:pt idx="170">
                  <c:v>41810</c:v>
                </c:pt>
                <c:pt idx="171">
                  <c:v>41811</c:v>
                </c:pt>
                <c:pt idx="172">
                  <c:v>41812</c:v>
                </c:pt>
                <c:pt idx="173">
                  <c:v>41813</c:v>
                </c:pt>
                <c:pt idx="174">
                  <c:v>41814</c:v>
                </c:pt>
                <c:pt idx="175">
                  <c:v>41815</c:v>
                </c:pt>
                <c:pt idx="176">
                  <c:v>41816</c:v>
                </c:pt>
                <c:pt idx="177">
                  <c:v>41817</c:v>
                </c:pt>
                <c:pt idx="178">
                  <c:v>41818</c:v>
                </c:pt>
                <c:pt idx="179">
                  <c:v>41819</c:v>
                </c:pt>
                <c:pt idx="180">
                  <c:v>41820</c:v>
                </c:pt>
                <c:pt idx="181">
                  <c:v>41821</c:v>
                </c:pt>
                <c:pt idx="182">
                  <c:v>41822</c:v>
                </c:pt>
                <c:pt idx="183">
                  <c:v>41823</c:v>
                </c:pt>
                <c:pt idx="184">
                  <c:v>41824</c:v>
                </c:pt>
                <c:pt idx="185">
                  <c:v>41825</c:v>
                </c:pt>
                <c:pt idx="186">
                  <c:v>41826</c:v>
                </c:pt>
                <c:pt idx="187">
                  <c:v>41827</c:v>
                </c:pt>
                <c:pt idx="188">
                  <c:v>41828</c:v>
                </c:pt>
                <c:pt idx="189">
                  <c:v>41829</c:v>
                </c:pt>
                <c:pt idx="190">
                  <c:v>41830</c:v>
                </c:pt>
                <c:pt idx="191">
                  <c:v>41831</c:v>
                </c:pt>
                <c:pt idx="192">
                  <c:v>41832</c:v>
                </c:pt>
                <c:pt idx="193">
                  <c:v>41833</c:v>
                </c:pt>
                <c:pt idx="194">
                  <c:v>41834</c:v>
                </c:pt>
                <c:pt idx="195">
                  <c:v>41835</c:v>
                </c:pt>
                <c:pt idx="196">
                  <c:v>41836</c:v>
                </c:pt>
                <c:pt idx="197">
                  <c:v>41837</c:v>
                </c:pt>
                <c:pt idx="198">
                  <c:v>41838</c:v>
                </c:pt>
                <c:pt idx="199">
                  <c:v>41839</c:v>
                </c:pt>
                <c:pt idx="200">
                  <c:v>41840</c:v>
                </c:pt>
                <c:pt idx="201">
                  <c:v>41841</c:v>
                </c:pt>
                <c:pt idx="202">
                  <c:v>41842</c:v>
                </c:pt>
                <c:pt idx="203">
                  <c:v>41843</c:v>
                </c:pt>
                <c:pt idx="204">
                  <c:v>41844</c:v>
                </c:pt>
                <c:pt idx="205">
                  <c:v>41845</c:v>
                </c:pt>
                <c:pt idx="206">
                  <c:v>41846</c:v>
                </c:pt>
                <c:pt idx="207">
                  <c:v>41847</c:v>
                </c:pt>
                <c:pt idx="208">
                  <c:v>41848</c:v>
                </c:pt>
                <c:pt idx="209">
                  <c:v>41849</c:v>
                </c:pt>
                <c:pt idx="210">
                  <c:v>41850</c:v>
                </c:pt>
                <c:pt idx="211">
                  <c:v>41851</c:v>
                </c:pt>
                <c:pt idx="212">
                  <c:v>41852</c:v>
                </c:pt>
                <c:pt idx="213">
                  <c:v>41853</c:v>
                </c:pt>
                <c:pt idx="214">
                  <c:v>41854</c:v>
                </c:pt>
                <c:pt idx="215">
                  <c:v>41855</c:v>
                </c:pt>
                <c:pt idx="216">
                  <c:v>41856</c:v>
                </c:pt>
                <c:pt idx="217">
                  <c:v>41857</c:v>
                </c:pt>
                <c:pt idx="218">
                  <c:v>41858</c:v>
                </c:pt>
                <c:pt idx="219">
                  <c:v>41859</c:v>
                </c:pt>
                <c:pt idx="220">
                  <c:v>41860</c:v>
                </c:pt>
                <c:pt idx="221">
                  <c:v>41861</c:v>
                </c:pt>
                <c:pt idx="222">
                  <c:v>41862</c:v>
                </c:pt>
                <c:pt idx="223">
                  <c:v>41863</c:v>
                </c:pt>
                <c:pt idx="224">
                  <c:v>41864</c:v>
                </c:pt>
                <c:pt idx="225">
                  <c:v>41865</c:v>
                </c:pt>
                <c:pt idx="226">
                  <c:v>41866</c:v>
                </c:pt>
                <c:pt idx="227">
                  <c:v>41867</c:v>
                </c:pt>
                <c:pt idx="228">
                  <c:v>41868</c:v>
                </c:pt>
                <c:pt idx="229">
                  <c:v>41869</c:v>
                </c:pt>
                <c:pt idx="230">
                  <c:v>41870</c:v>
                </c:pt>
                <c:pt idx="231">
                  <c:v>41871</c:v>
                </c:pt>
                <c:pt idx="232">
                  <c:v>41872</c:v>
                </c:pt>
                <c:pt idx="233">
                  <c:v>41873</c:v>
                </c:pt>
                <c:pt idx="234">
                  <c:v>41874</c:v>
                </c:pt>
                <c:pt idx="235">
                  <c:v>41875</c:v>
                </c:pt>
                <c:pt idx="236">
                  <c:v>41876</c:v>
                </c:pt>
                <c:pt idx="237">
                  <c:v>41877</c:v>
                </c:pt>
                <c:pt idx="238">
                  <c:v>41878</c:v>
                </c:pt>
                <c:pt idx="239">
                  <c:v>41879</c:v>
                </c:pt>
                <c:pt idx="240">
                  <c:v>41880</c:v>
                </c:pt>
                <c:pt idx="241">
                  <c:v>41881</c:v>
                </c:pt>
                <c:pt idx="242">
                  <c:v>41882</c:v>
                </c:pt>
                <c:pt idx="243">
                  <c:v>41883</c:v>
                </c:pt>
                <c:pt idx="244">
                  <c:v>41884</c:v>
                </c:pt>
                <c:pt idx="245">
                  <c:v>41885</c:v>
                </c:pt>
                <c:pt idx="246">
                  <c:v>41886</c:v>
                </c:pt>
                <c:pt idx="247">
                  <c:v>41887</c:v>
                </c:pt>
                <c:pt idx="248">
                  <c:v>41888</c:v>
                </c:pt>
                <c:pt idx="249">
                  <c:v>41889</c:v>
                </c:pt>
                <c:pt idx="250">
                  <c:v>41890</c:v>
                </c:pt>
                <c:pt idx="251">
                  <c:v>41891</c:v>
                </c:pt>
                <c:pt idx="252">
                  <c:v>41892</c:v>
                </c:pt>
                <c:pt idx="253">
                  <c:v>41893</c:v>
                </c:pt>
                <c:pt idx="254">
                  <c:v>41894</c:v>
                </c:pt>
                <c:pt idx="255">
                  <c:v>41895</c:v>
                </c:pt>
                <c:pt idx="256">
                  <c:v>41896</c:v>
                </c:pt>
                <c:pt idx="257">
                  <c:v>41897</c:v>
                </c:pt>
                <c:pt idx="258">
                  <c:v>41898</c:v>
                </c:pt>
                <c:pt idx="259">
                  <c:v>41899</c:v>
                </c:pt>
                <c:pt idx="260">
                  <c:v>41900</c:v>
                </c:pt>
                <c:pt idx="261">
                  <c:v>41901</c:v>
                </c:pt>
                <c:pt idx="262">
                  <c:v>41902</c:v>
                </c:pt>
                <c:pt idx="263">
                  <c:v>41903</c:v>
                </c:pt>
                <c:pt idx="264">
                  <c:v>41904</c:v>
                </c:pt>
                <c:pt idx="265">
                  <c:v>41905</c:v>
                </c:pt>
                <c:pt idx="266">
                  <c:v>41906</c:v>
                </c:pt>
                <c:pt idx="267">
                  <c:v>41907</c:v>
                </c:pt>
                <c:pt idx="268">
                  <c:v>41908</c:v>
                </c:pt>
                <c:pt idx="269">
                  <c:v>41909</c:v>
                </c:pt>
                <c:pt idx="270">
                  <c:v>41910</c:v>
                </c:pt>
                <c:pt idx="271">
                  <c:v>41911</c:v>
                </c:pt>
                <c:pt idx="272">
                  <c:v>41912</c:v>
                </c:pt>
                <c:pt idx="273">
                  <c:v>41913</c:v>
                </c:pt>
                <c:pt idx="274">
                  <c:v>41914</c:v>
                </c:pt>
                <c:pt idx="275">
                  <c:v>41915</c:v>
                </c:pt>
                <c:pt idx="276">
                  <c:v>41916</c:v>
                </c:pt>
                <c:pt idx="277">
                  <c:v>41917</c:v>
                </c:pt>
                <c:pt idx="278">
                  <c:v>41918</c:v>
                </c:pt>
                <c:pt idx="279">
                  <c:v>41919</c:v>
                </c:pt>
                <c:pt idx="280">
                  <c:v>41920</c:v>
                </c:pt>
                <c:pt idx="281">
                  <c:v>41921</c:v>
                </c:pt>
                <c:pt idx="282">
                  <c:v>41922</c:v>
                </c:pt>
                <c:pt idx="283">
                  <c:v>41923</c:v>
                </c:pt>
                <c:pt idx="284">
                  <c:v>41924</c:v>
                </c:pt>
                <c:pt idx="285">
                  <c:v>41925</c:v>
                </c:pt>
                <c:pt idx="286">
                  <c:v>41926</c:v>
                </c:pt>
                <c:pt idx="287">
                  <c:v>41927</c:v>
                </c:pt>
                <c:pt idx="288">
                  <c:v>41928</c:v>
                </c:pt>
                <c:pt idx="289">
                  <c:v>41929</c:v>
                </c:pt>
                <c:pt idx="290">
                  <c:v>41930</c:v>
                </c:pt>
                <c:pt idx="291">
                  <c:v>41931</c:v>
                </c:pt>
                <c:pt idx="292">
                  <c:v>41932</c:v>
                </c:pt>
                <c:pt idx="293">
                  <c:v>41933</c:v>
                </c:pt>
                <c:pt idx="294">
                  <c:v>41934</c:v>
                </c:pt>
                <c:pt idx="295">
                  <c:v>41935</c:v>
                </c:pt>
                <c:pt idx="296">
                  <c:v>41936</c:v>
                </c:pt>
                <c:pt idx="297">
                  <c:v>41937</c:v>
                </c:pt>
                <c:pt idx="298">
                  <c:v>41938</c:v>
                </c:pt>
                <c:pt idx="299">
                  <c:v>41939</c:v>
                </c:pt>
                <c:pt idx="300">
                  <c:v>41940</c:v>
                </c:pt>
                <c:pt idx="301">
                  <c:v>41941</c:v>
                </c:pt>
                <c:pt idx="302">
                  <c:v>41942</c:v>
                </c:pt>
                <c:pt idx="303">
                  <c:v>41943</c:v>
                </c:pt>
                <c:pt idx="304">
                  <c:v>41944</c:v>
                </c:pt>
                <c:pt idx="305">
                  <c:v>41945</c:v>
                </c:pt>
                <c:pt idx="306">
                  <c:v>41946</c:v>
                </c:pt>
                <c:pt idx="307">
                  <c:v>41947</c:v>
                </c:pt>
                <c:pt idx="308">
                  <c:v>41948</c:v>
                </c:pt>
                <c:pt idx="309">
                  <c:v>41949</c:v>
                </c:pt>
                <c:pt idx="310">
                  <c:v>41950</c:v>
                </c:pt>
                <c:pt idx="311">
                  <c:v>41951</c:v>
                </c:pt>
                <c:pt idx="312">
                  <c:v>41952</c:v>
                </c:pt>
                <c:pt idx="313">
                  <c:v>41953</c:v>
                </c:pt>
                <c:pt idx="314">
                  <c:v>41954</c:v>
                </c:pt>
                <c:pt idx="315">
                  <c:v>41955</c:v>
                </c:pt>
                <c:pt idx="316">
                  <c:v>41956</c:v>
                </c:pt>
                <c:pt idx="317">
                  <c:v>41957</c:v>
                </c:pt>
                <c:pt idx="318">
                  <c:v>41958</c:v>
                </c:pt>
                <c:pt idx="319">
                  <c:v>41959</c:v>
                </c:pt>
                <c:pt idx="320">
                  <c:v>41960</c:v>
                </c:pt>
                <c:pt idx="321">
                  <c:v>41961</c:v>
                </c:pt>
                <c:pt idx="322">
                  <c:v>41962</c:v>
                </c:pt>
                <c:pt idx="323">
                  <c:v>41963</c:v>
                </c:pt>
                <c:pt idx="324">
                  <c:v>41964</c:v>
                </c:pt>
                <c:pt idx="325">
                  <c:v>41965</c:v>
                </c:pt>
                <c:pt idx="326">
                  <c:v>41966</c:v>
                </c:pt>
                <c:pt idx="327">
                  <c:v>41967</c:v>
                </c:pt>
                <c:pt idx="328">
                  <c:v>41968</c:v>
                </c:pt>
                <c:pt idx="329">
                  <c:v>41969</c:v>
                </c:pt>
                <c:pt idx="330">
                  <c:v>41970</c:v>
                </c:pt>
                <c:pt idx="331">
                  <c:v>41971</c:v>
                </c:pt>
                <c:pt idx="332">
                  <c:v>41972</c:v>
                </c:pt>
                <c:pt idx="333">
                  <c:v>41973</c:v>
                </c:pt>
                <c:pt idx="334">
                  <c:v>41974</c:v>
                </c:pt>
                <c:pt idx="335">
                  <c:v>41975</c:v>
                </c:pt>
                <c:pt idx="336">
                  <c:v>41976</c:v>
                </c:pt>
                <c:pt idx="337">
                  <c:v>41977</c:v>
                </c:pt>
                <c:pt idx="338">
                  <c:v>41978</c:v>
                </c:pt>
                <c:pt idx="339">
                  <c:v>41979</c:v>
                </c:pt>
                <c:pt idx="340">
                  <c:v>41980</c:v>
                </c:pt>
                <c:pt idx="341">
                  <c:v>41981</c:v>
                </c:pt>
                <c:pt idx="342">
                  <c:v>41982</c:v>
                </c:pt>
                <c:pt idx="343">
                  <c:v>41983</c:v>
                </c:pt>
                <c:pt idx="344">
                  <c:v>41984</c:v>
                </c:pt>
                <c:pt idx="345">
                  <c:v>41985</c:v>
                </c:pt>
                <c:pt idx="346">
                  <c:v>41986</c:v>
                </c:pt>
                <c:pt idx="347">
                  <c:v>41987</c:v>
                </c:pt>
                <c:pt idx="348">
                  <c:v>41988</c:v>
                </c:pt>
                <c:pt idx="349">
                  <c:v>41989</c:v>
                </c:pt>
                <c:pt idx="350">
                  <c:v>41990</c:v>
                </c:pt>
                <c:pt idx="351">
                  <c:v>41991</c:v>
                </c:pt>
                <c:pt idx="352">
                  <c:v>41992</c:v>
                </c:pt>
                <c:pt idx="353">
                  <c:v>41993</c:v>
                </c:pt>
                <c:pt idx="354">
                  <c:v>41994</c:v>
                </c:pt>
                <c:pt idx="355">
                  <c:v>41995</c:v>
                </c:pt>
                <c:pt idx="356">
                  <c:v>41996</c:v>
                </c:pt>
                <c:pt idx="357">
                  <c:v>41997</c:v>
                </c:pt>
                <c:pt idx="358">
                  <c:v>41998</c:v>
                </c:pt>
                <c:pt idx="359">
                  <c:v>41999</c:v>
                </c:pt>
                <c:pt idx="360">
                  <c:v>42000</c:v>
                </c:pt>
                <c:pt idx="361">
                  <c:v>42001</c:v>
                </c:pt>
                <c:pt idx="362">
                  <c:v>42002</c:v>
                </c:pt>
                <c:pt idx="363">
                  <c:v>42003</c:v>
                </c:pt>
                <c:pt idx="364">
                  <c:v>42004</c:v>
                </c:pt>
                <c:pt idx="365">
                  <c:v>42005</c:v>
                </c:pt>
                <c:pt idx="366">
                  <c:v>42006</c:v>
                </c:pt>
                <c:pt idx="367">
                  <c:v>42007</c:v>
                </c:pt>
                <c:pt idx="368">
                  <c:v>42008</c:v>
                </c:pt>
                <c:pt idx="369">
                  <c:v>42009</c:v>
                </c:pt>
                <c:pt idx="370">
                  <c:v>42010</c:v>
                </c:pt>
                <c:pt idx="371">
                  <c:v>42011</c:v>
                </c:pt>
                <c:pt idx="372">
                  <c:v>42012</c:v>
                </c:pt>
                <c:pt idx="373">
                  <c:v>42013</c:v>
                </c:pt>
                <c:pt idx="374">
                  <c:v>42014</c:v>
                </c:pt>
                <c:pt idx="375">
                  <c:v>42015</c:v>
                </c:pt>
                <c:pt idx="376">
                  <c:v>42016</c:v>
                </c:pt>
                <c:pt idx="377">
                  <c:v>42017</c:v>
                </c:pt>
                <c:pt idx="378">
                  <c:v>42018</c:v>
                </c:pt>
                <c:pt idx="379">
                  <c:v>42019</c:v>
                </c:pt>
                <c:pt idx="380">
                  <c:v>42020</c:v>
                </c:pt>
                <c:pt idx="381">
                  <c:v>42021</c:v>
                </c:pt>
                <c:pt idx="382">
                  <c:v>42022</c:v>
                </c:pt>
                <c:pt idx="383">
                  <c:v>42023</c:v>
                </c:pt>
                <c:pt idx="384">
                  <c:v>42024</c:v>
                </c:pt>
                <c:pt idx="385">
                  <c:v>42025</c:v>
                </c:pt>
                <c:pt idx="386">
                  <c:v>42026</c:v>
                </c:pt>
                <c:pt idx="387">
                  <c:v>42027</c:v>
                </c:pt>
                <c:pt idx="388">
                  <c:v>42028</c:v>
                </c:pt>
                <c:pt idx="389">
                  <c:v>42029</c:v>
                </c:pt>
                <c:pt idx="390">
                  <c:v>42030</c:v>
                </c:pt>
                <c:pt idx="391">
                  <c:v>42031</c:v>
                </c:pt>
                <c:pt idx="392">
                  <c:v>42032</c:v>
                </c:pt>
                <c:pt idx="393">
                  <c:v>42033</c:v>
                </c:pt>
                <c:pt idx="394">
                  <c:v>42034</c:v>
                </c:pt>
                <c:pt idx="395">
                  <c:v>42035</c:v>
                </c:pt>
                <c:pt idx="396">
                  <c:v>42036</c:v>
                </c:pt>
                <c:pt idx="397">
                  <c:v>42037</c:v>
                </c:pt>
                <c:pt idx="398">
                  <c:v>42038</c:v>
                </c:pt>
                <c:pt idx="399">
                  <c:v>42039</c:v>
                </c:pt>
                <c:pt idx="400">
                  <c:v>42040</c:v>
                </c:pt>
                <c:pt idx="401">
                  <c:v>42041</c:v>
                </c:pt>
                <c:pt idx="402">
                  <c:v>42042</c:v>
                </c:pt>
                <c:pt idx="403">
                  <c:v>42043</c:v>
                </c:pt>
                <c:pt idx="404">
                  <c:v>42044</c:v>
                </c:pt>
                <c:pt idx="405">
                  <c:v>42045</c:v>
                </c:pt>
                <c:pt idx="406">
                  <c:v>42046</c:v>
                </c:pt>
                <c:pt idx="407">
                  <c:v>42047</c:v>
                </c:pt>
                <c:pt idx="408">
                  <c:v>42048</c:v>
                </c:pt>
                <c:pt idx="409">
                  <c:v>42049</c:v>
                </c:pt>
                <c:pt idx="410">
                  <c:v>42050</c:v>
                </c:pt>
                <c:pt idx="411">
                  <c:v>42051</c:v>
                </c:pt>
                <c:pt idx="412">
                  <c:v>42052</c:v>
                </c:pt>
                <c:pt idx="413">
                  <c:v>42053</c:v>
                </c:pt>
                <c:pt idx="414">
                  <c:v>42054</c:v>
                </c:pt>
                <c:pt idx="415">
                  <c:v>42055</c:v>
                </c:pt>
                <c:pt idx="416">
                  <c:v>42056</c:v>
                </c:pt>
                <c:pt idx="417">
                  <c:v>42057</c:v>
                </c:pt>
                <c:pt idx="418">
                  <c:v>42058</c:v>
                </c:pt>
                <c:pt idx="419">
                  <c:v>42059</c:v>
                </c:pt>
                <c:pt idx="420">
                  <c:v>42060</c:v>
                </c:pt>
                <c:pt idx="421">
                  <c:v>42061</c:v>
                </c:pt>
                <c:pt idx="422">
                  <c:v>42062</c:v>
                </c:pt>
                <c:pt idx="423">
                  <c:v>42063</c:v>
                </c:pt>
                <c:pt idx="424">
                  <c:v>42064</c:v>
                </c:pt>
                <c:pt idx="425">
                  <c:v>42065</c:v>
                </c:pt>
                <c:pt idx="426">
                  <c:v>42066</c:v>
                </c:pt>
                <c:pt idx="427">
                  <c:v>42067</c:v>
                </c:pt>
                <c:pt idx="428">
                  <c:v>42068</c:v>
                </c:pt>
                <c:pt idx="429">
                  <c:v>42069</c:v>
                </c:pt>
                <c:pt idx="430">
                  <c:v>42070</c:v>
                </c:pt>
                <c:pt idx="431">
                  <c:v>42071</c:v>
                </c:pt>
                <c:pt idx="432">
                  <c:v>42072</c:v>
                </c:pt>
                <c:pt idx="433">
                  <c:v>42073</c:v>
                </c:pt>
                <c:pt idx="434">
                  <c:v>42074</c:v>
                </c:pt>
                <c:pt idx="435">
                  <c:v>42075</c:v>
                </c:pt>
                <c:pt idx="436">
                  <c:v>42076</c:v>
                </c:pt>
                <c:pt idx="437">
                  <c:v>42077</c:v>
                </c:pt>
                <c:pt idx="438">
                  <c:v>42078</c:v>
                </c:pt>
                <c:pt idx="439">
                  <c:v>42079</c:v>
                </c:pt>
                <c:pt idx="440">
                  <c:v>42080</c:v>
                </c:pt>
                <c:pt idx="441">
                  <c:v>42081</c:v>
                </c:pt>
                <c:pt idx="442">
                  <c:v>42082</c:v>
                </c:pt>
                <c:pt idx="443">
                  <c:v>42083</c:v>
                </c:pt>
                <c:pt idx="444">
                  <c:v>42084</c:v>
                </c:pt>
                <c:pt idx="445">
                  <c:v>42085</c:v>
                </c:pt>
                <c:pt idx="446">
                  <c:v>42086</c:v>
                </c:pt>
                <c:pt idx="447">
                  <c:v>42087</c:v>
                </c:pt>
                <c:pt idx="448">
                  <c:v>42088</c:v>
                </c:pt>
                <c:pt idx="449">
                  <c:v>42089</c:v>
                </c:pt>
                <c:pt idx="450">
                  <c:v>42090</c:v>
                </c:pt>
                <c:pt idx="451">
                  <c:v>42091</c:v>
                </c:pt>
                <c:pt idx="452">
                  <c:v>42092</c:v>
                </c:pt>
                <c:pt idx="453">
                  <c:v>42093</c:v>
                </c:pt>
                <c:pt idx="454">
                  <c:v>42094</c:v>
                </c:pt>
                <c:pt idx="455">
                  <c:v>42095</c:v>
                </c:pt>
                <c:pt idx="456">
                  <c:v>42096</c:v>
                </c:pt>
                <c:pt idx="457">
                  <c:v>42097</c:v>
                </c:pt>
                <c:pt idx="458">
                  <c:v>42098</c:v>
                </c:pt>
                <c:pt idx="459">
                  <c:v>42099</c:v>
                </c:pt>
                <c:pt idx="460">
                  <c:v>42100</c:v>
                </c:pt>
                <c:pt idx="461">
                  <c:v>42101</c:v>
                </c:pt>
                <c:pt idx="462">
                  <c:v>42102</c:v>
                </c:pt>
                <c:pt idx="463">
                  <c:v>42103</c:v>
                </c:pt>
                <c:pt idx="464">
                  <c:v>42104</c:v>
                </c:pt>
                <c:pt idx="465">
                  <c:v>42105</c:v>
                </c:pt>
                <c:pt idx="466">
                  <c:v>42106</c:v>
                </c:pt>
                <c:pt idx="467">
                  <c:v>42107</c:v>
                </c:pt>
                <c:pt idx="468">
                  <c:v>42108</c:v>
                </c:pt>
                <c:pt idx="469">
                  <c:v>42109</c:v>
                </c:pt>
                <c:pt idx="470">
                  <c:v>42110</c:v>
                </c:pt>
                <c:pt idx="471">
                  <c:v>42111</c:v>
                </c:pt>
                <c:pt idx="472">
                  <c:v>42112</c:v>
                </c:pt>
                <c:pt idx="473">
                  <c:v>42113</c:v>
                </c:pt>
                <c:pt idx="474">
                  <c:v>42114</c:v>
                </c:pt>
                <c:pt idx="475">
                  <c:v>42115</c:v>
                </c:pt>
                <c:pt idx="476">
                  <c:v>42116</c:v>
                </c:pt>
                <c:pt idx="477">
                  <c:v>42117</c:v>
                </c:pt>
                <c:pt idx="478">
                  <c:v>42118</c:v>
                </c:pt>
                <c:pt idx="479">
                  <c:v>42119</c:v>
                </c:pt>
                <c:pt idx="480">
                  <c:v>42120</c:v>
                </c:pt>
                <c:pt idx="481">
                  <c:v>42121</c:v>
                </c:pt>
                <c:pt idx="482">
                  <c:v>42122</c:v>
                </c:pt>
                <c:pt idx="483">
                  <c:v>42123</c:v>
                </c:pt>
                <c:pt idx="484">
                  <c:v>42124</c:v>
                </c:pt>
                <c:pt idx="485">
                  <c:v>42125</c:v>
                </c:pt>
                <c:pt idx="486">
                  <c:v>42126</c:v>
                </c:pt>
                <c:pt idx="487">
                  <c:v>42127</c:v>
                </c:pt>
                <c:pt idx="488">
                  <c:v>42128</c:v>
                </c:pt>
                <c:pt idx="489">
                  <c:v>42129</c:v>
                </c:pt>
                <c:pt idx="490">
                  <c:v>42130</c:v>
                </c:pt>
                <c:pt idx="491">
                  <c:v>42131</c:v>
                </c:pt>
                <c:pt idx="492">
                  <c:v>42132</c:v>
                </c:pt>
                <c:pt idx="493">
                  <c:v>42133</c:v>
                </c:pt>
                <c:pt idx="494">
                  <c:v>42134</c:v>
                </c:pt>
                <c:pt idx="495">
                  <c:v>42135</c:v>
                </c:pt>
                <c:pt idx="496">
                  <c:v>42136</c:v>
                </c:pt>
                <c:pt idx="497">
                  <c:v>42137</c:v>
                </c:pt>
                <c:pt idx="498">
                  <c:v>42138</c:v>
                </c:pt>
                <c:pt idx="499">
                  <c:v>42139</c:v>
                </c:pt>
                <c:pt idx="500">
                  <c:v>42140</c:v>
                </c:pt>
                <c:pt idx="501">
                  <c:v>42141</c:v>
                </c:pt>
                <c:pt idx="502">
                  <c:v>42142</c:v>
                </c:pt>
                <c:pt idx="503">
                  <c:v>42143</c:v>
                </c:pt>
                <c:pt idx="504">
                  <c:v>42144</c:v>
                </c:pt>
                <c:pt idx="505">
                  <c:v>42145</c:v>
                </c:pt>
                <c:pt idx="506">
                  <c:v>42146</c:v>
                </c:pt>
                <c:pt idx="507">
                  <c:v>42147</c:v>
                </c:pt>
                <c:pt idx="508">
                  <c:v>42148</c:v>
                </c:pt>
                <c:pt idx="509">
                  <c:v>42149</c:v>
                </c:pt>
                <c:pt idx="510">
                  <c:v>42150</c:v>
                </c:pt>
                <c:pt idx="511">
                  <c:v>42151</c:v>
                </c:pt>
                <c:pt idx="512">
                  <c:v>42152</c:v>
                </c:pt>
                <c:pt idx="513">
                  <c:v>42153</c:v>
                </c:pt>
                <c:pt idx="514">
                  <c:v>42154</c:v>
                </c:pt>
                <c:pt idx="515">
                  <c:v>42155</c:v>
                </c:pt>
                <c:pt idx="516">
                  <c:v>42156</c:v>
                </c:pt>
                <c:pt idx="517">
                  <c:v>42157</c:v>
                </c:pt>
                <c:pt idx="518">
                  <c:v>42158</c:v>
                </c:pt>
                <c:pt idx="519">
                  <c:v>42159</c:v>
                </c:pt>
                <c:pt idx="520">
                  <c:v>42160</c:v>
                </c:pt>
                <c:pt idx="521">
                  <c:v>42161</c:v>
                </c:pt>
                <c:pt idx="522">
                  <c:v>42162</c:v>
                </c:pt>
                <c:pt idx="523">
                  <c:v>42163</c:v>
                </c:pt>
                <c:pt idx="524">
                  <c:v>42164</c:v>
                </c:pt>
                <c:pt idx="525">
                  <c:v>42165</c:v>
                </c:pt>
                <c:pt idx="526">
                  <c:v>42166</c:v>
                </c:pt>
                <c:pt idx="527">
                  <c:v>42167</c:v>
                </c:pt>
                <c:pt idx="528">
                  <c:v>42168</c:v>
                </c:pt>
                <c:pt idx="529">
                  <c:v>42169</c:v>
                </c:pt>
                <c:pt idx="530">
                  <c:v>42170</c:v>
                </c:pt>
                <c:pt idx="531">
                  <c:v>42171</c:v>
                </c:pt>
                <c:pt idx="532">
                  <c:v>42172</c:v>
                </c:pt>
                <c:pt idx="533">
                  <c:v>42173</c:v>
                </c:pt>
                <c:pt idx="534">
                  <c:v>42174</c:v>
                </c:pt>
                <c:pt idx="535">
                  <c:v>42175</c:v>
                </c:pt>
                <c:pt idx="536">
                  <c:v>42176</c:v>
                </c:pt>
                <c:pt idx="537">
                  <c:v>42177</c:v>
                </c:pt>
                <c:pt idx="538">
                  <c:v>42178</c:v>
                </c:pt>
                <c:pt idx="539">
                  <c:v>42179</c:v>
                </c:pt>
                <c:pt idx="540">
                  <c:v>42180</c:v>
                </c:pt>
                <c:pt idx="541">
                  <c:v>42181</c:v>
                </c:pt>
                <c:pt idx="542">
                  <c:v>42182</c:v>
                </c:pt>
                <c:pt idx="543">
                  <c:v>42183</c:v>
                </c:pt>
                <c:pt idx="544">
                  <c:v>42184</c:v>
                </c:pt>
                <c:pt idx="545">
                  <c:v>42185</c:v>
                </c:pt>
                <c:pt idx="546">
                  <c:v>42186</c:v>
                </c:pt>
                <c:pt idx="547">
                  <c:v>42187</c:v>
                </c:pt>
                <c:pt idx="548">
                  <c:v>42188</c:v>
                </c:pt>
                <c:pt idx="549">
                  <c:v>42189</c:v>
                </c:pt>
                <c:pt idx="550">
                  <c:v>42190</c:v>
                </c:pt>
                <c:pt idx="551">
                  <c:v>42191</c:v>
                </c:pt>
                <c:pt idx="552">
                  <c:v>42192</c:v>
                </c:pt>
                <c:pt idx="553">
                  <c:v>42193</c:v>
                </c:pt>
                <c:pt idx="554">
                  <c:v>42194</c:v>
                </c:pt>
                <c:pt idx="555">
                  <c:v>42195</c:v>
                </c:pt>
                <c:pt idx="556">
                  <c:v>42196</c:v>
                </c:pt>
                <c:pt idx="557">
                  <c:v>42197</c:v>
                </c:pt>
                <c:pt idx="558">
                  <c:v>42198</c:v>
                </c:pt>
                <c:pt idx="559">
                  <c:v>42199</c:v>
                </c:pt>
                <c:pt idx="560">
                  <c:v>42200</c:v>
                </c:pt>
                <c:pt idx="561">
                  <c:v>42201</c:v>
                </c:pt>
                <c:pt idx="562">
                  <c:v>42202</c:v>
                </c:pt>
                <c:pt idx="563">
                  <c:v>42203</c:v>
                </c:pt>
                <c:pt idx="564">
                  <c:v>42204</c:v>
                </c:pt>
                <c:pt idx="565">
                  <c:v>42205</c:v>
                </c:pt>
                <c:pt idx="566">
                  <c:v>42206</c:v>
                </c:pt>
                <c:pt idx="567">
                  <c:v>42207</c:v>
                </c:pt>
                <c:pt idx="568">
                  <c:v>42208</c:v>
                </c:pt>
                <c:pt idx="569">
                  <c:v>42209</c:v>
                </c:pt>
                <c:pt idx="570">
                  <c:v>42210</c:v>
                </c:pt>
                <c:pt idx="571">
                  <c:v>42211</c:v>
                </c:pt>
                <c:pt idx="572">
                  <c:v>42212</c:v>
                </c:pt>
                <c:pt idx="573">
                  <c:v>42213</c:v>
                </c:pt>
                <c:pt idx="574">
                  <c:v>42214</c:v>
                </c:pt>
                <c:pt idx="575">
                  <c:v>42215</c:v>
                </c:pt>
                <c:pt idx="576">
                  <c:v>42216</c:v>
                </c:pt>
              </c:numCache>
            </c:numRef>
          </c:xVal>
          <c:yVal>
            <c:numRef>
              <c:f>Crop!$L$49:$L$625</c:f>
              <c:numCache>
                <c:formatCode>0.00</c:formatCode>
                <c:ptCount val="577"/>
                <c:pt idx="0">
                  <c:v>0.94034754308832524</c:v>
                </c:pt>
                <c:pt idx="1">
                  <c:v>0.93755718163841528</c:v>
                </c:pt>
                <c:pt idx="2">
                  <c:v>0.93476682018850532</c:v>
                </c:pt>
                <c:pt idx="3">
                  <c:v>0.93197645873859536</c:v>
                </c:pt>
                <c:pt idx="4">
                  <c:v>0.9291860972886854</c:v>
                </c:pt>
                <c:pt idx="5">
                  <c:v>0.92639573583877521</c:v>
                </c:pt>
                <c:pt idx="6">
                  <c:v>0.93077895058450666</c:v>
                </c:pt>
                <c:pt idx="7">
                  <c:v>0.93632780254464432</c:v>
                </c:pt>
                <c:pt idx="8">
                  <c:v>0.94300294252322692</c:v>
                </c:pt>
                <c:pt idx="9">
                  <c:v>0.95076502132429297</c:v>
                </c:pt>
                <c:pt idx="10">
                  <c:v>0.95957468975188176</c:v>
                </c:pt>
                <c:pt idx="11">
                  <c:v>0.9693925986100318</c:v>
                </c:pt>
                <c:pt idx="12">
                  <c:v>0.98017939870278192</c:v>
                </c:pt>
                <c:pt idx="13">
                  <c:v>0.99189574083417142</c:v>
                </c:pt>
                <c:pt idx="14">
                  <c:v>1.0045022758082387</c:v>
                </c:pt>
                <c:pt idx="15">
                  <c:v>1.0179620672571157</c:v>
                </c:pt>
                <c:pt idx="16">
                  <c:v>1.032247830125304</c:v>
                </c:pt>
                <c:pt idx="17">
                  <c:v>1.047334692185399</c:v>
                </c:pt>
                <c:pt idx="18">
                  <c:v>1.0631977812099955</c:v>
                </c:pt>
                <c:pt idx="19">
                  <c:v>1.0798122249716882</c:v>
                </c:pt>
                <c:pt idx="20">
                  <c:v>1.0971531512430717</c:v>
                </c:pt>
                <c:pt idx="21">
                  <c:v>1.1151956877967413</c:v>
                </c:pt>
                <c:pt idx="22">
                  <c:v>1.133914962405292</c:v>
                </c:pt>
                <c:pt idx="23">
                  <c:v>1.1532861028413177</c:v>
                </c:pt>
                <c:pt idx="24">
                  <c:v>1.1732842368774141</c:v>
                </c:pt>
                <c:pt idx="25">
                  <c:v>1.193884492286176</c:v>
                </c:pt>
                <c:pt idx="26">
                  <c:v>1.2150619968401979</c:v>
                </c:pt>
                <c:pt idx="27">
                  <c:v>1.236791878312075</c:v>
                </c:pt>
                <c:pt idx="28">
                  <c:v>1.2590492644744016</c:v>
                </c:pt>
                <c:pt idx="29">
                  <c:v>1.2818092830997729</c:v>
                </c:pt>
                <c:pt idx="30">
                  <c:v>1.3050470619607843</c:v>
                </c:pt>
                <c:pt idx="31">
                  <c:v>1.3287377288300295</c:v>
                </c:pt>
                <c:pt idx="32">
                  <c:v>1.3528564114801045</c:v>
                </c:pt>
                <c:pt idx="33">
                  <c:v>1.377378237683603</c:v>
                </c:pt>
                <c:pt idx="34">
                  <c:v>1.4022783352131207</c:v>
                </c:pt>
                <c:pt idx="35">
                  <c:v>1.4275318318412524</c:v>
                </c:pt>
                <c:pt idx="36">
                  <c:v>1.4531138553405927</c:v>
                </c:pt>
                <c:pt idx="37">
                  <c:v>1.4789995334837365</c:v>
                </c:pt>
                <c:pt idx="38">
                  <c:v>1.5051639940432782</c:v>
                </c:pt>
                <c:pt idx="39">
                  <c:v>1.5315823647918134</c:v>
                </c:pt>
                <c:pt idx="40">
                  <c:v>1.5582297735019368</c:v>
                </c:pt>
                <c:pt idx="41">
                  <c:v>1.5850813479462431</c:v>
                </c:pt>
                <c:pt idx="42">
                  <c:v>1.6121122158973267</c:v>
                </c:pt>
                <c:pt idx="43">
                  <c:v>1.6392975051277832</c:v>
                </c:pt>
                <c:pt idx="44">
                  <c:v>1.6666123434102071</c:v>
                </c:pt>
                <c:pt idx="45">
                  <c:v>1.6940318585171934</c:v>
                </c:pt>
                <c:pt idx="46">
                  <c:v>1.7215417764472893</c:v>
                </c:pt>
                <c:pt idx="47">
                  <c:v>1.7491702161028528</c:v>
                </c:pt>
                <c:pt idx="48">
                  <c:v>1.7769558946121939</c:v>
                </c:pt>
                <c:pt idx="49">
                  <c:v>1.8049375291036236</c:v>
                </c:pt>
                <c:pt idx="50">
                  <c:v>1.8331538367054514</c:v>
                </c:pt>
                <c:pt idx="51">
                  <c:v>1.861643534545989</c:v>
                </c:pt>
                <c:pt idx="52">
                  <c:v>1.8904453397535455</c:v>
                </c:pt>
                <c:pt idx="53">
                  <c:v>1.9195979694564316</c:v>
                </c:pt>
                <c:pt idx="54">
                  <c:v>1.9491401407829581</c:v>
                </c:pt>
                <c:pt idx="55">
                  <c:v>1.9791105708614347</c:v>
                </c:pt>
                <c:pt idx="56">
                  <c:v>2.0095479768201732</c:v>
                </c:pt>
                <c:pt idx="57">
                  <c:v>2.0404910757874815</c:v>
                </c:pt>
                <c:pt idx="58">
                  <c:v>2.0719785848916725</c:v>
                </c:pt>
                <c:pt idx="59">
                  <c:v>2.1040492212610551</c:v>
                </c:pt>
                <c:pt idx="60">
                  <c:v>2.1367417020239401</c:v>
                </c:pt>
                <c:pt idx="61">
                  <c:v>2.1700947443086385</c:v>
                </c:pt>
                <c:pt idx="62">
                  <c:v>2.2041470652434585</c:v>
                </c:pt>
                <c:pt idx="63">
                  <c:v>2.2389373819567133</c:v>
                </c:pt>
                <c:pt idx="64">
                  <c:v>2.2745044115767117</c:v>
                </c:pt>
                <c:pt idx="65">
                  <c:v>2.3108868712317641</c:v>
                </c:pt>
                <c:pt idx="66">
                  <c:v>2.3481234780501814</c:v>
                </c:pt>
                <c:pt idx="67">
                  <c:v>2.3862529491602733</c:v>
                </c:pt>
                <c:pt idx="68">
                  <c:v>2.4253140016903516</c:v>
                </c:pt>
                <c:pt idx="69">
                  <c:v>2.4653453527687246</c:v>
                </c:pt>
                <c:pt idx="70">
                  <c:v>2.506385719523704</c:v>
                </c:pt>
                <c:pt idx="71">
                  <c:v>2.5484738190836005</c:v>
                </c:pt>
                <c:pt idx="72">
                  <c:v>2.5916483685767231</c:v>
                </c:pt>
                <c:pt idx="73">
                  <c:v>2.6359480851313828</c:v>
                </c:pt>
                <c:pt idx="74">
                  <c:v>2.6814116858758905</c:v>
                </c:pt>
                <c:pt idx="75">
                  <c:v>2.7280778879385563</c:v>
                </c:pt>
                <c:pt idx="76">
                  <c:v>2.7759654219725172</c:v>
                </c:pt>
                <c:pt idx="77">
                  <c:v>2.8250130727302176</c:v>
                </c:pt>
                <c:pt idx="78">
                  <c:v>2.8751396384889283</c:v>
                </c:pt>
                <c:pt idx="79">
                  <c:v>2.9262639175259211</c:v>
                </c:pt>
                <c:pt idx="80">
                  <c:v>2.978304708118467</c:v>
                </c:pt>
                <c:pt idx="81">
                  <c:v>3.0311808085438354</c:v>
                </c:pt>
                <c:pt idx="82">
                  <c:v>3.0848110170792999</c:v>
                </c:pt>
                <c:pt idx="83">
                  <c:v>3.1391141320021307</c:v>
                </c:pt>
                <c:pt idx="84">
                  <c:v>3.1940089515895989</c:v>
                </c:pt>
                <c:pt idx="85">
                  <c:v>3.2494142741189744</c:v>
                </c:pt>
                <c:pt idx="86">
                  <c:v>3.3052488978675303</c:v>
                </c:pt>
                <c:pt idx="87">
                  <c:v>3.3614316211125357</c:v>
                </c:pt>
                <c:pt idx="88">
                  <c:v>3.4178812421312639</c:v>
                </c:pt>
                <c:pt idx="89">
                  <c:v>3.4745165592009837</c:v>
                </c:pt>
                <c:pt idx="90">
                  <c:v>3.5312563705989684</c:v>
                </c:pt>
                <c:pt idx="91">
                  <c:v>3.5880194746024872</c:v>
                </c:pt>
                <c:pt idx="92">
                  <c:v>3.6447246694888125</c:v>
                </c:pt>
                <c:pt idx="93">
                  <c:v>3.7012907535352157</c:v>
                </c:pt>
                <c:pt idx="94">
                  <c:v>3.7576365250189658</c:v>
                </c:pt>
                <c:pt idx="95">
                  <c:v>3.813680782217336</c:v>
                </c:pt>
                <c:pt idx="96">
                  <c:v>3.8693423234075963</c:v>
                </c:pt>
                <c:pt idx="97">
                  <c:v>3.9245399468670183</c:v>
                </c:pt>
                <c:pt idx="98">
                  <c:v>3.9791924508728735</c:v>
                </c:pt>
                <c:pt idx="99">
                  <c:v>4.0332186337024316</c:v>
                </c:pt>
                <c:pt idx="100">
                  <c:v>4.0865372936329658</c:v>
                </c:pt>
                <c:pt idx="101">
                  <c:v>4.1390672289417454</c:v>
                </c:pt>
                <c:pt idx="102">
                  <c:v>4.1907272379060423</c:v>
                </c:pt>
                <c:pt idx="103">
                  <c:v>4.2414361188031267</c:v>
                </c:pt>
                <c:pt idx="104">
                  <c:v>4.2911126699102713</c:v>
                </c:pt>
                <c:pt idx="105">
                  <c:v>4.3396756895047464</c:v>
                </c:pt>
                <c:pt idx="106">
                  <c:v>4.387043975863822</c:v>
                </c:pt>
                <c:pt idx="107">
                  <c:v>4.4331614375984358</c:v>
                </c:pt>
                <c:pt idx="108">
                  <c:v>4.4780724246541812</c:v>
                </c:pt>
                <c:pt idx="109">
                  <c:v>4.5218463973103189</c:v>
                </c:pt>
                <c:pt idx="110">
                  <c:v>4.5645528158461053</c:v>
                </c:pt>
                <c:pt idx="111">
                  <c:v>4.6062611405408038</c:v>
                </c:pt>
                <c:pt idx="112">
                  <c:v>4.64704083167367</c:v>
                </c:pt>
                <c:pt idx="113">
                  <c:v>4.6869613495239664</c:v>
                </c:pt>
                <c:pt idx="114">
                  <c:v>4.7260921543709484</c:v>
                </c:pt>
                <c:pt idx="115">
                  <c:v>4.7645027064938796</c:v>
                </c:pt>
                <c:pt idx="116">
                  <c:v>4.8022624661720164</c:v>
                </c:pt>
                <c:pt idx="117">
                  <c:v>4.8394408936846185</c:v>
                </c:pt>
                <c:pt idx="118">
                  <c:v>4.8761074493109486</c:v>
                </c:pt>
                <c:pt idx="119">
                  <c:v>4.9123315933302614</c:v>
                </c:pt>
                <c:pt idx="120">
                  <c:v>4.9481827860218184</c:v>
                </c:pt>
                <c:pt idx="121">
                  <c:v>4.9837304876648787</c:v>
                </c:pt>
                <c:pt idx="122">
                  <c:v>5.0190441585387022</c:v>
                </c:pt>
                <c:pt idx="123">
                  <c:v>5.0541932589225471</c:v>
                </c:pt>
                <c:pt idx="124">
                  <c:v>5.0892472490956724</c:v>
                </c:pt>
                <c:pt idx="125">
                  <c:v>5.1242755893373388</c:v>
                </c:pt>
                <c:pt idx="126">
                  <c:v>5.1593477399268064</c:v>
                </c:pt>
                <c:pt idx="127">
                  <c:v>5.1945331611433323</c:v>
                </c:pt>
                <c:pt idx="128">
                  <c:v>5.2299013132661765</c:v>
                </c:pt>
                <c:pt idx="129">
                  <c:v>5.2655216565746006</c:v>
                </c:pt>
                <c:pt idx="130">
                  <c:v>5.3014636513478592</c:v>
                </c:pt>
                <c:pt idx="131">
                  <c:v>5.337796757865215</c:v>
                </c:pt>
                <c:pt idx="132">
                  <c:v>5.3745904364059269</c:v>
                </c:pt>
                <c:pt idx="133">
                  <c:v>5.4119141472492549</c:v>
                </c:pt>
                <c:pt idx="134">
                  <c:v>5.4498373506744562</c:v>
                </c:pt>
                <c:pt idx="135">
                  <c:v>5.4884295069607925</c:v>
                </c:pt>
                <c:pt idx="136">
                  <c:v>5.527760076387521</c:v>
                </c:pt>
                <c:pt idx="137">
                  <c:v>5.5678747829203816</c:v>
                </c:pt>
                <c:pt idx="138">
                  <c:v>5.6087244052710208</c:v>
                </c:pt>
                <c:pt idx="139">
                  <c:v>5.6502359858375657</c:v>
                </c:pt>
                <c:pt idx="140">
                  <c:v>5.6923365670181481</c:v>
                </c:pt>
                <c:pt idx="141">
                  <c:v>5.7349531912108906</c:v>
                </c:pt>
                <c:pt idx="142">
                  <c:v>5.7780129008139216</c:v>
                </c:pt>
                <c:pt idx="143">
                  <c:v>5.82144273822537</c:v>
                </c:pt>
                <c:pt idx="144">
                  <c:v>5.865169745843362</c:v>
                </c:pt>
                <c:pt idx="145">
                  <c:v>5.909120966066026</c:v>
                </c:pt>
                <c:pt idx="146">
                  <c:v>5.9532234412914873</c:v>
                </c:pt>
                <c:pt idx="147">
                  <c:v>5.997404213917874</c:v>
                </c:pt>
                <c:pt idx="148">
                  <c:v>6.0415903263433135</c:v>
                </c:pt>
                <c:pt idx="149">
                  <c:v>6.0857088209659347</c:v>
                </c:pt>
                <c:pt idx="150">
                  <c:v>6.1296867401838613</c:v>
                </c:pt>
                <c:pt idx="151">
                  <c:v>6.1734511263952241</c:v>
                </c:pt>
                <c:pt idx="152">
                  <c:v>6.2169290219981495</c:v>
                </c:pt>
                <c:pt idx="153">
                  <c:v>6.2600474693907628</c:v>
                </c:pt>
                <c:pt idx="154">
                  <c:v>6.3027335109711942</c:v>
                </c:pt>
                <c:pt idx="155">
                  <c:v>6.3449141891375689</c:v>
                </c:pt>
                <c:pt idx="156">
                  <c:v>6.3865165462880151</c:v>
                </c:pt>
                <c:pt idx="157">
                  <c:v>6.4274676248206601</c:v>
                </c:pt>
                <c:pt idx="158">
                  <c:v>6.4676944671336312</c:v>
                </c:pt>
                <c:pt idx="159">
                  <c:v>6.5071241156250563</c:v>
                </c:pt>
                <c:pt idx="160">
                  <c:v>6.5456836126930602</c:v>
                </c:pt>
                <c:pt idx="161">
                  <c:v>6.5833000007357736</c:v>
                </c:pt>
                <c:pt idx="162">
                  <c:v>6.619900322151322</c:v>
                </c:pt>
                <c:pt idx="163">
                  <c:v>6.6554116193378325</c:v>
                </c:pt>
                <c:pt idx="164">
                  <c:v>6.6897609346934326</c:v>
                </c:pt>
                <c:pt idx="165">
                  <c:v>6.7228753106162502</c:v>
                </c:pt>
                <c:pt idx="166">
                  <c:v>6.7546817895044136</c:v>
                </c:pt>
                <c:pt idx="167">
                  <c:v>6.7851074137560472</c:v>
                </c:pt>
                <c:pt idx="168">
                  <c:v>6.8140941815019502</c:v>
                </c:pt>
                <c:pt idx="169">
                  <c:v>6.8416439138036091</c:v>
                </c:pt>
                <c:pt idx="170">
                  <c:v>6.8677733874551725</c:v>
                </c:pt>
                <c:pt idx="171">
                  <c:v>6.8924993792507969</c:v>
                </c:pt>
                <c:pt idx="172">
                  <c:v>6.9158386659846371</c:v>
                </c:pt>
                <c:pt idx="173">
                  <c:v>6.9378080244508462</c:v>
                </c:pt>
                <c:pt idx="174">
                  <c:v>6.9584242314435771</c:v>
                </c:pt>
                <c:pt idx="175">
                  <c:v>6.9777040637569847</c:v>
                </c:pt>
                <c:pt idx="176">
                  <c:v>6.995664298185222</c:v>
                </c:pt>
                <c:pt idx="177">
                  <c:v>7.0123217115224463</c:v>
                </c:pt>
                <c:pt idx="178">
                  <c:v>7.0276930805628064</c:v>
                </c:pt>
                <c:pt idx="179">
                  <c:v>7.0417951821004605</c:v>
                </c:pt>
                <c:pt idx="180">
                  <c:v>7.0546447929295608</c:v>
                </c:pt>
                <c:pt idx="181">
                  <c:v>7.0662586898442612</c:v>
                </c:pt>
                <c:pt idx="182">
                  <c:v>7.0766536496387156</c:v>
                </c:pt>
                <c:pt idx="183">
                  <c:v>7.0858464491070778</c:v>
                </c:pt>
                <c:pt idx="184">
                  <c:v>7.0938538650435019</c:v>
                </c:pt>
                <c:pt idx="185">
                  <c:v>7.1006926742421435</c:v>
                </c:pt>
                <c:pt idx="186">
                  <c:v>7.1063796534971519</c:v>
                </c:pt>
                <c:pt idx="187">
                  <c:v>7.1109315796026875</c:v>
                </c:pt>
                <c:pt idx="188">
                  <c:v>7.1143652293528987</c:v>
                </c:pt>
                <c:pt idx="189">
                  <c:v>7.1166973795419421</c:v>
                </c:pt>
                <c:pt idx="190">
                  <c:v>7.1179448069639726</c:v>
                </c:pt>
                <c:pt idx="191">
                  <c:v>7.1181242884131413</c:v>
                </c:pt>
                <c:pt idx="192">
                  <c:v>7.1172526006836039</c:v>
                </c:pt>
                <c:pt idx="193">
                  <c:v>7.1153465205695134</c:v>
                </c:pt>
                <c:pt idx="194">
                  <c:v>7.1124228248650248</c:v>
                </c:pt>
                <c:pt idx="195">
                  <c:v>7.1084982903642908</c:v>
                </c:pt>
                <c:pt idx="196">
                  <c:v>7.1035896938614673</c:v>
                </c:pt>
                <c:pt idx="197">
                  <c:v>7.0977138121507055</c:v>
                </c:pt>
                <c:pt idx="198">
                  <c:v>7.0908862869129381</c:v>
                </c:pt>
                <c:pt idx="199">
                  <c:v>7.0831182193761935</c:v>
                </c:pt>
                <c:pt idx="200">
                  <c:v>7.0744195756552841</c:v>
                </c:pt>
                <c:pt idx="201">
                  <c:v>7.0648003218650155</c:v>
                </c:pt>
                <c:pt idx="202">
                  <c:v>7.0542704241201983</c:v>
                </c:pt>
                <c:pt idx="203">
                  <c:v>7.0428398485356372</c:v>
                </c:pt>
                <c:pt idx="204">
                  <c:v>7.0305185612261427</c:v>
                </c:pt>
                <c:pt idx="205">
                  <c:v>7.0173165283065222</c:v>
                </c:pt>
                <c:pt idx="206">
                  <c:v>7.0032437158915837</c:v>
                </c:pt>
                <c:pt idx="207">
                  <c:v>6.9883100900961344</c:v>
                </c:pt>
                <c:pt idx="208">
                  <c:v>6.9725256170349859</c:v>
                </c:pt>
                <c:pt idx="209">
                  <c:v>6.9559002628229436</c:v>
                </c:pt>
                <c:pt idx="210">
                  <c:v>6.9384439935748148</c:v>
                </c:pt>
                <c:pt idx="211">
                  <c:v>6.9201667754054093</c:v>
                </c:pt>
                <c:pt idx="212">
                  <c:v>6.9010785744295369</c:v>
                </c:pt>
                <c:pt idx="213">
                  <c:v>6.8811893567620013</c:v>
                </c:pt>
                <c:pt idx="214">
                  <c:v>6.8605090885176132</c:v>
                </c:pt>
                <c:pt idx="215">
                  <c:v>6.8390477358111816</c:v>
                </c:pt>
                <c:pt idx="216">
                  <c:v>6.8168152647575129</c:v>
                </c:pt>
                <c:pt idx="217">
                  <c:v>6.7938216414714168</c:v>
                </c:pt>
                <c:pt idx="218">
                  <c:v>6.7700768320676987</c:v>
                </c:pt>
                <c:pt idx="219">
                  <c:v>6.7455908026611704</c:v>
                </c:pt>
                <c:pt idx="220">
                  <c:v>6.7203735193666381</c:v>
                </c:pt>
                <c:pt idx="221">
                  <c:v>6.6944349482989081</c:v>
                </c:pt>
                <c:pt idx="222">
                  <c:v>6.6677850555727929</c:v>
                </c:pt>
                <c:pt idx="223">
                  <c:v>6.640433807303098</c:v>
                </c:pt>
                <c:pt idx="224">
                  <c:v>6.6123911696046314</c:v>
                </c:pt>
                <c:pt idx="225">
                  <c:v>6.5836671085922021</c:v>
                </c:pt>
                <c:pt idx="226">
                  <c:v>6.5542715903806164</c:v>
                </c:pt>
                <c:pt idx="227">
                  <c:v>6.5242145810846859</c:v>
                </c:pt>
                <c:pt idx="228">
                  <c:v>6.4935060468192152</c:v>
                </c:pt>
                <c:pt idx="229">
                  <c:v>6.4621570499376428</c:v>
                </c:pt>
                <c:pt idx="230">
                  <c:v>6.4301830377479163</c:v>
                </c:pt>
                <c:pt idx="231">
                  <c:v>6.3976005537966154</c:v>
                </c:pt>
                <c:pt idx="232">
                  <c:v>6.3644261416303154</c:v>
                </c:pt>
                <c:pt idx="233">
                  <c:v>6.3306763447955943</c:v>
                </c:pt>
                <c:pt idx="234">
                  <c:v>6.29636770683903</c:v>
                </c:pt>
                <c:pt idx="235">
                  <c:v>6.2615167713071997</c:v>
                </c:pt>
                <c:pt idx="236">
                  <c:v>6.2261400817466814</c:v>
                </c:pt>
                <c:pt idx="237">
                  <c:v>6.1902541817040513</c:v>
                </c:pt>
                <c:pt idx="238">
                  <c:v>6.1538756147258864</c:v>
                </c:pt>
                <c:pt idx="239">
                  <c:v>6.1170209243587665</c:v>
                </c:pt>
                <c:pt idx="240">
                  <c:v>6.0797066541492688</c:v>
                </c:pt>
                <c:pt idx="241">
                  <c:v>6.0419493476439676</c:v>
                </c:pt>
                <c:pt idx="242">
                  <c:v>6.0037655483894437</c:v>
                </c:pt>
                <c:pt idx="243">
                  <c:v>5.9651717999322722</c:v>
                </c:pt>
                <c:pt idx="244">
                  <c:v>5.9261846458190321</c:v>
                </c:pt>
                <c:pt idx="245">
                  <c:v>5.8868206295962997</c:v>
                </c:pt>
                <c:pt idx="246">
                  <c:v>5.8470962948106537</c:v>
                </c:pt>
                <c:pt idx="247">
                  <c:v>5.8070281850086696</c:v>
                </c:pt>
                <c:pt idx="248">
                  <c:v>5.7666328437369261</c:v>
                </c:pt>
                <c:pt idx="249">
                  <c:v>5.7259268145420013</c:v>
                </c:pt>
                <c:pt idx="250">
                  <c:v>5.6849266409704722</c:v>
                </c:pt>
                <c:pt idx="251">
                  <c:v>5.6436488665689151</c:v>
                </c:pt>
                <c:pt idx="252">
                  <c:v>5.6021100348839088</c:v>
                </c:pt>
                <c:pt idx="253">
                  <c:v>5.5603266894620305</c:v>
                </c:pt>
                <c:pt idx="254">
                  <c:v>5.5183153738498554</c:v>
                </c:pt>
                <c:pt idx="255">
                  <c:v>5.4760926315939642</c:v>
                </c:pt>
                <c:pt idx="256">
                  <c:v>5.4336750062409322</c:v>
                </c:pt>
                <c:pt idx="257">
                  <c:v>5.3910790413373384</c:v>
                </c:pt>
                <c:pt idx="258">
                  <c:v>5.3483212804297589</c:v>
                </c:pt>
                <c:pt idx="259">
                  <c:v>5.3054120163729168</c:v>
                </c:pt>
                <c:pt idx="260">
                  <c:v>5.2623365392541182</c:v>
                </c:pt>
                <c:pt idx="261">
                  <c:v>5.2190738884688122</c:v>
                </c:pt>
                <c:pt idx="262">
                  <c:v>5.1756031034124526</c:v>
                </c:pt>
                <c:pt idx="263">
                  <c:v>5.1319032234804869</c:v>
                </c:pt>
                <c:pt idx="264">
                  <c:v>5.0879532880683662</c:v>
                </c:pt>
                <c:pt idx="265">
                  <c:v>5.0437323365715425</c:v>
                </c:pt>
                <c:pt idx="266">
                  <c:v>4.9992194083854669</c:v>
                </c:pt>
                <c:pt idx="267">
                  <c:v>4.9543935429055885</c:v>
                </c:pt>
                <c:pt idx="268">
                  <c:v>4.9092337795273586</c:v>
                </c:pt>
                <c:pt idx="269">
                  <c:v>4.86371915764623</c:v>
                </c:pt>
                <c:pt idx="270">
                  <c:v>4.8178287166576492</c:v>
                </c:pt>
                <c:pt idx="271">
                  <c:v>4.7715414959570701</c:v>
                </c:pt>
                <c:pt idx="272">
                  <c:v>4.7248365349399419</c:v>
                </c:pt>
                <c:pt idx="273">
                  <c:v>4.6776928730017175</c:v>
                </c:pt>
                <c:pt idx="274">
                  <c:v>4.6300895495378454</c:v>
                </c:pt>
                <c:pt idx="275">
                  <c:v>4.5820056039437764</c:v>
                </c:pt>
                <c:pt idx="276">
                  <c:v>4.5334200756149645</c:v>
                </c:pt>
                <c:pt idx="277">
                  <c:v>4.4843120039468545</c:v>
                </c:pt>
                <c:pt idx="278">
                  <c:v>4.4346604283349027</c:v>
                </c:pt>
                <c:pt idx="279">
                  <c:v>4.3844443881745558</c:v>
                </c:pt>
                <c:pt idx="280">
                  <c:v>4.3336429228612676</c:v>
                </c:pt>
                <c:pt idx="281">
                  <c:v>4.2822350717904873</c:v>
                </c:pt>
                <c:pt idx="282">
                  <c:v>4.2301998743576643</c:v>
                </c:pt>
                <c:pt idx="283">
                  <c:v>4.1775163699582532</c:v>
                </c:pt>
                <c:pt idx="284">
                  <c:v>4.1241635979877023</c:v>
                </c:pt>
                <c:pt idx="285">
                  <c:v>4.0701205978414601</c:v>
                </c:pt>
                <c:pt idx="286">
                  <c:v>4.0153664089149812</c:v>
                </c:pt>
                <c:pt idx="287">
                  <c:v>3.9598800706037145</c:v>
                </c:pt>
                <c:pt idx="288">
                  <c:v>3.9036406223031115</c:v>
                </c:pt>
                <c:pt idx="289">
                  <c:v>3.8466271034086219</c:v>
                </c:pt>
                <c:pt idx="290">
                  <c:v>3.7888343479319908</c:v>
                </c:pt>
                <c:pt idx="291">
                  <c:v>3.7303203683501374</c:v>
                </c:pt>
                <c:pt idx="292">
                  <c:v>3.6711589717562756</c:v>
                </c:pt>
                <c:pt idx="293">
                  <c:v>3.6114239652436182</c:v>
                </c:pt>
                <c:pt idx="294">
                  <c:v>3.5511891559053788</c:v>
                </c:pt>
                <c:pt idx="295">
                  <c:v>3.49052835083477</c:v>
                </c:pt>
                <c:pt idx="296">
                  <c:v>3.4295153571250059</c:v>
                </c:pt>
                <c:pt idx="297">
                  <c:v>3.3682239818692992</c:v>
                </c:pt>
                <c:pt idx="298">
                  <c:v>3.3067280321608634</c:v>
                </c:pt>
                <c:pt idx="299">
                  <c:v>3.2451013150929122</c:v>
                </c:pt>
                <c:pt idx="300">
                  <c:v>3.1834176377586587</c:v>
                </c:pt>
                <c:pt idx="301">
                  <c:v>3.1217508072513156</c:v>
                </c:pt>
                <c:pt idx="302">
                  <c:v>3.0601746306640973</c:v>
                </c:pt>
                <c:pt idx="303">
                  <c:v>2.9987629150902158</c:v>
                </c:pt>
                <c:pt idx="304">
                  <c:v>2.9375894676228853</c:v>
                </c:pt>
                <c:pt idx="305">
                  <c:v>2.8767280953553191</c:v>
                </c:pt>
                <c:pt idx="306">
                  <c:v>2.81625260538073</c:v>
                </c:pt>
                <c:pt idx="307">
                  <c:v>2.7562368047923314</c:v>
                </c:pt>
                <c:pt idx="308">
                  <c:v>2.6967545006833369</c:v>
                </c:pt>
                <c:pt idx="309">
                  <c:v>2.6378795001469593</c:v>
                </c:pt>
                <c:pt idx="310">
                  <c:v>2.5796856102764125</c:v>
                </c:pt>
                <c:pt idx="311">
                  <c:v>2.5222466381649093</c:v>
                </c:pt>
                <c:pt idx="312">
                  <c:v>2.4656363909056638</c:v>
                </c:pt>
                <c:pt idx="313">
                  <c:v>2.4099286755918885</c:v>
                </c:pt>
                <c:pt idx="314">
                  <c:v>2.3551972993167967</c:v>
                </c:pt>
                <c:pt idx="315">
                  <c:v>2.3015160691736014</c:v>
                </c:pt>
                <c:pt idx="316">
                  <c:v>2.2489587922555168</c:v>
                </c:pt>
                <c:pt idx="317">
                  <c:v>2.1975992756557559</c:v>
                </c:pt>
                <c:pt idx="318">
                  <c:v>2.1475113264675314</c:v>
                </c:pt>
                <c:pt idx="319">
                  <c:v>2.0987687517840574</c:v>
                </c:pt>
                <c:pt idx="320">
                  <c:v>2.0514281174789235</c:v>
                </c:pt>
                <c:pt idx="321">
                  <c:v>2.0054770245472269</c:v>
                </c:pt>
                <c:pt idx="322">
                  <c:v>1.9608858327644427</c:v>
                </c:pt>
                <c:pt idx="323">
                  <c:v>1.9176249019060438</c:v>
                </c:pt>
                <c:pt idx="324">
                  <c:v>1.875664591747505</c:v>
                </c:pt>
                <c:pt idx="325">
                  <c:v>1.8349752620642998</c:v>
                </c:pt>
                <c:pt idx="326">
                  <c:v>1.7955272726319031</c:v>
                </c:pt>
                <c:pt idx="327">
                  <c:v>1.7572909832257888</c:v>
                </c:pt>
                <c:pt idx="328">
                  <c:v>1.7202367536214309</c:v>
                </c:pt>
                <c:pt idx="329">
                  <c:v>1.6843349435943031</c:v>
                </c:pt>
                <c:pt idx="330">
                  <c:v>1.6495559129198805</c:v>
                </c:pt>
                <c:pt idx="331">
                  <c:v>1.6158700213736361</c:v>
                </c:pt>
                <c:pt idx="332">
                  <c:v>1.5832476287310451</c:v>
                </c:pt>
                <c:pt idx="333">
                  <c:v>1.5516590947675806</c:v>
                </c:pt>
                <c:pt idx="334">
                  <c:v>1.5210747792587174</c:v>
                </c:pt>
                <c:pt idx="335">
                  <c:v>1.4914650419799291</c:v>
                </c:pt>
                <c:pt idx="336">
                  <c:v>1.4628002427066904</c:v>
                </c:pt>
                <c:pt idx="337">
                  <c:v>1.4350507412144755</c:v>
                </c:pt>
                <c:pt idx="338">
                  <c:v>1.4081868972787577</c:v>
                </c:pt>
                <c:pt idx="339">
                  <c:v>1.3821790706750117</c:v>
                </c:pt>
                <c:pt idx="340">
                  <c:v>1.3569976211787114</c:v>
                </c:pt>
                <c:pt idx="341">
                  <c:v>1.3326129085653315</c:v>
                </c:pt>
                <c:pt idx="342">
                  <c:v>1.3089952926103454</c:v>
                </c:pt>
                <c:pt idx="343">
                  <c:v>1.2861151330892273</c:v>
                </c:pt>
                <c:pt idx="344">
                  <c:v>1.2639427897774516</c:v>
                </c:pt>
                <c:pt idx="345">
                  <c:v>1.2424486224504925</c:v>
                </c:pt>
                <c:pt idx="346">
                  <c:v>1.2216029908838235</c:v>
                </c:pt>
                <c:pt idx="347">
                  <c:v>1.2013762548529192</c:v>
                </c:pt>
                <c:pt idx="348">
                  <c:v>1.1817387741332539</c:v>
                </c:pt>
                <c:pt idx="349">
                  <c:v>1.1626609085003017</c:v>
                </c:pt>
                <c:pt idx="350">
                  <c:v>1.144113017729536</c:v>
                </c:pt>
                <c:pt idx="351">
                  <c:v>1.1260778020710154</c:v>
                </c:pt>
                <c:pt idx="352">
                  <c:v>1.1085873236731325</c:v>
                </c:pt>
                <c:pt idx="353">
                  <c:v>1.0916859851588643</c:v>
                </c:pt>
                <c:pt idx="354">
                  <c:v>1.0754181891511871</c:v>
                </c:pt>
                <c:pt idx="355">
                  <c:v>1.059828338273078</c:v>
                </c:pt>
                <c:pt idx="356">
                  <c:v>1.0449608351475135</c:v>
                </c:pt>
                <c:pt idx="357">
                  <c:v>1.0308600823974701</c:v>
                </c:pt>
                <c:pt idx="358">
                  <c:v>1.0175704826459249</c:v>
                </c:pt>
                <c:pt idx="359">
                  <c:v>1.0021258947344049</c:v>
                </c:pt>
                <c:pt idx="360">
                  <c:v>0.98668130682288502</c:v>
                </c:pt>
                <c:pt idx="361">
                  <c:v>0.97123671891136509</c:v>
                </c:pt>
                <c:pt idx="362">
                  <c:v>0.95579213099984517</c:v>
                </c:pt>
                <c:pt idx="363">
                  <c:v>0.94034754308832524</c:v>
                </c:pt>
                <c:pt idx="364">
                  <c:v>0.94034754308832524</c:v>
                </c:pt>
                <c:pt idx="365">
                  <c:v>0.94034754308832524</c:v>
                </c:pt>
                <c:pt idx="366">
                  <c:v>0.94034754308832524</c:v>
                </c:pt>
                <c:pt idx="367">
                  <c:v>0.93755718163841528</c:v>
                </c:pt>
                <c:pt idx="368">
                  <c:v>0.93476682018850532</c:v>
                </c:pt>
                <c:pt idx="369">
                  <c:v>0.93197645873859536</c:v>
                </c:pt>
                <c:pt idx="370">
                  <c:v>0.9291860972886854</c:v>
                </c:pt>
                <c:pt idx="371">
                  <c:v>0.92639573583877521</c:v>
                </c:pt>
                <c:pt idx="372">
                  <c:v>0.93077895058450666</c:v>
                </c:pt>
                <c:pt idx="373">
                  <c:v>0.93632780254464432</c:v>
                </c:pt>
                <c:pt idx="374">
                  <c:v>0.94300294252322692</c:v>
                </c:pt>
                <c:pt idx="375">
                  <c:v>0.95076502132429297</c:v>
                </c:pt>
                <c:pt idx="376">
                  <c:v>0.95957468975188176</c:v>
                </c:pt>
                <c:pt idx="377">
                  <c:v>0.9693925986100318</c:v>
                </c:pt>
                <c:pt idx="378">
                  <c:v>0.98017939870278192</c:v>
                </c:pt>
                <c:pt idx="379">
                  <c:v>0.99189574083417142</c:v>
                </c:pt>
                <c:pt idx="380">
                  <c:v>1.0045022758082387</c:v>
                </c:pt>
                <c:pt idx="381">
                  <c:v>1.0179620672571157</c:v>
                </c:pt>
                <c:pt idx="382">
                  <c:v>1.032247830125304</c:v>
                </c:pt>
                <c:pt idx="383">
                  <c:v>1.047334692185399</c:v>
                </c:pt>
                <c:pt idx="384">
                  <c:v>1.0631977812099955</c:v>
                </c:pt>
                <c:pt idx="385">
                  <c:v>1.0798122249716882</c:v>
                </c:pt>
                <c:pt idx="386">
                  <c:v>1.0971531512430717</c:v>
                </c:pt>
                <c:pt idx="387">
                  <c:v>1.1151956877967413</c:v>
                </c:pt>
                <c:pt idx="388">
                  <c:v>1.133914962405292</c:v>
                </c:pt>
                <c:pt idx="389">
                  <c:v>1.1532861028413177</c:v>
                </c:pt>
                <c:pt idx="390">
                  <c:v>1.1732842368774141</c:v>
                </c:pt>
                <c:pt idx="391">
                  <c:v>1.193884492286176</c:v>
                </c:pt>
                <c:pt idx="392">
                  <c:v>1.2150619968401979</c:v>
                </c:pt>
                <c:pt idx="393">
                  <c:v>1.236791878312075</c:v>
                </c:pt>
                <c:pt idx="394">
                  <c:v>1.2590492644744016</c:v>
                </c:pt>
                <c:pt idx="395">
                  <c:v>1.2818092830997729</c:v>
                </c:pt>
                <c:pt idx="396">
                  <c:v>1.3050470619607843</c:v>
                </c:pt>
                <c:pt idx="397">
                  <c:v>1.3287377288300295</c:v>
                </c:pt>
                <c:pt idx="398">
                  <c:v>1.3528564114801045</c:v>
                </c:pt>
                <c:pt idx="399">
                  <c:v>1.377378237683603</c:v>
                </c:pt>
                <c:pt idx="400">
                  <c:v>1.4022783352131207</c:v>
                </c:pt>
                <c:pt idx="401">
                  <c:v>1.4275318318412524</c:v>
                </c:pt>
                <c:pt idx="402">
                  <c:v>1.4531138553405927</c:v>
                </c:pt>
                <c:pt idx="403">
                  <c:v>1.4789995334837365</c:v>
                </c:pt>
                <c:pt idx="404">
                  <c:v>1.5051639940432782</c:v>
                </c:pt>
                <c:pt idx="405">
                  <c:v>1.5315823647918134</c:v>
                </c:pt>
                <c:pt idx="406">
                  <c:v>1.5582297735019368</c:v>
                </c:pt>
                <c:pt idx="407">
                  <c:v>1.5850813479462431</c:v>
                </c:pt>
                <c:pt idx="408">
                  <c:v>1.6121122158973267</c:v>
                </c:pt>
                <c:pt idx="409">
                  <c:v>1.6392975051277832</c:v>
                </c:pt>
                <c:pt idx="410">
                  <c:v>1.6666123434102071</c:v>
                </c:pt>
                <c:pt idx="411">
                  <c:v>1.6940318585171934</c:v>
                </c:pt>
                <c:pt idx="412">
                  <c:v>1.7215417764472893</c:v>
                </c:pt>
                <c:pt idx="413">
                  <c:v>1.7491702161028528</c:v>
                </c:pt>
                <c:pt idx="414">
                  <c:v>1.7769558946121939</c:v>
                </c:pt>
                <c:pt idx="415">
                  <c:v>1.8049375291036236</c:v>
                </c:pt>
                <c:pt idx="416">
                  <c:v>1.8331538367054514</c:v>
                </c:pt>
                <c:pt idx="417">
                  <c:v>1.861643534545989</c:v>
                </c:pt>
                <c:pt idx="418">
                  <c:v>1.8904453397535455</c:v>
                </c:pt>
                <c:pt idx="419">
                  <c:v>1.9195979694564316</c:v>
                </c:pt>
                <c:pt idx="420">
                  <c:v>1.9491401407829581</c:v>
                </c:pt>
                <c:pt idx="421">
                  <c:v>1.9791105708614347</c:v>
                </c:pt>
                <c:pt idx="422">
                  <c:v>2.0095479768201732</c:v>
                </c:pt>
                <c:pt idx="423">
                  <c:v>2.0404910757874815</c:v>
                </c:pt>
                <c:pt idx="424">
                  <c:v>2.0719785848916725</c:v>
                </c:pt>
                <c:pt idx="425">
                  <c:v>2.1040492212610551</c:v>
                </c:pt>
                <c:pt idx="426">
                  <c:v>2.1367417020239401</c:v>
                </c:pt>
                <c:pt idx="427">
                  <c:v>2.1700947443086385</c:v>
                </c:pt>
                <c:pt idx="428">
                  <c:v>2.2041470652434585</c:v>
                </c:pt>
                <c:pt idx="429">
                  <c:v>2.2389373819567133</c:v>
                </c:pt>
                <c:pt idx="430">
                  <c:v>2.2745044115767117</c:v>
                </c:pt>
                <c:pt idx="431">
                  <c:v>2.3108868712317641</c:v>
                </c:pt>
                <c:pt idx="432">
                  <c:v>2.3481234780501814</c:v>
                </c:pt>
                <c:pt idx="433">
                  <c:v>2.3862529491602733</c:v>
                </c:pt>
                <c:pt idx="434">
                  <c:v>2.4253140016903516</c:v>
                </c:pt>
                <c:pt idx="435">
                  <c:v>2.4653453527687246</c:v>
                </c:pt>
                <c:pt idx="436">
                  <c:v>2.506385719523704</c:v>
                </c:pt>
                <c:pt idx="437">
                  <c:v>2.5484738190836005</c:v>
                </c:pt>
                <c:pt idx="438">
                  <c:v>2.5916483685767231</c:v>
                </c:pt>
                <c:pt idx="439">
                  <c:v>2.6359480851313828</c:v>
                </c:pt>
                <c:pt idx="440">
                  <c:v>2.6814116858758905</c:v>
                </c:pt>
                <c:pt idx="441">
                  <c:v>2.7280778879385563</c:v>
                </c:pt>
                <c:pt idx="442">
                  <c:v>2.7759654219725172</c:v>
                </c:pt>
                <c:pt idx="443">
                  <c:v>2.8250130727302176</c:v>
                </c:pt>
                <c:pt idx="444">
                  <c:v>2.8751396384889283</c:v>
                </c:pt>
                <c:pt idx="445">
                  <c:v>2.9262639175259211</c:v>
                </c:pt>
                <c:pt idx="446">
                  <c:v>2.978304708118467</c:v>
                </c:pt>
                <c:pt idx="447">
                  <c:v>3.0311808085438354</c:v>
                </c:pt>
                <c:pt idx="448">
                  <c:v>3.0848110170792999</c:v>
                </c:pt>
                <c:pt idx="449">
                  <c:v>3.1391141320021307</c:v>
                </c:pt>
                <c:pt idx="450">
                  <c:v>3.1940089515895989</c:v>
                </c:pt>
                <c:pt idx="451">
                  <c:v>3.2494142741189744</c:v>
                </c:pt>
                <c:pt idx="452">
                  <c:v>3.3052488978675303</c:v>
                </c:pt>
                <c:pt idx="453">
                  <c:v>3.3614316211125357</c:v>
                </c:pt>
                <c:pt idx="454">
                  <c:v>3.4178812421312639</c:v>
                </c:pt>
                <c:pt idx="455">
                  <c:v>3.4745165592009837</c:v>
                </c:pt>
                <c:pt idx="456">
                  <c:v>3.5312563705989684</c:v>
                </c:pt>
                <c:pt idx="457">
                  <c:v>3.5880194746024872</c:v>
                </c:pt>
                <c:pt idx="458">
                  <c:v>3.6447246694888125</c:v>
                </c:pt>
                <c:pt idx="459">
                  <c:v>3.7012907535352157</c:v>
                </c:pt>
                <c:pt idx="460">
                  <c:v>3.7576365250189658</c:v>
                </c:pt>
                <c:pt idx="461">
                  <c:v>3.813680782217336</c:v>
                </c:pt>
                <c:pt idx="462">
                  <c:v>3.8693423234075963</c:v>
                </c:pt>
                <c:pt idx="463">
                  <c:v>3.9245399468670183</c:v>
                </c:pt>
                <c:pt idx="464">
                  <c:v>3.9791924508728735</c:v>
                </c:pt>
                <c:pt idx="465">
                  <c:v>4.0332186337024316</c:v>
                </c:pt>
                <c:pt idx="466">
                  <c:v>4.0865372936329658</c:v>
                </c:pt>
                <c:pt idx="467">
                  <c:v>4.1390672289417454</c:v>
                </c:pt>
                <c:pt idx="468">
                  <c:v>4.1907272379060423</c:v>
                </c:pt>
                <c:pt idx="469">
                  <c:v>4.2414361188031267</c:v>
                </c:pt>
                <c:pt idx="470">
                  <c:v>4.2911126699102713</c:v>
                </c:pt>
                <c:pt idx="471">
                  <c:v>4.3396756895047464</c:v>
                </c:pt>
                <c:pt idx="472">
                  <c:v>4.387043975863822</c:v>
                </c:pt>
                <c:pt idx="473">
                  <c:v>4.4331614375984358</c:v>
                </c:pt>
                <c:pt idx="474">
                  <c:v>4.4780724246541812</c:v>
                </c:pt>
                <c:pt idx="475">
                  <c:v>4.5218463973103189</c:v>
                </c:pt>
                <c:pt idx="476">
                  <c:v>4.5645528158461053</c:v>
                </c:pt>
                <c:pt idx="477">
                  <c:v>4.6062611405408038</c:v>
                </c:pt>
                <c:pt idx="478">
                  <c:v>4.64704083167367</c:v>
                </c:pt>
                <c:pt idx="479">
                  <c:v>4.6869613495239664</c:v>
                </c:pt>
                <c:pt idx="480">
                  <c:v>4.7260921543709484</c:v>
                </c:pt>
                <c:pt idx="481">
                  <c:v>4.7645027064938796</c:v>
                </c:pt>
                <c:pt idx="482">
                  <c:v>4.8022624661720164</c:v>
                </c:pt>
                <c:pt idx="483">
                  <c:v>4.8394408936846185</c:v>
                </c:pt>
                <c:pt idx="484">
                  <c:v>4.8761074493109486</c:v>
                </c:pt>
                <c:pt idx="485">
                  <c:v>4.9123315933302614</c:v>
                </c:pt>
                <c:pt idx="486">
                  <c:v>4.9481827860218184</c:v>
                </c:pt>
                <c:pt idx="487">
                  <c:v>4.9837304876648787</c:v>
                </c:pt>
                <c:pt idx="488">
                  <c:v>5.0190441585387022</c:v>
                </c:pt>
                <c:pt idx="489">
                  <c:v>5.0541932589225471</c:v>
                </c:pt>
                <c:pt idx="490">
                  <c:v>5.0892472490956724</c:v>
                </c:pt>
                <c:pt idx="491">
                  <c:v>5.1242755893373388</c:v>
                </c:pt>
                <c:pt idx="492">
                  <c:v>5.1593477399268064</c:v>
                </c:pt>
                <c:pt idx="493">
                  <c:v>5.1945331611433323</c:v>
                </c:pt>
                <c:pt idx="494">
                  <c:v>5.2299013132661765</c:v>
                </c:pt>
                <c:pt idx="495">
                  <c:v>5.2655216565746006</c:v>
                </c:pt>
                <c:pt idx="496">
                  <c:v>5.3014636513478592</c:v>
                </c:pt>
                <c:pt idx="497">
                  <c:v>5.337796757865215</c:v>
                </c:pt>
                <c:pt idx="498">
                  <c:v>5.3745904364059269</c:v>
                </c:pt>
                <c:pt idx="499">
                  <c:v>5.4119141472492549</c:v>
                </c:pt>
                <c:pt idx="500">
                  <c:v>5.4498373506744562</c:v>
                </c:pt>
                <c:pt idx="501">
                  <c:v>5.4884295069607925</c:v>
                </c:pt>
                <c:pt idx="502">
                  <c:v>5.527760076387521</c:v>
                </c:pt>
                <c:pt idx="503">
                  <c:v>5.5678747829203816</c:v>
                </c:pt>
                <c:pt idx="504">
                  <c:v>5.6087244052710208</c:v>
                </c:pt>
                <c:pt idx="505">
                  <c:v>5.6502359858375657</c:v>
                </c:pt>
                <c:pt idx="506">
                  <c:v>5.6923365670181481</c:v>
                </c:pt>
                <c:pt idx="507">
                  <c:v>5.7349531912108906</c:v>
                </c:pt>
                <c:pt idx="508">
                  <c:v>5.7780129008139216</c:v>
                </c:pt>
                <c:pt idx="509">
                  <c:v>5.82144273822537</c:v>
                </c:pt>
                <c:pt idx="510">
                  <c:v>5.865169745843362</c:v>
                </c:pt>
                <c:pt idx="511">
                  <c:v>5.909120966066026</c:v>
                </c:pt>
                <c:pt idx="512">
                  <c:v>5.9532234412914873</c:v>
                </c:pt>
                <c:pt idx="513">
                  <c:v>5.997404213917874</c:v>
                </c:pt>
                <c:pt idx="514">
                  <c:v>6.0415903263433135</c:v>
                </c:pt>
                <c:pt idx="515">
                  <c:v>6.0857088209659347</c:v>
                </c:pt>
                <c:pt idx="516">
                  <c:v>6.1296867401838613</c:v>
                </c:pt>
                <c:pt idx="517">
                  <c:v>6.1734511263952241</c:v>
                </c:pt>
                <c:pt idx="518">
                  <c:v>6.2169290219981495</c:v>
                </c:pt>
                <c:pt idx="519">
                  <c:v>6.2600474693907628</c:v>
                </c:pt>
                <c:pt idx="520">
                  <c:v>6.3027335109711942</c:v>
                </c:pt>
                <c:pt idx="521">
                  <c:v>6.3449141891375689</c:v>
                </c:pt>
                <c:pt idx="522">
                  <c:v>6.3865165462880151</c:v>
                </c:pt>
                <c:pt idx="523">
                  <c:v>6.4274676248206601</c:v>
                </c:pt>
                <c:pt idx="524">
                  <c:v>6.4676944671336312</c:v>
                </c:pt>
                <c:pt idx="525">
                  <c:v>6.5071241156250563</c:v>
                </c:pt>
                <c:pt idx="526">
                  <c:v>6.5456836126930602</c:v>
                </c:pt>
                <c:pt idx="527">
                  <c:v>6.5833000007357736</c:v>
                </c:pt>
                <c:pt idx="528">
                  <c:v>6.619900322151322</c:v>
                </c:pt>
                <c:pt idx="529">
                  <c:v>6.6554116193378325</c:v>
                </c:pt>
                <c:pt idx="530">
                  <c:v>6.6897609346934326</c:v>
                </c:pt>
                <c:pt idx="531">
                  <c:v>6.7228753106162502</c:v>
                </c:pt>
                <c:pt idx="532">
                  <c:v>6.7546817895044136</c:v>
                </c:pt>
                <c:pt idx="533">
                  <c:v>6.7851074137560472</c:v>
                </c:pt>
                <c:pt idx="534">
                  <c:v>6.8140941815019502</c:v>
                </c:pt>
                <c:pt idx="535">
                  <c:v>6.8416439138036091</c:v>
                </c:pt>
                <c:pt idx="536">
                  <c:v>6.8677733874551725</c:v>
                </c:pt>
                <c:pt idx="537">
                  <c:v>6.8924993792507969</c:v>
                </c:pt>
                <c:pt idx="538">
                  <c:v>6.9158386659846371</c:v>
                </c:pt>
                <c:pt idx="539">
                  <c:v>6.9378080244508462</c:v>
                </c:pt>
                <c:pt idx="540">
                  <c:v>6.9584242314435771</c:v>
                </c:pt>
                <c:pt idx="541">
                  <c:v>6.9777040637569847</c:v>
                </c:pt>
                <c:pt idx="542">
                  <c:v>6.995664298185222</c:v>
                </c:pt>
                <c:pt idx="543">
                  <c:v>7.0123217115224463</c:v>
                </c:pt>
                <c:pt idx="544">
                  <c:v>7.0276930805628064</c:v>
                </c:pt>
                <c:pt idx="545">
                  <c:v>7.0417951821004605</c:v>
                </c:pt>
                <c:pt idx="546">
                  <c:v>7.0546447929295608</c:v>
                </c:pt>
                <c:pt idx="547">
                  <c:v>7.0662586898442612</c:v>
                </c:pt>
                <c:pt idx="548">
                  <c:v>7.0766536496387156</c:v>
                </c:pt>
                <c:pt idx="549">
                  <c:v>7.0858464491070778</c:v>
                </c:pt>
                <c:pt idx="550">
                  <c:v>7.0938538650435019</c:v>
                </c:pt>
                <c:pt idx="551">
                  <c:v>7.1006926742421435</c:v>
                </c:pt>
                <c:pt idx="552">
                  <c:v>7.1063796534971519</c:v>
                </c:pt>
                <c:pt idx="553">
                  <c:v>7.1109315796026875</c:v>
                </c:pt>
                <c:pt idx="554">
                  <c:v>7.1143652293528987</c:v>
                </c:pt>
                <c:pt idx="555">
                  <c:v>7.1166973795419421</c:v>
                </c:pt>
                <c:pt idx="556">
                  <c:v>7.1179448069639726</c:v>
                </c:pt>
                <c:pt idx="557">
                  <c:v>7.1181242884131413</c:v>
                </c:pt>
                <c:pt idx="558">
                  <c:v>7.1172526006836039</c:v>
                </c:pt>
                <c:pt idx="559">
                  <c:v>7.1153465205695134</c:v>
                </c:pt>
                <c:pt idx="560">
                  <c:v>7.1124228248650248</c:v>
                </c:pt>
                <c:pt idx="561">
                  <c:v>7.1084982903642908</c:v>
                </c:pt>
                <c:pt idx="562">
                  <c:v>7.1035896938614673</c:v>
                </c:pt>
                <c:pt idx="563">
                  <c:v>7.0977138121507055</c:v>
                </c:pt>
                <c:pt idx="564">
                  <c:v>7.0908862869129381</c:v>
                </c:pt>
                <c:pt idx="565">
                  <c:v>7.0831182193761935</c:v>
                </c:pt>
                <c:pt idx="566">
                  <c:v>7.0744195756552841</c:v>
                </c:pt>
                <c:pt idx="567">
                  <c:v>7.0648003218650155</c:v>
                </c:pt>
                <c:pt idx="568">
                  <c:v>7.0542704241201983</c:v>
                </c:pt>
                <c:pt idx="569">
                  <c:v>7.0428398485356372</c:v>
                </c:pt>
                <c:pt idx="570">
                  <c:v>7.0305185612261427</c:v>
                </c:pt>
                <c:pt idx="571">
                  <c:v>7.0173165283065222</c:v>
                </c:pt>
                <c:pt idx="572">
                  <c:v>7.0032437158915837</c:v>
                </c:pt>
                <c:pt idx="573">
                  <c:v>6.9883100900961344</c:v>
                </c:pt>
                <c:pt idx="574">
                  <c:v>6.9725256170349859</c:v>
                </c:pt>
                <c:pt idx="575">
                  <c:v>6.9559002628229436</c:v>
                </c:pt>
                <c:pt idx="576">
                  <c:v>6.9384439935748148</c:v>
                </c:pt>
              </c:numCache>
            </c:numRef>
          </c:yVal>
          <c:smooth val="0"/>
        </c:ser>
        <c:dLbls>
          <c:showLegendKey val="0"/>
          <c:showVal val="0"/>
          <c:showCatName val="0"/>
          <c:showSerName val="0"/>
          <c:showPercent val="0"/>
          <c:showBubbleSize val="0"/>
        </c:dLbls>
        <c:axId val="306948928"/>
        <c:axId val="306949504"/>
      </c:scatterChart>
      <c:valAx>
        <c:axId val="306947776"/>
        <c:scaling>
          <c:orientation val="minMax"/>
        </c:scaling>
        <c:delete val="0"/>
        <c:axPos val="b"/>
        <c:numFmt formatCode="d\-mmm" sourceLinked="0"/>
        <c:majorTickMark val="out"/>
        <c:minorTickMark val="none"/>
        <c:tickLblPos val="nextTo"/>
        <c:spPr>
          <a:ln w="3175">
            <a:solidFill>
              <a:srgbClr val="000000"/>
            </a:solidFill>
            <a:prstDash val="solid"/>
          </a:ln>
        </c:spPr>
        <c:txPr>
          <a:bodyPr rot="-5400000" vert="horz"/>
          <a:lstStyle/>
          <a:p>
            <a:pPr>
              <a:defRPr sz="1150" b="1" i="0" u="none" strike="noStrike" baseline="0">
                <a:solidFill>
                  <a:srgbClr val="000000"/>
                </a:solidFill>
                <a:latin typeface="Arial"/>
                <a:ea typeface="Arial"/>
                <a:cs typeface="Arial"/>
              </a:defRPr>
            </a:pPr>
            <a:endParaRPr lang="en-US"/>
          </a:p>
        </c:txPr>
        <c:crossAx val="306948352"/>
        <c:crosses val="autoZero"/>
        <c:crossBetween val="midCat"/>
        <c:majorUnit val="28"/>
        <c:minorUnit val="7"/>
      </c:valAx>
      <c:valAx>
        <c:axId val="306948352"/>
        <c:scaling>
          <c:orientation val="minMax"/>
        </c:scaling>
        <c:delete val="0"/>
        <c:axPos val="l"/>
        <c:majorGridlines>
          <c:spPr>
            <a:ln w="3175">
              <a:solidFill>
                <a:srgbClr val="000000"/>
              </a:solidFill>
              <a:prstDash val="solid"/>
            </a:ln>
          </c:spPr>
        </c:majorGridlines>
        <c:title>
          <c:tx>
            <c:rich>
              <a:bodyPr/>
              <a:lstStyle/>
              <a:p>
                <a:pPr>
                  <a:defRPr sz="1000" b="0" i="0" u="none" strike="noStrike" baseline="0">
                    <a:solidFill>
                      <a:srgbClr val="000000"/>
                    </a:solidFill>
                    <a:latin typeface="Arial"/>
                    <a:ea typeface="Arial"/>
                    <a:cs typeface="Arial"/>
                  </a:defRPr>
                </a:pPr>
                <a:r>
                  <a:rPr lang="en-US" sz="1150" b="1" i="0" u="none" strike="noStrike" baseline="0">
                    <a:solidFill>
                      <a:srgbClr val="000000"/>
                    </a:solidFill>
                    <a:latin typeface="Arial"/>
                    <a:cs typeface="Arial"/>
                  </a:rPr>
                  <a:t>ETo (mm d</a:t>
                </a:r>
                <a:r>
                  <a:rPr lang="en-US" sz="1150" b="1" i="0" u="none" strike="noStrike" baseline="30000">
                    <a:solidFill>
                      <a:srgbClr val="000000"/>
                    </a:solidFill>
                    <a:latin typeface="Arial"/>
                    <a:cs typeface="Arial"/>
                  </a:rPr>
                  <a:t>-1</a:t>
                </a:r>
                <a:r>
                  <a:rPr lang="en-US" sz="1150" b="1" i="0" u="none" strike="noStrike" baseline="0">
                    <a:solidFill>
                      <a:srgbClr val="000000"/>
                    </a:solidFill>
                    <a:latin typeface="Arial"/>
                    <a:cs typeface="Arial"/>
                  </a:rPr>
                  <a:t>) and Crop Coefficient (Kc)</a:t>
                </a:r>
              </a:p>
            </c:rich>
          </c:tx>
          <c:layout>
            <c:manualLayout>
              <c:xMode val="edge"/>
              <c:yMode val="edge"/>
              <c:x val="0"/>
              <c:y val="0.2349101950491482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150" b="1" i="0" u="none" strike="noStrike" baseline="0">
                <a:solidFill>
                  <a:srgbClr val="000000"/>
                </a:solidFill>
                <a:latin typeface="Arial"/>
                <a:ea typeface="Arial"/>
                <a:cs typeface="Arial"/>
              </a:defRPr>
            </a:pPr>
            <a:endParaRPr lang="en-US"/>
          </a:p>
        </c:txPr>
        <c:crossAx val="306947776"/>
        <c:crosses val="autoZero"/>
        <c:crossBetween val="midCat"/>
      </c:valAx>
      <c:valAx>
        <c:axId val="306948928"/>
        <c:scaling>
          <c:orientation val="minMax"/>
        </c:scaling>
        <c:delete val="1"/>
        <c:axPos val="b"/>
        <c:numFmt formatCode="dd\-mmm\-yy" sourceLinked="1"/>
        <c:majorTickMark val="out"/>
        <c:minorTickMark val="none"/>
        <c:tickLblPos val="nextTo"/>
        <c:crossAx val="306949504"/>
        <c:crosses val="autoZero"/>
        <c:crossBetween val="midCat"/>
      </c:valAx>
      <c:valAx>
        <c:axId val="306949504"/>
        <c:scaling>
          <c:orientation val="minMax"/>
          <c:max val="40"/>
        </c:scaling>
        <c:delete val="0"/>
        <c:axPos val="r"/>
        <c:title>
          <c:tx>
            <c:rich>
              <a:bodyPr/>
              <a:lstStyle/>
              <a:p>
                <a:pPr>
                  <a:defRPr sz="1150" b="1" i="0" u="none" strike="noStrike" baseline="0">
                    <a:solidFill>
                      <a:srgbClr val="000000"/>
                    </a:solidFill>
                    <a:latin typeface="Arial"/>
                    <a:ea typeface="Arial"/>
                    <a:cs typeface="Arial"/>
                  </a:defRPr>
                </a:pPr>
                <a:r>
                  <a:rPr lang="en-US"/>
                  <a:t>Days between rainfall</a:t>
                </a:r>
              </a:p>
            </c:rich>
          </c:tx>
          <c:layout>
            <c:manualLayout>
              <c:xMode val="edge"/>
              <c:yMode val="edge"/>
              <c:x val="0.96892341790609504"/>
              <c:y val="0.33442094248022919"/>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1150" b="1" i="0" u="none" strike="noStrike" baseline="0">
                <a:solidFill>
                  <a:srgbClr val="000000"/>
                </a:solidFill>
                <a:latin typeface="Arial"/>
                <a:ea typeface="Arial"/>
                <a:cs typeface="Arial"/>
              </a:defRPr>
            </a:pPr>
            <a:endParaRPr lang="en-US"/>
          </a:p>
        </c:txPr>
        <c:crossAx val="306948928"/>
        <c:crosses val="max"/>
        <c:crossBetween val="midCat"/>
      </c:valAx>
      <c:spPr>
        <a:solidFill>
          <a:srgbClr val="FFFFFF"/>
        </a:solidFill>
        <a:ln w="12700">
          <a:solidFill>
            <a:srgbClr val="808080"/>
          </a:solidFill>
          <a:prstDash val="solid"/>
        </a:ln>
      </c:spPr>
    </c:plotArea>
    <c:legend>
      <c:legendPos val="r"/>
      <c:layout>
        <c:manualLayout>
          <c:xMode val="edge"/>
          <c:yMode val="edge"/>
          <c:wMode val="edge"/>
          <c:hMode val="edge"/>
          <c:x val="0.11333333333333333"/>
          <c:y val="8.2788671023965144E-2"/>
          <c:w val="0.1962962962962963"/>
          <c:h val="0.19716775599128539"/>
        </c:manualLayout>
      </c:layout>
      <c:overlay val="0"/>
      <c:spPr>
        <a:solidFill>
          <a:srgbClr val="FFFFFF"/>
        </a:solidFill>
        <a:ln w="3175">
          <a:solidFill>
            <a:srgbClr val="000000"/>
          </a:solidFill>
          <a:prstDash val="solid"/>
        </a:ln>
      </c:spPr>
      <c:txPr>
        <a:bodyPr/>
        <a:lstStyle/>
        <a:p>
          <a:pPr>
            <a:defRPr sz="970" b="1"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150" b="1" i="0" u="none" strike="noStrike" baseline="0">
          <a:solidFill>
            <a:srgbClr val="000000"/>
          </a:solidFill>
          <a:latin typeface="Arial"/>
          <a:ea typeface="Arial"/>
          <a:cs typeface="Arial"/>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autoTitleDeleted val="0"/>
    <c:plotArea>
      <c:layout>
        <c:manualLayout>
          <c:layoutTarget val="inner"/>
          <c:xMode val="edge"/>
          <c:yMode val="edge"/>
          <c:x val="8.9459537845438433E-2"/>
          <c:y val="8.4440478151713266E-2"/>
          <c:w val="0.86348501664816868"/>
          <c:h val="0.7501556591886045"/>
        </c:manualLayout>
      </c:layout>
      <c:lineChart>
        <c:grouping val="standard"/>
        <c:varyColors val="0"/>
        <c:ser>
          <c:idx val="0"/>
          <c:order val="0"/>
          <c:tx>
            <c:v>SWC</c:v>
          </c:tx>
          <c:spPr>
            <a:ln w="38100">
              <a:solidFill>
                <a:srgbClr val="FF0000"/>
              </a:solidFill>
              <a:prstDash val="solid"/>
            </a:ln>
          </c:spPr>
          <c:marker>
            <c:symbol val="none"/>
          </c:marker>
          <c:cat>
            <c:numRef>
              <c:f>MakeSchedule!$A$16:$A$380</c:f>
              <c:numCache>
                <c:formatCode>dd\-mmm\-yy</c:formatCode>
                <c:ptCount val="365"/>
                <c:pt idx="0">
                  <c:v>41640</c:v>
                </c:pt>
                <c:pt idx="1">
                  <c:v>41641</c:v>
                </c:pt>
                <c:pt idx="2">
                  <c:v>41642</c:v>
                </c:pt>
                <c:pt idx="3">
                  <c:v>41643</c:v>
                </c:pt>
                <c:pt idx="4">
                  <c:v>41644</c:v>
                </c:pt>
                <c:pt idx="5">
                  <c:v>41645</c:v>
                </c:pt>
                <c:pt idx="6">
                  <c:v>41646</c:v>
                </c:pt>
                <c:pt idx="7">
                  <c:v>41647</c:v>
                </c:pt>
                <c:pt idx="8">
                  <c:v>41648</c:v>
                </c:pt>
                <c:pt idx="9">
                  <c:v>41649</c:v>
                </c:pt>
                <c:pt idx="10">
                  <c:v>41650</c:v>
                </c:pt>
                <c:pt idx="11">
                  <c:v>41651</c:v>
                </c:pt>
                <c:pt idx="12">
                  <c:v>41652</c:v>
                </c:pt>
                <c:pt idx="13">
                  <c:v>41653</c:v>
                </c:pt>
                <c:pt idx="14">
                  <c:v>41654</c:v>
                </c:pt>
                <c:pt idx="15">
                  <c:v>41655</c:v>
                </c:pt>
                <c:pt idx="16">
                  <c:v>41656</c:v>
                </c:pt>
                <c:pt idx="17">
                  <c:v>41657</c:v>
                </c:pt>
                <c:pt idx="18">
                  <c:v>41658</c:v>
                </c:pt>
                <c:pt idx="19">
                  <c:v>41659</c:v>
                </c:pt>
                <c:pt idx="20">
                  <c:v>41660</c:v>
                </c:pt>
                <c:pt idx="21">
                  <c:v>41661</c:v>
                </c:pt>
                <c:pt idx="22">
                  <c:v>41662</c:v>
                </c:pt>
                <c:pt idx="23">
                  <c:v>41663</c:v>
                </c:pt>
                <c:pt idx="24">
                  <c:v>41664</c:v>
                </c:pt>
                <c:pt idx="25">
                  <c:v>41665</c:v>
                </c:pt>
                <c:pt idx="26">
                  <c:v>41666</c:v>
                </c:pt>
                <c:pt idx="27">
                  <c:v>41667</c:v>
                </c:pt>
                <c:pt idx="28">
                  <c:v>41668</c:v>
                </c:pt>
                <c:pt idx="29">
                  <c:v>41669</c:v>
                </c:pt>
                <c:pt idx="30">
                  <c:v>41670</c:v>
                </c:pt>
                <c:pt idx="31">
                  <c:v>41671</c:v>
                </c:pt>
                <c:pt idx="32">
                  <c:v>41672</c:v>
                </c:pt>
                <c:pt idx="33">
                  <c:v>41673</c:v>
                </c:pt>
                <c:pt idx="34">
                  <c:v>41674</c:v>
                </c:pt>
                <c:pt idx="35">
                  <c:v>41675</c:v>
                </c:pt>
                <c:pt idx="36">
                  <c:v>41676</c:v>
                </c:pt>
                <c:pt idx="37">
                  <c:v>41677</c:v>
                </c:pt>
                <c:pt idx="38">
                  <c:v>41678</c:v>
                </c:pt>
                <c:pt idx="39">
                  <c:v>41679</c:v>
                </c:pt>
                <c:pt idx="40">
                  <c:v>41680</c:v>
                </c:pt>
                <c:pt idx="41">
                  <c:v>41681</c:v>
                </c:pt>
                <c:pt idx="42">
                  <c:v>41682</c:v>
                </c:pt>
                <c:pt idx="43">
                  <c:v>41683</c:v>
                </c:pt>
                <c:pt idx="44">
                  <c:v>41684</c:v>
                </c:pt>
                <c:pt idx="45">
                  <c:v>41685</c:v>
                </c:pt>
                <c:pt idx="46">
                  <c:v>41686</c:v>
                </c:pt>
                <c:pt idx="47">
                  <c:v>41687</c:v>
                </c:pt>
                <c:pt idx="48">
                  <c:v>41688</c:v>
                </c:pt>
                <c:pt idx="49">
                  <c:v>41689</c:v>
                </c:pt>
                <c:pt idx="50">
                  <c:v>41690</c:v>
                </c:pt>
                <c:pt idx="51">
                  <c:v>41691</c:v>
                </c:pt>
                <c:pt idx="52">
                  <c:v>41692</c:v>
                </c:pt>
                <c:pt idx="53">
                  <c:v>41693</c:v>
                </c:pt>
                <c:pt idx="54">
                  <c:v>41694</c:v>
                </c:pt>
                <c:pt idx="55">
                  <c:v>41695</c:v>
                </c:pt>
                <c:pt idx="56">
                  <c:v>41696</c:v>
                </c:pt>
                <c:pt idx="57">
                  <c:v>41697</c:v>
                </c:pt>
                <c:pt idx="58">
                  <c:v>41698</c:v>
                </c:pt>
                <c:pt idx="59">
                  <c:v>41699</c:v>
                </c:pt>
                <c:pt idx="60">
                  <c:v>41700</c:v>
                </c:pt>
                <c:pt idx="61">
                  <c:v>41701</c:v>
                </c:pt>
                <c:pt idx="62">
                  <c:v>41702</c:v>
                </c:pt>
                <c:pt idx="63">
                  <c:v>41703</c:v>
                </c:pt>
                <c:pt idx="64">
                  <c:v>41704</c:v>
                </c:pt>
                <c:pt idx="65">
                  <c:v>41705</c:v>
                </c:pt>
                <c:pt idx="66">
                  <c:v>41706</c:v>
                </c:pt>
                <c:pt idx="67">
                  <c:v>41707</c:v>
                </c:pt>
                <c:pt idx="68">
                  <c:v>41708</c:v>
                </c:pt>
                <c:pt idx="69">
                  <c:v>41709</c:v>
                </c:pt>
                <c:pt idx="70">
                  <c:v>41710</c:v>
                </c:pt>
                <c:pt idx="71">
                  <c:v>41711</c:v>
                </c:pt>
                <c:pt idx="72">
                  <c:v>41712</c:v>
                </c:pt>
                <c:pt idx="73">
                  <c:v>41713</c:v>
                </c:pt>
                <c:pt idx="74">
                  <c:v>41714</c:v>
                </c:pt>
                <c:pt idx="75">
                  <c:v>41715</c:v>
                </c:pt>
                <c:pt idx="76">
                  <c:v>41716</c:v>
                </c:pt>
                <c:pt idx="77">
                  <c:v>41717</c:v>
                </c:pt>
                <c:pt idx="78">
                  <c:v>41718</c:v>
                </c:pt>
                <c:pt idx="79">
                  <c:v>41719</c:v>
                </c:pt>
                <c:pt idx="80">
                  <c:v>41720</c:v>
                </c:pt>
                <c:pt idx="81">
                  <c:v>41721</c:v>
                </c:pt>
                <c:pt idx="82">
                  <c:v>41722</c:v>
                </c:pt>
                <c:pt idx="83">
                  <c:v>41723</c:v>
                </c:pt>
                <c:pt idx="84">
                  <c:v>41724</c:v>
                </c:pt>
                <c:pt idx="85">
                  <c:v>41725</c:v>
                </c:pt>
                <c:pt idx="86">
                  <c:v>41726</c:v>
                </c:pt>
                <c:pt idx="87">
                  <c:v>41727</c:v>
                </c:pt>
                <c:pt idx="88">
                  <c:v>41728</c:v>
                </c:pt>
                <c:pt idx="89">
                  <c:v>41729</c:v>
                </c:pt>
                <c:pt idx="90">
                  <c:v>41730</c:v>
                </c:pt>
                <c:pt idx="91">
                  <c:v>41731</c:v>
                </c:pt>
                <c:pt idx="92">
                  <c:v>41732</c:v>
                </c:pt>
                <c:pt idx="93">
                  <c:v>41733</c:v>
                </c:pt>
                <c:pt idx="94">
                  <c:v>41734</c:v>
                </c:pt>
                <c:pt idx="95">
                  <c:v>41735</c:v>
                </c:pt>
                <c:pt idx="96">
                  <c:v>41736</c:v>
                </c:pt>
                <c:pt idx="97">
                  <c:v>41737</c:v>
                </c:pt>
                <c:pt idx="98">
                  <c:v>41738</c:v>
                </c:pt>
                <c:pt idx="99">
                  <c:v>41739</c:v>
                </c:pt>
                <c:pt idx="100">
                  <c:v>41740</c:v>
                </c:pt>
                <c:pt idx="101">
                  <c:v>41741</c:v>
                </c:pt>
                <c:pt idx="102">
                  <c:v>41742</c:v>
                </c:pt>
                <c:pt idx="103">
                  <c:v>41743</c:v>
                </c:pt>
                <c:pt idx="104">
                  <c:v>41744</c:v>
                </c:pt>
                <c:pt idx="105">
                  <c:v>41745</c:v>
                </c:pt>
                <c:pt idx="106">
                  <c:v>41746</c:v>
                </c:pt>
                <c:pt idx="107">
                  <c:v>41747</c:v>
                </c:pt>
                <c:pt idx="108">
                  <c:v>41748</c:v>
                </c:pt>
                <c:pt idx="109">
                  <c:v>41749</c:v>
                </c:pt>
                <c:pt idx="110">
                  <c:v>41750</c:v>
                </c:pt>
                <c:pt idx="111">
                  <c:v>41751</c:v>
                </c:pt>
                <c:pt idx="112">
                  <c:v>41752</c:v>
                </c:pt>
                <c:pt idx="113">
                  <c:v>41753</c:v>
                </c:pt>
                <c:pt idx="114">
                  <c:v>41754</c:v>
                </c:pt>
                <c:pt idx="115">
                  <c:v>41755</c:v>
                </c:pt>
                <c:pt idx="116">
                  <c:v>41756</c:v>
                </c:pt>
                <c:pt idx="117">
                  <c:v>41757</c:v>
                </c:pt>
                <c:pt idx="118">
                  <c:v>41758</c:v>
                </c:pt>
                <c:pt idx="119">
                  <c:v>41759</c:v>
                </c:pt>
                <c:pt idx="120">
                  <c:v>41760</c:v>
                </c:pt>
                <c:pt idx="121">
                  <c:v>41761</c:v>
                </c:pt>
                <c:pt idx="122">
                  <c:v>41762</c:v>
                </c:pt>
                <c:pt idx="123">
                  <c:v>41763</c:v>
                </c:pt>
                <c:pt idx="124">
                  <c:v>41764</c:v>
                </c:pt>
                <c:pt idx="125">
                  <c:v>41765</c:v>
                </c:pt>
                <c:pt idx="126">
                  <c:v>41766</c:v>
                </c:pt>
                <c:pt idx="127">
                  <c:v>41767</c:v>
                </c:pt>
                <c:pt idx="128">
                  <c:v>41768</c:v>
                </c:pt>
                <c:pt idx="129">
                  <c:v>41769</c:v>
                </c:pt>
                <c:pt idx="130">
                  <c:v>41770</c:v>
                </c:pt>
                <c:pt idx="131">
                  <c:v>41771</c:v>
                </c:pt>
                <c:pt idx="132">
                  <c:v>41772</c:v>
                </c:pt>
                <c:pt idx="133">
                  <c:v>41773</c:v>
                </c:pt>
                <c:pt idx="134">
                  <c:v>41774</c:v>
                </c:pt>
                <c:pt idx="135">
                  <c:v>41775</c:v>
                </c:pt>
                <c:pt idx="136">
                  <c:v>41776</c:v>
                </c:pt>
                <c:pt idx="137">
                  <c:v>41777</c:v>
                </c:pt>
                <c:pt idx="138">
                  <c:v>41778</c:v>
                </c:pt>
                <c:pt idx="139">
                  <c:v>41779</c:v>
                </c:pt>
                <c:pt idx="140">
                  <c:v>41780</c:v>
                </c:pt>
                <c:pt idx="141">
                  <c:v>41781</c:v>
                </c:pt>
                <c:pt idx="142">
                  <c:v>41782</c:v>
                </c:pt>
                <c:pt idx="143">
                  <c:v>41783</c:v>
                </c:pt>
                <c:pt idx="144">
                  <c:v>41784</c:v>
                </c:pt>
                <c:pt idx="145">
                  <c:v>41785</c:v>
                </c:pt>
                <c:pt idx="146">
                  <c:v>41786</c:v>
                </c:pt>
                <c:pt idx="147">
                  <c:v>41787</c:v>
                </c:pt>
                <c:pt idx="148">
                  <c:v>41788</c:v>
                </c:pt>
                <c:pt idx="149">
                  <c:v>41789</c:v>
                </c:pt>
                <c:pt idx="150">
                  <c:v>41790</c:v>
                </c:pt>
                <c:pt idx="151">
                  <c:v>41791</c:v>
                </c:pt>
                <c:pt idx="152">
                  <c:v>41792</c:v>
                </c:pt>
                <c:pt idx="153">
                  <c:v>41793</c:v>
                </c:pt>
                <c:pt idx="154">
                  <c:v>41794</c:v>
                </c:pt>
                <c:pt idx="155">
                  <c:v>41795</c:v>
                </c:pt>
                <c:pt idx="156">
                  <c:v>41796</c:v>
                </c:pt>
                <c:pt idx="157">
                  <c:v>41797</c:v>
                </c:pt>
                <c:pt idx="158">
                  <c:v>41798</c:v>
                </c:pt>
                <c:pt idx="159">
                  <c:v>41799</c:v>
                </c:pt>
                <c:pt idx="160">
                  <c:v>41800</c:v>
                </c:pt>
                <c:pt idx="161">
                  <c:v>41801</c:v>
                </c:pt>
                <c:pt idx="162">
                  <c:v>41802</c:v>
                </c:pt>
                <c:pt idx="163">
                  <c:v>41803</c:v>
                </c:pt>
                <c:pt idx="164">
                  <c:v>41804</c:v>
                </c:pt>
                <c:pt idx="165">
                  <c:v>41805</c:v>
                </c:pt>
                <c:pt idx="166">
                  <c:v>41806</c:v>
                </c:pt>
                <c:pt idx="167">
                  <c:v>41807</c:v>
                </c:pt>
                <c:pt idx="168">
                  <c:v>41808</c:v>
                </c:pt>
                <c:pt idx="169">
                  <c:v>41809</c:v>
                </c:pt>
                <c:pt idx="170">
                  <c:v>41810</c:v>
                </c:pt>
                <c:pt idx="171">
                  <c:v>41811</c:v>
                </c:pt>
                <c:pt idx="172">
                  <c:v>41812</c:v>
                </c:pt>
                <c:pt idx="173">
                  <c:v>41813</c:v>
                </c:pt>
                <c:pt idx="174">
                  <c:v>41814</c:v>
                </c:pt>
                <c:pt idx="175">
                  <c:v>41815</c:v>
                </c:pt>
                <c:pt idx="176">
                  <c:v>41816</c:v>
                </c:pt>
                <c:pt idx="177">
                  <c:v>41817</c:v>
                </c:pt>
                <c:pt idx="178">
                  <c:v>41818</c:v>
                </c:pt>
                <c:pt idx="179">
                  <c:v>41819</c:v>
                </c:pt>
                <c:pt idx="180">
                  <c:v>41820</c:v>
                </c:pt>
                <c:pt idx="181">
                  <c:v>41821</c:v>
                </c:pt>
                <c:pt idx="182">
                  <c:v>41822</c:v>
                </c:pt>
                <c:pt idx="183">
                  <c:v>41823</c:v>
                </c:pt>
                <c:pt idx="184">
                  <c:v>41824</c:v>
                </c:pt>
                <c:pt idx="185">
                  <c:v>41825</c:v>
                </c:pt>
                <c:pt idx="186">
                  <c:v>41826</c:v>
                </c:pt>
                <c:pt idx="187">
                  <c:v>41827</c:v>
                </c:pt>
                <c:pt idx="188">
                  <c:v>41828</c:v>
                </c:pt>
                <c:pt idx="189">
                  <c:v>41829</c:v>
                </c:pt>
                <c:pt idx="190">
                  <c:v>41830</c:v>
                </c:pt>
                <c:pt idx="191">
                  <c:v>41831</c:v>
                </c:pt>
                <c:pt idx="192">
                  <c:v>41832</c:v>
                </c:pt>
                <c:pt idx="193">
                  <c:v>41833</c:v>
                </c:pt>
                <c:pt idx="194">
                  <c:v>41834</c:v>
                </c:pt>
                <c:pt idx="195">
                  <c:v>41835</c:v>
                </c:pt>
                <c:pt idx="196">
                  <c:v>41836</c:v>
                </c:pt>
                <c:pt idx="197">
                  <c:v>41837</c:v>
                </c:pt>
                <c:pt idx="198">
                  <c:v>41838</c:v>
                </c:pt>
                <c:pt idx="199">
                  <c:v>41839</c:v>
                </c:pt>
                <c:pt idx="200">
                  <c:v>41840</c:v>
                </c:pt>
                <c:pt idx="201">
                  <c:v>41841</c:v>
                </c:pt>
                <c:pt idx="202">
                  <c:v>41842</c:v>
                </c:pt>
                <c:pt idx="203">
                  <c:v>41843</c:v>
                </c:pt>
                <c:pt idx="204">
                  <c:v>41844</c:v>
                </c:pt>
                <c:pt idx="205">
                  <c:v>41845</c:v>
                </c:pt>
                <c:pt idx="206">
                  <c:v>41846</c:v>
                </c:pt>
                <c:pt idx="207">
                  <c:v>41847</c:v>
                </c:pt>
                <c:pt idx="208">
                  <c:v>41848</c:v>
                </c:pt>
                <c:pt idx="209">
                  <c:v>41849</c:v>
                </c:pt>
                <c:pt idx="210">
                  <c:v>41850</c:v>
                </c:pt>
                <c:pt idx="211">
                  <c:v>41851</c:v>
                </c:pt>
                <c:pt idx="212">
                  <c:v>41852</c:v>
                </c:pt>
                <c:pt idx="213">
                  <c:v>41853</c:v>
                </c:pt>
                <c:pt idx="214">
                  <c:v>41854</c:v>
                </c:pt>
                <c:pt idx="215">
                  <c:v>41855</c:v>
                </c:pt>
                <c:pt idx="216">
                  <c:v>41856</c:v>
                </c:pt>
                <c:pt idx="217">
                  <c:v>41857</c:v>
                </c:pt>
                <c:pt idx="218">
                  <c:v>41858</c:v>
                </c:pt>
                <c:pt idx="219">
                  <c:v>41859</c:v>
                </c:pt>
                <c:pt idx="220">
                  <c:v>41860</c:v>
                </c:pt>
                <c:pt idx="221">
                  <c:v>41861</c:v>
                </c:pt>
                <c:pt idx="222">
                  <c:v>41862</c:v>
                </c:pt>
                <c:pt idx="223">
                  <c:v>41863</c:v>
                </c:pt>
                <c:pt idx="224">
                  <c:v>41864</c:v>
                </c:pt>
                <c:pt idx="225">
                  <c:v>41865</c:v>
                </c:pt>
                <c:pt idx="226">
                  <c:v>41866</c:v>
                </c:pt>
                <c:pt idx="227">
                  <c:v>41867</c:v>
                </c:pt>
                <c:pt idx="228">
                  <c:v>41868</c:v>
                </c:pt>
                <c:pt idx="229">
                  <c:v>41869</c:v>
                </c:pt>
                <c:pt idx="230">
                  <c:v>41870</c:v>
                </c:pt>
                <c:pt idx="231">
                  <c:v>41871</c:v>
                </c:pt>
                <c:pt idx="232">
                  <c:v>41872</c:v>
                </c:pt>
                <c:pt idx="233">
                  <c:v>41873</c:v>
                </c:pt>
                <c:pt idx="234">
                  <c:v>41874</c:v>
                </c:pt>
                <c:pt idx="235">
                  <c:v>41875</c:v>
                </c:pt>
                <c:pt idx="236">
                  <c:v>41876</c:v>
                </c:pt>
                <c:pt idx="237">
                  <c:v>41877</c:v>
                </c:pt>
                <c:pt idx="238">
                  <c:v>41878</c:v>
                </c:pt>
                <c:pt idx="239">
                  <c:v>41879</c:v>
                </c:pt>
                <c:pt idx="240">
                  <c:v>41880</c:v>
                </c:pt>
                <c:pt idx="241">
                  <c:v>41881</c:v>
                </c:pt>
                <c:pt idx="242">
                  <c:v>41882</c:v>
                </c:pt>
                <c:pt idx="243">
                  <c:v>41883</c:v>
                </c:pt>
                <c:pt idx="244">
                  <c:v>41884</c:v>
                </c:pt>
                <c:pt idx="245">
                  <c:v>41885</c:v>
                </c:pt>
                <c:pt idx="246">
                  <c:v>41886</c:v>
                </c:pt>
                <c:pt idx="247">
                  <c:v>41887</c:v>
                </c:pt>
                <c:pt idx="248">
                  <c:v>41888</c:v>
                </c:pt>
                <c:pt idx="249">
                  <c:v>41889</c:v>
                </c:pt>
                <c:pt idx="250">
                  <c:v>41890</c:v>
                </c:pt>
                <c:pt idx="251">
                  <c:v>41891</c:v>
                </c:pt>
                <c:pt idx="252">
                  <c:v>41892</c:v>
                </c:pt>
                <c:pt idx="253">
                  <c:v>41893</c:v>
                </c:pt>
                <c:pt idx="254">
                  <c:v>41894</c:v>
                </c:pt>
                <c:pt idx="255">
                  <c:v>41895</c:v>
                </c:pt>
                <c:pt idx="256">
                  <c:v>41896</c:v>
                </c:pt>
                <c:pt idx="257">
                  <c:v>41897</c:v>
                </c:pt>
                <c:pt idx="258">
                  <c:v>41898</c:v>
                </c:pt>
                <c:pt idx="259">
                  <c:v>41899</c:v>
                </c:pt>
                <c:pt idx="260">
                  <c:v>41900</c:v>
                </c:pt>
                <c:pt idx="261">
                  <c:v>41901</c:v>
                </c:pt>
                <c:pt idx="262">
                  <c:v>41902</c:v>
                </c:pt>
                <c:pt idx="263">
                  <c:v>41903</c:v>
                </c:pt>
                <c:pt idx="264">
                  <c:v>41904</c:v>
                </c:pt>
                <c:pt idx="265">
                  <c:v>41905</c:v>
                </c:pt>
                <c:pt idx="266">
                  <c:v>41906</c:v>
                </c:pt>
                <c:pt idx="267">
                  <c:v>41907</c:v>
                </c:pt>
                <c:pt idx="268">
                  <c:v>41908</c:v>
                </c:pt>
                <c:pt idx="269">
                  <c:v>41909</c:v>
                </c:pt>
                <c:pt idx="270">
                  <c:v>41910</c:v>
                </c:pt>
                <c:pt idx="271">
                  <c:v>41911</c:v>
                </c:pt>
                <c:pt idx="272">
                  <c:v>41912</c:v>
                </c:pt>
                <c:pt idx="273">
                  <c:v>41913</c:v>
                </c:pt>
                <c:pt idx="274">
                  <c:v>41914</c:v>
                </c:pt>
                <c:pt idx="275">
                  <c:v>41915</c:v>
                </c:pt>
                <c:pt idx="276">
                  <c:v>41916</c:v>
                </c:pt>
                <c:pt idx="277">
                  <c:v>41917</c:v>
                </c:pt>
                <c:pt idx="278">
                  <c:v>41918</c:v>
                </c:pt>
                <c:pt idx="279">
                  <c:v>41919</c:v>
                </c:pt>
                <c:pt idx="280">
                  <c:v>41920</c:v>
                </c:pt>
                <c:pt idx="281">
                  <c:v>41921</c:v>
                </c:pt>
                <c:pt idx="282">
                  <c:v>41922</c:v>
                </c:pt>
                <c:pt idx="283">
                  <c:v>41923</c:v>
                </c:pt>
                <c:pt idx="284">
                  <c:v>41924</c:v>
                </c:pt>
                <c:pt idx="285">
                  <c:v>41925</c:v>
                </c:pt>
                <c:pt idx="286">
                  <c:v>41926</c:v>
                </c:pt>
                <c:pt idx="287">
                  <c:v>41927</c:v>
                </c:pt>
                <c:pt idx="288">
                  <c:v>41928</c:v>
                </c:pt>
                <c:pt idx="289">
                  <c:v>41929</c:v>
                </c:pt>
                <c:pt idx="290">
                  <c:v>41930</c:v>
                </c:pt>
                <c:pt idx="291">
                  <c:v>41931</c:v>
                </c:pt>
                <c:pt idx="292">
                  <c:v>41932</c:v>
                </c:pt>
                <c:pt idx="293">
                  <c:v>41933</c:v>
                </c:pt>
                <c:pt idx="294">
                  <c:v>41934</c:v>
                </c:pt>
                <c:pt idx="295">
                  <c:v>41935</c:v>
                </c:pt>
                <c:pt idx="296">
                  <c:v>41936</c:v>
                </c:pt>
                <c:pt idx="297">
                  <c:v>41937</c:v>
                </c:pt>
                <c:pt idx="298">
                  <c:v>41938</c:v>
                </c:pt>
                <c:pt idx="299">
                  <c:v>41939</c:v>
                </c:pt>
                <c:pt idx="300">
                  <c:v>41940</c:v>
                </c:pt>
                <c:pt idx="301">
                  <c:v>41941</c:v>
                </c:pt>
                <c:pt idx="302">
                  <c:v>41942</c:v>
                </c:pt>
                <c:pt idx="303">
                  <c:v>41943</c:v>
                </c:pt>
                <c:pt idx="304">
                  <c:v>41944</c:v>
                </c:pt>
                <c:pt idx="305">
                  <c:v>41945</c:v>
                </c:pt>
                <c:pt idx="306">
                  <c:v>41946</c:v>
                </c:pt>
                <c:pt idx="307">
                  <c:v>41947</c:v>
                </c:pt>
                <c:pt idx="308">
                  <c:v>41948</c:v>
                </c:pt>
                <c:pt idx="309">
                  <c:v>41949</c:v>
                </c:pt>
                <c:pt idx="310">
                  <c:v>41950</c:v>
                </c:pt>
                <c:pt idx="311">
                  <c:v>41951</c:v>
                </c:pt>
                <c:pt idx="312">
                  <c:v>41952</c:v>
                </c:pt>
                <c:pt idx="313">
                  <c:v>41953</c:v>
                </c:pt>
                <c:pt idx="314">
                  <c:v>41954</c:v>
                </c:pt>
                <c:pt idx="315">
                  <c:v>41955</c:v>
                </c:pt>
                <c:pt idx="316">
                  <c:v>41956</c:v>
                </c:pt>
                <c:pt idx="317">
                  <c:v>41957</c:v>
                </c:pt>
                <c:pt idx="318">
                  <c:v>41958</c:v>
                </c:pt>
                <c:pt idx="319">
                  <c:v>41959</c:v>
                </c:pt>
                <c:pt idx="320">
                  <c:v>41960</c:v>
                </c:pt>
                <c:pt idx="321">
                  <c:v>41961</c:v>
                </c:pt>
                <c:pt idx="322">
                  <c:v>41962</c:v>
                </c:pt>
                <c:pt idx="323">
                  <c:v>41963</c:v>
                </c:pt>
                <c:pt idx="324">
                  <c:v>41964</c:v>
                </c:pt>
                <c:pt idx="325">
                  <c:v>41965</c:v>
                </c:pt>
                <c:pt idx="326">
                  <c:v>41966</c:v>
                </c:pt>
                <c:pt idx="327">
                  <c:v>41967</c:v>
                </c:pt>
                <c:pt idx="328">
                  <c:v>41968</c:v>
                </c:pt>
                <c:pt idx="329">
                  <c:v>41969</c:v>
                </c:pt>
                <c:pt idx="330">
                  <c:v>41970</c:v>
                </c:pt>
                <c:pt idx="331">
                  <c:v>41971</c:v>
                </c:pt>
                <c:pt idx="332">
                  <c:v>41972</c:v>
                </c:pt>
                <c:pt idx="333">
                  <c:v>41973</c:v>
                </c:pt>
                <c:pt idx="334">
                  <c:v>41974</c:v>
                </c:pt>
                <c:pt idx="335">
                  <c:v>41975</c:v>
                </c:pt>
                <c:pt idx="336">
                  <c:v>41976</c:v>
                </c:pt>
                <c:pt idx="337">
                  <c:v>41977</c:v>
                </c:pt>
                <c:pt idx="338">
                  <c:v>41978</c:v>
                </c:pt>
                <c:pt idx="339">
                  <c:v>41979</c:v>
                </c:pt>
                <c:pt idx="340">
                  <c:v>41980</c:v>
                </c:pt>
                <c:pt idx="341">
                  <c:v>41981</c:v>
                </c:pt>
                <c:pt idx="342">
                  <c:v>41982</c:v>
                </c:pt>
                <c:pt idx="343">
                  <c:v>41983</c:v>
                </c:pt>
                <c:pt idx="344">
                  <c:v>41984</c:v>
                </c:pt>
                <c:pt idx="345">
                  <c:v>41985</c:v>
                </c:pt>
                <c:pt idx="346">
                  <c:v>41986</c:v>
                </c:pt>
                <c:pt idx="347">
                  <c:v>41987</c:v>
                </c:pt>
                <c:pt idx="348">
                  <c:v>41988</c:v>
                </c:pt>
                <c:pt idx="349">
                  <c:v>41989</c:v>
                </c:pt>
                <c:pt idx="350">
                  <c:v>41990</c:v>
                </c:pt>
                <c:pt idx="351">
                  <c:v>41991</c:v>
                </c:pt>
                <c:pt idx="352">
                  <c:v>41992</c:v>
                </c:pt>
                <c:pt idx="353">
                  <c:v>41993</c:v>
                </c:pt>
                <c:pt idx="354">
                  <c:v>41994</c:v>
                </c:pt>
                <c:pt idx="355">
                  <c:v>41995</c:v>
                </c:pt>
                <c:pt idx="356">
                  <c:v>41996</c:v>
                </c:pt>
                <c:pt idx="357">
                  <c:v>41997</c:v>
                </c:pt>
                <c:pt idx="358">
                  <c:v>41998</c:v>
                </c:pt>
                <c:pt idx="359">
                  <c:v>41999</c:v>
                </c:pt>
                <c:pt idx="360">
                  <c:v>42000</c:v>
                </c:pt>
                <c:pt idx="361">
                  <c:v>42001</c:v>
                </c:pt>
                <c:pt idx="362">
                  <c:v>42002</c:v>
                </c:pt>
                <c:pt idx="363">
                  <c:v>42003</c:v>
                </c:pt>
                <c:pt idx="364">
                  <c:v>42004</c:v>
                </c:pt>
              </c:numCache>
            </c:numRef>
          </c:cat>
          <c:val>
            <c:numRef>
              <c:f>MakeSchedule!$W$16:$W$380</c:f>
              <c:numCache>
                <c:formatCode>0.00</c:formatCode>
                <c:ptCount val="36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270</c:v>
                </c:pt>
                <c:pt idx="59">
                  <c:v>267.47514093448672</c:v>
                </c:pt>
                <c:pt idx="60">
                  <c:v>264.91105089205803</c:v>
                </c:pt>
                <c:pt idx="61">
                  <c:v>262.30693719888762</c:v>
                </c:pt>
                <c:pt idx="62">
                  <c:v>259.66196072059552</c:v>
                </c:pt>
                <c:pt idx="63">
                  <c:v>256.97523586224742</c:v>
                </c:pt>
                <c:pt idx="64">
                  <c:v>254.24583056835539</c:v>
                </c:pt>
                <c:pt idx="65">
                  <c:v>251.47723289923917</c:v>
                </c:pt>
                <c:pt idx="66">
                  <c:v>248.69490190478783</c:v>
                </c:pt>
                <c:pt idx="67">
                  <c:v>245.90212997069614</c:v>
                </c:pt>
                <c:pt idx="68">
                  <c:v>268.10223497959151</c:v>
                </c:pt>
                <c:pt idx="69">
                  <c:v>265.29848402966928</c:v>
                </c:pt>
                <c:pt idx="70">
                  <c:v>262.49401917787907</c:v>
                </c:pt>
                <c:pt idx="71">
                  <c:v>259.69178909724667</c:v>
                </c:pt>
                <c:pt idx="72">
                  <c:v>256.8944899633471</c:v>
                </c:pt>
                <c:pt idx="73">
                  <c:v>254.10451800850765</c:v>
                </c:pt>
                <c:pt idx="74">
                  <c:v>251.32393513919536</c:v>
                </c:pt>
                <c:pt idx="75">
                  <c:v>248.5544479498158</c:v>
                </c:pt>
                <c:pt idx="76">
                  <c:v>245.7973370690637</c:v>
                </c:pt>
                <c:pt idx="77">
                  <c:v>242.9883611884494</c:v>
                </c:pt>
                <c:pt idx="78">
                  <c:v>240.11447706945327</c:v>
                </c:pt>
                <c:pt idx="79">
                  <c:v>237.17415686236717</c:v>
                </c:pt>
                <c:pt idx="80">
                  <c:v>234.16593905019337</c:v>
                </c:pt>
                <c:pt idx="81">
                  <c:v>231.08843015068928</c:v>
                </c:pt>
                <c:pt idx="82">
                  <c:v>227.94030641841226</c:v>
                </c:pt>
                <c:pt idx="83">
                  <c:v>224.72031554676468</c:v>
                </c:pt>
                <c:pt idx="84">
                  <c:v>221.42727837003847</c:v>
                </c:pt>
                <c:pt idx="85">
                  <c:v>218.06009056546014</c:v>
                </c:pt>
                <c:pt idx="86">
                  <c:v>214.61772435523568</c:v>
                </c:pt>
                <c:pt idx="87">
                  <c:v>211.09923020859517</c:v>
                </c:pt>
                <c:pt idx="88">
                  <c:v>207.50373854383787</c:v>
                </c:pt>
                <c:pt idx="89">
                  <c:v>203.83046143037694</c:v>
                </c:pt>
                <c:pt idx="90">
                  <c:v>245.07869429078423</c:v>
                </c:pt>
                <c:pt idx="91">
                  <c:v>241.24781760283528</c:v>
                </c:pt>
                <c:pt idx="92">
                  <c:v>237.33729860155407</c:v>
                </c:pt>
                <c:pt idx="93">
                  <c:v>233.3466929812578</c:v>
                </c:pt>
                <c:pt idx="94">
                  <c:v>229.27564659760191</c:v>
                </c:pt>
                <c:pt idx="95">
                  <c:v>225.12389716962468</c:v>
                </c:pt>
                <c:pt idx="96">
                  <c:v>220.89127598179238</c:v>
                </c:pt>
                <c:pt idx="97">
                  <c:v>216.57770958604377</c:v>
                </c:pt>
                <c:pt idx="98">
                  <c:v>212.18322150383526</c:v>
                </c:pt>
                <c:pt idx="99">
                  <c:v>207.70793392818553</c:v>
                </c:pt>
                <c:pt idx="100">
                  <c:v>203.15206942572047</c:v>
                </c:pt>
                <c:pt idx="101">
                  <c:v>198.51595263871803</c:v>
                </c:pt>
                <c:pt idx="102">
                  <c:v>193.80001198715303</c:v>
                </c:pt>
                <c:pt idx="103">
                  <c:v>189.00478137074199</c:v>
                </c:pt>
                <c:pt idx="104">
                  <c:v>184.13090187098803</c:v>
                </c:pt>
                <c:pt idx="105">
                  <c:v>179.17912345322563</c:v>
                </c:pt>
                <c:pt idx="106">
                  <c:v>174.15030666866556</c:v>
                </c:pt>
                <c:pt idx="107">
                  <c:v>169.04539544117779</c:v>
                </c:pt>
                <c:pt idx="108">
                  <c:v>163.86530205562804</c:v>
                </c:pt>
                <c:pt idx="109">
                  <c:v>158.61087704984519</c:v>
                </c:pt>
                <c:pt idx="110">
                  <c:v>153.2829077586851</c:v>
                </c:pt>
                <c:pt idx="111">
                  <c:v>147.88211685809466</c:v>
                </c:pt>
                <c:pt idx="112">
                  <c:v>142.40916090917597</c:v>
                </c:pt>
                <c:pt idx="113">
                  <c:v>136.86462890225002</c:v>
                </c:pt>
                <c:pt idx="114">
                  <c:v>131.24904080092105</c:v>
                </c:pt>
                <c:pt idx="115">
                  <c:v>125.56284608614038</c:v>
                </c:pt>
                <c:pt idx="116">
                  <c:v>119.80642230027044</c:v>
                </c:pt>
                <c:pt idx="117">
                  <c:v>113.9990932278489</c:v>
                </c:pt>
                <c:pt idx="118">
                  <c:v>108.14776428867577</c:v>
                </c:pt>
                <c:pt idx="119">
                  <c:v>102.25296637667947</c:v>
                </c:pt>
                <c:pt idx="120">
                  <c:v>96.315147033453286</c:v>
                </c:pt>
                <c:pt idx="121">
                  <c:v>90.334670448255423</c:v>
                </c:pt>
                <c:pt idx="122">
                  <c:v>84.311817458008989</c:v>
                </c:pt>
                <c:pt idx="123">
                  <c:v>78.246785547301926</c:v>
                </c:pt>
                <c:pt idx="124">
                  <c:v>72.139688848387124</c:v>
                </c:pt>
                <c:pt idx="125">
                  <c:v>65.990558141182305</c:v>
                </c:pt>
                <c:pt idx="126">
                  <c:v>59.799340853270138</c:v>
                </c:pt>
                <c:pt idx="127">
                  <c:v>53.565901059898152</c:v>
                </c:pt>
                <c:pt idx="128">
                  <c:v>47.290019483978739</c:v>
                </c:pt>
                <c:pt idx="129">
                  <c:v>40.971393496089206</c:v>
                </c:pt>
                <c:pt idx="130">
                  <c:v>34.609637114471781</c:v>
                </c:pt>
                <c:pt idx="131">
                  <c:v>28.204281005033522</c:v>
                </c:pt>
                <c:pt idx="132">
                  <c:v>21.754772481346407</c:v>
                </c:pt>
                <c:pt idx="133">
                  <c:v>15.260475504647303</c:v>
                </c:pt>
                <c:pt idx="134">
                  <c:v>8.720670683837966</c:v>
                </c:pt>
                <c:pt idx="135">
                  <c:v>2.1345552754850132</c:v>
                </c:pt>
                <c:pt idx="136">
                  <c:v>-4.4987568161799913</c:v>
                </c:pt>
                <c:pt idx="137">
                  <c:v>-11.180206555684435</c:v>
                </c:pt>
                <c:pt idx="138">
                  <c:v>-17.910675842009653</c:v>
                </c:pt>
                <c:pt idx="139">
                  <c:v>-24.690959025014706</c:v>
                </c:pt>
                <c:pt idx="140">
                  <c:v>-31.521762905436503</c:v>
                </c:pt>
                <c:pt idx="141">
                  <c:v>-38.403706734889568</c:v>
                </c:pt>
                <c:pt idx="142">
                  <c:v>-45.337322215866266</c:v>
                </c:pt>
                <c:pt idx="143">
                  <c:v>-52.323053501736695</c:v>
                </c:pt>
                <c:pt idx="144">
                  <c:v>-59.361257196748738</c:v>
                </c:pt>
                <c:pt idx="145">
                  <c:v>-66.452202356027954</c:v>
                </c:pt>
                <c:pt idx="146">
                  <c:v>-73.596070485577741</c:v>
                </c:pt>
                <c:pt idx="147">
                  <c:v>-80.792955542279174</c:v>
                </c:pt>
                <c:pt idx="148">
                  <c:v>-88.042863933891169</c:v>
                </c:pt>
                <c:pt idx="149">
                  <c:v>-95.345714519050318</c:v>
                </c:pt>
                <c:pt idx="150">
                  <c:v>-102.70133860727094</c:v>
                </c:pt>
                <c:pt idx="151">
                  <c:v>-110.1094799589452</c:v>
                </c:pt>
                <c:pt idx="152">
                  <c:v>-117.56979478534299</c:v>
                </c:pt>
                <c:pt idx="153">
                  <c:v>-125.08185174861188</c:v>
                </c:pt>
                <c:pt idx="154">
                  <c:v>-132.64513196177734</c:v>
                </c:pt>
                <c:pt idx="155">
                  <c:v>-140.25902898874244</c:v>
                </c:pt>
                <c:pt idx="156">
                  <c:v>-147.92284884428807</c:v>
                </c:pt>
                <c:pt idx="157">
                  <c:v>-155.63580999407287</c:v>
                </c:pt>
                <c:pt idx="158">
                  <c:v>-163.39704335463324</c:v>
                </c:pt>
                <c:pt idx="159">
                  <c:v>-171.20559229338329</c:v>
                </c:pt>
                <c:pt idx="160">
                  <c:v>-179.06041262861498</c:v>
                </c:pt>
                <c:pt idx="161">
                  <c:v>-186.9603726294979</c:v>
                </c:pt>
                <c:pt idx="162">
                  <c:v>-194.90425301607951</c:v>
                </c:pt>
                <c:pt idx="163">
                  <c:v>-202.89074695928491</c:v>
                </c:pt>
                <c:pt idx="164">
                  <c:v>-210.91846008091704</c:v>
                </c:pt>
                <c:pt idx="165">
                  <c:v>-218.98591045365652</c:v>
                </c:pt>
                <c:pt idx="166">
                  <c:v>-227.09152860106184</c:v>
                </c:pt>
                <c:pt idx="167">
                  <c:v>-235.23365749756908</c:v>
                </c:pt>
                <c:pt idx="168">
                  <c:v>-243.41057051537143</c:v>
                </c:pt>
                <c:pt idx="169">
                  <c:v>-251.6205432119358</c:v>
                </c:pt>
                <c:pt idx="170">
                  <c:v>-259.86187127688197</c:v>
                </c:pt>
                <c:pt idx="171">
                  <c:v>-168.13287053198292</c:v>
                </c:pt>
                <c:pt idx="172">
                  <c:v>-176.43187693116448</c:v>
                </c:pt>
                <c:pt idx="173">
                  <c:v>-184.75724656050551</c:v>
                </c:pt>
                <c:pt idx="174">
                  <c:v>-193.10735563823778</c:v>
                </c:pt>
                <c:pt idx="175">
                  <c:v>-201.48060051474619</c:v>
                </c:pt>
                <c:pt idx="176">
                  <c:v>-209.87539767256845</c:v>
                </c:pt>
                <c:pt idx="177">
                  <c:v>-218.29018372639541</c:v>
                </c:pt>
                <c:pt idx="178">
                  <c:v>-226.72341542307078</c:v>
                </c:pt>
                <c:pt idx="179">
                  <c:v>-235.17356964159131</c:v>
                </c:pt>
                <c:pt idx="180">
                  <c:v>-243.63914339310679</c:v>
                </c:pt>
                <c:pt idx="181">
                  <c:v>-252.11865382091992</c:v>
                </c:pt>
                <c:pt idx="182">
                  <c:v>-260.61063820048639</c:v>
                </c:pt>
                <c:pt idx="183">
                  <c:v>-269.11365393941492</c:v>
                </c:pt>
                <c:pt idx="184">
                  <c:v>-277.62627857746713</c:v>
                </c:pt>
                <c:pt idx="185">
                  <c:v>-286.14710978655773</c:v>
                </c:pt>
                <c:pt idx="186">
                  <c:v>-294.67476537075436</c:v>
                </c:pt>
                <c:pt idx="187">
                  <c:v>-303.20788326627758</c:v>
                </c:pt>
                <c:pt idx="188">
                  <c:v>-211.74512154150102</c:v>
                </c:pt>
                <c:pt idx="189">
                  <c:v>-220.28515839695137</c:v>
                </c:pt>
                <c:pt idx="190">
                  <c:v>-208.82669216530815</c:v>
                </c:pt>
                <c:pt idx="191">
                  <c:v>-217.3684413114039</c:v>
                </c:pt>
                <c:pt idx="192">
                  <c:v>-225.90914443222425</c:v>
                </c:pt>
                <c:pt idx="193">
                  <c:v>-234.44756025690765</c:v>
                </c:pt>
                <c:pt idx="194">
                  <c:v>-242.9824676467457</c:v>
                </c:pt>
                <c:pt idx="195">
                  <c:v>-251.51266559518285</c:v>
                </c:pt>
                <c:pt idx="196">
                  <c:v>-260.03697322781659</c:v>
                </c:pt>
                <c:pt idx="197">
                  <c:v>-268.55422980239746</c:v>
                </c:pt>
                <c:pt idx="198">
                  <c:v>-277.06329334669294</c:v>
                </c:pt>
                <c:pt idx="199">
                  <c:v>-285.56303520994436</c:v>
                </c:pt>
                <c:pt idx="200">
                  <c:v>-294.05233870073073</c:v>
                </c:pt>
                <c:pt idx="201">
                  <c:v>-302.53009908696879</c:v>
                </c:pt>
                <c:pt idx="202">
                  <c:v>-310.99522359591299</c:v>
                </c:pt>
                <c:pt idx="203">
                  <c:v>-319.44663141415572</c:v>
                </c:pt>
                <c:pt idx="204">
                  <c:v>-227.88325368762708</c:v>
                </c:pt>
                <c:pt idx="205">
                  <c:v>-236.30403352159487</c:v>
                </c:pt>
                <c:pt idx="206">
                  <c:v>-244.70792598066475</c:v>
                </c:pt>
                <c:pt idx="207">
                  <c:v>-253.09389808878007</c:v>
                </c:pt>
                <c:pt idx="208">
                  <c:v>-261.4609288292221</c:v>
                </c:pt>
                <c:pt idx="209">
                  <c:v>-269.80800914460963</c:v>
                </c:pt>
                <c:pt idx="210">
                  <c:v>-278.13414193689937</c:v>
                </c:pt>
                <c:pt idx="211">
                  <c:v>-286.43834206738586</c:v>
                </c:pt>
                <c:pt idx="212">
                  <c:v>-294.71963635670136</c:v>
                </c:pt>
                <c:pt idx="213">
                  <c:v>-302.97706358481571</c:v>
                </c:pt>
                <c:pt idx="214">
                  <c:v>-311.20967449103682</c:v>
                </c:pt>
                <c:pt idx="215">
                  <c:v>-319.4165317740102</c:v>
                </c:pt>
                <c:pt idx="216">
                  <c:v>-327.59671009171916</c:v>
                </c:pt>
                <c:pt idx="217">
                  <c:v>-335.74929606148487</c:v>
                </c:pt>
                <c:pt idx="218">
                  <c:v>-243.87338825996608</c:v>
                </c:pt>
                <c:pt idx="219">
                  <c:v>-251.96809722315948</c:v>
                </c:pt>
                <c:pt idx="220">
                  <c:v>-260.03254544639947</c:v>
                </c:pt>
                <c:pt idx="221">
                  <c:v>-268.06586738435817</c:v>
                </c:pt>
                <c:pt idx="222">
                  <c:v>-276.06720945104553</c:v>
                </c:pt>
                <c:pt idx="223">
                  <c:v>-284.03573001980919</c:v>
                </c:pt>
                <c:pt idx="224">
                  <c:v>-291.97059942333476</c:v>
                </c:pt>
                <c:pt idx="225">
                  <c:v>-299.87099995364542</c:v>
                </c:pt>
                <c:pt idx="226">
                  <c:v>-307.7361258621022</c:v>
                </c:pt>
                <c:pt idx="227">
                  <c:v>-315.56518335940382</c:v>
                </c:pt>
                <c:pt idx="228">
                  <c:v>-323.35739061558684</c:v>
                </c:pt>
                <c:pt idx="229">
                  <c:v>-331.11197907551195</c:v>
                </c:pt>
                <c:pt idx="230">
                  <c:v>-338.8281987208095</c:v>
                </c:pt>
                <c:pt idx="231">
                  <c:v>-346.5053193853654</c:v>
                </c:pt>
                <c:pt idx="232">
                  <c:v>-254.14263075532176</c:v>
                </c:pt>
                <c:pt idx="233">
                  <c:v>-261.73944236907653</c:v>
                </c:pt>
                <c:pt idx="234">
                  <c:v>-269.29508361728335</c:v>
                </c:pt>
                <c:pt idx="235">
                  <c:v>-276.80890374285195</c:v>
                </c:pt>
                <c:pt idx="236">
                  <c:v>-284.28027184094799</c:v>
                </c:pt>
                <c:pt idx="237">
                  <c:v>-291.70857685899284</c:v>
                </c:pt>
                <c:pt idx="238">
                  <c:v>-299.09322759666395</c:v>
                </c:pt>
                <c:pt idx="239">
                  <c:v>-306.43365270589447</c:v>
                </c:pt>
                <c:pt idx="240">
                  <c:v>-313.72930069087363</c:v>
                </c:pt>
                <c:pt idx="241">
                  <c:v>-320.97963990804635</c:v>
                </c:pt>
                <c:pt idx="242">
                  <c:v>-328.18415856611364</c:v>
                </c:pt>
                <c:pt idx="243">
                  <c:v>-335.34236472603232</c:v>
                </c:pt>
                <c:pt idx="244">
                  <c:v>-342.45378630101516</c:v>
                </c:pt>
                <c:pt idx="245">
                  <c:v>-349.51797105653077</c:v>
                </c:pt>
                <c:pt idx="246">
                  <c:v>-356.53448661030359</c:v>
                </c:pt>
                <c:pt idx="247">
                  <c:v>-363.502920432314</c:v>
                </c:pt>
                <c:pt idx="248">
                  <c:v>-370.42287984479833</c:v>
                </c:pt>
                <c:pt idx="249">
                  <c:v>-277.29399202224874</c:v>
                </c:pt>
                <c:pt idx="250">
                  <c:v>-284.11590399141335</c:v>
                </c:pt>
                <c:pt idx="251">
                  <c:v>-290.88828263129608</c:v>
                </c:pt>
                <c:pt idx="252">
                  <c:v>-297.61081467315682</c:v>
                </c:pt>
                <c:pt idx="253">
                  <c:v>-304.2832067005113</c:v>
                </c:pt>
                <c:pt idx="254">
                  <c:v>-310.90518514913117</c:v>
                </c:pt>
                <c:pt idx="255">
                  <c:v>-317.47649630704393</c:v>
                </c:pt>
                <c:pt idx="256">
                  <c:v>-323.99690631453302</c:v>
                </c:pt>
                <c:pt idx="257">
                  <c:v>-330.46620116413783</c:v>
                </c:pt>
                <c:pt idx="258">
                  <c:v>-336.88418670065357</c:v>
                </c:pt>
                <c:pt idx="259">
                  <c:v>-343.25068112030112</c:v>
                </c:pt>
                <c:pt idx="260">
                  <c:v>-349.56548496740606</c:v>
                </c:pt>
                <c:pt idx="261">
                  <c:v>-355.82837363356862</c:v>
                </c:pt>
                <c:pt idx="262">
                  <c:v>-362.03909735766354</c:v>
                </c:pt>
                <c:pt idx="263">
                  <c:v>-368.1973812258401</c:v>
                </c:pt>
                <c:pt idx="264">
                  <c:v>-374.30292517152213</c:v>
                </c:pt>
                <c:pt idx="265">
                  <c:v>-380.35540397540797</c:v>
                </c:pt>
                <c:pt idx="266">
                  <c:v>-386.35446726547048</c:v>
                </c:pt>
                <c:pt idx="267">
                  <c:v>-392.29973951695717</c:v>
                </c:pt>
                <c:pt idx="268">
                  <c:v>-398.19082005238999</c:v>
                </c:pt>
                <c:pt idx="269">
                  <c:v>-404.02728304156551</c:v>
                </c:pt>
                <c:pt idx="270">
                  <c:v>-409.80867750155471</c:v>
                </c:pt>
                <c:pt idx="271">
                  <c:v>-415.53452729670323</c:v>
                </c:pt>
                <c:pt idx="272">
                  <c:v>-421.20433113863112</c:v>
                </c:pt>
                <c:pt idx="273">
                  <c:v>-426.81756258623318</c:v>
                </c:pt>
                <c:pt idx="274">
                  <c:v>-432.37367004567864</c:v>
                </c:pt>
                <c:pt idx="275">
                  <c:v>-437.87207677041113</c:v>
                </c:pt>
                <c:pt idx="276">
                  <c:v>-443.31218086114905</c:v>
                </c:pt>
                <c:pt idx="277">
                  <c:v>-448.69335526588532</c:v>
                </c:pt>
                <c:pt idx="278">
                  <c:v>-454.01494777988717</c:v>
                </c:pt>
                <c:pt idx="279">
                  <c:v>-459.17870615423612</c:v>
                </c:pt>
                <c:pt idx="280">
                  <c:v>-464.18369172693497</c:v>
                </c:pt>
                <c:pt idx="281">
                  <c:v>-469.03153772052269</c:v>
                </c:pt>
                <c:pt idx="282">
                  <c:v>-473.72389564021535</c:v>
                </c:pt>
                <c:pt idx="283">
                  <c:v>-478.26243718811702</c:v>
                </c:pt>
                <c:pt idx="284">
                  <c:v>-482.64885617742982</c:v>
                </c:pt>
                <c:pt idx="285">
                  <c:v>-486.88487044666476</c:v>
                </c:pt>
                <c:pt idx="286">
                  <c:v>-490.97222377385174</c:v>
                </c:pt>
                <c:pt idx="287">
                  <c:v>-494.91268779075051</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numCache>
            </c:numRef>
          </c:val>
          <c:smooth val="0"/>
        </c:ser>
        <c:ser>
          <c:idx val="5"/>
          <c:order val="1"/>
          <c:tx>
            <c:v>YTpaw</c:v>
          </c:tx>
          <c:spPr>
            <a:ln w="38100">
              <a:solidFill>
                <a:srgbClr val="800000"/>
              </a:solidFill>
              <a:prstDash val="solid"/>
            </a:ln>
          </c:spPr>
          <c:marker>
            <c:symbol val="none"/>
          </c:marker>
          <c:cat>
            <c:numRef>
              <c:f>MakeSchedule!$A$16:$A$380</c:f>
              <c:numCache>
                <c:formatCode>dd\-mmm\-yy</c:formatCode>
                <c:ptCount val="365"/>
                <c:pt idx="0">
                  <c:v>41640</c:v>
                </c:pt>
                <c:pt idx="1">
                  <c:v>41641</c:v>
                </c:pt>
                <c:pt idx="2">
                  <c:v>41642</c:v>
                </c:pt>
                <c:pt idx="3">
                  <c:v>41643</c:v>
                </c:pt>
                <c:pt idx="4">
                  <c:v>41644</c:v>
                </c:pt>
                <c:pt idx="5">
                  <c:v>41645</c:v>
                </c:pt>
                <c:pt idx="6">
                  <c:v>41646</c:v>
                </c:pt>
                <c:pt idx="7">
                  <c:v>41647</c:v>
                </c:pt>
                <c:pt idx="8">
                  <c:v>41648</c:v>
                </c:pt>
                <c:pt idx="9">
                  <c:v>41649</c:v>
                </c:pt>
                <c:pt idx="10">
                  <c:v>41650</c:v>
                </c:pt>
                <c:pt idx="11">
                  <c:v>41651</c:v>
                </c:pt>
                <c:pt idx="12">
                  <c:v>41652</c:v>
                </c:pt>
                <c:pt idx="13">
                  <c:v>41653</c:v>
                </c:pt>
                <c:pt idx="14">
                  <c:v>41654</c:v>
                </c:pt>
                <c:pt idx="15">
                  <c:v>41655</c:v>
                </c:pt>
                <c:pt idx="16">
                  <c:v>41656</c:v>
                </c:pt>
                <c:pt idx="17">
                  <c:v>41657</c:v>
                </c:pt>
                <c:pt idx="18">
                  <c:v>41658</c:v>
                </c:pt>
                <c:pt idx="19">
                  <c:v>41659</c:v>
                </c:pt>
                <c:pt idx="20">
                  <c:v>41660</c:v>
                </c:pt>
                <c:pt idx="21">
                  <c:v>41661</c:v>
                </c:pt>
                <c:pt idx="22">
                  <c:v>41662</c:v>
                </c:pt>
                <c:pt idx="23">
                  <c:v>41663</c:v>
                </c:pt>
                <c:pt idx="24">
                  <c:v>41664</c:v>
                </c:pt>
                <c:pt idx="25">
                  <c:v>41665</c:v>
                </c:pt>
                <c:pt idx="26">
                  <c:v>41666</c:v>
                </c:pt>
                <c:pt idx="27">
                  <c:v>41667</c:v>
                </c:pt>
                <c:pt idx="28">
                  <c:v>41668</c:v>
                </c:pt>
                <c:pt idx="29">
                  <c:v>41669</c:v>
                </c:pt>
                <c:pt idx="30">
                  <c:v>41670</c:v>
                </c:pt>
                <c:pt idx="31">
                  <c:v>41671</c:v>
                </c:pt>
                <c:pt idx="32">
                  <c:v>41672</c:v>
                </c:pt>
                <c:pt idx="33">
                  <c:v>41673</c:v>
                </c:pt>
                <c:pt idx="34">
                  <c:v>41674</c:v>
                </c:pt>
                <c:pt idx="35">
                  <c:v>41675</c:v>
                </c:pt>
                <c:pt idx="36">
                  <c:v>41676</c:v>
                </c:pt>
                <c:pt idx="37">
                  <c:v>41677</c:v>
                </c:pt>
                <c:pt idx="38">
                  <c:v>41678</c:v>
                </c:pt>
                <c:pt idx="39">
                  <c:v>41679</c:v>
                </c:pt>
                <c:pt idx="40">
                  <c:v>41680</c:v>
                </c:pt>
                <c:pt idx="41">
                  <c:v>41681</c:v>
                </c:pt>
                <c:pt idx="42">
                  <c:v>41682</c:v>
                </c:pt>
                <c:pt idx="43">
                  <c:v>41683</c:v>
                </c:pt>
                <c:pt idx="44">
                  <c:v>41684</c:v>
                </c:pt>
                <c:pt idx="45">
                  <c:v>41685</c:v>
                </c:pt>
                <c:pt idx="46">
                  <c:v>41686</c:v>
                </c:pt>
                <c:pt idx="47">
                  <c:v>41687</c:v>
                </c:pt>
                <c:pt idx="48">
                  <c:v>41688</c:v>
                </c:pt>
                <c:pt idx="49">
                  <c:v>41689</c:v>
                </c:pt>
                <c:pt idx="50">
                  <c:v>41690</c:v>
                </c:pt>
                <c:pt idx="51">
                  <c:v>41691</c:v>
                </c:pt>
                <c:pt idx="52">
                  <c:v>41692</c:v>
                </c:pt>
                <c:pt idx="53">
                  <c:v>41693</c:v>
                </c:pt>
                <c:pt idx="54">
                  <c:v>41694</c:v>
                </c:pt>
                <c:pt idx="55">
                  <c:v>41695</c:v>
                </c:pt>
                <c:pt idx="56">
                  <c:v>41696</c:v>
                </c:pt>
                <c:pt idx="57">
                  <c:v>41697</c:v>
                </c:pt>
                <c:pt idx="58">
                  <c:v>41698</c:v>
                </c:pt>
                <c:pt idx="59">
                  <c:v>41699</c:v>
                </c:pt>
                <c:pt idx="60">
                  <c:v>41700</c:v>
                </c:pt>
                <c:pt idx="61">
                  <c:v>41701</c:v>
                </c:pt>
                <c:pt idx="62">
                  <c:v>41702</c:v>
                </c:pt>
                <c:pt idx="63">
                  <c:v>41703</c:v>
                </c:pt>
                <c:pt idx="64">
                  <c:v>41704</c:v>
                </c:pt>
                <c:pt idx="65">
                  <c:v>41705</c:v>
                </c:pt>
                <c:pt idx="66">
                  <c:v>41706</c:v>
                </c:pt>
                <c:pt idx="67">
                  <c:v>41707</c:v>
                </c:pt>
                <c:pt idx="68">
                  <c:v>41708</c:v>
                </c:pt>
                <c:pt idx="69">
                  <c:v>41709</c:v>
                </c:pt>
                <c:pt idx="70">
                  <c:v>41710</c:v>
                </c:pt>
                <c:pt idx="71">
                  <c:v>41711</c:v>
                </c:pt>
                <c:pt idx="72">
                  <c:v>41712</c:v>
                </c:pt>
                <c:pt idx="73">
                  <c:v>41713</c:v>
                </c:pt>
                <c:pt idx="74">
                  <c:v>41714</c:v>
                </c:pt>
                <c:pt idx="75">
                  <c:v>41715</c:v>
                </c:pt>
                <c:pt idx="76">
                  <c:v>41716</c:v>
                </c:pt>
                <c:pt idx="77">
                  <c:v>41717</c:v>
                </c:pt>
                <c:pt idx="78">
                  <c:v>41718</c:v>
                </c:pt>
                <c:pt idx="79">
                  <c:v>41719</c:v>
                </c:pt>
                <c:pt idx="80">
                  <c:v>41720</c:v>
                </c:pt>
                <c:pt idx="81">
                  <c:v>41721</c:v>
                </c:pt>
                <c:pt idx="82">
                  <c:v>41722</c:v>
                </c:pt>
                <c:pt idx="83">
                  <c:v>41723</c:v>
                </c:pt>
                <c:pt idx="84">
                  <c:v>41724</c:v>
                </c:pt>
                <c:pt idx="85">
                  <c:v>41725</c:v>
                </c:pt>
                <c:pt idx="86">
                  <c:v>41726</c:v>
                </c:pt>
                <c:pt idx="87">
                  <c:v>41727</c:v>
                </c:pt>
                <c:pt idx="88">
                  <c:v>41728</c:v>
                </c:pt>
                <c:pt idx="89">
                  <c:v>41729</c:v>
                </c:pt>
                <c:pt idx="90">
                  <c:v>41730</c:v>
                </c:pt>
                <c:pt idx="91">
                  <c:v>41731</c:v>
                </c:pt>
                <c:pt idx="92">
                  <c:v>41732</c:v>
                </c:pt>
                <c:pt idx="93">
                  <c:v>41733</c:v>
                </c:pt>
                <c:pt idx="94">
                  <c:v>41734</c:v>
                </c:pt>
                <c:pt idx="95">
                  <c:v>41735</c:v>
                </c:pt>
                <c:pt idx="96">
                  <c:v>41736</c:v>
                </c:pt>
                <c:pt idx="97">
                  <c:v>41737</c:v>
                </c:pt>
                <c:pt idx="98">
                  <c:v>41738</c:v>
                </c:pt>
                <c:pt idx="99">
                  <c:v>41739</c:v>
                </c:pt>
                <c:pt idx="100">
                  <c:v>41740</c:v>
                </c:pt>
                <c:pt idx="101">
                  <c:v>41741</c:v>
                </c:pt>
                <c:pt idx="102">
                  <c:v>41742</c:v>
                </c:pt>
                <c:pt idx="103">
                  <c:v>41743</c:v>
                </c:pt>
                <c:pt idx="104">
                  <c:v>41744</c:v>
                </c:pt>
                <c:pt idx="105">
                  <c:v>41745</c:v>
                </c:pt>
                <c:pt idx="106">
                  <c:v>41746</c:v>
                </c:pt>
                <c:pt idx="107">
                  <c:v>41747</c:v>
                </c:pt>
                <c:pt idx="108">
                  <c:v>41748</c:v>
                </c:pt>
                <c:pt idx="109">
                  <c:v>41749</c:v>
                </c:pt>
                <c:pt idx="110">
                  <c:v>41750</c:v>
                </c:pt>
                <c:pt idx="111">
                  <c:v>41751</c:v>
                </c:pt>
                <c:pt idx="112">
                  <c:v>41752</c:v>
                </c:pt>
                <c:pt idx="113">
                  <c:v>41753</c:v>
                </c:pt>
                <c:pt idx="114">
                  <c:v>41754</c:v>
                </c:pt>
                <c:pt idx="115">
                  <c:v>41755</c:v>
                </c:pt>
                <c:pt idx="116">
                  <c:v>41756</c:v>
                </c:pt>
                <c:pt idx="117">
                  <c:v>41757</c:v>
                </c:pt>
                <c:pt idx="118">
                  <c:v>41758</c:v>
                </c:pt>
                <c:pt idx="119">
                  <c:v>41759</c:v>
                </c:pt>
                <c:pt idx="120">
                  <c:v>41760</c:v>
                </c:pt>
                <c:pt idx="121">
                  <c:v>41761</c:v>
                </c:pt>
                <c:pt idx="122">
                  <c:v>41762</c:v>
                </c:pt>
                <c:pt idx="123">
                  <c:v>41763</c:v>
                </c:pt>
                <c:pt idx="124">
                  <c:v>41764</c:v>
                </c:pt>
                <c:pt idx="125">
                  <c:v>41765</c:v>
                </c:pt>
                <c:pt idx="126">
                  <c:v>41766</c:v>
                </c:pt>
                <c:pt idx="127">
                  <c:v>41767</c:v>
                </c:pt>
                <c:pt idx="128">
                  <c:v>41768</c:v>
                </c:pt>
                <c:pt idx="129">
                  <c:v>41769</c:v>
                </c:pt>
                <c:pt idx="130">
                  <c:v>41770</c:v>
                </c:pt>
                <c:pt idx="131">
                  <c:v>41771</c:v>
                </c:pt>
                <c:pt idx="132">
                  <c:v>41772</c:v>
                </c:pt>
                <c:pt idx="133">
                  <c:v>41773</c:v>
                </c:pt>
                <c:pt idx="134">
                  <c:v>41774</c:v>
                </c:pt>
                <c:pt idx="135">
                  <c:v>41775</c:v>
                </c:pt>
                <c:pt idx="136">
                  <c:v>41776</c:v>
                </c:pt>
                <c:pt idx="137">
                  <c:v>41777</c:v>
                </c:pt>
                <c:pt idx="138">
                  <c:v>41778</c:v>
                </c:pt>
                <c:pt idx="139">
                  <c:v>41779</c:v>
                </c:pt>
                <c:pt idx="140">
                  <c:v>41780</c:v>
                </c:pt>
                <c:pt idx="141">
                  <c:v>41781</c:v>
                </c:pt>
                <c:pt idx="142">
                  <c:v>41782</c:v>
                </c:pt>
                <c:pt idx="143">
                  <c:v>41783</c:v>
                </c:pt>
                <c:pt idx="144">
                  <c:v>41784</c:v>
                </c:pt>
                <c:pt idx="145">
                  <c:v>41785</c:v>
                </c:pt>
                <c:pt idx="146">
                  <c:v>41786</c:v>
                </c:pt>
                <c:pt idx="147">
                  <c:v>41787</c:v>
                </c:pt>
                <c:pt idx="148">
                  <c:v>41788</c:v>
                </c:pt>
                <c:pt idx="149">
                  <c:v>41789</c:v>
                </c:pt>
                <c:pt idx="150">
                  <c:v>41790</c:v>
                </c:pt>
                <c:pt idx="151">
                  <c:v>41791</c:v>
                </c:pt>
                <c:pt idx="152">
                  <c:v>41792</c:v>
                </c:pt>
                <c:pt idx="153">
                  <c:v>41793</c:v>
                </c:pt>
                <c:pt idx="154">
                  <c:v>41794</c:v>
                </c:pt>
                <c:pt idx="155">
                  <c:v>41795</c:v>
                </c:pt>
                <c:pt idx="156">
                  <c:v>41796</c:v>
                </c:pt>
                <c:pt idx="157">
                  <c:v>41797</c:v>
                </c:pt>
                <c:pt idx="158">
                  <c:v>41798</c:v>
                </c:pt>
                <c:pt idx="159">
                  <c:v>41799</c:v>
                </c:pt>
                <c:pt idx="160">
                  <c:v>41800</c:v>
                </c:pt>
                <c:pt idx="161">
                  <c:v>41801</c:v>
                </c:pt>
                <c:pt idx="162">
                  <c:v>41802</c:v>
                </c:pt>
                <c:pt idx="163">
                  <c:v>41803</c:v>
                </c:pt>
                <c:pt idx="164">
                  <c:v>41804</c:v>
                </c:pt>
                <c:pt idx="165">
                  <c:v>41805</c:v>
                </c:pt>
                <c:pt idx="166">
                  <c:v>41806</c:v>
                </c:pt>
                <c:pt idx="167">
                  <c:v>41807</c:v>
                </c:pt>
                <c:pt idx="168">
                  <c:v>41808</c:v>
                </c:pt>
                <c:pt idx="169">
                  <c:v>41809</c:v>
                </c:pt>
                <c:pt idx="170">
                  <c:v>41810</c:v>
                </c:pt>
                <c:pt idx="171">
                  <c:v>41811</c:v>
                </c:pt>
                <c:pt idx="172">
                  <c:v>41812</c:v>
                </c:pt>
                <c:pt idx="173">
                  <c:v>41813</c:v>
                </c:pt>
                <c:pt idx="174">
                  <c:v>41814</c:v>
                </c:pt>
                <c:pt idx="175">
                  <c:v>41815</c:v>
                </c:pt>
                <c:pt idx="176">
                  <c:v>41816</c:v>
                </c:pt>
                <c:pt idx="177">
                  <c:v>41817</c:v>
                </c:pt>
                <c:pt idx="178">
                  <c:v>41818</c:v>
                </c:pt>
                <c:pt idx="179">
                  <c:v>41819</c:v>
                </c:pt>
                <c:pt idx="180">
                  <c:v>41820</c:v>
                </c:pt>
                <c:pt idx="181">
                  <c:v>41821</c:v>
                </c:pt>
                <c:pt idx="182">
                  <c:v>41822</c:v>
                </c:pt>
                <c:pt idx="183">
                  <c:v>41823</c:v>
                </c:pt>
                <c:pt idx="184">
                  <c:v>41824</c:v>
                </c:pt>
                <c:pt idx="185">
                  <c:v>41825</c:v>
                </c:pt>
                <c:pt idx="186">
                  <c:v>41826</c:v>
                </c:pt>
                <c:pt idx="187">
                  <c:v>41827</c:v>
                </c:pt>
                <c:pt idx="188">
                  <c:v>41828</c:v>
                </c:pt>
                <c:pt idx="189">
                  <c:v>41829</c:v>
                </c:pt>
                <c:pt idx="190">
                  <c:v>41830</c:v>
                </c:pt>
                <c:pt idx="191">
                  <c:v>41831</c:v>
                </c:pt>
                <c:pt idx="192">
                  <c:v>41832</c:v>
                </c:pt>
                <c:pt idx="193">
                  <c:v>41833</c:v>
                </c:pt>
                <c:pt idx="194">
                  <c:v>41834</c:v>
                </c:pt>
                <c:pt idx="195">
                  <c:v>41835</c:v>
                </c:pt>
                <c:pt idx="196">
                  <c:v>41836</c:v>
                </c:pt>
                <c:pt idx="197">
                  <c:v>41837</c:v>
                </c:pt>
                <c:pt idx="198">
                  <c:v>41838</c:v>
                </c:pt>
                <c:pt idx="199">
                  <c:v>41839</c:v>
                </c:pt>
                <c:pt idx="200">
                  <c:v>41840</c:v>
                </c:pt>
                <c:pt idx="201">
                  <c:v>41841</c:v>
                </c:pt>
                <c:pt idx="202">
                  <c:v>41842</c:v>
                </c:pt>
                <c:pt idx="203">
                  <c:v>41843</c:v>
                </c:pt>
                <c:pt idx="204">
                  <c:v>41844</c:v>
                </c:pt>
                <c:pt idx="205">
                  <c:v>41845</c:v>
                </c:pt>
                <c:pt idx="206">
                  <c:v>41846</c:v>
                </c:pt>
                <c:pt idx="207">
                  <c:v>41847</c:v>
                </c:pt>
                <c:pt idx="208">
                  <c:v>41848</c:v>
                </c:pt>
                <c:pt idx="209">
                  <c:v>41849</c:v>
                </c:pt>
                <c:pt idx="210">
                  <c:v>41850</c:v>
                </c:pt>
                <c:pt idx="211">
                  <c:v>41851</c:v>
                </c:pt>
                <c:pt idx="212">
                  <c:v>41852</c:v>
                </c:pt>
                <c:pt idx="213">
                  <c:v>41853</c:v>
                </c:pt>
                <c:pt idx="214">
                  <c:v>41854</c:v>
                </c:pt>
                <c:pt idx="215">
                  <c:v>41855</c:v>
                </c:pt>
                <c:pt idx="216">
                  <c:v>41856</c:v>
                </c:pt>
                <c:pt idx="217">
                  <c:v>41857</c:v>
                </c:pt>
                <c:pt idx="218">
                  <c:v>41858</c:v>
                </c:pt>
                <c:pt idx="219">
                  <c:v>41859</c:v>
                </c:pt>
                <c:pt idx="220">
                  <c:v>41860</c:v>
                </c:pt>
                <c:pt idx="221">
                  <c:v>41861</c:v>
                </c:pt>
                <c:pt idx="222">
                  <c:v>41862</c:v>
                </c:pt>
                <c:pt idx="223">
                  <c:v>41863</c:v>
                </c:pt>
                <c:pt idx="224">
                  <c:v>41864</c:v>
                </c:pt>
                <c:pt idx="225">
                  <c:v>41865</c:v>
                </c:pt>
                <c:pt idx="226">
                  <c:v>41866</c:v>
                </c:pt>
                <c:pt idx="227">
                  <c:v>41867</c:v>
                </c:pt>
                <c:pt idx="228">
                  <c:v>41868</c:v>
                </c:pt>
                <c:pt idx="229">
                  <c:v>41869</c:v>
                </c:pt>
                <c:pt idx="230">
                  <c:v>41870</c:v>
                </c:pt>
                <c:pt idx="231">
                  <c:v>41871</c:v>
                </c:pt>
                <c:pt idx="232">
                  <c:v>41872</c:v>
                </c:pt>
                <c:pt idx="233">
                  <c:v>41873</c:v>
                </c:pt>
                <c:pt idx="234">
                  <c:v>41874</c:v>
                </c:pt>
                <c:pt idx="235">
                  <c:v>41875</c:v>
                </c:pt>
                <c:pt idx="236">
                  <c:v>41876</c:v>
                </c:pt>
                <c:pt idx="237">
                  <c:v>41877</c:v>
                </c:pt>
                <c:pt idx="238">
                  <c:v>41878</c:v>
                </c:pt>
                <c:pt idx="239">
                  <c:v>41879</c:v>
                </c:pt>
                <c:pt idx="240">
                  <c:v>41880</c:v>
                </c:pt>
                <c:pt idx="241">
                  <c:v>41881</c:v>
                </c:pt>
                <c:pt idx="242">
                  <c:v>41882</c:v>
                </c:pt>
                <c:pt idx="243">
                  <c:v>41883</c:v>
                </c:pt>
                <c:pt idx="244">
                  <c:v>41884</c:v>
                </c:pt>
                <c:pt idx="245">
                  <c:v>41885</c:v>
                </c:pt>
                <c:pt idx="246">
                  <c:v>41886</c:v>
                </c:pt>
                <c:pt idx="247">
                  <c:v>41887</c:v>
                </c:pt>
                <c:pt idx="248">
                  <c:v>41888</c:v>
                </c:pt>
                <c:pt idx="249">
                  <c:v>41889</c:v>
                </c:pt>
                <c:pt idx="250">
                  <c:v>41890</c:v>
                </c:pt>
                <c:pt idx="251">
                  <c:v>41891</c:v>
                </c:pt>
                <c:pt idx="252">
                  <c:v>41892</c:v>
                </c:pt>
                <c:pt idx="253">
                  <c:v>41893</c:v>
                </c:pt>
                <c:pt idx="254">
                  <c:v>41894</c:v>
                </c:pt>
                <c:pt idx="255">
                  <c:v>41895</c:v>
                </c:pt>
                <c:pt idx="256">
                  <c:v>41896</c:v>
                </c:pt>
                <c:pt idx="257">
                  <c:v>41897</c:v>
                </c:pt>
                <c:pt idx="258">
                  <c:v>41898</c:v>
                </c:pt>
                <c:pt idx="259">
                  <c:v>41899</c:v>
                </c:pt>
                <c:pt idx="260">
                  <c:v>41900</c:v>
                </c:pt>
                <c:pt idx="261">
                  <c:v>41901</c:v>
                </c:pt>
                <c:pt idx="262">
                  <c:v>41902</c:v>
                </c:pt>
                <c:pt idx="263">
                  <c:v>41903</c:v>
                </c:pt>
                <c:pt idx="264">
                  <c:v>41904</c:v>
                </c:pt>
                <c:pt idx="265">
                  <c:v>41905</c:v>
                </c:pt>
                <c:pt idx="266">
                  <c:v>41906</c:v>
                </c:pt>
                <c:pt idx="267">
                  <c:v>41907</c:v>
                </c:pt>
                <c:pt idx="268">
                  <c:v>41908</c:v>
                </c:pt>
                <c:pt idx="269">
                  <c:v>41909</c:v>
                </c:pt>
                <c:pt idx="270">
                  <c:v>41910</c:v>
                </c:pt>
                <c:pt idx="271">
                  <c:v>41911</c:v>
                </c:pt>
                <c:pt idx="272">
                  <c:v>41912</c:v>
                </c:pt>
                <c:pt idx="273">
                  <c:v>41913</c:v>
                </c:pt>
                <c:pt idx="274">
                  <c:v>41914</c:v>
                </c:pt>
                <c:pt idx="275">
                  <c:v>41915</c:v>
                </c:pt>
                <c:pt idx="276">
                  <c:v>41916</c:v>
                </c:pt>
                <c:pt idx="277">
                  <c:v>41917</c:v>
                </c:pt>
                <c:pt idx="278">
                  <c:v>41918</c:v>
                </c:pt>
                <c:pt idx="279">
                  <c:v>41919</c:v>
                </c:pt>
                <c:pt idx="280">
                  <c:v>41920</c:v>
                </c:pt>
                <c:pt idx="281">
                  <c:v>41921</c:v>
                </c:pt>
                <c:pt idx="282">
                  <c:v>41922</c:v>
                </c:pt>
                <c:pt idx="283">
                  <c:v>41923</c:v>
                </c:pt>
                <c:pt idx="284">
                  <c:v>41924</c:v>
                </c:pt>
                <c:pt idx="285">
                  <c:v>41925</c:v>
                </c:pt>
                <c:pt idx="286">
                  <c:v>41926</c:v>
                </c:pt>
                <c:pt idx="287">
                  <c:v>41927</c:v>
                </c:pt>
                <c:pt idx="288">
                  <c:v>41928</c:v>
                </c:pt>
                <c:pt idx="289">
                  <c:v>41929</c:v>
                </c:pt>
                <c:pt idx="290">
                  <c:v>41930</c:v>
                </c:pt>
                <c:pt idx="291">
                  <c:v>41931</c:v>
                </c:pt>
                <c:pt idx="292">
                  <c:v>41932</c:v>
                </c:pt>
                <c:pt idx="293">
                  <c:v>41933</c:v>
                </c:pt>
                <c:pt idx="294">
                  <c:v>41934</c:v>
                </c:pt>
                <c:pt idx="295">
                  <c:v>41935</c:v>
                </c:pt>
                <c:pt idx="296">
                  <c:v>41936</c:v>
                </c:pt>
                <c:pt idx="297">
                  <c:v>41937</c:v>
                </c:pt>
                <c:pt idx="298">
                  <c:v>41938</c:v>
                </c:pt>
                <c:pt idx="299">
                  <c:v>41939</c:v>
                </c:pt>
                <c:pt idx="300">
                  <c:v>41940</c:v>
                </c:pt>
                <c:pt idx="301">
                  <c:v>41941</c:v>
                </c:pt>
                <c:pt idx="302">
                  <c:v>41942</c:v>
                </c:pt>
                <c:pt idx="303">
                  <c:v>41943</c:v>
                </c:pt>
                <c:pt idx="304">
                  <c:v>41944</c:v>
                </c:pt>
                <c:pt idx="305">
                  <c:v>41945</c:v>
                </c:pt>
                <c:pt idx="306">
                  <c:v>41946</c:v>
                </c:pt>
                <c:pt idx="307">
                  <c:v>41947</c:v>
                </c:pt>
                <c:pt idx="308">
                  <c:v>41948</c:v>
                </c:pt>
                <c:pt idx="309">
                  <c:v>41949</c:v>
                </c:pt>
                <c:pt idx="310">
                  <c:v>41950</c:v>
                </c:pt>
                <c:pt idx="311">
                  <c:v>41951</c:v>
                </c:pt>
                <c:pt idx="312">
                  <c:v>41952</c:v>
                </c:pt>
                <c:pt idx="313">
                  <c:v>41953</c:v>
                </c:pt>
                <c:pt idx="314">
                  <c:v>41954</c:v>
                </c:pt>
                <c:pt idx="315">
                  <c:v>41955</c:v>
                </c:pt>
                <c:pt idx="316">
                  <c:v>41956</c:v>
                </c:pt>
                <c:pt idx="317">
                  <c:v>41957</c:v>
                </c:pt>
                <c:pt idx="318">
                  <c:v>41958</c:v>
                </c:pt>
                <c:pt idx="319">
                  <c:v>41959</c:v>
                </c:pt>
                <c:pt idx="320">
                  <c:v>41960</c:v>
                </c:pt>
                <c:pt idx="321">
                  <c:v>41961</c:v>
                </c:pt>
                <c:pt idx="322">
                  <c:v>41962</c:v>
                </c:pt>
                <c:pt idx="323">
                  <c:v>41963</c:v>
                </c:pt>
                <c:pt idx="324">
                  <c:v>41964</c:v>
                </c:pt>
                <c:pt idx="325">
                  <c:v>41965</c:v>
                </c:pt>
                <c:pt idx="326">
                  <c:v>41966</c:v>
                </c:pt>
                <c:pt idx="327">
                  <c:v>41967</c:v>
                </c:pt>
                <c:pt idx="328">
                  <c:v>41968</c:v>
                </c:pt>
                <c:pt idx="329">
                  <c:v>41969</c:v>
                </c:pt>
                <c:pt idx="330">
                  <c:v>41970</c:v>
                </c:pt>
                <c:pt idx="331">
                  <c:v>41971</c:v>
                </c:pt>
                <c:pt idx="332">
                  <c:v>41972</c:v>
                </c:pt>
                <c:pt idx="333">
                  <c:v>41973</c:v>
                </c:pt>
                <c:pt idx="334">
                  <c:v>41974</c:v>
                </c:pt>
                <c:pt idx="335">
                  <c:v>41975</c:v>
                </c:pt>
                <c:pt idx="336">
                  <c:v>41976</c:v>
                </c:pt>
                <c:pt idx="337">
                  <c:v>41977</c:v>
                </c:pt>
                <c:pt idx="338">
                  <c:v>41978</c:v>
                </c:pt>
                <c:pt idx="339">
                  <c:v>41979</c:v>
                </c:pt>
                <c:pt idx="340">
                  <c:v>41980</c:v>
                </c:pt>
                <c:pt idx="341">
                  <c:v>41981</c:v>
                </c:pt>
                <c:pt idx="342">
                  <c:v>41982</c:v>
                </c:pt>
                <c:pt idx="343">
                  <c:v>41983</c:v>
                </c:pt>
                <c:pt idx="344">
                  <c:v>41984</c:v>
                </c:pt>
                <c:pt idx="345">
                  <c:v>41985</c:v>
                </c:pt>
                <c:pt idx="346">
                  <c:v>41986</c:v>
                </c:pt>
                <c:pt idx="347">
                  <c:v>41987</c:v>
                </c:pt>
                <c:pt idx="348">
                  <c:v>41988</c:v>
                </c:pt>
                <c:pt idx="349">
                  <c:v>41989</c:v>
                </c:pt>
                <c:pt idx="350">
                  <c:v>41990</c:v>
                </c:pt>
                <c:pt idx="351">
                  <c:v>41991</c:v>
                </c:pt>
                <c:pt idx="352">
                  <c:v>41992</c:v>
                </c:pt>
                <c:pt idx="353">
                  <c:v>41993</c:v>
                </c:pt>
                <c:pt idx="354">
                  <c:v>41994</c:v>
                </c:pt>
                <c:pt idx="355">
                  <c:v>41995</c:v>
                </c:pt>
                <c:pt idx="356">
                  <c:v>41996</c:v>
                </c:pt>
                <c:pt idx="357">
                  <c:v>41997</c:v>
                </c:pt>
                <c:pt idx="358">
                  <c:v>41998</c:v>
                </c:pt>
                <c:pt idx="359">
                  <c:v>41999</c:v>
                </c:pt>
                <c:pt idx="360">
                  <c:v>42000</c:v>
                </c:pt>
                <c:pt idx="361">
                  <c:v>42001</c:v>
                </c:pt>
                <c:pt idx="362">
                  <c:v>42002</c:v>
                </c:pt>
                <c:pt idx="363">
                  <c:v>42003</c:v>
                </c:pt>
                <c:pt idx="364">
                  <c:v>42004</c:v>
                </c:pt>
              </c:numCache>
            </c:numRef>
          </c:cat>
          <c:val>
            <c:numRef>
              <c:f>YTD!$AE$16:$AE$380</c:f>
              <c:numCache>
                <c:formatCode>0.00</c:formatCode>
                <c:ptCount val="365"/>
                <c:pt idx="0">
                  <c:v>243</c:v>
                </c:pt>
                <c:pt idx="1">
                  <c:v>243</c:v>
                </c:pt>
                <c:pt idx="2">
                  <c:v>243</c:v>
                </c:pt>
                <c:pt idx="3">
                  <c:v>243</c:v>
                </c:pt>
                <c:pt idx="4">
                  <c:v>243</c:v>
                </c:pt>
                <c:pt idx="5">
                  <c:v>243</c:v>
                </c:pt>
                <c:pt idx="6">
                  <c:v>243</c:v>
                </c:pt>
                <c:pt idx="7">
                  <c:v>243</c:v>
                </c:pt>
                <c:pt idx="8">
                  <c:v>243</c:v>
                </c:pt>
                <c:pt idx="9">
                  <c:v>243</c:v>
                </c:pt>
                <c:pt idx="10">
                  <c:v>243</c:v>
                </c:pt>
                <c:pt idx="11">
                  <c:v>243</c:v>
                </c:pt>
                <c:pt idx="12">
                  <c:v>243</c:v>
                </c:pt>
                <c:pt idx="13">
                  <c:v>243</c:v>
                </c:pt>
                <c:pt idx="14">
                  <c:v>243</c:v>
                </c:pt>
                <c:pt idx="15">
                  <c:v>243</c:v>
                </c:pt>
                <c:pt idx="16">
                  <c:v>243</c:v>
                </c:pt>
                <c:pt idx="17">
                  <c:v>243</c:v>
                </c:pt>
                <c:pt idx="18">
                  <c:v>243</c:v>
                </c:pt>
                <c:pt idx="19">
                  <c:v>243</c:v>
                </c:pt>
                <c:pt idx="20">
                  <c:v>243</c:v>
                </c:pt>
                <c:pt idx="21">
                  <c:v>243</c:v>
                </c:pt>
                <c:pt idx="22">
                  <c:v>243</c:v>
                </c:pt>
                <c:pt idx="23">
                  <c:v>243</c:v>
                </c:pt>
                <c:pt idx="24">
                  <c:v>243</c:v>
                </c:pt>
                <c:pt idx="25">
                  <c:v>243</c:v>
                </c:pt>
                <c:pt idx="26">
                  <c:v>243</c:v>
                </c:pt>
                <c:pt idx="27">
                  <c:v>243</c:v>
                </c:pt>
                <c:pt idx="28">
                  <c:v>243</c:v>
                </c:pt>
                <c:pt idx="29">
                  <c:v>243</c:v>
                </c:pt>
                <c:pt idx="30">
                  <c:v>243</c:v>
                </c:pt>
                <c:pt idx="31">
                  <c:v>243</c:v>
                </c:pt>
                <c:pt idx="32">
                  <c:v>243</c:v>
                </c:pt>
                <c:pt idx="33">
                  <c:v>243</c:v>
                </c:pt>
                <c:pt idx="34">
                  <c:v>243</c:v>
                </c:pt>
                <c:pt idx="35">
                  <c:v>243</c:v>
                </c:pt>
                <c:pt idx="36">
                  <c:v>243</c:v>
                </c:pt>
                <c:pt idx="37">
                  <c:v>243</c:v>
                </c:pt>
                <c:pt idx="38">
                  <c:v>243</c:v>
                </c:pt>
                <c:pt idx="39">
                  <c:v>243</c:v>
                </c:pt>
                <c:pt idx="40">
                  <c:v>243</c:v>
                </c:pt>
                <c:pt idx="41">
                  <c:v>243</c:v>
                </c:pt>
                <c:pt idx="42">
                  <c:v>243</c:v>
                </c:pt>
                <c:pt idx="43">
                  <c:v>243</c:v>
                </c:pt>
                <c:pt idx="44">
                  <c:v>243</c:v>
                </c:pt>
                <c:pt idx="45">
                  <c:v>243</c:v>
                </c:pt>
                <c:pt idx="46">
                  <c:v>243</c:v>
                </c:pt>
                <c:pt idx="47">
                  <c:v>243</c:v>
                </c:pt>
                <c:pt idx="48">
                  <c:v>243</c:v>
                </c:pt>
                <c:pt idx="49">
                  <c:v>243</c:v>
                </c:pt>
                <c:pt idx="50">
                  <c:v>243</c:v>
                </c:pt>
                <c:pt idx="51">
                  <c:v>243</c:v>
                </c:pt>
                <c:pt idx="52">
                  <c:v>243</c:v>
                </c:pt>
                <c:pt idx="53">
                  <c:v>243</c:v>
                </c:pt>
                <c:pt idx="54">
                  <c:v>243</c:v>
                </c:pt>
                <c:pt idx="55">
                  <c:v>243</c:v>
                </c:pt>
                <c:pt idx="56">
                  <c:v>135</c:v>
                </c:pt>
                <c:pt idx="57">
                  <c:v>135</c:v>
                </c:pt>
                <c:pt idx="58">
                  <c:v>135</c:v>
                </c:pt>
                <c:pt idx="59">
                  <c:v>135</c:v>
                </c:pt>
                <c:pt idx="60">
                  <c:v>135</c:v>
                </c:pt>
                <c:pt idx="61">
                  <c:v>135</c:v>
                </c:pt>
                <c:pt idx="62">
                  <c:v>135</c:v>
                </c:pt>
                <c:pt idx="63">
                  <c:v>135</c:v>
                </c:pt>
                <c:pt idx="64">
                  <c:v>135</c:v>
                </c:pt>
                <c:pt idx="65">
                  <c:v>135</c:v>
                </c:pt>
                <c:pt idx="66">
                  <c:v>135</c:v>
                </c:pt>
                <c:pt idx="67">
                  <c:v>135</c:v>
                </c:pt>
                <c:pt idx="68">
                  <c:v>135</c:v>
                </c:pt>
                <c:pt idx="69">
                  <c:v>135</c:v>
                </c:pt>
                <c:pt idx="70">
                  <c:v>135</c:v>
                </c:pt>
                <c:pt idx="71">
                  <c:v>135</c:v>
                </c:pt>
                <c:pt idx="72">
                  <c:v>135</c:v>
                </c:pt>
                <c:pt idx="73">
                  <c:v>135</c:v>
                </c:pt>
                <c:pt idx="74">
                  <c:v>135</c:v>
                </c:pt>
                <c:pt idx="75">
                  <c:v>135</c:v>
                </c:pt>
                <c:pt idx="76">
                  <c:v>135</c:v>
                </c:pt>
                <c:pt idx="77">
                  <c:v>135</c:v>
                </c:pt>
                <c:pt idx="78">
                  <c:v>135</c:v>
                </c:pt>
                <c:pt idx="79">
                  <c:v>135</c:v>
                </c:pt>
                <c:pt idx="80">
                  <c:v>135</c:v>
                </c:pt>
                <c:pt idx="81">
                  <c:v>135</c:v>
                </c:pt>
                <c:pt idx="82">
                  <c:v>135</c:v>
                </c:pt>
                <c:pt idx="83">
                  <c:v>135</c:v>
                </c:pt>
                <c:pt idx="84">
                  <c:v>135</c:v>
                </c:pt>
                <c:pt idx="85">
                  <c:v>135</c:v>
                </c:pt>
                <c:pt idx="86">
                  <c:v>135</c:v>
                </c:pt>
                <c:pt idx="87">
                  <c:v>135</c:v>
                </c:pt>
                <c:pt idx="88">
                  <c:v>135</c:v>
                </c:pt>
                <c:pt idx="89">
                  <c:v>135</c:v>
                </c:pt>
                <c:pt idx="90">
                  <c:v>135</c:v>
                </c:pt>
                <c:pt idx="91">
                  <c:v>135</c:v>
                </c:pt>
                <c:pt idx="92">
                  <c:v>135</c:v>
                </c:pt>
                <c:pt idx="93">
                  <c:v>135</c:v>
                </c:pt>
                <c:pt idx="94">
                  <c:v>135</c:v>
                </c:pt>
                <c:pt idx="95">
                  <c:v>135</c:v>
                </c:pt>
                <c:pt idx="96">
                  <c:v>135</c:v>
                </c:pt>
                <c:pt idx="97">
                  <c:v>135</c:v>
                </c:pt>
                <c:pt idx="98">
                  <c:v>135</c:v>
                </c:pt>
                <c:pt idx="99">
                  <c:v>135</c:v>
                </c:pt>
                <c:pt idx="100">
                  <c:v>135</c:v>
                </c:pt>
                <c:pt idx="101">
                  <c:v>135</c:v>
                </c:pt>
                <c:pt idx="102">
                  <c:v>135</c:v>
                </c:pt>
                <c:pt idx="103">
                  <c:v>135</c:v>
                </c:pt>
                <c:pt idx="104">
                  <c:v>135</c:v>
                </c:pt>
                <c:pt idx="105">
                  <c:v>135</c:v>
                </c:pt>
                <c:pt idx="106">
                  <c:v>135</c:v>
                </c:pt>
                <c:pt idx="107">
                  <c:v>135</c:v>
                </c:pt>
                <c:pt idx="108">
                  <c:v>135</c:v>
                </c:pt>
                <c:pt idx="109">
                  <c:v>135</c:v>
                </c:pt>
                <c:pt idx="110">
                  <c:v>135</c:v>
                </c:pt>
                <c:pt idx="111">
                  <c:v>135</c:v>
                </c:pt>
                <c:pt idx="112">
                  <c:v>135</c:v>
                </c:pt>
                <c:pt idx="113">
                  <c:v>135</c:v>
                </c:pt>
                <c:pt idx="114">
                  <c:v>135</c:v>
                </c:pt>
                <c:pt idx="115">
                  <c:v>135</c:v>
                </c:pt>
                <c:pt idx="116">
                  <c:v>135</c:v>
                </c:pt>
                <c:pt idx="117">
                  <c:v>135</c:v>
                </c:pt>
                <c:pt idx="118">
                  <c:v>135</c:v>
                </c:pt>
                <c:pt idx="119">
                  <c:v>135</c:v>
                </c:pt>
                <c:pt idx="120">
                  <c:v>135</c:v>
                </c:pt>
                <c:pt idx="121">
                  <c:v>135</c:v>
                </c:pt>
                <c:pt idx="122">
                  <c:v>135</c:v>
                </c:pt>
                <c:pt idx="123">
                  <c:v>135</c:v>
                </c:pt>
                <c:pt idx="124">
                  <c:v>135</c:v>
                </c:pt>
                <c:pt idx="125">
                  <c:v>135</c:v>
                </c:pt>
                <c:pt idx="126">
                  <c:v>135</c:v>
                </c:pt>
                <c:pt idx="127">
                  <c:v>135</c:v>
                </c:pt>
                <c:pt idx="128">
                  <c:v>135</c:v>
                </c:pt>
                <c:pt idx="129">
                  <c:v>135</c:v>
                </c:pt>
                <c:pt idx="130">
                  <c:v>135</c:v>
                </c:pt>
                <c:pt idx="131">
                  <c:v>135</c:v>
                </c:pt>
                <c:pt idx="132">
                  <c:v>135</c:v>
                </c:pt>
                <c:pt idx="133">
                  <c:v>135</c:v>
                </c:pt>
                <c:pt idx="134">
                  <c:v>135</c:v>
                </c:pt>
                <c:pt idx="135">
                  <c:v>135</c:v>
                </c:pt>
                <c:pt idx="136">
                  <c:v>135</c:v>
                </c:pt>
                <c:pt idx="137">
                  <c:v>135</c:v>
                </c:pt>
                <c:pt idx="138">
                  <c:v>135</c:v>
                </c:pt>
                <c:pt idx="139">
                  <c:v>135</c:v>
                </c:pt>
                <c:pt idx="140">
                  <c:v>135</c:v>
                </c:pt>
                <c:pt idx="141">
                  <c:v>135</c:v>
                </c:pt>
                <c:pt idx="142">
                  <c:v>135</c:v>
                </c:pt>
                <c:pt idx="143">
                  <c:v>135</c:v>
                </c:pt>
                <c:pt idx="144">
                  <c:v>135</c:v>
                </c:pt>
                <c:pt idx="145">
                  <c:v>135</c:v>
                </c:pt>
                <c:pt idx="146">
                  <c:v>135</c:v>
                </c:pt>
                <c:pt idx="147">
                  <c:v>135</c:v>
                </c:pt>
                <c:pt idx="148">
                  <c:v>135</c:v>
                </c:pt>
                <c:pt idx="149">
                  <c:v>135</c:v>
                </c:pt>
                <c:pt idx="150">
                  <c:v>135</c:v>
                </c:pt>
                <c:pt idx="151">
                  <c:v>135</c:v>
                </c:pt>
                <c:pt idx="152">
                  <c:v>135</c:v>
                </c:pt>
                <c:pt idx="153">
                  <c:v>135</c:v>
                </c:pt>
                <c:pt idx="154">
                  <c:v>135</c:v>
                </c:pt>
                <c:pt idx="155">
                  <c:v>135</c:v>
                </c:pt>
                <c:pt idx="156">
                  <c:v>135</c:v>
                </c:pt>
                <c:pt idx="157">
                  <c:v>135</c:v>
                </c:pt>
                <c:pt idx="158">
                  <c:v>135</c:v>
                </c:pt>
                <c:pt idx="159">
                  <c:v>135</c:v>
                </c:pt>
                <c:pt idx="160">
                  <c:v>135</c:v>
                </c:pt>
                <c:pt idx="161">
                  <c:v>135</c:v>
                </c:pt>
                <c:pt idx="162">
                  <c:v>135</c:v>
                </c:pt>
                <c:pt idx="163">
                  <c:v>135</c:v>
                </c:pt>
                <c:pt idx="164">
                  <c:v>135</c:v>
                </c:pt>
                <c:pt idx="165">
                  <c:v>135</c:v>
                </c:pt>
                <c:pt idx="166">
                  <c:v>135</c:v>
                </c:pt>
                <c:pt idx="167">
                  <c:v>135</c:v>
                </c:pt>
                <c:pt idx="168">
                  <c:v>135</c:v>
                </c:pt>
                <c:pt idx="169">
                  <c:v>135</c:v>
                </c:pt>
                <c:pt idx="170">
                  <c:v>135</c:v>
                </c:pt>
                <c:pt idx="171">
                  <c:v>135</c:v>
                </c:pt>
                <c:pt idx="172">
                  <c:v>135</c:v>
                </c:pt>
                <c:pt idx="173">
                  <c:v>135</c:v>
                </c:pt>
                <c:pt idx="174">
                  <c:v>135</c:v>
                </c:pt>
                <c:pt idx="175">
                  <c:v>135</c:v>
                </c:pt>
                <c:pt idx="176">
                  <c:v>135</c:v>
                </c:pt>
                <c:pt idx="177">
                  <c:v>135</c:v>
                </c:pt>
                <c:pt idx="178">
                  <c:v>135</c:v>
                </c:pt>
                <c:pt idx="179">
                  <c:v>135</c:v>
                </c:pt>
                <c:pt idx="180">
                  <c:v>135</c:v>
                </c:pt>
                <c:pt idx="181">
                  <c:v>135</c:v>
                </c:pt>
                <c:pt idx="182">
                  <c:v>135</c:v>
                </c:pt>
                <c:pt idx="183">
                  <c:v>135</c:v>
                </c:pt>
                <c:pt idx="184">
                  <c:v>135</c:v>
                </c:pt>
                <c:pt idx="185">
                  <c:v>135</c:v>
                </c:pt>
                <c:pt idx="186">
                  <c:v>135</c:v>
                </c:pt>
                <c:pt idx="187">
                  <c:v>135</c:v>
                </c:pt>
                <c:pt idx="188">
                  <c:v>135</c:v>
                </c:pt>
                <c:pt idx="189">
                  <c:v>135</c:v>
                </c:pt>
                <c:pt idx="190">
                  <c:v>135</c:v>
                </c:pt>
                <c:pt idx="191">
                  <c:v>135</c:v>
                </c:pt>
                <c:pt idx="192">
                  <c:v>135</c:v>
                </c:pt>
                <c:pt idx="193">
                  <c:v>135</c:v>
                </c:pt>
                <c:pt idx="194">
                  <c:v>135</c:v>
                </c:pt>
                <c:pt idx="195">
                  <c:v>135</c:v>
                </c:pt>
                <c:pt idx="196">
                  <c:v>135</c:v>
                </c:pt>
                <c:pt idx="197">
                  <c:v>135</c:v>
                </c:pt>
                <c:pt idx="198">
                  <c:v>135</c:v>
                </c:pt>
                <c:pt idx="199">
                  <c:v>135</c:v>
                </c:pt>
                <c:pt idx="200">
                  <c:v>135</c:v>
                </c:pt>
                <c:pt idx="201">
                  <c:v>135</c:v>
                </c:pt>
                <c:pt idx="202">
                  <c:v>135</c:v>
                </c:pt>
                <c:pt idx="203">
                  <c:v>135</c:v>
                </c:pt>
                <c:pt idx="204">
                  <c:v>135</c:v>
                </c:pt>
                <c:pt idx="205">
                  <c:v>135</c:v>
                </c:pt>
                <c:pt idx="206">
                  <c:v>135</c:v>
                </c:pt>
                <c:pt idx="207">
                  <c:v>135</c:v>
                </c:pt>
                <c:pt idx="208">
                  <c:v>135</c:v>
                </c:pt>
                <c:pt idx="209">
                  <c:v>135</c:v>
                </c:pt>
                <c:pt idx="210">
                  <c:v>135</c:v>
                </c:pt>
                <c:pt idx="211">
                  <c:v>135</c:v>
                </c:pt>
                <c:pt idx="212">
                  <c:v>135</c:v>
                </c:pt>
                <c:pt idx="213">
                  <c:v>135</c:v>
                </c:pt>
                <c:pt idx="214">
                  <c:v>135</c:v>
                </c:pt>
                <c:pt idx="215">
                  <c:v>135</c:v>
                </c:pt>
                <c:pt idx="216">
                  <c:v>135</c:v>
                </c:pt>
                <c:pt idx="217">
                  <c:v>135</c:v>
                </c:pt>
                <c:pt idx="218">
                  <c:v>135</c:v>
                </c:pt>
                <c:pt idx="219">
                  <c:v>135</c:v>
                </c:pt>
                <c:pt idx="220">
                  <c:v>135</c:v>
                </c:pt>
                <c:pt idx="221">
                  <c:v>135</c:v>
                </c:pt>
                <c:pt idx="222">
                  <c:v>135</c:v>
                </c:pt>
                <c:pt idx="223">
                  <c:v>135</c:v>
                </c:pt>
                <c:pt idx="224">
                  <c:v>135</c:v>
                </c:pt>
                <c:pt idx="225">
                  <c:v>135</c:v>
                </c:pt>
                <c:pt idx="226">
                  <c:v>135</c:v>
                </c:pt>
                <c:pt idx="227">
                  <c:v>135</c:v>
                </c:pt>
                <c:pt idx="228">
                  <c:v>135</c:v>
                </c:pt>
                <c:pt idx="229">
                  <c:v>135</c:v>
                </c:pt>
                <c:pt idx="230">
                  <c:v>135</c:v>
                </c:pt>
                <c:pt idx="231">
                  <c:v>135</c:v>
                </c:pt>
                <c:pt idx="232">
                  <c:v>135</c:v>
                </c:pt>
                <c:pt idx="233">
                  <c:v>135</c:v>
                </c:pt>
                <c:pt idx="234">
                  <c:v>135</c:v>
                </c:pt>
                <c:pt idx="235">
                  <c:v>135</c:v>
                </c:pt>
                <c:pt idx="236">
                  <c:v>135</c:v>
                </c:pt>
                <c:pt idx="237">
                  <c:v>135</c:v>
                </c:pt>
                <c:pt idx="238">
                  <c:v>135</c:v>
                </c:pt>
                <c:pt idx="239">
                  <c:v>135</c:v>
                </c:pt>
                <c:pt idx="240">
                  <c:v>135</c:v>
                </c:pt>
                <c:pt idx="241">
                  <c:v>135</c:v>
                </c:pt>
                <c:pt idx="242">
                  <c:v>135</c:v>
                </c:pt>
                <c:pt idx="243">
                  <c:v>135</c:v>
                </c:pt>
                <c:pt idx="244">
                  <c:v>135</c:v>
                </c:pt>
                <c:pt idx="245">
                  <c:v>135</c:v>
                </c:pt>
                <c:pt idx="246">
                  <c:v>135</c:v>
                </c:pt>
                <c:pt idx="247">
                  <c:v>135</c:v>
                </c:pt>
                <c:pt idx="248">
                  <c:v>135</c:v>
                </c:pt>
                <c:pt idx="249">
                  <c:v>135</c:v>
                </c:pt>
                <c:pt idx="250">
                  <c:v>135</c:v>
                </c:pt>
                <c:pt idx="251">
                  <c:v>135</c:v>
                </c:pt>
                <c:pt idx="252">
                  <c:v>135</c:v>
                </c:pt>
                <c:pt idx="253">
                  <c:v>135</c:v>
                </c:pt>
                <c:pt idx="254">
                  <c:v>135</c:v>
                </c:pt>
                <c:pt idx="255">
                  <c:v>135</c:v>
                </c:pt>
                <c:pt idx="256">
                  <c:v>135</c:v>
                </c:pt>
                <c:pt idx="257">
                  <c:v>135</c:v>
                </c:pt>
                <c:pt idx="258">
                  <c:v>135</c:v>
                </c:pt>
                <c:pt idx="259">
                  <c:v>135</c:v>
                </c:pt>
                <c:pt idx="260">
                  <c:v>135</c:v>
                </c:pt>
                <c:pt idx="261">
                  <c:v>135</c:v>
                </c:pt>
                <c:pt idx="262">
                  <c:v>135</c:v>
                </c:pt>
                <c:pt idx="263">
                  <c:v>135</c:v>
                </c:pt>
                <c:pt idx="264">
                  <c:v>135</c:v>
                </c:pt>
                <c:pt idx="265">
                  <c:v>135</c:v>
                </c:pt>
                <c:pt idx="266">
                  <c:v>135</c:v>
                </c:pt>
                <c:pt idx="267">
                  <c:v>135</c:v>
                </c:pt>
                <c:pt idx="268">
                  <c:v>135</c:v>
                </c:pt>
                <c:pt idx="269">
                  <c:v>135</c:v>
                </c:pt>
                <c:pt idx="270">
                  <c:v>135</c:v>
                </c:pt>
                <c:pt idx="271">
                  <c:v>135</c:v>
                </c:pt>
                <c:pt idx="272">
                  <c:v>135</c:v>
                </c:pt>
                <c:pt idx="273">
                  <c:v>135</c:v>
                </c:pt>
                <c:pt idx="274">
                  <c:v>135</c:v>
                </c:pt>
                <c:pt idx="275">
                  <c:v>135</c:v>
                </c:pt>
                <c:pt idx="276">
                  <c:v>135</c:v>
                </c:pt>
                <c:pt idx="277">
                  <c:v>135</c:v>
                </c:pt>
                <c:pt idx="278">
                  <c:v>135</c:v>
                </c:pt>
                <c:pt idx="279">
                  <c:v>135</c:v>
                </c:pt>
                <c:pt idx="280">
                  <c:v>135</c:v>
                </c:pt>
                <c:pt idx="281">
                  <c:v>135</c:v>
                </c:pt>
                <c:pt idx="282">
                  <c:v>135</c:v>
                </c:pt>
                <c:pt idx="283">
                  <c:v>135</c:v>
                </c:pt>
                <c:pt idx="284">
                  <c:v>135</c:v>
                </c:pt>
                <c:pt idx="285">
                  <c:v>243</c:v>
                </c:pt>
                <c:pt idx="286">
                  <c:v>243</c:v>
                </c:pt>
                <c:pt idx="287">
                  <c:v>243</c:v>
                </c:pt>
                <c:pt idx="288">
                  <c:v>243</c:v>
                </c:pt>
                <c:pt idx="289">
                  <c:v>243</c:v>
                </c:pt>
                <c:pt idx="290">
                  <c:v>243</c:v>
                </c:pt>
                <c:pt idx="291">
                  <c:v>243</c:v>
                </c:pt>
                <c:pt idx="292">
                  <c:v>243</c:v>
                </c:pt>
                <c:pt idx="293">
                  <c:v>243</c:v>
                </c:pt>
                <c:pt idx="294">
                  <c:v>243</c:v>
                </c:pt>
                <c:pt idx="295">
                  <c:v>243</c:v>
                </c:pt>
                <c:pt idx="296">
                  <c:v>243</c:v>
                </c:pt>
                <c:pt idx="297">
                  <c:v>243</c:v>
                </c:pt>
                <c:pt idx="298">
                  <c:v>243</c:v>
                </c:pt>
                <c:pt idx="299">
                  <c:v>243</c:v>
                </c:pt>
                <c:pt idx="300">
                  <c:v>243</c:v>
                </c:pt>
                <c:pt idx="301">
                  <c:v>243</c:v>
                </c:pt>
                <c:pt idx="302">
                  <c:v>243</c:v>
                </c:pt>
                <c:pt idx="303">
                  <c:v>243</c:v>
                </c:pt>
                <c:pt idx="304">
                  <c:v>243</c:v>
                </c:pt>
                <c:pt idx="305">
                  <c:v>243</c:v>
                </c:pt>
                <c:pt idx="306">
                  <c:v>243</c:v>
                </c:pt>
                <c:pt idx="307">
                  <c:v>243</c:v>
                </c:pt>
                <c:pt idx="308">
                  <c:v>243</c:v>
                </c:pt>
                <c:pt idx="309">
                  <c:v>243</c:v>
                </c:pt>
                <c:pt idx="310">
                  <c:v>243</c:v>
                </c:pt>
                <c:pt idx="311">
                  <c:v>243</c:v>
                </c:pt>
                <c:pt idx="312">
                  <c:v>243</c:v>
                </c:pt>
                <c:pt idx="313">
                  <c:v>243</c:v>
                </c:pt>
                <c:pt idx="314">
                  <c:v>243</c:v>
                </c:pt>
                <c:pt idx="315">
                  <c:v>243</c:v>
                </c:pt>
                <c:pt idx="316">
                  <c:v>243</c:v>
                </c:pt>
                <c:pt idx="317">
                  <c:v>243</c:v>
                </c:pt>
                <c:pt idx="318">
                  <c:v>243</c:v>
                </c:pt>
                <c:pt idx="319">
                  <c:v>243</c:v>
                </c:pt>
                <c:pt idx="320">
                  <c:v>243</c:v>
                </c:pt>
                <c:pt idx="321">
                  <c:v>243</c:v>
                </c:pt>
                <c:pt idx="322">
                  <c:v>243</c:v>
                </c:pt>
                <c:pt idx="323">
                  <c:v>243</c:v>
                </c:pt>
                <c:pt idx="324">
                  <c:v>243</c:v>
                </c:pt>
                <c:pt idx="325">
                  <c:v>243</c:v>
                </c:pt>
                <c:pt idx="326">
                  <c:v>243</c:v>
                </c:pt>
                <c:pt idx="327">
                  <c:v>243</c:v>
                </c:pt>
                <c:pt idx="328">
                  <c:v>243</c:v>
                </c:pt>
                <c:pt idx="329">
                  <c:v>243</c:v>
                </c:pt>
                <c:pt idx="330">
                  <c:v>243</c:v>
                </c:pt>
                <c:pt idx="331">
                  <c:v>243</c:v>
                </c:pt>
                <c:pt idx="332">
                  <c:v>243</c:v>
                </c:pt>
                <c:pt idx="333">
                  <c:v>243</c:v>
                </c:pt>
                <c:pt idx="334">
                  <c:v>243</c:v>
                </c:pt>
                <c:pt idx="335">
                  <c:v>243</c:v>
                </c:pt>
                <c:pt idx="336">
                  <c:v>243</c:v>
                </c:pt>
                <c:pt idx="337">
                  <c:v>243</c:v>
                </c:pt>
                <c:pt idx="338">
                  <c:v>243</c:v>
                </c:pt>
                <c:pt idx="339">
                  <c:v>243</c:v>
                </c:pt>
                <c:pt idx="340">
                  <c:v>243</c:v>
                </c:pt>
                <c:pt idx="341">
                  <c:v>243</c:v>
                </c:pt>
                <c:pt idx="342">
                  <c:v>243</c:v>
                </c:pt>
                <c:pt idx="343">
                  <c:v>243</c:v>
                </c:pt>
                <c:pt idx="344">
                  <c:v>243</c:v>
                </c:pt>
                <c:pt idx="345">
                  <c:v>243</c:v>
                </c:pt>
                <c:pt idx="346">
                  <c:v>243</c:v>
                </c:pt>
                <c:pt idx="347">
                  <c:v>243</c:v>
                </c:pt>
                <c:pt idx="348">
                  <c:v>243</c:v>
                </c:pt>
                <c:pt idx="349">
                  <c:v>243</c:v>
                </c:pt>
                <c:pt idx="350">
                  <c:v>243</c:v>
                </c:pt>
                <c:pt idx="351">
                  <c:v>243</c:v>
                </c:pt>
                <c:pt idx="352">
                  <c:v>243</c:v>
                </c:pt>
                <c:pt idx="353">
                  <c:v>243</c:v>
                </c:pt>
                <c:pt idx="354">
                  <c:v>243</c:v>
                </c:pt>
                <c:pt idx="355">
                  <c:v>243</c:v>
                </c:pt>
                <c:pt idx="356">
                  <c:v>243</c:v>
                </c:pt>
                <c:pt idx="357">
                  <c:v>243</c:v>
                </c:pt>
                <c:pt idx="358">
                  <c:v>243</c:v>
                </c:pt>
                <c:pt idx="359">
                  <c:v>243</c:v>
                </c:pt>
                <c:pt idx="360">
                  <c:v>243</c:v>
                </c:pt>
                <c:pt idx="361">
                  <c:v>243</c:v>
                </c:pt>
                <c:pt idx="362">
                  <c:v>243</c:v>
                </c:pt>
                <c:pt idx="363">
                  <c:v>243</c:v>
                </c:pt>
                <c:pt idx="364">
                  <c:v>243</c:v>
                </c:pt>
              </c:numCache>
            </c:numRef>
          </c:val>
          <c:smooth val="0"/>
        </c:ser>
        <c:ser>
          <c:idx val="4"/>
          <c:order val="2"/>
          <c:tx>
            <c:v>PAWmax</c:v>
          </c:tx>
          <c:spPr>
            <a:ln w="38100">
              <a:solidFill>
                <a:srgbClr val="0000FF"/>
              </a:solidFill>
              <a:prstDash val="solid"/>
            </a:ln>
          </c:spPr>
          <c:marker>
            <c:symbol val="none"/>
          </c:marker>
          <c:cat>
            <c:numRef>
              <c:f>MakeSchedule!$A$16:$A$380</c:f>
              <c:numCache>
                <c:formatCode>dd\-mmm\-yy</c:formatCode>
                <c:ptCount val="365"/>
                <c:pt idx="0">
                  <c:v>41640</c:v>
                </c:pt>
                <c:pt idx="1">
                  <c:v>41641</c:v>
                </c:pt>
                <c:pt idx="2">
                  <c:v>41642</c:v>
                </c:pt>
                <c:pt idx="3">
                  <c:v>41643</c:v>
                </c:pt>
                <c:pt idx="4">
                  <c:v>41644</c:v>
                </c:pt>
                <c:pt idx="5">
                  <c:v>41645</c:v>
                </c:pt>
                <c:pt idx="6">
                  <c:v>41646</c:v>
                </c:pt>
                <c:pt idx="7">
                  <c:v>41647</c:v>
                </c:pt>
                <c:pt idx="8">
                  <c:v>41648</c:v>
                </c:pt>
                <c:pt idx="9">
                  <c:v>41649</c:v>
                </c:pt>
                <c:pt idx="10">
                  <c:v>41650</c:v>
                </c:pt>
                <c:pt idx="11">
                  <c:v>41651</c:v>
                </c:pt>
                <c:pt idx="12">
                  <c:v>41652</c:v>
                </c:pt>
                <c:pt idx="13">
                  <c:v>41653</c:v>
                </c:pt>
                <c:pt idx="14">
                  <c:v>41654</c:v>
                </c:pt>
                <c:pt idx="15">
                  <c:v>41655</c:v>
                </c:pt>
                <c:pt idx="16">
                  <c:v>41656</c:v>
                </c:pt>
                <c:pt idx="17">
                  <c:v>41657</c:v>
                </c:pt>
                <c:pt idx="18">
                  <c:v>41658</c:v>
                </c:pt>
                <c:pt idx="19">
                  <c:v>41659</c:v>
                </c:pt>
                <c:pt idx="20">
                  <c:v>41660</c:v>
                </c:pt>
                <c:pt idx="21">
                  <c:v>41661</c:v>
                </c:pt>
                <c:pt idx="22">
                  <c:v>41662</c:v>
                </c:pt>
                <c:pt idx="23">
                  <c:v>41663</c:v>
                </c:pt>
                <c:pt idx="24">
                  <c:v>41664</c:v>
                </c:pt>
                <c:pt idx="25">
                  <c:v>41665</c:v>
                </c:pt>
                <c:pt idx="26">
                  <c:v>41666</c:v>
                </c:pt>
                <c:pt idx="27">
                  <c:v>41667</c:v>
                </c:pt>
                <c:pt idx="28">
                  <c:v>41668</c:v>
                </c:pt>
                <c:pt idx="29">
                  <c:v>41669</c:v>
                </c:pt>
                <c:pt idx="30">
                  <c:v>41670</c:v>
                </c:pt>
                <c:pt idx="31">
                  <c:v>41671</c:v>
                </c:pt>
                <c:pt idx="32">
                  <c:v>41672</c:v>
                </c:pt>
                <c:pt idx="33">
                  <c:v>41673</c:v>
                </c:pt>
                <c:pt idx="34">
                  <c:v>41674</c:v>
                </c:pt>
                <c:pt idx="35">
                  <c:v>41675</c:v>
                </c:pt>
                <c:pt idx="36">
                  <c:v>41676</c:v>
                </c:pt>
                <c:pt idx="37">
                  <c:v>41677</c:v>
                </c:pt>
                <c:pt idx="38">
                  <c:v>41678</c:v>
                </c:pt>
                <c:pt idx="39">
                  <c:v>41679</c:v>
                </c:pt>
                <c:pt idx="40">
                  <c:v>41680</c:v>
                </c:pt>
                <c:pt idx="41">
                  <c:v>41681</c:v>
                </c:pt>
                <c:pt idx="42">
                  <c:v>41682</c:v>
                </c:pt>
                <c:pt idx="43">
                  <c:v>41683</c:v>
                </c:pt>
                <c:pt idx="44">
                  <c:v>41684</c:v>
                </c:pt>
                <c:pt idx="45">
                  <c:v>41685</c:v>
                </c:pt>
                <c:pt idx="46">
                  <c:v>41686</c:v>
                </c:pt>
                <c:pt idx="47">
                  <c:v>41687</c:v>
                </c:pt>
                <c:pt idx="48">
                  <c:v>41688</c:v>
                </c:pt>
                <c:pt idx="49">
                  <c:v>41689</c:v>
                </c:pt>
                <c:pt idx="50">
                  <c:v>41690</c:v>
                </c:pt>
                <c:pt idx="51">
                  <c:v>41691</c:v>
                </c:pt>
                <c:pt idx="52">
                  <c:v>41692</c:v>
                </c:pt>
                <c:pt idx="53">
                  <c:v>41693</c:v>
                </c:pt>
                <c:pt idx="54">
                  <c:v>41694</c:v>
                </c:pt>
                <c:pt idx="55">
                  <c:v>41695</c:v>
                </c:pt>
                <c:pt idx="56">
                  <c:v>41696</c:v>
                </c:pt>
                <c:pt idx="57">
                  <c:v>41697</c:v>
                </c:pt>
                <c:pt idx="58">
                  <c:v>41698</c:v>
                </c:pt>
                <c:pt idx="59">
                  <c:v>41699</c:v>
                </c:pt>
                <c:pt idx="60">
                  <c:v>41700</c:v>
                </c:pt>
                <c:pt idx="61">
                  <c:v>41701</c:v>
                </c:pt>
                <c:pt idx="62">
                  <c:v>41702</c:v>
                </c:pt>
                <c:pt idx="63">
                  <c:v>41703</c:v>
                </c:pt>
                <c:pt idx="64">
                  <c:v>41704</c:v>
                </c:pt>
                <c:pt idx="65">
                  <c:v>41705</c:v>
                </c:pt>
                <c:pt idx="66">
                  <c:v>41706</c:v>
                </c:pt>
                <c:pt idx="67">
                  <c:v>41707</c:v>
                </c:pt>
                <c:pt idx="68">
                  <c:v>41708</c:v>
                </c:pt>
                <c:pt idx="69">
                  <c:v>41709</c:v>
                </c:pt>
                <c:pt idx="70">
                  <c:v>41710</c:v>
                </c:pt>
                <c:pt idx="71">
                  <c:v>41711</c:v>
                </c:pt>
                <c:pt idx="72">
                  <c:v>41712</c:v>
                </c:pt>
                <c:pt idx="73">
                  <c:v>41713</c:v>
                </c:pt>
                <c:pt idx="74">
                  <c:v>41714</c:v>
                </c:pt>
                <c:pt idx="75">
                  <c:v>41715</c:v>
                </c:pt>
                <c:pt idx="76">
                  <c:v>41716</c:v>
                </c:pt>
                <c:pt idx="77">
                  <c:v>41717</c:v>
                </c:pt>
                <c:pt idx="78">
                  <c:v>41718</c:v>
                </c:pt>
                <c:pt idx="79">
                  <c:v>41719</c:v>
                </c:pt>
                <c:pt idx="80">
                  <c:v>41720</c:v>
                </c:pt>
                <c:pt idx="81">
                  <c:v>41721</c:v>
                </c:pt>
                <c:pt idx="82">
                  <c:v>41722</c:v>
                </c:pt>
                <c:pt idx="83">
                  <c:v>41723</c:v>
                </c:pt>
                <c:pt idx="84">
                  <c:v>41724</c:v>
                </c:pt>
                <c:pt idx="85">
                  <c:v>41725</c:v>
                </c:pt>
                <c:pt idx="86">
                  <c:v>41726</c:v>
                </c:pt>
                <c:pt idx="87">
                  <c:v>41727</c:v>
                </c:pt>
                <c:pt idx="88">
                  <c:v>41728</c:v>
                </c:pt>
                <c:pt idx="89">
                  <c:v>41729</c:v>
                </c:pt>
                <c:pt idx="90">
                  <c:v>41730</c:v>
                </c:pt>
                <c:pt idx="91">
                  <c:v>41731</c:v>
                </c:pt>
                <c:pt idx="92">
                  <c:v>41732</c:v>
                </c:pt>
                <c:pt idx="93">
                  <c:v>41733</c:v>
                </c:pt>
                <c:pt idx="94">
                  <c:v>41734</c:v>
                </c:pt>
                <c:pt idx="95">
                  <c:v>41735</c:v>
                </c:pt>
                <c:pt idx="96">
                  <c:v>41736</c:v>
                </c:pt>
                <c:pt idx="97">
                  <c:v>41737</c:v>
                </c:pt>
                <c:pt idx="98">
                  <c:v>41738</c:v>
                </c:pt>
                <c:pt idx="99">
                  <c:v>41739</c:v>
                </c:pt>
                <c:pt idx="100">
                  <c:v>41740</c:v>
                </c:pt>
                <c:pt idx="101">
                  <c:v>41741</c:v>
                </c:pt>
                <c:pt idx="102">
                  <c:v>41742</c:v>
                </c:pt>
                <c:pt idx="103">
                  <c:v>41743</c:v>
                </c:pt>
                <c:pt idx="104">
                  <c:v>41744</c:v>
                </c:pt>
                <c:pt idx="105">
                  <c:v>41745</c:v>
                </c:pt>
                <c:pt idx="106">
                  <c:v>41746</c:v>
                </c:pt>
                <c:pt idx="107">
                  <c:v>41747</c:v>
                </c:pt>
                <c:pt idx="108">
                  <c:v>41748</c:v>
                </c:pt>
                <c:pt idx="109">
                  <c:v>41749</c:v>
                </c:pt>
                <c:pt idx="110">
                  <c:v>41750</c:v>
                </c:pt>
                <c:pt idx="111">
                  <c:v>41751</c:v>
                </c:pt>
                <c:pt idx="112">
                  <c:v>41752</c:v>
                </c:pt>
                <c:pt idx="113">
                  <c:v>41753</c:v>
                </c:pt>
                <c:pt idx="114">
                  <c:v>41754</c:v>
                </c:pt>
                <c:pt idx="115">
                  <c:v>41755</c:v>
                </c:pt>
                <c:pt idx="116">
                  <c:v>41756</c:v>
                </c:pt>
                <c:pt idx="117">
                  <c:v>41757</c:v>
                </c:pt>
                <c:pt idx="118">
                  <c:v>41758</c:v>
                </c:pt>
                <c:pt idx="119">
                  <c:v>41759</c:v>
                </c:pt>
                <c:pt idx="120">
                  <c:v>41760</c:v>
                </c:pt>
                <c:pt idx="121">
                  <c:v>41761</c:v>
                </c:pt>
                <c:pt idx="122">
                  <c:v>41762</c:v>
                </c:pt>
                <c:pt idx="123">
                  <c:v>41763</c:v>
                </c:pt>
                <c:pt idx="124">
                  <c:v>41764</c:v>
                </c:pt>
                <c:pt idx="125">
                  <c:v>41765</c:v>
                </c:pt>
                <c:pt idx="126">
                  <c:v>41766</c:v>
                </c:pt>
                <c:pt idx="127">
                  <c:v>41767</c:v>
                </c:pt>
                <c:pt idx="128">
                  <c:v>41768</c:v>
                </c:pt>
                <c:pt idx="129">
                  <c:v>41769</c:v>
                </c:pt>
                <c:pt idx="130">
                  <c:v>41770</c:v>
                </c:pt>
                <c:pt idx="131">
                  <c:v>41771</c:v>
                </c:pt>
                <c:pt idx="132">
                  <c:v>41772</c:v>
                </c:pt>
                <c:pt idx="133">
                  <c:v>41773</c:v>
                </c:pt>
                <c:pt idx="134">
                  <c:v>41774</c:v>
                </c:pt>
                <c:pt idx="135">
                  <c:v>41775</c:v>
                </c:pt>
                <c:pt idx="136">
                  <c:v>41776</c:v>
                </c:pt>
                <c:pt idx="137">
                  <c:v>41777</c:v>
                </c:pt>
                <c:pt idx="138">
                  <c:v>41778</c:v>
                </c:pt>
                <c:pt idx="139">
                  <c:v>41779</c:v>
                </c:pt>
                <c:pt idx="140">
                  <c:v>41780</c:v>
                </c:pt>
                <c:pt idx="141">
                  <c:v>41781</c:v>
                </c:pt>
                <c:pt idx="142">
                  <c:v>41782</c:v>
                </c:pt>
                <c:pt idx="143">
                  <c:v>41783</c:v>
                </c:pt>
                <c:pt idx="144">
                  <c:v>41784</c:v>
                </c:pt>
                <c:pt idx="145">
                  <c:v>41785</c:v>
                </c:pt>
                <c:pt idx="146">
                  <c:v>41786</c:v>
                </c:pt>
                <c:pt idx="147">
                  <c:v>41787</c:v>
                </c:pt>
                <c:pt idx="148">
                  <c:v>41788</c:v>
                </c:pt>
                <c:pt idx="149">
                  <c:v>41789</c:v>
                </c:pt>
                <c:pt idx="150">
                  <c:v>41790</c:v>
                </c:pt>
                <c:pt idx="151">
                  <c:v>41791</c:v>
                </c:pt>
                <c:pt idx="152">
                  <c:v>41792</c:v>
                </c:pt>
                <c:pt idx="153">
                  <c:v>41793</c:v>
                </c:pt>
                <c:pt idx="154">
                  <c:v>41794</c:v>
                </c:pt>
                <c:pt idx="155">
                  <c:v>41795</c:v>
                </c:pt>
                <c:pt idx="156">
                  <c:v>41796</c:v>
                </c:pt>
                <c:pt idx="157">
                  <c:v>41797</c:v>
                </c:pt>
                <c:pt idx="158">
                  <c:v>41798</c:v>
                </c:pt>
                <c:pt idx="159">
                  <c:v>41799</c:v>
                </c:pt>
                <c:pt idx="160">
                  <c:v>41800</c:v>
                </c:pt>
                <c:pt idx="161">
                  <c:v>41801</c:v>
                </c:pt>
                <c:pt idx="162">
                  <c:v>41802</c:v>
                </c:pt>
                <c:pt idx="163">
                  <c:v>41803</c:v>
                </c:pt>
                <c:pt idx="164">
                  <c:v>41804</c:v>
                </c:pt>
                <c:pt idx="165">
                  <c:v>41805</c:v>
                </c:pt>
                <c:pt idx="166">
                  <c:v>41806</c:v>
                </c:pt>
                <c:pt idx="167">
                  <c:v>41807</c:v>
                </c:pt>
                <c:pt idx="168">
                  <c:v>41808</c:v>
                </c:pt>
                <c:pt idx="169">
                  <c:v>41809</c:v>
                </c:pt>
                <c:pt idx="170">
                  <c:v>41810</c:v>
                </c:pt>
                <c:pt idx="171">
                  <c:v>41811</c:v>
                </c:pt>
                <c:pt idx="172">
                  <c:v>41812</c:v>
                </c:pt>
                <c:pt idx="173">
                  <c:v>41813</c:v>
                </c:pt>
                <c:pt idx="174">
                  <c:v>41814</c:v>
                </c:pt>
                <c:pt idx="175">
                  <c:v>41815</c:v>
                </c:pt>
                <c:pt idx="176">
                  <c:v>41816</c:v>
                </c:pt>
                <c:pt idx="177">
                  <c:v>41817</c:v>
                </c:pt>
                <c:pt idx="178">
                  <c:v>41818</c:v>
                </c:pt>
                <c:pt idx="179">
                  <c:v>41819</c:v>
                </c:pt>
                <c:pt idx="180">
                  <c:v>41820</c:v>
                </c:pt>
                <c:pt idx="181">
                  <c:v>41821</c:v>
                </c:pt>
                <c:pt idx="182">
                  <c:v>41822</c:v>
                </c:pt>
                <c:pt idx="183">
                  <c:v>41823</c:v>
                </c:pt>
                <c:pt idx="184">
                  <c:v>41824</c:v>
                </c:pt>
                <c:pt idx="185">
                  <c:v>41825</c:v>
                </c:pt>
                <c:pt idx="186">
                  <c:v>41826</c:v>
                </c:pt>
                <c:pt idx="187">
                  <c:v>41827</c:v>
                </c:pt>
                <c:pt idx="188">
                  <c:v>41828</c:v>
                </c:pt>
                <c:pt idx="189">
                  <c:v>41829</c:v>
                </c:pt>
                <c:pt idx="190">
                  <c:v>41830</c:v>
                </c:pt>
                <c:pt idx="191">
                  <c:v>41831</c:v>
                </c:pt>
                <c:pt idx="192">
                  <c:v>41832</c:v>
                </c:pt>
                <c:pt idx="193">
                  <c:v>41833</c:v>
                </c:pt>
                <c:pt idx="194">
                  <c:v>41834</c:v>
                </c:pt>
                <c:pt idx="195">
                  <c:v>41835</c:v>
                </c:pt>
                <c:pt idx="196">
                  <c:v>41836</c:v>
                </c:pt>
                <c:pt idx="197">
                  <c:v>41837</c:v>
                </c:pt>
                <c:pt idx="198">
                  <c:v>41838</c:v>
                </c:pt>
                <c:pt idx="199">
                  <c:v>41839</c:v>
                </c:pt>
                <c:pt idx="200">
                  <c:v>41840</c:v>
                </c:pt>
                <c:pt idx="201">
                  <c:v>41841</c:v>
                </c:pt>
                <c:pt idx="202">
                  <c:v>41842</c:v>
                </c:pt>
                <c:pt idx="203">
                  <c:v>41843</c:v>
                </c:pt>
                <c:pt idx="204">
                  <c:v>41844</c:v>
                </c:pt>
                <c:pt idx="205">
                  <c:v>41845</c:v>
                </c:pt>
                <c:pt idx="206">
                  <c:v>41846</c:v>
                </c:pt>
                <c:pt idx="207">
                  <c:v>41847</c:v>
                </c:pt>
                <c:pt idx="208">
                  <c:v>41848</c:v>
                </c:pt>
                <c:pt idx="209">
                  <c:v>41849</c:v>
                </c:pt>
                <c:pt idx="210">
                  <c:v>41850</c:v>
                </c:pt>
                <c:pt idx="211">
                  <c:v>41851</c:v>
                </c:pt>
                <c:pt idx="212">
                  <c:v>41852</c:v>
                </c:pt>
                <c:pt idx="213">
                  <c:v>41853</c:v>
                </c:pt>
                <c:pt idx="214">
                  <c:v>41854</c:v>
                </c:pt>
                <c:pt idx="215">
                  <c:v>41855</c:v>
                </c:pt>
                <c:pt idx="216">
                  <c:v>41856</c:v>
                </c:pt>
                <c:pt idx="217">
                  <c:v>41857</c:v>
                </c:pt>
                <c:pt idx="218">
                  <c:v>41858</c:v>
                </c:pt>
                <c:pt idx="219">
                  <c:v>41859</c:v>
                </c:pt>
                <c:pt idx="220">
                  <c:v>41860</c:v>
                </c:pt>
                <c:pt idx="221">
                  <c:v>41861</c:v>
                </c:pt>
                <c:pt idx="222">
                  <c:v>41862</c:v>
                </c:pt>
                <c:pt idx="223">
                  <c:v>41863</c:v>
                </c:pt>
                <c:pt idx="224">
                  <c:v>41864</c:v>
                </c:pt>
                <c:pt idx="225">
                  <c:v>41865</c:v>
                </c:pt>
                <c:pt idx="226">
                  <c:v>41866</c:v>
                </c:pt>
                <c:pt idx="227">
                  <c:v>41867</c:v>
                </c:pt>
                <c:pt idx="228">
                  <c:v>41868</c:v>
                </c:pt>
                <c:pt idx="229">
                  <c:v>41869</c:v>
                </c:pt>
                <c:pt idx="230">
                  <c:v>41870</c:v>
                </c:pt>
                <c:pt idx="231">
                  <c:v>41871</c:v>
                </c:pt>
                <c:pt idx="232">
                  <c:v>41872</c:v>
                </c:pt>
                <c:pt idx="233">
                  <c:v>41873</c:v>
                </c:pt>
                <c:pt idx="234">
                  <c:v>41874</c:v>
                </c:pt>
                <c:pt idx="235">
                  <c:v>41875</c:v>
                </c:pt>
                <c:pt idx="236">
                  <c:v>41876</c:v>
                </c:pt>
                <c:pt idx="237">
                  <c:v>41877</c:v>
                </c:pt>
                <c:pt idx="238">
                  <c:v>41878</c:v>
                </c:pt>
                <c:pt idx="239">
                  <c:v>41879</c:v>
                </c:pt>
                <c:pt idx="240">
                  <c:v>41880</c:v>
                </c:pt>
                <c:pt idx="241">
                  <c:v>41881</c:v>
                </c:pt>
                <c:pt idx="242">
                  <c:v>41882</c:v>
                </c:pt>
                <c:pt idx="243">
                  <c:v>41883</c:v>
                </c:pt>
                <c:pt idx="244">
                  <c:v>41884</c:v>
                </c:pt>
                <c:pt idx="245">
                  <c:v>41885</c:v>
                </c:pt>
                <c:pt idx="246">
                  <c:v>41886</c:v>
                </c:pt>
                <c:pt idx="247">
                  <c:v>41887</c:v>
                </c:pt>
                <c:pt idx="248">
                  <c:v>41888</c:v>
                </c:pt>
                <c:pt idx="249">
                  <c:v>41889</c:v>
                </c:pt>
                <c:pt idx="250">
                  <c:v>41890</c:v>
                </c:pt>
                <c:pt idx="251">
                  <c:v>41891</c:v>
                </c:pt>
                <c:pt idx="252">
                  <c:v>41892</c:v>
                </c:pt>
                <c:pt idx="253">
                  <c:v>41893</c:v>
                </c:pt>
                <c:pt idx="254">
                  <c:v>41894</c:v>
                </c:pt>
                <c:pt idx="255">
                  <c:v>41895</c:v>
                </c:pt>
                <c:pt idx="256">
                  <c:v>41896</c:v>
                </c:pt>
                <c:pt idx="257">
                  <c:v>41897</c:v>
                </c:pt>
                <c:pt idx="258">
                  <c:v>41898</c:v>
                </c:pt>
                <c:pt idx="259">
                  <c:v>41899</c:v>
                </c:pt>
                <c:pt idx="260">
                  <c:v>41900</c:v>
                </c:pt>
                <c:pt idx="261">
                  <c:v>41901</c:v>
                </c:pt>
                <c:pt idx="262">
                  <c:v>41902</c:v>
                </c:pt>
                <c:pt idx="263">
                  <c:v>41903</c:v>
                </c:pt>
                <c:pt idx="264">
                  <c:v>41904</c:v>
                </c:pt>
                <c:pt idx="265">
                  <c:v>41905</c:v>
                </c:pt>
                <c:pt idx="266">
                  <c:v>41906</c:v>
                </c:pt>
                <c:pt idx="267">
                  <c:v>41907</c:v>
                </c:pt>
                <c:pt idx="268">
                  <c:v>41908</c:v>
                </c:pt>
                <c:pt idx="269">
                  <c:v>41909</c:v>
                </c:pt>
                <c:pt idx="270">
                  <c:v>41910</c:v>
                </c:pt>
                <c:pt idx="271">
                  <c:v>41911</c:v>
                </c:pt>
                <c:pt idx="272">
                  <c:v>41912</c:v>
                </c:pt>
                <c:pt idx="273">
                  <c:v>41913</c:v>
                </c:pt>
                <c:pt idx="274">
                  <c:v>41914</c:v>
                </c:pt>
                <c:pt idx="275">
                  <c:v>41915</c:v>
                </c:pt>
                <c:pt idx="276">
                  <c:v>41916</c:v>
                </c:pt>
                <c:pt idx="277">
                  <c:v>41917</c:v>
                </c:pt>
                <c:pt idx="278">
                  <c:v>41918</c:v>
                </c:pt>
                <c:pt idx="279">
                  <c:v>41919</c:v>
                </c:pt>
                <c:pt idx="280">
                  <c:v>41920</c:v>
                </c:pt>
                <c:pt idx="281">
                  <c:v>41921</c:v>
                </c:pt>
                <c:pt idx="282">
                  <c:v>41922</c:v>
                </c:pt>
                <c:pt idx="283">
                  <c:v>41923</c:v>
                </c:pt>
                <c:pt idx="284">
                  <c:v>41924</c:v>
                </c:pt>
                <c:pt idx="285">
                  <c:v>41925</c:v>
                </c:pt>
                <c:pt idx="286">
                  <c:v>41926</c:v>
                </c:pt>
                <c:pt idx="287">
                  <c:v>41927</c:v>
                </c:pt>
                <c:pt idx="288">
                  <c:v>41928</c:v>
                </c:pt>
                <c:pt idx="289">
                  <c:v>41929</c:v>
                </c:pt>
                <c:pt idx="290">
                  <c:v>41930</c:v>
                </c:pt>
                <c:pt idx="291">
                  <c:v>41931</c:v>
                </c:pt>
                <c:pt idx="292">
                  <c:v>41932</c:v>
                </c:pt>
                <c:pt idx="293">
                  <c:v>41933</c:v>
                </c:pt>
                <c:pt idx="294">
                  <c:v>41934</c:v>
                </c:pt>
                <c:pt idx="295">
                  <c:v>41935</c:v>
                </c:pt>
                <c:pt idx="296">
                  <c:v>41936</c:v>
                </c:pt>
                <c:pt idx="297">
                  <c:v>41937</c:v>
                </c:pt>
                <c:pt idx="298">
                  <c:v>41938</c:v>
                </c:pt>
                <c:pt idx="299">
                  <c:v>41939</c:v>
                </c:pt>
                <c:pt idx="300">
                  <c:v>41940</c:v>
                </c:pt>
                <c:pt idx="301">
                  <c:v>41941</c:v>
                </c:pt>
                <c:pt idx="302">
                  <c:v>41942</c:v>
                </c:pt>
                <c:pt idx="303">
                  <c:v>41943</c:v>
                </c:pt>
                <c:pt idx="304">
                  <c:v>41944</c:v>
                </c:pt>
                <c:pt idx="305">
                  <c:v>41945</c:v>
                </c:pt>
                <c:pt idx="306">
                  <c:v>41946</c:v>
                </c:pt>
                <c:pt idx="307">
                  <c:v>41947</c:v>
                </c:pt>
                <c:pt idx="308">
                  <c:v>41948</c:v>
                </c:pt>
                <c:pt idx="309">
                  <c:v>41949</c:v>
                </c:pt>
                <c:pt idx="310">
                  <c:v>41950</c:v>
                </c:pt>
                <c:pt idx="311">
                  <c:v>41951</c:v>
                </c:pt>
                <c:pt idx="312">
                  <c:v>41952</c:v>
                </c:pt>
                <c:pt idx="313">
                  <c:v>41953</c:v>
                </c:pt>
                <c:pt idx="314">
                  <c:v>41954</c:v>
                </c:pt>
                <c:pt idx="315">
                  <c:v>41955</c:v>
                </c:pt>
                <c:pt idx="316">
                  <c:v>41956</c:v>
                </c:pt>
                <c:pt idx="317">
                  <c:v>41957</c:v>
                </c:pt>
                <c:pt idx="318">
                  <c:v>41958</c:v>
                </c:pt>
                <c:pt idx="319">
                  <c:v>41959</c:v>
                </c:pt>
                <c:pt idx="320">
                  <c:v>41960</c:v>
                </c:pt>
                <c:pt idx="321">
                  <c:v>41961</c:v>
                </c:pt>
                <c:pt idx="322">
                  <c:v>41962</c:v>
                </c:pt>
                <c:pt idx="323">
                  <c:v>41963</c:v>
                </c:pt>
                <c:pt idx="324">
                  <c:v>41964</c:v>
                </c:pt>
                <c:pt idx="325">
                  <c:v>41965</c:v>
                </c:pt>
                <c:pt idx="326">
                  <c:v>41966</c:v>
                </c:pt>
                <c:pt idx="327">
                  <c:v>41967</c:v>
                </c:pt>
                <c:pt idx="328">
                  <c:v>41968</c:v>
                </c:pt>
                <c:pt idx="329">
                  <c:v>41969</c:v>
                </c:pt>
                <c:pt idx="330">
                  <c:v>41970</c:v>
                </c:pt>
                <c:pt idx="331">
                  <c:v>41971</c:v>
                </c:pt>
                <c:pt idx="332">
                  <c:v>41972</c:v>
                </c:pt>
                <c:pt idx="333">
                  <c:v>41973</c:v>
                </c:pt>
                <c:pt idx="334">
                  <c:v>41974</c:v>
                </c:pt>
                <c:pt idx="335">
                  <c:v>41975</c:v>
                </c:pt>
                <c:pt idx="336">
                  <c:v>41976</c:v>
                </c:pt>
                <c:pt idx="337">
                  <c:v>41977</c:v>
                </c:pt>
                <c:pt idx="338">
                  <c:v>41978</c:v>
                </c:pt>
                <c:pt idx="339">
                  <c:v>41979</c:v>
                </c:pt>
                <c:pt idx="340">
                  <c:v>41980</c:v>
                </c:pt>
                <c:pt idx="341">
                  <c:v>41981</c:v>
                </c:pt>
                <c:pt idx="342">
                  <c:v>41982</c:v>
                </c:pt>
                <c:pt idx="343">
                  <c:v>41983</c:v>
                </c:pt>
                <c:pt idx="344">
                  <c:v>41984</c:v>
                </c:pt>
                <c:pt idx="345">
                  <c:v>41985</c:v>
                </c:pt>
                <c:pt idx="346">
                  <c:v>41986</c:v>
                </c:pt>
                <c:pt idx="347">
                  <c:v>41987</c:v>
                </c:pt>
                <c:pt idx="348">
                  <c:v>41988</c:v>
                </c:pt>
                <c:pt idx="349">
                  <c:v>41989</c:v>
                </c:pt>
                <c:pt idx="350">
                  <c:v>41990</c:v>
                </c:pt>
                <c:pt idx="351">
                  <c:v>41991</c:v>
                </c:pt>
                <c:pt idx="352">
                  <c:v>41992</c:v>
                </c:pt>
                <c:pt idx="353">
                  <c:v>41993</c:v>
                </c:pt>
                <c:pt idx="354">
                  <c:v>41994</c:v>
                </c:pt>
                <c:pt idx="355">
                  <c:v>41995</c:v>
                </c:pt>
                <c:pt idx="356">
                  <c:v>41996</c:v>
                </c:pt>
                <c:pt idx="357">
                  <c:v>41997</c:v>
                </c:pt>
                <c:pt idx="358">
                  <c:v>41998</c:v>
                </c:pt>
                <c:pt idx="359">
                  <c:v>41999</c:v>
                </c:pt>
                <c:pt idx="360">
                  <c:v>42000</c:v>
                </c:pt>
                <c:pt idx="361">
                  <c:v>42001</c:v>
                </c:pt>
                <c:pt idx="362">
                  <c:v>42002</c:v>
                </c:pt>
                <c:pt idx="363">
                  <c:v>42003</c:v>
                </c:pt>
                <c:pt idx="364">
                  <c:v>42004</c:v>
                </c:pt>
              </c:numCache>
            </c:numRef>
          </c:cat>
          <c:val>
            <c:numRef>
              <c:f>YTD!$AB$16:$AB$380</c:f>
              <c:numCache>
                <c:formatCode>0.00</c:formatCode>
                <c:ptCount val="365"/>
                <c:pt idx="0">
                  <c:v>270</c:v>
                </c:pt>
                <c:pt idx="1">
                  <c:v>270</c:v>
                </c:pt>
                <c:pt idx="2">
                  <c:v>270</c:v>
                </c:pt>
                <c:pt idx="3">
                  <c:v>270</c:v>
                </c:pt>
                <c:pt idx="4">
                  <c:v>270</c:v>
                </c:pt>
                <c:pt idx="5">
                  <c:v>270</c:v>
                </c:pt>
                <c:pt idx="6">
                  <c:v>270</c:v>
                </c:pt>
                <c:pt idx="7">
                  <c:v>270</c:v>
                </c:pt>
                <c:pt idx="8">
                  <c:v>270</c:v>
                </c:pt>
                <c:pt idx="9">
                  <c:v>270</c:v>
                </c:pt>
                <c:pt idx="10">
                  <c:v>270</c:v>
                </c:pt>
                <c:pt idx="11">
                  <c:v>270</c:v>
                </c:pt>
                <c:pt idx="12">
                  <c:v>270</c:v>
                </c:pt>
                <c:pt idx="13">
                  <c:v>270</c:v>
                </c:pt>
                <c:pt idx="14">
                  <c:v>270</c:v>
                </c:pt>
                <c:pt idx="15">
                  <c:v>270</c:v>
                </c:pt>
                <c:pt idx="16">
                  <c:v>270</c:v>
                </c:pt>
                <c:pt idx="17">
                  <c:v>270</c:v>
                </c:pt>
                <c:pt idx="18">
                  <c:v>270</c:v>
                </c:pt>
                <c:pt idx="19">
                  <c:v>270</c:v>
                </c:pt>
                <c:pt idx="20">
                  <c:v>270</c:v>
                </c:pt>
                <c:pt idx="21">
                  <c:v>270</c:v>
                </c:pt>
                <c:pt idx="22">
                  <c:v>270</c:v>
                </c:pt>
                <c:pt idx="23">
                  <c:v>270</c:v>
                </c:pt>
                <c:pt idx="24">
                  <c:v>270</c:v>
                </c:pt>
                <c:pt idx="25">
                  <c:v>270</c:v>
                </c:pt>
                <c:pt idx="26">
                  <c:v>270</c:v>
                </c:pt>
                <c:pt idx="27">
                  <c:v>270</c:v>
                </c:pt>
                <c:pt idx="28">
                  <c:v>270</c:v>
                </c:pt>
                <c:pt idx="29">
                  <c:v>270</c:v>
                </c:pt>
                <c:pt idx="30">
                  <c:v>270</c:v>
                </c:pt>
                <c:pt idx="31">
                  <c:v>270</c:v>
                </c:pt>
                <c:pt idx="32">
                  <c:v>270</c:v>
                </c:pt>
                <c:pt idx="33">
                  <c:v>270</c:v>
                </c:pt>
                <c:pt idx="34">
                  <c:v>270</c:v>
                </c:pt>
                <c:pt idx="35">
                  <c:v>270</c:v>
                </c:pt>
                <c:pt idx="36">
                  <c:v>270</c:v>
                </c:pt>
                <c:pt idx="37">
                  <c:v>270</c:v>
                </c:pt>
                <c:pt idx="38">
                  <c:v>270</c:v>
                </c:pt>
                <c:pt idx="39">
                  <c:v>270</c:v>
                </c:pt>
                <c:pt idx="40">
                  <c:v>270</c:v>
                </c:pt>
                <c:pt idx="41">
                  <c:v>270</c:v>
                </c:pt>
                <c:pt idx="42">
                  <c:v>270</c:v>
                </c:pt>
                <c:pt idx="43">
                  <c:v>270</c:v>
                </c:pt>
                <c:pt idx="44">
                  <c:v>270</c:v>
                </c:pt>
                <c:pt idx="45">
                  <c:v>270</c:v>
                </c:pt>
                <c:pt idx="46">
                  <c:v>270</c:v>
                </c:pt>
                <c:pt idx="47">
                  <c:v>270</c:v>
                </c:pt>
                <c:pt idx="48">
                  <c:v>270</c:v>
                </c:pt>
                <c:pt idx="49">
                  <c:v>270</c:v>
                </c:pt>
                <c:pt idx="50">
                  <c:v>270</c:v>
                </c:pt>
                <c:pt idx="51">
                  <c:v>270</c:v>
                </c:pt>
                <c:pt idx="52">
                  <c:v>270</c:v>
                </c:pt>
                <c:pt idx="53">
                  <c:v>270</c:v>
                </c:pt>
                <c:pt idx="54">
                  <c:v>270</c:v>
                </c:pt>
                <c:pt idx="55">
                  <c:v>270</c:v>
                </c:pt>
                <c:pt idx="56">
                  <c:v>270</c:v>
                </c:pt>
                <c:pt idx="57">
                  <c:v>270</c:v>
                </c:pt>
                <c:pt idx="58">
                  <c:v>270</c:v>
                </c:pt>
                <c:pt idx="59">
                  <c:v>270</c:v>
                </c:pt>
                <c:pt idx="60">
                  <c:v>270</c:v>
                </c:pt>
                <c:pt idx="61">
                  <c:v>270</c:v>
                </c:pt>
                <c:pt idx="62">
                  <c:v>270</c:v>
                </c:pt>
                <c:pt idx="63">
                  <c:v>270</c:v>
                </c:pt>
                <c:pt idx="64">
                  <c:v>270</c:v>
                </c:pt>
                <c:pt idx="65">
                  <c:v>270</c:v>
                </c:pt>
                <c:pt idx="66">
                  <c:v>270</c:v>
                </c:pt>
                <c:pt idx="67">
                  <c:v>270</c:v>
                </c:pt>
                <c:pt idx="68">
                  <c:v>270</c:v>
                </c:pt>
                <c:pt idx="69">
                  <c:v>270</c:v>
                </c:pt>
                <c:pt idx="70">
                  <c:v>270</c:v>
                </c:pt>
                <c:pt idx="71">
                  <c:v>270</c:v>
                </c:pt>
                <c:pt idx="72">
                  <c:v>270</c:v>
                </c:pt>
                <c:pt idx="73">
                  <c:v>270</c:v>
                </c:pt>
                <c:pt idx="74">
                  <c:v>270</c:v>
                </c:pt>
                <c:pt idx="75">
                  <c:v>270</c:v>
                </c:pt>
                <c:pt idx="76">
                  <c:v>270</c:v>
                </c:pt>
                <c:pt idx="77">
                  <c:v>270</c:v>
                </c:pt>
                <c:pt idx="78">
                  <c:v>270</c:v>
                </c:pt>
                <c:pt idx="79">
                  <c:v>270</c:v>
                </c:pt>
                <c:pt idx="80">
                  <c:v>270</c:v>
                </c:pt>
                <c:pt idx="81">
                  <c:v>270</c:v>
                </c:pt>
                <c:pt idx="82">
                  <c:v>270</c:v>
                </c:pt>
                <c:pt idx="83">
                  <c:v>270</c:v>
                </c:pt>
                <c:pt idx="84">
                  <c:v>270</c:v>
                </c:pt>
                <c:pt idx="85">
                  <c:v>270</c:v>
                </c:pt>
                <c:pt idx="86">
                  <c:v>270</c:v>
                </c:pt>
                <c:pt idx="87">
                  <c:v>270</c:v>
                </c:pt>
                <c:pt idx="88">
                  <c:v>270</c:v>
                </c:pt>
                <c:pt idx="89">
                  <c:v>270</c:v>
                </c:pt>
                <c:pt idx="90">
                  <c:v>270</c:v>
                </c:pt>
                <c:pt idx="91">
                  <c:v>270</c:v>
                </c:pt>
                <c:pt idx="92">
                  <c:v>270</c:v>
                </c:pt>
                <c:pt idx="93">
                  <c:v>270</c:v>
                </c:pt>
                <c:pt idx="94">
                  <c:v>270</c:v>
                </c:pt>
                <c:pt idx="95">
                  <c:v>270</c:v>
                </c:pt>
                <c:pt idx="96">
                  <c:v>270</c:v>
                </c:pt>
                <c:pt idx="97">
                  <c:v>270</c:v>
                </c:pt>
                <c:pt idx="98">
                  <c:v>270</c:v>
                </c:pt>
                <c:pt idx="99">
                  <c:v>270</c:v>
                </c:pt>
                <c:pt idx="100">
                  <c:v>270</c:v>
                </c:pt>
                <c:pt idx="101">
                  <c:v>270</c:v>
                </c:pt>
                <c:pt idx="102">
                  <c:v>270</c:v>
                </c:pt>
                <c:pt idx="103">
                  <c:v>270</c:v>
                </c:pt>
                <c:pt idx="104">
                  <c:v>270</c:v>
                </c:pt>
                <c:pt idx="105">
                  <c:v>270</c:v>
                </c:pt>
                <c:pt idx="106">
                  <c:v>270</c:v>
                </c:pt>
                <c:pt idx="107">
                  <c:v>270</c:v>
                </c:pt>
                <c:pt idx="108">
                  <c:v>270</c:v>
                </c:pt>
                <c:pt idx="109">
                  <c:v>270</c:v>
                </c:pt>
                <c:pt idx="110">
                  <c:v>270</c:v>
                </c:pt>
                <c:pt idx="111">
                  <c:v>270</c:v>
                </c:pt>
                <c:pt idx="112">
                  <c:v>270</c:v>
                </c:pt>
                <c:pt idx="113">
                  <c:v>270</c:v>
                </c:pt>
                <c:pt idx="114">
                  <c:v>270</c:v>
                </c:pt>
                <c:pt idx="115">
                  <c:v>270</c:v>
                </c:pt>
                <c:pt idx="116">
                  <c:v>270</c:v>
                </c:pt>
                <c:pt idx="117">
                  <c:v>270</c:v>
                </c:pt>
                <c:pt idx="118">
                  <c:v>270</c:v>
                </c:pt>
                <c:pt idx="119">
                  <c:v>270</c:v>
                </c:pt>
                <c:pt idx="120">
                  <c:v>270</c:v>
                </c:pt>
                <c:pt idx="121">
                  <c:v>270</c:v>
                </c:pt>
                <c:pt idx="122">
                  <c:v>270</c:v>
                </c:pt>
                <c:pt idx="123">
                  <c:v>270</c:v>
                </c:pt>
                <c:pt idx="124">
                  <c:v>270</c:v>
                </c:pt>
                <c:pt idx="125">
                  <c:v>270</c:v>
                </c:pt>
                <c:pt idx="126">
                  <c:v>270</c:v>
                </c:pt>
                <c:pt idx="127">
                  <c:v>270</c:v>
                </c:pt>
                <c:pt idx="128">
                  <c:v>270</c:v>
                </c:pt>
                <c:pt idx="129">
                  <c:v>270</c:v>
                </c:pt>
                <c:pt idx="130">
                  <c:v>270</c:v>
                </c:pt>
                <c:pt idx="131">
                  <c:v>270</c:v>
                </c:pt>
                <c:pt idx="132">
                  <c:v>270</c:v>
                </c:pt>
                <c:pt idx="133">
                  <c:v>270</c:v>
                </c:pt>
                <c:pt idx="134">
                  <c:v>270</c:v>
                </c:pt>
                <c:pt idx="135">
                  <c:v>270</c:v>
                </c:pt>
                <c:pt idx="136">
                  <c:v>270</c:v>
                </c:pt>
                <c:pt idx="137">
                  <c:v>270</c:v>
                </c:pt>
                <c:pt idx="138">
                  <c:v>270</c:v>
                </c:pt>
                <c:pt idx="139">
                  <c:v>270</c:v>
                </c:pt>
                <c:pt idx="140">
                  <c:v>270</c:v>
                </c:pt>
                <c:pt idx="141">
                  <c:v>270</c:v>
                </c:pt>
                <c:pt idx="142">
                  <c:v>270</c:v>
                </c:pt>
                <c:pt idx="143">
                  <c:v>270</c:v>
                </c:pt>
                <c:pt idx="144">
                  <c:v>270</c:v>
                </c:pt>
                <c:pt idx="145">
                  <c:v>270</c:v>
                </c:pt>
                <c:pt idx="146">
                  <c:v>270</c:v>
                </c:pt>
                <c:pt idx="147">
                  <c:v>270</c:v>
                </c:pt>
                <c:pt idx="148">
                  <c:v>270</c:v>
                </c:pt>
                <c:pt idx="149">
                  <c:v>270</c:v>
                </c:pt>
                <c:pt idx="150">
                  <c:v>270</c:v>
                </c:pt>
                <c:pt idx="151">
                  <c:v>270</c:v>
                </c:pt>
                <c:pt idx="152">
                  <c:v>270</c:v>
                </c:pt>
                <c:pt idx="153">
                  <c:v>270</c:v>
                </c:pt>
                <c:pt idx="154">
                  <c:v>270</c:v>
                </c:pt>
                <c:pt idx="155">
                  <c:v>270</c:v>
                </c:pt>
                <c:pt idx="156">
                  <c:v>270</c:v>
                </c:pt>
                <c:pt idx="157">
                  <c:v>270</c:v>
                </c:pt>
                <c:pt idx="158">
                  <c:v>270</c:v>
                </c:pt>
                <c:pt idx="159">
                  <c:v>270</c:v>
                </c:pt>
                <c:pt idx="160">
                  <c:v>270</c:v>
                </c:pt>
                <c:pt idx="161">
                  <c:v>270</c:v>
                </c:pt>
                <c:pt idx="162">
                  <c:v>270</c:v>
                </c:pt>
                <c:pt idx="163">
                  <c:v>270</c:v>
                </c:pt>
                <c:pt idx="164">
                  <c:v>270</c:v>
                </c:pt>
                <c:pt idx="165">
                  <c:v>270</c:v>
                </c:pt>
                <c:pt idx="166">
                  <c:v>270</c:v>
                </c:pt>
                <c:pt idx="167">
                  <c:v>270</c:v>
                </c:pt>
                <c:pt idx="168">
                  <c:v>270</c:v>
                </c:pt>
                <c:pt idx="169">
                  <c:v>270</c:v>
                </c:pt>
                <c:pt idx="170">
                  <c:v>270</c:v>
                </c:pt>
                <c:pt idx="171">
                  <c:v>270</c:v>
                </c:pt>
                <c:pt idx="172">
                  <c:v>270</c:v>
                </c:pt>
                <c:pt idx="173">
                  <c:v>270</c:v>
                </c:pt>
                <c:pt idx="174">
                  <c:v>270</c:v>
                </c:pt>
                <c:pt idx="175">
                  <c:v>270</c:v>
                </c:pt>
                <c:pt idx="176">
                  <c:v>270</c:v>
                </c:pt>
                <c:pt idx="177">
                  <c:v>270</c:v>
                </c:pt>
                <c:pt idx="178">
                  <c:v>270</c:v>
                </c:pt>
                <c:pt idx="179">
                  <c:v>270</c:v>
                </c:pt>
                <c:pt idx="180">
                  <c:v>270</c:v>
                </c:pt>
                <c:pt idx="181">
                  <c:v>270</c:v>
                </c:pt>
                <c:pt idx="182">
                  <c:v>270</c:v>
                </c:pt>
                <c:pt idx="183">
                  <c:v>270</c:v>
                </c:pt>
                <c:pt idx="184">
                  <c:v>270</c:v>
                </c:pt>
                <c:pt idx="185">
                  <c:v>270</c:v>
                </c:pt>
                <c:pt idx="186">
                  <c:v>270</c:v>
                </c:pt>
                <c:pt idx="187">
                  <c:v>270</c:v>
                </c:pt>
                <c:pt idx="188">
                  <c:v>270</c:v>
                </c:pt>
                <c:pt idx="189">
                  <c:v>270</c:v>
                </c:pt>
                <c:pt idx="190">
                  <c:v>270</c:v>
                </c:pt>
                <c:pt idx="191">
                  <c:v>270</c:v>
                </c:pt>
                <c:pt idx="192">
                  <c:v>270</c:v>
                </c:pt>
                <c:pt idx="193">
                  <c:v>270</c:v>
                </c:pt>
                <c:pt idx="194">
                  <c:v>270</c:v>
                </c:pt>
                <c:pt idx="195">
                  <c:v>270</c:v>
                </c:pt>
                <c:pt idx="196">
                  <c:v>270</c:v>
                </c:pt>
                <c:pt idx="197">
                  <c:v>270</c:v>
                </c:pt>
                <c:pt idx="198">
                  <c:v>270</c:v>
                </c:pt>
                <c:pt idx="199">
                  <c:v>270</c:v>
                </c:pt>
                <c:pt idx="200">
                  <c:v>270</c:v>
                </c:pt>
                <c:pt idx="201">
                  <c:v>270</c:v>
                </c:pt>
                <c:pt idx="202">
                  <c:v>270</c:v>
                </c:pt>
                <c:pt idx="203">
                  <c:v>270</c:v>
                </c:pt>
                <c:pt idx="204">
                  <c:v>270</c:v>
                </c:pt>
                <c:pt idx="205">
                  <c:v>270</c:v>
                </c:pt>
                <c:pt idx="206">
                  <c:v>270</c:v>
                </c:pt>
                <c:pt idx="207">
                  <c:v>270</c:v>
                </c:pt>
                <c:pt idx="208">
                  <c:v>270</c:v>
                </c:pt>
                <c:pt idx="209">
                  <c:v>270</c:v>
                </c:pt>
                <c:pt idx="210">
                  <c:v>270</c:v>
                </c:pt>
                <c:pt idx="211">
                  <c:v>270</c:v>
                </c:pt>
                <c:pt idx="212">
                  <c:v>270</c:v>
                </c:pt>
                <c:pt idx="213">
                  <c:v>270</c:v>
                </c:pt>
                <c:pt idx="214">
                  <c:v>270</c:v>
                </c:pt>
                <c:pt idx="215">
                  <c:v>270</c:v>
                </c:pt>
                <c:pt idx="216">
                  <c:v>270</c:v>
                </c:pt>
                <c:pt idx="217">
                  <c:v>270</c:v>
                </c:pt>
                <c:pt idx="218">
                  <c:v>270</c:v>
                </c:pt>
                <c:pt idx="219">
                  <c:v>270</c:v>
                </c:pt>
                <c:pt idx="220">
                  <c:v>270</c:v>
                </c:pt>
                <c:pt idx="221">
                  <c:v>270</c:v>
                </c:pt>
                <c:pt idx="222">
                  <c:v>270</c:v>
                </c:pt>
                <c:pt idx="223">
                  <c:v>270</c:v>
                </c:pt>
                <c:pt idx="224">
                  <c:v>270</c:v>
                </c:pt>
                <c:pt idx="225">
                  <c:v>270</c:v>
                </c:pt>
                <c:pt idx="226">
                  <c:v>270</c:v>
                </c:pt>
                <c:pt idx="227">
                  <c:v>270</c:v>
                </c:pt>
                <c:pt idx="228">
                  <c:v>270</c:v>
                </c:pt>
                <c:pt idx="229">
                  <c:v>270</c:v>
                </c:pt>
                <c:pt idx="230">
                  <c:v>270</c:v>
                </c:pt>
                <c:pt idx="231">
                  <c:v>270</c:v>
                </c:pt>
                <c:pt idx="232">
                  <c:v>270</c:v>
                </c:pt>
                <c:pt idx="233">
                  <c:v>270</c:v>
                </c:pt>
                <c:pt idx="234">
                  <c:v>270</c:v>
                </c:pt>
                <c:pt idx="235">
                  <c:v>270</c:v>
                </c:pt>
                <c:pt idx="236">
                  <c:v>270</c:v>
                </c:pt>
                <c:pt idx="237">
                  <c:v>270</c:v>
                </c:pt>
                <c:pt idx="238">
                  <c:v>270</c:v>
                </c:pt>
                <c:pt idx="239">
                  <c:v>270</c:v>
                </c:pt>
                <c:pt idx="240">
                  <c:v>270</c:v>
                </c:pt>
                <c:pt idx="241">
                  <c:v>270</c:v>
                </c:pt>
                <c:pt idx="242">
                  <c:v>270</c:v>
                </c:pt>
                <c:pt idx="243">
                  <c:v>270</c:v>
                </c:pt>
                <c:pt idx="244">
                  <c:v>270</c:v>
                </c:pt>
                <c:pt idx="245">
                  <c:v>270</c:v>
                </c:pt>
                <c:pt idx="246">
                  <c:v>270</c:v>
                </c:pt>
                <c:pt idx="247">
                  <c:v>270</c:v>
                </c:pt>
                <c:pt idx="248">
                  <c:v>270</c:v>
                </c:pt>
                <c:pt idx="249">
                  <c:v>270</c:v>
                </c:pt>
                <c:pt idx="250">
                  <c:v>270</c:v>
                </c:pt>
                <c:pt idx="251">
                  <c:v>270</c:v>
                </c:pt>
                <c:pt idx="252">
                  <c:v>270</c:v>
                </c:pt>
                <c:pt idx="253">
                  <c:v>270</c:v>
                </c:pt>
                <c:pt idx="254">
                  <c:v>270</c:v>
                </c:pt>
                <c:pt idx="255">
                  <c:v>270</c:v>
                </c:pt>
                <c:pt idx="256">
                  <c:v>270</c:v>
                </c:pt>
                <c:pt idx="257">
                  <c:v>270</c:v>
                </c:pt>
                <c:pt idx="258">
                  <c:v>270</c:v>
                </c:pt>
                <c:pt idx="259">
                  <c:v>270</c:v>
                </c:pt>
                <c:pt idx="260">
                  <c:v>270</c:v>
                </c:pt>
                <c:pt idx="261">
                  <c:v>270</c:v>
                </c:pt>
                <c:pt idx="262">
                  <c:v>270</c:v>
                </c:pt>
                <c:pt idx="263">
                  <c:v>270</c:v>
                </c:pt>
                <c:pt idx="264">
                  <c:v>270</c:v>
                </c:pt>
                <c:pt idx="265">
                  <c:v>270</c:v>
                </c:pt>
                <c:pt idx="266">
                  <c:v>270</c:v>
                </c:pt>
                <c:pt idx="267">
                  <c:v>270</c:v>
                </c:pt>
                <c:pt idx="268">
                  <c:v>270</c:v>
                </c:pt>
                <c:pt idx="269">
                  <c:v>270</c:v>
                </c:pt>
                <c:pt idx="270">
                  <c:v>270</c:v>
                </c:pt>
                <c:pt idx="271">
                  <c:v>270</c:v>
                </c:pt>
                <c:pt idx="272">
                  <c:v>270</c:v>
                </c:pt>
                <c:pt idx="273">
                  <c:v>270</c:v>
                </c:pt>
                <c:pt idx="274">
                  <c:v>270</c:v>
                </c:pt>
                <c:pt idx="275">
                  <c:v>270</c:v>
                </c:pt>
                <c:pt idx="276">
                  <c:v>270</c:v>
                </c:pt>
                <c:pt idx="277">
                  <c:v>270</c:v>
                </c:pt>
                <c:pt idx="278">
                  <c:v>270</c:v>
                </c:pt>
                <c:pt idx="279">
                  <c:v>270</c:v>
                </c:pt>
                <c:pt idx="280">
                  <c:v>270</c:v>
                </c:pt>
                <c:pt idx="281">
                  <c:v>270</c:v>
                </c:pt>
                <c:pt idx="282">
                  <c:v>270</c:v>
                </c:pt>
                <c:pt idx="283">
                  <c:v>270</c:v>
                </c:pt>
                <c:pt idx="284">
                  <c:v>270</c:v>
                </c:pt>
                <c:pt idx="285">
                  <c:v>270</c:v>
                </c:pt>
                <c:pt idx="286">
                  <c:v>270</c:v>
                </c:pt>
                <c:pt idx="287">
                  <c:v>270</c:v>
                </c:pt>
                <c:pt idx="288">
                  <c:v>270</c:v>
                </c:pt>
                <c:pt idx="289">
                  <c:v>270</c:v>
                </c:pt>
                <c:pt idx="290">
                  <c:v>270</c:v>
                </c:pt>
                <c:pt idx="291">
                  <c:v>270</c:v>
                </c:pt>
                <c:pt idx="292">
                  <c:v>270</c:v>
                </c:pt>
                <c:pt idx="293">
                  <c:v>270</c:v>
                </c:pt>
                <c:pt idx="294">
                  <c:v>270</c:v>
                </c:pt>
                <c:pt idx="295">
                  <c:v>270</c:v>
                </c:pt>
                <c:pt idx="296">
                  <c:v>270</c:v>
                </c:pt>
                <c:pt idx="297">
                  <c:v>270</c:v>
                </c:pt>
                <c:pt idx="298">
                  <c:v>270</c:v>
                </c:pt>
                <c:pt idx="299">
                  <c:v>270</c:v>
                </c:pt>
                <c:pt idx="300">
                  <c:v>270</c:v>
                </c:pt>
                <c:pt idx="301">
                  <c:v>270</c:v>
                </c:pt>
                <c:pt idx="302">
                  <c:v>270</c:v>
                </c:pt>
                <c:pt idx="303">
                  <c:v>270</c:v>
                </c:pt>
                <c:pt idx="304">
                  <c:v>270</c:v>
                </c:pt>
                <c:pt idx="305">
                  <c:v>270</c:v>
                </c:pt>
                <c:pt idx="306">
                  <c:v>270</c:v>
                </c:pt>
                <c:pt idx="307">
                  <c:v>270</c:v>
                </c:pt>
                <c:pt idx="308">
                  <c:v>270</c:v>
                </c:pt>
                <c:pt idx="309">
                  <c:v>270</c:v>
                </c:pt>
                <c:pt idx="310">
                  <c:v>270</c:v>
                </c:pt>
                <c:pt idx="311">
                  <c:v>270</c:v>
                </c:pt>
                <c:pt idx="312">
                  <c:v>270</c:v>
                </c:pt>
                <c:pt idx="313">
                  <c:v>270</c:v>
                </c:pt>
                <c:pt idx="314">
                  <c:v>270</c:v>
                </c:pt>
                <c:pt idx="315">
                  <c:v>270</c:v>
                </c:pt>
                <c:pt idx="316">
                  <c:v>270</c:v>
                </c:pt>
                <c:pt idx="317">
                  <c:v>270</c:v>
                </c:pt>
                <c:pt idx="318">
                  <c:v>270</c:v>
                </c:pt>
                <c:pt idx="319">
                  <c:v>270</c:v>
                </c:pt>
                <c:pt idx="320">
                  <c:v>270</c:v>
                </c:pt>
                <c:pt idx="321">
                  <c:v>270</c:v>
                </c:pt>
                <c:pt idx="322">
                  <c:v>270</c:v>
                </c:pt>
                <c:pt idx="323">
                  <c:v>270</c:v>
                </c:pt>
                <c:pt idx="324">
                  <c:v>270</c:v>
                </c:pt>
                <c:pt idx="325">
                  <c:v>270</c:v>
                </c:pt>
                <c:pt idx="326">
                  <c:v>270</c:v>
                </c:pt>
                <c:pt idx="327">
                  <c:v>270</c:v>
                </c:pt>
                <c:pt idx="328">
                  <c:v>270</c:v>
                </c:pt>
                <c:pt idx="329">
                  <c:v>270</c:v>
                </c:pt>
                <c:pt idx="330">
                  <c:v>270</c:v>
                </c:pt>
                <c:pt idx="331">
                  <c:v>270</c:v>
                </c:pt>
                <c:pt idx="332">
                  <c:v>270</c:v>
                </c:pt>
                <c:pt idx="333">
                  <c:v>270</c:v>
                </c:pt>
                <c:pt idx="334">
                  <c:v>270</c:v>
                </c:pt>
                <c:pt idx="335">
                  <c:v>270</c:v>
                </c:pt>
                <c:pt idx="336">
                  <c:v>270</c:v>
                </c:pt>
                <c:pt idx="337">
                  <c:v>270</c:v>
                </c:pt>
                <c:pt idx="338">
                  <c:v>270</c:v>
                </c:pt>
                <c:pt idx="339">
                  <c:v>270</c:v>
                </c:pt>
                <c:pt idx="340">
                  <c:v>270</c:v>
                </c:pt>
                <c:pt idx="341">
                  <c:v>270</c:v>
                </c:pt>
                <c:pt idx="342">
                  <c:v>270</c:v>
                </c:pt>
                <c:pt idx="343">
                  <c:v>270</c:v>
                </c:pt>
                <c:pt idx="344">
                  <c:v>270</c:v>
                </c:pt>
                <c:pt idx="345">
                  <c:v>270</c:v>
                </c:pt>
                <c:pt idx="346">
                  <c:v>270</c:v>
                </c:pt>
                <c:pt idx="347">
                  <c:v>270</c:v>
                </c:pt>
                <c:pt idx="348">
                  <c:v>270</c:v>
                </c:pt>
                <c:pt idx="349">
                  <c:v>270</c:v>
                </c:pt>
                <c:pt idx="350">
                  <c:v>270</c:v>
                </c:pt>
                <c:pt idx="351">
                  <c:v>270</c:v>
                </c:pt>
                <c:pt idx="352">
                  <c:v>270</c:v>
                </c:pt>
                <c:pt idx="353">
                  <c:v>270</c:v>
                </c:pt>
                <c:pt idx="354">
                  <c:v>270</c:v>
                </c:pt>
                <c:pt idx="355">
                  <c:v>270</c:v>
                </c:pt>
                <c:pt idx="356">
                  <c:v>270</c:v>
                </c:pt>
                <c:pt idx="357">
                  <c:v>270</c:v>
                </c:pt>
                <c:pt idx="358">
                  <c:v>270</c:v>
                </c:pt>
                <c:pt idx="359">
                  <c:v>270</c:v>
                </c:pt>
                <c:pt idx="360">
                  <c:v>270</c:v>
                </c:pt>
                <c:pt idx="361">
                  <c:v>270</c:v>
                </c:pt>
                <c:pt idx="362">
                  <c:v>270</c:v>
                </c:pt>
                <c:pt idx="363">
                  <c:v>270</c:v>
                </c:pt>
                <c:pt idx="364">
                  <c:v>270</c:v>
                </c:pt>
              </c:numCache>
            </c:numRef>
          </c:val>
          <c:smooth val="0"/>
        </c:ser>
        <c:dLbls>
          <c:showLegendKey val="0"/>
          <c:showVal val="0"/>
          <c:showCatName val="0"/>
          <c:showSerName val="0"/>
          <c:showPercent val="0"/>
          <c:showBubbleSize val="0"/>
        </c:dLbls>
        <c:marker val="1"/>
        <c:smooth val="0"/>
        <c:axId val="308155392"/>
        <c:axId val="308217536"/>
      </c:lineChart>
      <c:dateAx>
        <c:axId val="308155392"/>
        <c:scaling>
          <c:orientation val="minMax"/>
        </c:scaling>
        <c:delete val="0"/>
        <c:axPos val="b"/>
        <c:numFmt formatCode="d\-mmm" sourceLinked="0"/>
        <c:majorTickMark val="cross"/>
        <c:minorTickMark val="cross"/>
        <c:tickLblPos val="low"/>
        <c:spPr>
          <a:ln w="3175">
            <a:solidFill>
              <a:srgbClr val="000000"/>
            </a:solidFill>
            <a:prstDash val="solid"/>
          </a:ln>
        </c:spPr>
        <c:txPr>
          <a:bodyPr rot="-5400000" vert="horz"/>
          <a:lstStyle/>
          <a:p>
            <a:pPr>
              <a:defRPr/>
            </a:pPr>
            <a:endParaRPr lang="en-US"/>
          </a:p>
        </c:txPr>
        <c:crossAx val="308217536"/>
        <c:crosses val="autoZero"/>
        <c:auto val="1"/>
        <c:lblOffset val="100"/>
        <c:baseTimeUnit val="days"/>
        <c:majorUnit val="28"/>
        <c:majorTimeUnit val="days"/>
        <c:minorUnit val="7"/>
        <c:minorTimeUnit val="days"/>
      </c:dateAx>
      <c:valAx>
        <c:axId val="308217536"/>
        <c:scaling>
          <c:orientation val="minMax"/>
          <c:min val="0"/>
        </c:scaling>
        <c:delete val="0"/>
        <c:axPos val="l"/>
        <c:majorGridlines>
          <c:spPr>
            <a:ln w="3175">
              <a:solidFill>
                <a:srgbClr val="000000"/>
              </a:solidFill>
              <a:prstDash val="solid"/>
            </a:ln>
          </c:spPr>
        </c:majorGridlines>
        <c:title>
          <c:tx>
            <c:rich>
              <a:bodyPr/>
              <a:lstStyle/>
              <a:p>
                <a:pPr>
                  <a:defRPr sz="1000" b="0" i="0" u="none" strike="noStrike" baseline="0">
                    <a:solidFill>
                      <a:srgbClr val="000000"/>
                    </a:solidFill>
                    <a:latin typeface="Arial"/>
                    <a:ea typeface="Arial"/>
                    <a:cs typeface="Arial"/>
                  </a:defRPr>
                </a:pPr>
                <a:r>
                  <a:rPr lang="en-US" sz="1600" b="1" i="0" u="none" strike="noStrike" baseline="0">
                    <a:solidFill>
                      <a:srgbClr val="000000"/>
                    </a:solidFill>
                    <a:latin typeface="Arial"/>
                    <a:cs typeface="Arial"/>
                  </a:rPr>
                  <a:t>Available Water Content (mm h</a:t>
                </a:r>
                <a:r>
                  <a:rPr lang="en-US" sz="1600" b="1" i="0" u="none" strike="noStrike" baseline="30000">
                    <a:solidFill>
                      <a:srgbClr val="000000"/>
                    </a:solidFill>
                    <a:latin typeface="Arial"/>
                    <a:cs typeface="Arial"/>
                  </a:rPr>
                  <a:t>-1</a:t>
                </a:r>
                <a:r>
                  <a:rPr lang="en-US" sz="1600" b="1" i="0" u="none" strike="noStrike" baseline="0">
                    <a:solidFill>
                      <a:srgbClr val="000000"/>
                    </a:solidFill>
                    <a:latin typeface="Arial"/>
                    <a:cs typeface="Arial"/>
                  </a:rPr>
                  <a:t>)</a:t>
                </a:r>
              </a:p>
            </c:rich>
          </c:tx>
          <c:layout>
            <c:manualLayout>
              <c:xMode val="edge"/>
              <c:yMode val="edge"/>
              <c:x val="6.9770869314910765E-3"/>
              <c:y val="0.23130606420927466"/>
            </c:manualLayout>
          </c:layout>
          <c:overlay val="0"/>
          <c:spPr>
            <a:noFill/>
            <a:ln w="25400">
              <a:noFill/>
            </a:ln>
          </c:spPr>
        </c:title>
        <c:numFmt formatCode="0" sourceLinked="0"/>
        <c:majorTickMark val="cross"/>
        <c:minorTickMark val="in"/>
        <c:tickLblPos val="low"/>
        <c:spPr>
          <a:ln w="3175">
            <a:solidFill>
              <a:srgbClr val="000000"/>
            </a:solidFill>
            <a:prstDash val="solid"/>
          </a:ln>
        </c:spPr>
        <c:txPr>
          <a:bodyPr rot="0" vert="horz"/>
          <a:lstStyle/>
          <a:p>
            <a:pPr>
              <a:defRPr/>
            </a:pPr>
            <a:endParaRPr lang="en-US"/>
          </a:p>
        </c:txPr>
        <c:crossAx val="308155392"/>
        <c:crosses val="autoZero"/>
        <c:crossBetween val="between"/>
      </c:valAx>
      <c:spPr>
        <a:solidFill>
          <a:srgbClr val="FFFFFF"/>
        </a:solidFill>
        <a:ln w="12700">
          <a:solidFill>
            <a:srgbClr val="808080"/>
          </a:solidFill>
          <a:prstDash val="solid"/>
        </a:ln>
      </c:spPr>
    </c:plotArea>
    <c:legend>
      <c:legendPos val="r"/>
      <c:layout>
        <c:manualLayout>
          <c:xMode val="edge"/>
          <c:yMode val="edge"/>
          <c:wMode val="edge"/>
          <c:hMode val="edge"/>
          <c:x val="5.7777777777777768E-2"/>
          <c:y val="0"/>
          <c:w val="0.95259263097294178"/>
          <c:h val="6.4270154577883473E-2"/>
        </c:manualLayout>
      </c:layout>
      <c:overlay val="0"/>
      <c:spPr>
        <a:solidFill>
          <a:srgbClr val="FFFFFF"/>
        </a:solidFill>
        <a:ln w="3175">
          <a:noFill/>
          <a:prstDash val="solid"/>
        </a:ln>
      </c:spPr>
    </c:legend>
    <c:plotVisOnly val="1"/>
    <c:dispBlanksAs val="gap"/>
    <c:showDLblsOverMax val="0"/>
  </c:chart>
  <c:spPr>
    <a:noFill/>
    <a:ln w="9525">
      <a:noFill/>
    </a:ln>
  </c:spPr>
  <c:txPr>
    <a:bodyPr/>
    <a:lstStyle/>
    <a:p>
      <a:pPr>
        <a:defRPr sz="1600" b="1" i="0" u="none" strike="noStrike" baseline="0">
          <a:solidFill>
            <a:srgbClr val="000000"/>
          </a:solidFill>
          <a:latin typeface="Arial"/>
          <a:ea typeface="Arial"/>
          <a:cs typeface="Arial"/>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autoTitleDeleted val="0"/>
    <c:plotArea>
      <c:layout>
        <c:manualLayout>
          <c:layoutTarget val="inner"/>
          <c:xMode val="edge"/>
          <c:yMode val="edge"/>
          <c:x val="8.9459537845438433E-2"/>
          <c:y val="8.4440478151713266E-2"/>
          <c:w val="0.86348501664816868"/>
          <c:h val="0.7501556591886045"/>
        </c:manualLayout>
      </c:layout>
      <c:lineChart>
        <c:grouping val="standard"/>
        <c:varyColors val="0"/>
        <c:ser>
          <c:idx val="0"/>
          <c:order val="0"/>
          <c:tx>
            <c:v>SWC</c:v>
          </c:tx>
          <c:spPr>
            <a:ln w="38100">
              <a:solidFill>
                <a:srgbClr val="FF0000"/>
              </a:solidFill>
              <a:prstDash val="solid"/>
            </a:ln>
          </c:spPr>
          <c:marker>
            <c:symbol val="none"/>
          </c:marker>
          <c:cat>
            <c:numRef>
              <c:f>MakeSchedule!$A$16:$A$592</c:f>
              <c:numCache>
                <c:formatCode>dd\-mmm\-yy</c:formatCode>
                <c:ptCount val="577"/>
                <c:pt idx="0">
                  <c:v>41640</c:v>
                </c:pt>
                <c:pt idx="1">
                  <c:v>41641</c:v>
                </c:pt>
                <c:pt idx="2">
                  <c:v>41642</c:v>
                </c:pt>
                <c:pt idx="3">
                  <c:v>41643</c:v>
                </c:pt>
                <c:pt idx="4">
                  <c:v>41644</c:v>
                </c:pt>
                <c:pt idx="5">
                  <c:v>41645</c:v>
                </c:pt>
                <c:pt idx="6">
                  <c:v>41646</c:v>
                </c:pt>
                <c:pt idx="7">
                  <c:v>41647</c:v>
                </c:pt>
                <c:pt idx="8">
                  <c:v>41648</c:v>
                </c:pt>
                <c:pt idx="9">
                  <c:v>41649</c:v>
                </c:pt>
                <c:pt idx="10">
                  <c:v>41650</c:v>
                </c:pt>
                <c:pt idx="11">
                  <c:v>41651</c:v>
                </c:pt>
                <c:pt idx="12">
                  <c:v>41652</c:v>
                </c:pt>
                <c:pt idx="13">
                  <c:v>41653</c:v>
                </c:pt>
                <c:pt idx="14">
                  <c:v>41654</c:v>
                </c:pt>
                <c:pt idx="15">
                  <c:v>41655</c:v>
                </c:pt>
                <c:pt idx="16">
                  <c:v>41656</c:v>
                </c:pt>
                <c:pt idx="17">
                  <c:v>41657</c:v>
                </c:pt>
                <c:pt idx="18">
                  <c:v>41658</c:v>
                </c:pt>
                <c:pt idx="19">
                  <c:v>41659</c:v>
                </c:pt>
                <c:pt idx="20">
                  <c:v>41660</c:v>
                </c:pt>
                <c:pt idx="21">
                  <c:v>41661</c:v>
                </c:pt>
                <c:pt idx="22">
                  <c:v>41662</c:v>
                </c:pt>
                <c:pt idx="23">
                  <c:v>41663</c:v>
                </c:pt>
                <c:pt idx="24">
                  <c:v>41664</c:v>
                </c:pt>
                <c:pt idx="25">
                  <c:v>41665</c:v>
                </c:pt>
                <c:pt idx="26">
                  <c:v>41666</c:v>
                </c:pt>
                <c:pt idx="27">
                  <c:v>41667</c:v>
                </c:pt>
                <c:pt idx="28">
                  <c:v>41668</c:v>
                </c:pt>
                <c:pt idx="29">
                  <c:v>41669</c:v>
                </c:pt>
                <c:pt idx="30">
                  <c:v>41670</c:v>
                </c:pt>
                <c:pt idx="31">
                  <c:v>41671</c:v>
                </c:pt>
                <c:pt idx="32">
                  <c:v>41672</c:v>
                </c:pt>
                <c:pt idx="33">
                  <c:v>41673</c:v>
                </c:pt>
                <c:pt idx="34">
                  <c:v>41674</c:v>
                </c:pt>
                <c:pt idx="35">
                  <c:v>41675</c:v>
                </c:pt>
                <c:pt idx="36">
                  <c:v>41676</c:v>
                </c:pt>
                <c:pt idx="37">
                  <c:v>41677</c:v>
                </c:pt>
                <c:pt idx="38">
                  <c:v>41678</c:v>
                </c:pt>
                <c:pt idx="39">
                  <c:v>41679</c:v>
                </c:pt>
                <c:pt idx="40">
                  <c:v>41680</c:v>
                </c:pt>
                <c:pt idx="41">
                  <c:v>41681</c:v>
                </c:pt>
                <c:pt idx="42">
                  <c:v>41682</c:v>
                </c:pt>
                <c:pt idx="43">
                  <c:v>41683</c:v>
                </c:pt>
                <c:pt idx="44">
                  <c:v>41684</c:v>
                </c:pt>
                <c:pt idx="45">
                  <c:v>41685</c:v>
                </c:pt>
                <c:pt idx="46">
                  <c:v>41686</c:v>
                </c:pt>
                <c:pt idx="47">
                  <c:v>41687</c:v>
                </c:pt>
                <c:pt idx="48">
                  <c:v>41688</c:v>
                </c:pt>
                <c:pt idx="49">
                  <c:v>41689</c:v>
                </c:pt>
                <c:pt idx="50">
                  <c:v>41690</c:v>
                </c:pt>
                <c:pt idx="51">
                  <c:v>41691</c:v>
                </c:pt>
                <c:pt idx="52">
                  <c:v>41692</c:v>
                </c:pt>
                <c:pt idx="53">
                  <c:v>41693</c:v>
                </c:pt>
                <c:pt idx="54">
                  <c:v>41694</c:v>
                </c:pt>
                <c:pt idx="55">
                  <c:v>41695</c:v>
                </c:pt>
                <c:pt idx="56">
                  <c:v>41696</c:v>
                </c:pt>
                <c:pt idx="57">
                  <c:v>41697</c:v>
                </c:pt>
                <c:pt idx="58">
                  <c:v>41698</c:v>
                </c:pt>
                <c:pt idx="59">
                  <c:v>41699</c:v>
                </c:pt>
                <c:pt idx="60">
                  <c:v>41700</c:v>
                </c:pt>
                <c:pt idx="61">
                  <c:v>41701</c:v>
                </c:pt>
                <c:pt idx="62">
                  <c:v>41702</c:v>
                </c:pt>
                <c:pt idx="63">
                  <c:v>41703</c:v>
                </c:pt>
                <c:pt idx="64">
                  <c:v>41704</c:v>
                </c:pt>
                <c:pt idx="65">
                  <c:v>41705</c:v>
                </c:pt>
                <c:pt idx="66">
                  <c:v>41706</c:v>
                </c:pt>
                <c:pt idx="67">
                  <c:v>41707</c:v>
                </c:pt>
                <c:pt idx="68">
                  <c:v>41708</c:v>
                </c:pt>
                <c:pt idx="69">
                  <c:v>41709</c:v>
                </c:pt>
                <c:pt idx="70">
                  <c:v>41710</c:v>
                </c:pt>
                <c:pt idx="71">
                  <c:v>41711</c:v>
                </c:pt>
                <c:pt idx="72">
                  <c:v>41712</c:v>
                </c:pt>
                <c:pt idx="73">
                  <c:v>41713</c:v>
                </c:pt>
                <c:pt idx="74">
                  <c:v>41714</c:v>
                </c:pt>
                <c:pt idx="75">
                  <c:v>41715</c:v>
                </c:pt>
                <c:pt idx="76">
                  <c:v>41716</c:v>
                </c:pt>
                <c:pt idx="77">
                  <c:v>41717</c:v>
                </c:pt>
                <c:pt idx="78">
                  <c:v>41718</c:v>
                </c:pt>
                <c:pt idx="79">
                  <c:v>41719</c:v>
                </c:pt>
                <c:pt idx="80">
                  <c:v>41720</c:v>
                </c:pt>
                <c:pt idx="81">
                  <c:v>41721</c:v>
                </c:pt>
                <c:pt idx="82">
                  <c:v>41722</c:v>
                </c:pt>
                <c:pt idx="83">
                  <c:v>41723</c:v>
                </c:pt>
                <c:pt idx="84">
                  <c:v>41724</c:v>
                </c:pt>
                <c:pt idx="85">
                  <c:v>41725</c:v>
                </c:pt>
                <c:pt idx="86">
                  <c:v>41726</c:v>
                </c:pt>
                <c:pt idx="87">
                  <c:v>41727</c:v>
                </c:pt>
                <c:pt idx="88">
                  <c:v>41728</c:v>
                </c:pt>
                <c:pt idx="89">
                  <c:v>41729</c:v>
                </c:pt>
                <c:pt idx="90">
                  <c:v>41730</c:v>
                </c:pt>
                <c:pt idx="91">
                  <c:v>41731</c:v>
                </c:pt>
                <c:pt idx="92">
                  <c:v>41732</c:v>
                </c:pt>
                <c:pt idx="93">
                  <c:v>41733</c:v>
                </c:pt>
                <c:pt idx="94">
                  <c:v>41734</c:v>
                </c:pt>
                <c:pt idx="95">
                  <c:v>41735</c:v>
                </c:pt>
                <c:pt idx="96">
                  <c:v>41736</c:v>
                </c:pt>
                <c:pt idx="97">
                  <c:v>41737</c:v>
                </c:pt>
                <c:pt idx="98">
                  <c:v>41738</c:v>
                </c:pt>
                <c:pt idx="99">
                  <c:v>41739</c:v>
                </c:pt>
                <c:pt idx="100">
                  <c:v>41740</c:v>
                </c:pt>
                <c:pt idx="101">
                  <c:v>41741</c:v>
                </c:pt>
                <c:pt idx="102">
                  <c:v>41742</c:v>
                </c:pt>
                <c:pt idx="103">
                  <c:v>41743</c:v>
                </c:pt>
                <c:pt idx="104">
                  <c:v>41744</c:v>
                </c:pt>
                <c:pt idx="105">
                  <c:v>41745</c:v>
                </c:pt>
                <c:pt idx="106">
                  <c:v>41746</c:v>
                </c:pt>
                <c:pt idx="107">
                  <c:v>41747</c:v>
                </c:pt>
                <c:pt idx="108">
                  <c:v>41748</c:v>
                </c:pt>
                <c:pt idx="109">
                  <c:v>41749</c:v>
                </c:pt>
                <c:pt idx="110">
                  <c:v>41750</c:v>
                </c:pt>
                <c:pt idx="111">
                  <c:v>41751</c:v>
                </c:pt>
                <c:pt idx="112">
                  <c:v>41752</c:v>
                </c:pt>
                <c:pt idx="113">
                  <c:v>41753</c:v>
                </c:pt>
                <c:pt idx="114">
                  <c:v>41754</c:v>
                </c:pt>
                <c:pt idx="115">
                  <c:v>41755</c:v>
                </c:pt>
                <c:pt idx="116">
                  <c:v>41756</c:v>
                </c:pt>
                <c:pt idx="117">
                  <c:v>41757</c:v>
                </c:pt>
                <c:pt idx="118">
                  <c:v>41758</c:v>
                </c:pt>
                <c:pt idx="119">
                  <c:v>41759</c:v>
                </c:pt>
                <c:pt idx="120">
                  <c:v>41760</c:v>
                </c:pt>
                <c:pt idx="121">
                  <c:v>41761</c:v>
                </c:pt>
                <c:pt idx="122">
                  <c:v>41762</c:v>
                </c:pt>
                <c:pt idx="123">
                  <c:v>41763</c:v>
                </c:pt>
                <c:pt idx="124">
                  <c:v>41764</c:v>
                </c:pt>
                <c:pt idx="125">
                  <c:v>41765</c:v>
                </c:pt>
                <c:pt idx="126">
                  <c:v>41766</c:v>
                </c:pt>
                <c:pt idx="127">
                  <c:v>41767</c:v>
                </c:pt>
                <c:pt idx="128">
                  <c:v>41768</c:v>
                </c:pt>
                <c:pt idx="129">
                  <c:v>41769</c:v>
                </c:pt>
                <c:pt idx="130">
                  <c:v>41770</c:v>
                </c:pt>
                <c:pt idx="131">
                  <c:v>41771</c:v>
                </c:pt>
                <c:pt idx="132">
                  <c:v>41772</c:v>
                </c:pt>
                <c:pt idx="133">
                  <c:v>41773</c:v>
                </c:pt>
                <c:pt idx="134">
                  <c:v>41774</c:v>
                </c:pt>
                <c:pt idx="135">
                  <c:v>41775</c:v>
                </c:pt>
                <c:pt idx="136">
                  <c:v>41776</c:v>
                </c:pt>
                <c:pt idx="137">
                  <c:v>41777</c:v>
                </c:pt>
                <c:pt idx="138">
                  <c:v>41778</c:v>
                </c:pt>
                <c:pt idx="139">
                  <c:v>41779</c:v>
                </c:pt>
                <c:pt idx="140">
                  <c:v>41780</c:v>
                </c:pt>
                <c:pt idx="141">
                  <c:v>41781</c:v>
                </c:pt>
                <c:pt idx="142">
                  <c:v>41782</c:v>
                </c:pt>
                <c:pt idx="143">
                  <c:v>41783</c:v>
                </c:pt>
                <c:pt idx="144">
                  <c:v>41784</c:v>
                </c:pt>
                <c:pt idx="145">
                  <c:v>41785</c:v>
                </c:pt>
                <c:pt idx="146">
                  <c:v>41786</c:v>
                </c:pt>
                <c:pt idx="147">
                  <c:v>41787</c:v>
                </c:pt>
                <c:pt idx="148">
                  <c:v>41788</c:v>
                </c:pt>
                <c:pt idx="149">
                  <c:v>41789</c:v>
                </c:pt>
                <c:pt idx="150">
                  <c:v>41790</c:v>
                </c:pt>
                <c:pt idx="151">
                  <c:v>41791</c:v>
                </c:pt>
                <c:pt idx="152">
                  <c:v>41792</c:v>
                </c:pt>
                <c:pt idx="153">
                  <c:v>41793</c:v>
                </c:pt>
                <c:pt idx="154">
                  <c:v>41794</c:v>
                </c:pt>
                <c:pt idx="155">
                  <c:v>41795</c:v>
                </c:pt>
                <c:pt idx="156">
                  <c:v>41796</c:v>
                </c:pt>
                <c:pt idx="157">
                  <c:v>41797</c:v>
                </c:pt>
                <c:pt idx="158">
                  <c:v>41798</c:v>
                </c:pt>
                <c:pt idx="159">
                  <c:v>41799</c:v>
                </c:pt>
                <c:pt idx="160">
                  <c:v>41800</c:v>
                </c:pt>
                <c:pt idx="161">
                  <c:v>41801</c:v>
                </c:pt>
                <c:pt idx="162">
                  <c:v>41802</c:v>
                </c:pt>
                <c:pt idx="163">
                  <c:v>41803</c:v>
                </c:pt>
                <c:pt idx="164">
                  <c:v>41804</c:v>
                </c:pt>
                <c:pt idx="165">
                  <c:v>41805</c:v>
                </c:pt>
                <c:pt idx="166">
                  <c:v>41806</c:v>
                </c:pt>
                <c:pt idx="167">
                  <c:v>41807</c:v>
                </c:pt>
                <c:pt idx="168">
                  <c:v>41808</c:v>
                </c:pt>
                <c:pt idx="169">
                  <c:v>41809</c:v>
                </c:pt>
                <c:pt idx="170">
                  <c:v>41810</c:v>
                </c:pt>
                <c:pt idx="171">
                  <c:v>41811</c:v>
                </c:pt>
                <c:pt idx="172">
                  <c:v>41812</c:v>
                </c:pt>
                <c:pt idx="173">
                  <c:v>41813</c:v>
                </c:pt>
                <c:pt idx="174">
                  <c:v>41814</c:v>
                </c:pt>
                <c:pt idx="175">
                  <c:v>41815</c:v>
                </c:pt>
                <c:pt idx="176">
                  <c:v>41816</c:v>
                </c:pt>
                <c:pt idx="177">
                  <c:v>41817</c:v>
                </c:pt>
                <c:pt idx="178">
                  <c:v>41818</c:v>
                </c:pt>
                <c:pt idx="179">
                  <c:v>41819</c:v>
                </c:pt>
                <c:pt idx="180">
                  <c:v>41820</c:v>
                </c:pt>
                <c:pt idx="181">
                  <c:v>41821</c:v>
                </c:pt>
                <c:pt idx="182">
                  <c:v>41822</c:v>
                </c:pt>
                <c:pt idx="183">
                  <c:v>41823</c:v>
                </c:pt>
                <c:pt idx="184">
                  <c:v>41824</c:v>
                </c:pt>
                <c:pt idx="185">
                  <c:v>41825</c:v>
                </c:pt>
                <c:pt idx="186">
                  <c:v>41826</c:v>
                </c:pt>
                <c:pt idx="187">
                  <c:v>41827</c:v>
                </c:pt>
                <c:pt idx="188">
                  <c:v>41828</c:v>
                </c:pt>
                <c:pt idx="189">
                  <c:v>41829</c:v>
                </c:pt>
                <c:pt idx="190">
                  <c:v>41830</c:v>
                </c:pt>
                <c:pt idx="191">
                  <c:v>41831</c:v>
                </c:pt>
                <c:pt idx="192">
                  <c:v>41832</c:v>
                </c:pt>
                <c:pt idx="193">
                  <c:v>41833</c:v>
                </c:pt>
                <c:pt idx="194">
                  <c:v>41834</c:v>
                </c:pt>
                <c:pt idx="195">
                  <c:v>41835</c:v>
                </c:pt>
                <c:pt idx="196">
                  <c:v>41836</c:v>
                </c:pt>
                <c:pt idx="197">
                  <c:v>41837</c:v>
                </c:pt>
                <c:pt idx="198">
                  <c:v>41838</c:v>
                </c:pt>
                <c:pt idx="199">
                  <c:v>41839</c:v>
                </c:pt>
                <c:pt idx="200">
                  <c:v>41840</c:v>
                </c:pt>
                <c:pt idx="201">
                  <c:v>41841</c:v>
                </c:pt>
                <c:pt idx="202">
                  <c:v>41842</c:v>
                </c:pt>
                <c:pt idx="203">
                  <c:v>41843</c:v>
                </c:pt>
                <c:pt idx="204">
                  <c:v>41844</c:v>
                </c:pt>
                <c:pt idx="205">
                  <c:v>41845</c:v>
                </c:pt>
                <c:pt idx="206">
                  <c:v>41846</c:v>
                </c:pt>
                <c:pt idx="207">
                  <c:v>41847</c:v>
                </c:pt>
                <c:pt idx="208">
                  <c:v>41848</c:v>
                </c:pt>
                <c:pt idx="209">
                  <c:v>41849</c:v>
                </c:pt>
                <c:pt idx="210">
                  <c:v>41850</c:v>
                </c:pt>
                <c:pt idx="211">
                  <c:v>41851</c:v>
                </c:pt>
                <c:pt idx="212">
                  <c:v>41852</c:v>
                </c:pt>
                <c:pt idx="213">
                  <c:v>41853</c:v>
                </c:pt>
                <c:pt idx="214">
                  <c:v>41854</c:v>
                </c:pt>
                <c:pt idx="215">
                  <c:v>41855</c:v>
                </c:pt>
                <c:pt idx="216">
                  <c:v>41856</c:v>
                </c:pt>
                <c:pt idx="217">
                  <c:v>41857</c:v>
                </c:pt>
                <c:pt idx="218">
                  <c:v>41858</c:v>
                </c:pt>
                <c:pt idx="219">
                  <c:v>41859</c:v>
                </c:pt>
                <c:pt idx="220">
                  <c:v>41860</c:v>
                </c:pt>
                <c:pt idx="221">
                  <c:v>41861</c:v>
                </c:pt>
                <c:pt idx="222">
                  <c:v>41862</c:v>
                </c:pt>
                <c:pt idx="223">
                  <c:v>41863</c:v>
                </c:pt>
                <c:pt idx="224">
                  <c:v>41864</c:v>
                </c:pt>
                <c:pt idx="225">
                  <c:v>41865</c:v>
                </c:pt>
                <c:pt idx="226">
                  <c:v>41866</c:v>
                </c:pt>
                <c:pt idx="227">
                  <c:v>41867</c:v>
                </c:pt>
                <c:pt idx="228">
                  <c:v>41868</c:v>
                </c:pt>
                <c:pt idx="229">
                  <c:v>41869</c:v>
                </c:pt>
                <c:pt idx="230">
                  <c:v>41870</c:v>
                </c:pt>
                <c:pt idx="231">
                  <c:v>41871</c:v>
                </c:pt>
                <c:pt idx="232">
                  <c:v>41872</c:v>
                </c:pt>
                <c:pt idx="233">
                  <c:v>41873</c:v>
                </c:pt>
                <c:pt idx="234">
                  <c:v>41874</c:v>
                </c:pt>
                <c:pt idx="235">
                  <c:v>41875</c:v>
                </c:pt>
                <c:pt idx="236">
                  <c:v>41876</c:v>
                </c:pt>
                <c:pt idx="237">
                  <c:v>41877</c:v>
                </c:pt>
                <c:pt idx="238">
                  <c:v>41878</c:v>
                </c:pt>
                <c:pt idx="239">
                  <c:v>41879</c:v>
                </c:pt>
                <c:pt idx="240">
                  <c:v>41880</c:v>
                </c:pt>
                <c:pt idx="241">
                  <c:v>41881</c:v>
                </c:pt>
                <c:pt idx="242">
                  <c:v>41882</c:v>
                </c:pt>
                <c:pt idx="243">
                  <c:v>41883</c:v>
                </c:pt>
                <c:pt idx="244">
                  <c:v>41884</c:v>
                </c:pt>
                <c:pt idx="245">
                  <c:v>41885</c:v>
                </c:pt>
                <c:pt idx="246">
                  <c:v>41886</c:v>
                </c:pt>
                <c:pt idx="247">
                  <c:v>41887</c:v>
                </c:pt>
                <c:pt idx="248">
                  <c:v>41888</c:v>
                </c:pt>
                <c:pt idx="249">
                  <c:v>41889</c:v>
                </c:pt>
                <c:pt idx="250">
                  <c:v>41890</c:v>
                </c:pt>
                <c:pt idx="251">
                  <c:v>41891</c:v>
                </c:pt>
                <c:pt idx="252">
                  <c:v>41892</c:v>
                </c:pt>
                <c:pt idx="253">
                  <c:v>41893</c:v>
                </c:pt>
                <c:pt idx="254">
                  <c:v>41894</c:v>
                </c:pt>
                <c:pt idx="255">
                  <c:v>41895</c:v>
                </c:pt>
                <c:pt idx="256">
                  <c:v>41896</c:v>
                </c:pt>
                <c:pt idx="257">
                  <c:v>41897</c:v>
                </c:pt>
                <c:pt idx="258">
                  <c:v>41898</c:v>
                </c:pt>
                <c:pt idx="259">
                  <c:v>41899</c:v>
                </c:pt>
                <c:pt idx="260">
                  <c:v>41900</c:v>
                </c:pt>
                <c:pt idx="261">
                  <c:v>41901</c:v>
                </c:pt>
                <c:pt idx="262">
                  <c:v>41902</c:v>
                </c:pt>
                <c:pt idx="263">
                  <c:v>41903</c:v>
                </c:pt>
                <c:pt idx="264">
                  <c:v>41904</c:v>
                </c:pt>
                <c:pt idx="265">
                  <c:v>41905</c:v>
                </c:pt>
                <c:pt idx="266">
                  <c:v>41906</c:v>
                </c:pt>
                <c:pt idx="267">
                  <c:v>41907</c:v>
                </c:pt>
                <c:pt idx="268">
                  <c:v>41908</c:v>
                </c:pt>
                <c:pt idx="269">
                  <c:v>41909</c:v>
                </c:pt>
                <c:pt idx="270">
                  <c:v>41910</c:v>
                </c:pt>
                <c:pt idx="271">
                  <c:v>41911</c:v>
                </c:pt>
                <c:pt idx="272">
                  <c:v>41912</c:v>
                </c:pt>
                <c:pt idx="273">
                  <c:v>41913</c:v>
                </c:pt>
                <c:pt idx="274">
                  <c:v>41914</c:v>
                </c:pt>
                <c:pt idx="275">
                  <c:v>41915</c:v>
                </c:pt>
                <c:pt idx="276">
                  <c:v>41916</c:v>
                </c:pt>
                <c:pt idx="277">
                  <c:v>41917</c:v>
                </c:pt>
                <c:pt idx="278">
                  <c:v>41918</c:v>
                </c:pt>
                <c:pt idx="279">
                  <c:v>41919</c:v>
                </c:pt>
                <c:pt idx="280">
                  <c:v>41920</c:v>
                </c:pt>
                <c:pt idx="281">
                  <c:v>41921</c:v>
                </c:pt>
                <c:pt idx="282">
                  <c:v>41922</c:v>
                </c:pt>
                <c:pt idx="283">
                  <c:v>41923</c:v>
                </c:pt>
                <c:pt idx="284">
                  <c:v>41924</c:v>
                </c:pt>
                <c:pt idx="285">
                  <c:v>41925</c:v>
                </c:pt>
                <c:pt idx="286">
                  <c:v>41926</c:v>
                </c:pt>
                <c:pt idx="287">
                  <c:v>41927</c:v>
                </c:pt>
                <c:pt idx="288">
                  <c:v>41928</c:v>
                </c:pt>
                <c:pt idx="289">
                  <c:v>41929</c:v>
                </c:pt>
                <c:pt idx="290">
                  <c:v>41930</c:v>
                </c:pt>
                <c:pt idx="291">
                  <c:v>41931</c:v>
                </c:pt>
                <c:pt idx="292">
                  <c:v>41932</c:v>
                </c:pt>
                <c:pt idx="293">
                  <c:v>41933</c:v>
                </c:pt>
                <c:pt idx="294">
                  <c:v>41934</c:v>
                </c:pt>
                <c:pt idx="295">
                  <c:v>41935</c:v>
                </c:pt>
                <c:pt idx="296">
                  <c:v>41936</c:v>
                </c:pt>
                <c:pt idx="297">
                  <c:v>41937</c:v>
                </c:pt>
                <c:pt idx="298">
                  <c:v>41938</c:v>
                </c:pt>
                <c:pt idx="299">
                  <c:v>41939</c:v>
                </c:pt>
                <c:pt idx="300">
                  <c:v>41940</c:v>
                </c:pt>
                <c:pt idx="301">
                  <c:v>41941</c:v>
                </c:pt>
                <c:pt idx="302">
                  <c:v>41942</c:v>
                </c:pt>
                <c:pt idx="303">
                  <c:v>41943</c:v>
                </c:pt>
                <c:pt idx="304">
                  <c:v>41944</c:v>
                </c:pt>
                <c:pt idx="305">
                  <c:v>41945</c:v>
                </c:pt>
                <c:pt idx="306">
                  <c:v>41946</c:v>
                </c:pt>
                <c:pt idx="307">
                  <c:v>41947</c:v>
                </c:pt>
                <c:pt idx="308">
                  <c:v>41948</c:v>
                </c:pt>
                <c:pt idx="309">
                  <c:v>41949</c:v>
                </c:pt>
                <c:pt idx="310">
                  <c:v>41950</c:v>
                </c:pt>
                <c:pt idx="311">
                  <c:v>41951</c:v>
                </c:pt>
                <c:pt idx="312">
                  <c:v>41952</c:v>
                </c:pt>
                <c:pt idx="313">
                  <c:v>41953</c:v>
                </c:pt>
                <c:pt idx="314">
                  <c:v>41954</c:v>
                </c:pt>
                <c:pt idx="315">
                  <c:v>41955</c:v>
                </c:pt>
                <c:pt idx="316">
                  <c:v>41956</c:v>
                </c:pt>
                <c:pt idx="317">
                  <c:v>41957</c:v>
                </c:pt>
                <c:pt idx="318">
                  <c:v>41958</c:v>
                </c:pt>
                <c:pt idx="319">
                  <c:v>41959</c:v>
                </c:pt>
                <c:pt idx="320">
                  <c:v>41960</c:v>
                </c:pt>
                <c:pt idx="321">
                  <c:v>41961</c:v>
                </c:pt>
                <c:pt idx="322">
                  <c:v>41962</c:v>
                </c:pt>
                <c:pt idx="323">
                  <c:v>41963</c:v>
                </c:pt>
                <c:pt idx="324">
                  <c:v>41964</c:v>
                </c:pt>
                <c:pt idx="325">
                  <c:v>41965</c:v>
                </c:pt>
                <c:pt idx="326">
                  <c:v>41966</c:v>
                </c:pt>
                <c:pt idx="327">
                  <c:v>41967</c:v>
                </c:pt>
                <c:pt idx="328">
                  <c:v>41968</c:v>
                </c:pt>
                <c:pt idx="329">
                  <c:v>41969</c:v>
                </c:pt>
                <c:pt idx="330">
                  <c:v>41970</c:v>
                </c:pt>
                <c:pt idx="331">
                  <c:v>41971</c:v>
                </c:pt>
                <c:pt idx="332">
                  <c:v>41972</c:v>
                </c:pt>
                <c:pt idx="333">
                  <c:v>41973</c:v>
                </c:pt>
                <c:pt idx="334">
                  <c:v>41974</c:v>
                </c:pt>
                <c:pt idx="335">
                  <c:v>41975</c:v>
                </c:pt>
                <c:pt idx="336">
                  <c:v>41976</c:v>
                </c:pt>
                <c:pt idx="337">
                  <c:v>41977</c:v>
                </c:pt>
                <c:pt idx="338">
                  <c:v>41978</c:v>
                </c:pt>
                <c:pt idx="339">
                  <c:v>41979</c:v>
                </c:pt>
                <c:pt idx="340">
                  <c:v>41980</c:v>
                </c:pt>
                <c:pt idx="341">
                  <c:v>41981</c:v>
                </c:pt>
                <c:pt idx="342">
                  <c:v>41982</c:v>
                </c:pt>
                <c:pt idx="343">
                  <c:v>41983</c:v>
                </c:pt>
                <c:pt idx="344">
                  <c:v>41984</c:v>
                </c:pt>
                <c:pt idx="345">
                  <c:v>41985</c:v>
                </c:pt>
                <c:pt idx="346">
                  <c:v>41986</c:v>
                </c:pt>
                <c:pt idx="347">
                  <c:v>41987</c:v>
                </c:pt>
                <c:pt idx="348">
                  <c:v>41988</c:v>
                </c:pt>
                <c:pt idx="349">
                  <c:v>41989</c:v>
                </c:pt>
                <c:pt idx="350">
                  <c:v>41990</c:v>
                </c:pt>
                <c:pt idx="351">
                  <c:v>41991</c:v>
                </c:pt>
                <c:pt idx="352">
                  <c:v>41992</c:v>
                </c:pt>
                <c:pt idx="353">
                  <c:v>41993</c:v>
                </c:pt>
                <c:pt idx="354">
                  <c:v>41994</c:v>
                </c:pt>
                <c:pt idx="355">
                  <c:v>41995</c:v>
                </c:pt>
                <c:pt idx="356">
                  <c:v>41996</c:v>
                </c:pt>
                <c:pt idx="357">
                  <c:v>41997</c:v>
                </c:pt>
                <c:pt idx="358">
                  <c:v>41998</c:v>
                </c:pt>
                <c:pt idx="359">
                  <c:v>41999</c:v>
                </c:pt>
                <c:pt idx="360">
                  <c:v>42000</c:v>
                </c:pt>
                <c:pt idx="361">
                  <c:v>42001</c:v>
                </c:pt>
                <c:pt idx="362">
                  <c:v>42002</c:v>
                </c:pt>
                <c:pt idx="363">
                  <c:v>42003</c:v>
                </c:pt>
                <c:pt idx="364">
                  <c:v>42004</c:v>
                </c:pt>
                <c:pt idx="365">
                  <c:v>42005</c:v>
                </c:pt>
                <c:pt idx="366">
                  <c:v>42006</c:v>
                </c:pt>
                <c:pt idx="367">
                  <c:v>42007</c:v>
                </c:pt>
                <c:pt idx="368">
                  <c:v>42008</c:v>
                </c:pt>
                <c:pt idx="369">
                  <c:v>42009</c:v>
                </c:pt>
                <c:pt idx="370">
                  <c:v>42010</c:v>
                </c:pt>
                <c:pt idx="371">
                  <c:v>42011</c:v>
                </c:pt>
                <c:pt idx="372">
                  <c:v>42012</c:v>
                </c:pt>
                <c:pt idx="373">
                  <c:v>42013</c:v>
                </c:pt>
                <c:pt idx="374">
                  <c:v>42014</c:v>
                </c:pt>
                <c:pt idx="375">
                  <c:v>42015</c:v>
                </c:pt>
                <c:pt idx="376">
                  <c:v>42016</c:v>
                </c:pt>
                <c:pt idx="377">
                  <c:v>42017</c:v>
                </c:pt>
                <c:pt idx="378">
                  <c:v>42018</c:v>
                </c:pt>
                <c:pt idx="379">
                  <c:v>42019</c:v>
                </c:pt>
                <c:pt idx="380">
                  <c:v>42020</c:v>
                </c:pt>
                <c:pt idx="381">
                  <c:v>42021</c:v>
                </c:pt>
                <c:pt idx="382">
                  <c:v>42022</c:v>
                </c:pt>
                <c:pt idx="383">
                  <c:v>42023</c:v>
                </c:pt>
                <c:pt idx="384">
                  <c:v>42024</c:v>
                </c:pt>
                <c:pt idx="385">
                  <c:v>42025</c:v>
                </c:pt>
                <c:pt idx="386">
                  <c:v>42026</c:v>
                </c:pt>
                <c:pt idx="387">
                  <c:v>42027</c:v>
                </c:pt>
                <c:pt idx="388">
                  <c:v>42028</c:v>
                </c:pt>
                <c:pt idx="389">
                  <c:v>42029</c:v>
                </c:pt>
                <c:pt idx="390">
                  <c:v>42030</c:v>
                </c:pt>
                <c:pt idx="391">
                  <c:v>42031</c:v>
                </c:pt>
                <c:pt idx="392">
                  <c:v>42032</c:v>
                </c:pt>
                <c:pt idx="393">
                  <c:v>42033</c:v>
                </c:pt>
                <c:pt idx="394">
                  <c:v>42034</c:v>
                </c:pt>
                <c:pt idx="395">
                  <c:v>42035</c:v>
                </c:pt>
                <c:pt idx="396">
                  <c:v>42036</c:v>
                </c:pt>
                <c:pt idx="397">
                  <c:v>42037</c:v>
                </c:pt>
                <c:pt idx="398">
                  <c:v>42038</c:v>
                </c:pt>
                <c:pt idx="399">
                  <c:v>42039</c:v>
                </c:pt>
                <c:pt idx="400">
                  <c:v>42040</c:v>
                </c:pt>
                <c:pt idx="401">
                  <c:v>42041</c:v>
                </c:pt>
                <c:pt idx="402">
                  <c:v>42042</c:v>
                </c:pt>
                <c:pt idx="403">
                  <c:v>42043</c:v>
                </c:pt>
                <c:pt idx="404">
                  <c:v>42044</c:v>
                </c:pt>
                <c:pt idx="405">
                  <c:v>42045</c:v>
                </c:pt>
                <c:pt idx="406">
                  <c:v>42046</c:v>
                </c:pt>
                <c:pt idx="407">
                  <c:v>42047</c:v>
                </c:pt>
                <c:pt idx="408">
                  <c:v>42048</c:v>
                </c:pt>
                <c:pt idx="409">
                  <c:v>42049</c:v>
                </c:pt>
                <c:pt idx="410">
                  <c:v>42050</c:v>
                </c:pt>
                <c:pt idx="411">
                  <c:v>42051</c:v>
                </c:pt>
                <c:pt idx="412">
                  <c:v>42052</c:v>
                </c:pt>
                <c:pt idx="413">
                  <c:v>42053</c:v>
                </c:pt>
                <c:pt idx="414">
                  <c:v>42054</c:v>
                </c:pt>
                <c:pt idx="415">
                  <c:v>42055</c:v>
                </c:pt>
                <c:pt idx="416">
                  <c:v>42056</c:v>
                </c:pt>
                <c:pt idx="417">
                  <c:v>42057</c:v>
                </c:pt>
                <c:pt idx="418">
                  <c:v>42058</c:v>
                </c:pt>
                <c:pt idx="419">
                  <c:v>42059</c:v>
                </c:pt>
                <c:pt idx="420">
                  <c:v>42060</c:v>
                </c:pt>
                <c:pt idx="421">
                  <c:v>42061</c:v>
                </c:pt>
                <c:pt idx="422">
                  <c:v>42062</c:v>
                </c:pt>
                <c:pt idx="423">
                  <c:v>42063</c:v>
                </c:pt>
                <c:pt idx="424">
                  <c:v>42064</c:v>
                </c:pt>
                <c:pt idx="425">
                  <c:v>42065</c:v>
                </c:pt>
                <c:pt idx="426">
                  <c:v>42066</c:v>
                </c:pt>
                <c:pt idx="427">
                  <c:v>42067</c:v>
                </c:pt>
                <c:pt idx="428">
                  <c:v>42068</c:v>
                </c:pt>
                <c:pt idx="429">
                  <c:v>42069</c:v>
                </c:pt>
                <c:pt idx="430">
                  <c:v>42070</c:v>
                </c:pt>
                <c:pt idx="431">
                  <c:v>42071</c:v>
                </c:pt>
                <c:pt idx="432">
                  <c:v>42072</c:v>
                </c:pt>
                <c:pt idx="433">
                  <c:v>42073</c:v>
                </c:pt>
                <c:pt idx="434">
                  <c:v>42074</c:v>
                </c:pt>
                <c:pt idx="435">
                  <c:v>42075</c:v>
                </c:pt>
                <c:pt idx="436">
                  <c:v>42076</c:v>
                </c:pt>
                <c:pt idx="437">
                  <c:v>42077</c:v>
                </c:pt>
                <c:pt idx="438">
                  <c:v>42078</c:v>
                </c:pt>
                <c:pt idx="439">
                  <c:v>42079</c:v>
                </c:pt>
                <c:pt idx="440">
                  <c:v>42080</c:v>
                </c:pt>
                <c:pt idx="441">
                  <c:v>42081</c:v>
                </c:pt>
                <c:pt idx="442">
                  <c:v>42082</c:v>
                </c:pt>
                <c:pt idx="443">
                  <c:v>42083</c:v>
                </c:pt>
                <c:pt idx="444">
                  <c:v>42084</c:v>
                </c:pt>
                <c:pt idx="445">
                  <c:v>42085</c:v>
                </c:pt>
                <c:pt idx="446">
                  <c:v>42086</c:v>
                </c:pt>
                <c:pt idx="447">
                  <c:v>42087</c:v>
                </c:pt>
                <c:pt idx="448">
                  <c:v>42088</c:v>
                </c:pt>
                <c:pt idx="449">
                  <c:v>42089</c:v>
                </c:pt>
                <c:pt idx="450">
                  <c:v>42090</c:v>
                </c:pt>
                <c:pt idx="451">
                  <c:v>42091</c:v>
                </c:pt>
                <c:pt idx="452">
                  <c:v>42092</c:v>
                </c:pt>
                <c:pt idx="453">
                  <c:v>42093</c:v>
                </c:pt>
                <c:pt idx="454">
                  <c:v>42094</c:v>
                </c:pt>
                <c:pt idx="455">
                  <c:v>42095</c:v>
                </c:pt>
                <c:pt idx="456">
                  <c:v>42096</c:v>
                </c:pt>
                <c:pt idx="457">
                  <c:v>42097</c:v>
                </c:pt>
                <c:pt idx="458">
                  <c:v>42098</c:v>
                </c:pt>
                <c:pt idx="459">
                  <c:v>42099</c:v>
                </c:pt>
                <c:pt idx="460">
                  <c:v>42100</c:v>
                </c:pt>
                <c:pt idx="461">
                  <c:v>42101</c:v>
                </c:pt>
                <c:pt idx="462">
                  <c:v>42102</c:v>
                </c:pt>
                <c:pt idx="463">
                  <c:v>42103</c:v>
                </c:pt>
                <c:pt idx="464">
                  <c:v>42104</c:v>
                </c:pt>
                <c:pt idx="465">
                  <c:v>42105</c:v>
                </c:pt>
                <c:pt idx="466">
                  <c:v>42106</c:v>
                </c:pt>
                <c:pt idx="467">
                  <c:v>42107</c:v>
                </c:pt>
                <c:pt idx="468">
                  <c:v>42108</c:v>
                </c:pt>
                <c:pt idx="469">
                  <c:v>42109</c:v>
                </c:pt>
                <c:pt idx="470">
                  <c:v>42110</c:v>
                </c:pt>
                <c:pt idx="471">
                  <c:v>42111</c:v>
                </c:pt>
                <c:pt idx="472">
                  <c:v>42112</c:v>
                </c:pt>
                <c:pt idx="473">
                  <c:v>42113</c:v>
                </c:pt>
                <c:pt idx="474">
                  <c:v>42114</c:v>
                </c:pt>
                <c:pt idx="475">
                  <c:v>42115</c:v>
                </c:pt>
                <c:pt idx="476">
                  <c:v>42116</c:v>
                </c:pt>
                <c:pt idx="477">
                  <c:v>42117</c:v>
                </c:pt>
                <c:pt idx="478">
                  <c:v>42118</c:v>
                </c:pt>
                <c:pt idx="479">
                  <c:v>42119</c:v>
                </c:pt>
                <c:pt idx="480">
                  <c:v>42120</c:v>
                </c:pt>
                <c:pt idx="481">
                  <c:v>42121</c:v>
                </c:pt>
                <c:pt idx="482">
                  <c:v>42122</c:v>
                </c:pt>
                <c:pt idx="483">
                  <c:v>42123</c:v>
                </c:pt>
                <c:pt idx="484">
                  <c:v>42124</c:v>
                </c:pt>
                <c:pt idx="485">
                  <c:v>42125</c:v>
                </c:pt>
                <c:pt idx="486">
                  <c:v>42126</c:v>
                </c:pt>
                <c:pt idx="487">
                  <c:v>42127</c:v>
                </c:pt>
                <c:pt idx="488">
                  <c:v>42128</c:v>
                </c:pt>
                <c:pt idx="489">
                  <c:v>42129</c:v>
                </c:pt>
                <c:pt idx="490">
                  <c:v>42130</c:v>
                </c:pt>
                <c:pt idx="491">
                  <c:v>42131</c:v>
                </c:pt>
                <c:pt idx="492">
                  <c:v>42132</c:v>
                </c:pt>
                <c:pt idx="493">
                  <c:v>42133</c:v>
                </c:pt>
                <c:pt idx="494">
                  <c:v>42134</c:v>
                </c:pt>
                <c:pt idx="495">
                  <c:v>42135</c:v>
                </c:pt>
                <c:pt idx="496">
                  <c:v>42136</c:v>
                </c:pt>
                <c:pt idx="497">
                  <c:v>42137</c:v>
                </c:pt>
                <c:pt idx="498">
                  <c:v>42138</c:v>
                </c:pt>
                <c:pt idx="499">
                  <c:v>42139</c:v>
                </c:pt>
                <c:pt idx="500">
                  <c:v>42140</c:v>
                </c:pt>
                <c:pt idx="501">
                  <c:v>42141</c:v>
                </c:pt>
                <c:pt idx="502">
                  <c:v>42142</c:v>
                </c:pt>
                <c:pt idx="503">
                  <c:v>42143</c:v>
                </c:pt>
                <c:pt idx="504">
                  <c:v>42144</c:v>
                </c:pt>
                <c:pt idx="505">
                  <c:v>42145</c:v>
                </c:pt>
                <c:pt idx="506">
                  <c:v>42146</c:v>
                </c:pt>
                <c:pt idx="507">
                  <c:v>42147</c:v>
                </c:pt>
                <c:pt idx="508">
                  <c:v>42148</c:v>
                </c:pt>
                <c:pt idx="509">
                  <c:v>42149</c:v>
                </c:pt>
                <c:pt idx="510">
                  <c:v>42150</c:v>
                </c:pt>
                <c:pt idx="511">
                  <c:v>42151</c:v>
                </c:pt>
                <c:pt idx="512">
                  <c:v>42152</c:v>
                </c:pt>
                <c:pt idx="513">
                  <c:v>42153</c:v>
                </c:pt>
                <c:pt idx="514">
                  <c:v>42154</c:v>
                </c:pt>
                <c:pt idx="515">
                  <c:v>42155</c:v>
                </c:pt>
                <c:pt idx="516">
                  <c:v>42156</c:v>
                </c:pt>
                <c:pt idx="517">
                  <c:v>42157</c:v>
                </c:pt>
                <c:pt idx="518">
                  <c:v>42158</c:v>
                </c:pt>
                <c:pt idx="519">
                  <c:v>42159</c:v>
                </c:pt>
                <c:pt idx="520">
                  <c:v>42160</c:v>
                </c:pt>
                <c:pt idx="521">
                  <c:v>42161</c:v>
                </c:pt>
                <c:pt idx="522">
                  <c:v>42162</c:v>
                </c:pt>
                <c:pt idx="523">
                  <c:v>42163</c:v>
                </c:pt>
                <c:pt idx="524">
                  <c:v>42164</c:v>
                </c:pt>
                <c:pt idx="525">
                  <c:v>42165</c:v>
                </c:pt>
                <c:pt idx="526">
                  <c:v>42166</c:v>
                </c:pt>
                <c:pt idx="527">
                  <c:v>42167</c:v>
                </c:pt>
                <c:pt idx="528">
                  <c:v>42168</c:v>
                </c:pt>
                <c:pt idx="529">
                  <c:v>42169</c:v>
                </c:pt>
                <c:pt idx="530">
                  <c:v>42170</c:v>
                </c:pt>
                <c:pt idx="531">
                  <c:v>42171</c:v>
                </c:pt>
                <c:pt idx="532">
                  <c:v>42172</c:v>
                </c:pt>
                <c:pt idx="533">
                  <c:v>42173</c:v>
                </c:pt>
                <c:pt idx="534">
                  <c:v>42174</c:v>
                </c:pt>
                <c:pt idx="535">
                  <c:v>42175</c:v>
                </c:pt>
                <c:pt idx="536">
                  <c:v>42176</c:v>
                </c:pt>
                <c:pt idx="537">
                  <c:v>42177</c:v>
                </c:pt>
                <c:pt idx="538">
                  <c:v>42178</c:v>
                </c:pt>
                <c:pt idx="539">
                  <c:v>42179</c:v>
                </c:pt>
                <c:pt idx="540">
                  <c:v>42180</c:v>
                </c:pt>
                <c:pt idx="541">
                  <c:v>42181</c:v>
                </c:pt>
                <c:pt idx="542">
                  <c:v>42182</c:v>
                </c:pt>
                <c:pt idx="543">
                  <c:v>42183</c:v>
                </c:pt>
                <c:pt idx="544">
                  <c:v>42184</c:v>
                </c:pt>
                <c:pt idx="545">
                  <c:v>42185</c:v>
                </c:pt>
                <c:pt idx="546">
                  <c:v>42186</c:v>
                </c:pt>
                <c:pt idx="547">
                  <c:v>42187</c:v>
                </c:pt>
                <c:pt idx="548">
                  <c:v>42188</c:v>
                </c:pt>
                <c:pt idx="549">
                  <c:v>42189</c:v>
                </c:pt>
                <c:pt idx="550">
                  <c:v>42190</c:v>
                </c:pt>
                <c:pt idx="551">
                  <c:v>42191</c:v>
                </c:pt>
                <c:pt idx="552">
                  <c:v>42192</c:v>
                </c:pt>
                <c:pt idx="553">
                  <c:v>42193</c:v>
                </c:pt>
                <c:pt idx="554">
                  <c:v>42194</c:v>
                </c:pt>
                <c:pt idx="555">
                  <c:v>42195</c:v>
                </c:pt>
                <c:pt idx="556">
                  <c:v>42196</c:v>
                </c:pt>
                <c:pt idx="557">
                  <c:v>42197</c:v>
                </c:pt>
                <c:pt idx="558">
                  <c:v>42198</c:v>
                </c:pt>
                <c:pt idx="559">
                  <c:v>42199</c:v>
                </c:pt>
                <c:pt idx="560">
                  <c:v>42200</c:v>
                </c:pt>
                <c:pt idx="561">
                  <c:v>42201</c:v>
                </c:pt>
                <c:pt idx="562">
                  <c:v>42202</c:v>
                </c:pt>
                <c:pt idx="563">
                  <c:v>42203</c:v>
                </c:pt>
                <c:pt idx="564">
                  <c:v>42204</c:v>
                </c:pt>
                <c:pt idx="565">
                  <c:v>42205</c:v>
                </c:pt>
                <c:pt idx="566">
                  <c:v>42206</c:v>
                </c:pt>
                <c:pt idx="567">
                  <c:v>42207</c:v>
                </c:pt>
                <c:pt idx="568">
                  <c:v>42208</c:v>
                </c:pt>
                <c:pt idx="569">
                  <c:v>42209</c:v>
                </c:pt>
                <c:pt idx="570">
                  <c:v>42210</c:v>
                </c:pt>
                <c:pt idx="571">
                  <c:v>42211</c:v>
                </c:pt>
                <c:pt idx="572">
                  <c:v>42212</c:v>
                </c:pt>
                <c:pt idx="573">
                  <c:v>42213</c:v>
                </c:pt>
                <c:pt idx="574">
                  <c:v>42214</c:v>
                </c:pt>
                <c:pt idx="575">
                  <c:v>42215</c:v>
                </c:pt>
                <c:pt idx="576">
                  <c:v>42216</c:v>
                </c:pt>
              </c:numCache>
            </c:numRef>
          </c:cat>
          <c:val>
            <c:numRef>
              <c:f>MakeSchedule!$W$16:$W$592</c:f>
              <c:numCache>
                <c:formatCode>0.00</c:formatCode>
                <c:ptCount val="57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270</c:v>
                </c:pt>
                <c:pt idx="59">
                  <c:v>267.47514093448672</c:v>
                </c:pt>
                <c:pt idx="60">
                  <c:v>264.91105089205803</c:v>
                </c:pt>
                <c:pt idx="61">
                  <c:v>262.30693719888762</c:v>
                </c:pt>
                <c:pt idx="62">
                  <c:v>259.66196072059552</c:v>
                </c:pt>
                <c:pt idx="63">
                  <c:v>256.97523586224742</c:v>
                </c:pt>
                <c:pt idx="64">
                  <c:v>254.24583056835539</c:v>
                </c:pt>
                <c:pt idx="65">
                  <c:v>251.47723289923917</c:v>
                </c:pt>
                <c:pt idx="66">
                  <c:v>248.69490190478783</c:v>
                </c:pt>
                <c:pt idx="67">
                  <c:v>245.90212997069614</c:v>
                </c:pt>
                <c:pt idx="68">
                  <c:v>268.10223497959151</c:v>
                </c:pt>
                <c:pt idx="69">
                  <c:v>265.29848402966928</c:v>
                </c:pt>
                <c:pt idx="70">
                  <c:v>262.49401917787907</c:v>
                </c:pt>
                <c:pt idx="71">
                  <c:v>259.69178909724667</c:v>
                </c:pt>
                <c:pt idx="72">
                  <c:v>256.8944899633471</c:v>
                </c:pt>
                <c:pt idx="73">
                  <c:v>254.10451800850765</c:v>
                </c:pt>
                <c:pt idx="74">
                  <c:v>251.32393513919536</c:v>
                </c:pt>
                <c:pt idx="75">
                  <c:v>248.5544479498158</c:v>
                </c:pt>
                <c:pt idx="76">
                  <c:v>245.7973370690637</c:v>
                </c:pt>
                <c:pt idx="77">
                  <c:v>242.9883611884494</c:v>
                </c:pt>
                <c:pt idx="78">
                  <c:v>240.11447706945327</c:v>
                </c:pt>
                <c:pt idx="79">
                  <c:v>237.17415686236717</c:v>
                </c:pt>
                <c:pt idx="80">
                  <c:v>234.16593905019337</c:v>
                </c:pt>
                <c:pt idx="81">
                  <c:v>231.08843015068928</c:v>
                </c:pt>
                <c:pt idx="82">
                  <c:v>227.94030641841226</c:v>
                </c:pt>
                <c:pt idx="83">
                  <c:v>224.72031554676468</c:v>
                </c:pt>
                <c:pt idx="84">
                  <c:v>221.42727837003847</c:v>
                </c:pt>
                <c:pt idx="85">
                  <c:v>218.06009056546014</c:v>
                </c:pt>
                <c:pt idx="86">
                  <c:v>214.61772435523568</c:v>
                </c:pt>
                <c:pt idx="87">
                  <c:v>211.09923020859517</c:v>
                </c:pt>
                <c:pt idx="88">
                  <c:v>207.50373854383787</c:v>
                </c:pt>
                <c:pt idx="89">
                  <c:v>203.83046143037694</c:v>
                </c:pt>
                <c:pt idx="90">
                  <c:v>245.07869429078423</c:v>
                </c:pt>
                <c:pt idx="91">
                  <c:v>241.24781760283528</c:v>
                </c:pt>
                <c:pt idx="92">
                  <c:v>237.33729860155407</c:v>
                </c:pt>
                <c:pt idx="93">
                  <c:v>233.3466929812578</c:v>
                </c:pt>
                <c:pt idx="94">
                  <c:v>229.27564659760191</c:v>
                </c:pt>
                <c:pt idx="95">
                  <c:v>225.12389716962468</c:v>
                </c:pt>
                <c:pt idx="96">
                  <c:v>220.89127598179238</c:v>
                </c:pt>
                <c:pt idx="97">
                  <c:v>216.57770958604377</c:v>
                </c:pt>
                <c:pt idx="98">
                  <c:v>212.18322150383526</c:v>
                </c:pt>
                <c:pt idx="99">
                  <c:v>207.70793392818553</c:v>
                </c:pt>
                <c:pt idx="100">
                  <c:v>203.15206942572047</c:v>
                </c:pt>
                <c:pt idx="101">
                  <c:v>198.51595263871803</c:v>
                </c:pt>
                <c:pt idx="102">
                  <c:v>193.80001198715303</c:v>
                </c:pt>
                <c:pt idx="103">
                  <c:v>189.00478137074199</c:v>
                </c:pt>
                <c:pt idx="104">
                  <c:v>184.13090187098803</c:v>
                </c:pt>
                <c:pt idx="105">
                  <c:v>179.17912345322563</c:v>
                </c:pt>
                <c:pt idx="106">
                  <c:v>174.15030666866556</c:v>
                </c:pt>
                <c:pt idx="107">
                  <c:v>169.04539544117779</c:v>
                </c:pt>
                <c:pt idx="108">
                  <c:v>163.86530205562804</c:v>
                </c:pt>
                <c:pt idx="109">
                  <c:v>158.61087704984519</c:v>
                </c:pt>
                <c:pt idx="110">
                  <c:v>153.2829077586851</c:v>
                </c:pt>
                <c:pt idx="111">
                  <c:v>147.88211685809466</c:v>
                </c:pt>
                <c:pt idx="112">
                  <c:v>142.40916090917597</c:v>
                </c:pt>
                <c:pt idx="113">
                  <c:v>136.86462890225002</c:v>
                </c:pt>
                <c:pt idx="114">
                  <c:v>131.24904080092105</c:v>
                </c:pt>
                <c:pt idx="115">
                  <c:v>125.56284608614038</c:v>
                </c:pt>
                <c:pt idx="116">
                  <c:v>119.80642230027044</c:v>
                </c:pt>
                <c:pt idx="117">
                  <c:v>113.9990932278489</c:v>
                </c:pt>
                <c:pt idx="118">
                  <c:v>108.14776428867577</c:v>
                </c:pt>
                <c:pt idx="119">
                  <c:v>102.25296637667947</c:v>
                </c:pt>
                <c:pt idx="120">
                  <c:v>96.315147033453286</c:v>
                </c:pt>
                <c:pt idx="121">
                  <c:v>90.334670448255423</c:v>
                </c:pt>
                <c:pt idx="122">
                  <c:v>84.311817458008989</c:v>
                </c:pt>
                <c:pt idx="123">
                  <c:v>78.246785547301926</c:v>
                </c:pt>
                <c:pt idx="124">
                  <c:v>72.139688848387124</c:v>
                </c:pt>
                <c:pt idx="125">
                  <c:v>65.990558141182305</c:v>
                </c:pt>
                <c:pt idx="126">
                  <c:v>59.799340853270138</c:v>
                </c:pt>
                <c:pt idx="127">
                  <c:v>53.565901059898152</c:v>
                </c:pt>
                <c:pt idx="128">
                  <c:v>47.290019483978739</c:v>
                </c:pt>
                <c:pt idx="129">
                  <c:v>40.971393496089206</c:v>
                </c:pt>
                <c:pt idx="130">
                  <c:v>34.609637114471781</c:v>
                </c:pt>
                <c:pt idx="131">
                  <c:v>28.204281005033522</c:v>
                </c:pt>
                <c:pt idx="132">
                  <c:v>21.754772481346407</c:v>
                </c:pt>
                <c:pt idx="133">
                  <c:v>15.260475504647303</c:v>
                </c:pt>
                <c:pt idx="134">
                  <c:v>8.720670683837966</c:v>
                </c:pt>
                <c:pt idx="135">
                  <c:v>2.1345552754850132</c:v>
                </c:pt>
                <c:pt idx="136">
                  <c:v>-4.4987568161799913</c:v>
                </c:pt>
                <c:pt idx="137">
                  <c:v>-11.180206555684435</c:v>
                </c:pt>
                <c:pt idx="138">
                  <c:v>-17.910675842009653</c:v>
                </c:pt>
                <c:pt idx="139">
                  <c:v>-24.690959025014706</c:v>
                </c:pt>
                <c:pt idx="140">
                  <c:v>-31.521762905436503</c:v>
                </c:pt>
                <c:pt idx="141">
                  <c:v>-38.403706734889568</c:v>
                </c:pt>
                <c:pt idx="142">
                  <c:v>-45.337322215866266</c:v>
                </c:pt>
                <c:pt idx="143">
                  <c:v>-52.323053501736695</c:v>
                </c:pt>
                <c:pt idx="144">
                  <c:v>-59.361257196748738</c:v>
                </c:pt>
                <c:pt idx="145">
                  <c:v>-66.452202356027954</c:v>
                </c:pt>
                <c:pt idx="146">
                  <c:v>-73.596070485577741</c:v>
                </c:pt>
                <c:pt idx="147">
                  <c:v>-80.792955542279174</c:v>
                </c:pt>
                <c:pt idx="148">
                  <c:v>-88.042863933891169</c:v>
                </c:pt>
                <c:pt idx="149">
                  <c:v>-95.345714519050318</c:v>
                </c:pt>
                <c:pt idx="150">
                  <c:v>-102.70133860727094</c:v>
                </c:pt>
                <c:pt idx="151">
                  <c:v>-110.1094799589452</c:v>
                </c:pt>
                <c:pt idx="152">
                  <c:v>-117.56979478534299</c:v>
                </c:pt>
                <c:pt idx="153">
                  <c:v>-125.08185174861188</c:v>
                </c:pt>
                <c:pt idx="154">
                  <c:v>-132.64513196177734</c:v>
                </c:pt>
                <c:pt idx="155">
                  <c:v>-140.25902898874244</c:v>
                </c:pt>
                <c:pt idx="156">
                  <c:v>-147.92284884428807</c:v>
                </c:pt>
                <c:pt idx="157">
                  <c:v>-155.63580999407287</c:v>
                </c:pt>
                <c:pt idx="158">
                  <c:v>-163.39704335463324</c:v>
                </c:pt>
                <c:pt idx="159">
                  <c:v>-171.20559229338329</c:v>
                </c:pt>
                <c:pt idx="160">
                  <c:v>-179.06041262861498</c:v>
                </c:pt>
                <c:pt idx="161">
                  <c:v>-186.9603726294979</c:v>
                </c:pt>
                <c:pt idx="162">
                  <c:v>-194.90425301607951</c:v>
                </c:pt>
                <c:pt idx="163">
                  <c:v>-202.89074695928491</c:v>
                </c:pt>
                <c:pt idx="164">
                  <c:v>-210.91846008091704</c:v>
                </c:pt>
                <c:pt idx="165">
                  <c:v>-218.98591045365652</c:v>
                </c:pt>
                <c:pt idx="166">
                  <c:v>-227.09152860106184</c:v>
                </c:pt>
                <c:pt idx="167">
                  <c:v>-235.23365749756908</c:v>
                </c:pt>
                <c:pt idx="168">
                  <c:v>-243.41057051537143</c:v>
                </c:pt>
                <c:pt idx="169">
                  <c:v>-251.6205432119358</c:v>
                </c:pt>
                <c:pt idx="170">
                  <c:v>-259.86187127688197</c:v>
                </c:pt>
                <c:pt idx="171">
                  <c:v>-168.13287053198292</c:v>
                </c:pt>
                <c:pt idx="172">
                  <c:v>-176.43187693116448</c:v>
                </c:pt>
                <c:pt idx="173">
                  <c:v>-184.75724656050551</c:v>
                </c:pt>
                <c:pt idx="174">
                  <c:v>-193.10735563823778</c:v>
                </c:pt>
                <c:pt idx="175">
                  <c:v>-201.48060051474619</c:v>
                </c:pt>
                <c:pt idx="176">
                  <c:v>-209.87539767256845</c:v>
                </c:pt>
                <c:pt idx="177">
                  <c:v>-218.29018372639541</c:v>
                </c:pt>
                <c:pt idx="178">
                  <c:v>-226.72341542307078</c:v>
                </c:pt>
                <c:pt idx="179">
                  <c:v>-235.17356964159131</c:v>
                </c:pt>
                <c:pt idx="180">
                  <c:v>-243.63914339310679</c:v>
                </c:pt>
                <c:pt idx="181">
                  <c:v>-252.11865382091992</c:v>
                </c:pt>
                <c:pt idx="182">
                  <c:v>-260.61063820048639</c:v>
                </c:pt>
                <c:pt idx="183">
                  <c:v>-269.11365393941492</c:v>
                </c:pt>
                <c:pt idx="184">
                  <c:v>-277.62627857746713</c:v>
                </c:pt>
                <c:pt idx="185">
                  <c:v>-286.14710978655773</c:v>
                </c:pt>
                <c:pt idx="186">
                  <c:v>-294.67476537075436</c:v>
                </c:pt>
                <c:pt idx="187">
                  <c:v>-303.20788326627758</c:v>
                </c:pt>
                <c:pt idx="188">
                  <c:v>-211.74512154150102</c:v>
                </c:pt>
                <c:pt idx="189">
                  <c:v>-220.28515839695137</c:v>
                </c:pt>
                <c:pt idx="190">
                  <c:v>-208.82669216530815</c:v>
                </c:pt>
                <c:pt idx="191">
                  <c:v>-217.3684413114039</c:v>
                </c:pt>
                <c:pt idx="192">
                  <c:v>-225.90914443222425</c:v>
                </c:pt>
                <c:pt idx="193">
                  <c:v>-234.44756025690765</c:v>
                </c:pt>
                <c:pt idx="194">
                  <c:v>-242.9824676467457</c:v>
                </c:pt>
                <c:pt idx="195">
                  <c:v>-251.51266559518285</c:v>
                </c:pt>
                <c:pt idx="196">
                  <c:v>-260.03697322781659</c:v>
                </c:pt>
                <c:pt idx="197">
                  <c:v>-268.55422980239746</c:v>
                </c:pt>
                <c:pt idx="198">
                  <c:v>-277.06329334669294</c:v>
                </c:pt>
                <c:pt idx="199">
                  <c:v>-285.56303520994436</c:v>
                </c:pt>
                <c:pt idx="200">
                  <c:v>-294.05233870073073</c:v>
                </c:pt>
                <c:pt idx="201">
                  <c:v>-302.53009908696879</c:v>
                </c:pt>
                <c:pt idx="202">
                  <c:v>-310.99522359591299</c:v>
                </c:pt>
                <c:pt idx="203">
                  <c:v>-319.44663141415572</c:v>
                </c:pt>
                <c:pt idx="204">
                  <c:v>-227.88325368762708</c:v>
                </c:pt>
                <c:pt idx="205">
                  <c:v>-236.30403352159487</c:v>
                </c:pt>
                <c:pt idx="206">
                  <c:v>-244.70792598066475</c:v>
                </c:pt>
                <c:pt idx="207">
                  <c:v>-253.09389808878007</c:v>
                </c:pt>
                <c:pt idx="208">
                  <c:v>-261.4609288292221</c:v>
                </c:pt>
                <c:pt idx="209">
                  <c:v>-269.80800914460963</c:v>
                </c:pt>
                <c:pt idx="210">
                  <c:v>-278.13414193689937</c:v>
                </c:pt>
                <c:pt idx="211">
                  <c:v>-286.43834206738586</c:v>
                </c:pt>
                <c:pt idx="212">
                  <c:v>-294.71963635670136</c:v>
                </c:pt>
                <c:pt idx="213">
                  <c:v>-302.97706358481571</c:v>
                </c:pt>
                <c:pt idx="214">
                  <c:v>-311.20967449103682</c:v>
                </c:pt>
                <c:pt idx="215">
                  <c:v>-319.4165317740102</c:v>
                </c:pt>
                <c:pt idx="216">
                  <c:v>-327.59671009171916</c:v>
                </c:pt>
                <c:pt idx="217">
                  <c:v>-335.74929606148487</c:v>
                </c:pt>
                <c:pt idx="218">
                  <c:v>-243.87338825996608</c:v>
                </c:pt>
                <c:pt idx="219">
                  <c:v>-251.96809722315948</c:v>
                </c:pt>
                <c:pt idx="220">
                  <c:v>-260.03254544639947</c:v>
                </c:pt>
                <c:pt idx="221">
                  <c:v>-268.06586738435817</c:v>
                </c:pt>
                <c:pt idx="222">
                  <c:v>-276.06720945104553</c:v>
                </c:pt>
                <c:pt idx="223">
                  <c:v>-284.03573001980919</c:v>
                </c:pt>
                <c:pt idx="224">
                  <c:v>-291.97059942333476</c:v>
                </c:pt>
                <c:pt idx="225">
                  <c:v>-299.87099995364542</c:v>
                </c:pt>
                <c:pt idx="226">
                  <c:v>-307.7361258621022</c:v>
                </c:pt>
                <c:pt idx="227">
                  <c:v>-315.56518335940382</c:v>
                </c:pt>
                <c:pt idx="228">
                  <c:v>-323.35739061558684</c:v>
                </c:pt>
                <c:pt idx="229">
                  <c:v>-331.11197907551195</c:v>
                </c:pt>
                <c:pt idx="230">
                  <c:v>-338.8281987208095</c:v>
                </c:pt>
                <c:pt idx="231">
                  <c:v>-346.5053193853654</c:v>
                </c:pt>
                <c:pt idx="232">
                  <c:v>-254.14263075532176</c:v>
                </c:pt>
                <c:pt idx="233">
                  <c:v>-261.73944236907653</c:v>
                </c:pt>
                <c:pt idx="234">
                  <c:v>-269.29508361728335</c:v>
                </c:pt>
                <c:pt idx="235">
                  <c:v>-276.80890374285195</c:v>
                </c:pt>
                <c:pt idx="236">
                  <c:v>-284.28027184094799</c:v>
                </c:pt>
                <c:pt idx="237">
                  <c:v>-291.70857685899284</c:v>
                </c:pt>
                <c:pt idx="238">
                  <c:v>-299.09322759666395</c:v>
                </c:pt>
                <c:pt idx="239">
                  <c:v>-306.43365270589447</c:v>
                </c:pt>
                <c:pt idx="240">
                  <c:v>-313.72930069087363</c:v>
                </c:pt>
                <c:pt idx="241">
                  <c:v>-320.97963990804635</c:v>
                </c:pt>
                <c:pt idx="242">
                  <c:v>-328.18415856611364</c:v>
                </c:pt>
                <c:pt idx="243">
                  <c:v>-335.34236472603232</c:v>
                </c:pt>
                <c:pt idx="244">
                  <c:v>-342.45378630101516</c:v>
                </c:pt>
                <c:pt idx="245">
                  <c:v>-349.51797105653077</c:v>
                </c:pt>
                <c:pt idx="246">
                  <c:v>-356.53448661030359</c:v>
                </c:pt>
                <c:pt idx="247">
                  <c:v>-363.502920432314</c:v>
                </c:pt>
                <c:pt idx="248">
                  <c:v>-370.42287984479833</c:v>
                </c:pt>
                <c:pt idx="249">
                  <c:v>-277.29399202224874</c:v>
                </c:pt>
                <c:pt idx="250">
                  <c:v>-284.11590399141335</c:v>
                </c:pt>
                <c:pt idx="251">
                  <c:v>-290.88828263129608</c:v>
                </c:pt>
                <c:pt idx="252">
                  <c:v>-297.61081467315682</c:v>
                </c:pt>
                <c:pt idx="253">
                  <c:v>-304.2832067005113</c:v>
                </c:pt>
                <c:pt idx="254">
                  <c:v>-310.90518514913117</c:v>
                </c:pt>
                <c:pt idx="255">
                  <c:v>-317.47649630704393</c:v>
                </c:pt>
                <c:pt idx="256">
                  <c:v>-323.99690631453302</c:v>
                </c:pt>
                <c:pt idx="257">
                  <c:v>-330.46620116413783</c:v>
                </c:pt>
                <c:pt idx="258">
                  <c:v>-336.88418670065357</c:v>
                </c:pt>
                <c:pt idx="259">
                  <c:v>-343.25068112030112</c:v>
                </c:pt>
                <c:pt idx="260">
                  <c:v>-349.56548496740606</c:v>
                </c:pt>
                <c:pt idx="261">
                  <c:v>-355.82837363356862</c:v>
                </c:pt>
                <c:pt idx="262">
                  <c:v>-362.03909735766354</c:v>
                </c:pt>
                <c:pt idx="263">
                  <c:v>-368.1973812258401</c:v>
                </c:pt>
                <c:pt idx="264">
                  <c:v>-374.30292517152213</c:v>
                </c:pt>
                <c:pt idx="265">
                  <c:v>-380.35540397540797</c:v>
                </c:pt>
                <c:pt idx="266">
                  <c:v>-386.35446726547048</c:v>
                </c:pt>
                <c:pt idx="267">
                  <c:v>-392.29973951695717</c:v>
                </c:pt>
                <c:pt idx="268">
                  <c:v>-398.19082005238999</c:v>
                </c:pt>
                <c:pt idx="269">
                  <c:v>-404.02728304156551</c:v>
                </c:pt>
                <c:pt idx="270">
                  <c:v>-409.80867750155471</c:v>
                </c:pt>
                <c:pt idx="271">
                  <c:v>-415.53452729670323</c:v>
                </c:pt>
                <c:pt idx="272">
                  <c:v>-421.20433113863112</c:v>
                </c:pt>
                <c:pt idx="273">
                  <c:v>-426.81756258623318</c:v>
                </c:pt>
                <c:pt idx="274">
                  <c:v>-432.37367004567864</c:v>
                </c:pt>
                <c:pt idx="275">
                  <c:v>-437.87207677041113</c:v>
                </c:pt>
                <c:pt idx="276">
                  <c:v>-443.31218086114905</c:v>
                </c:pt>
                <c:pt idx="277">
                  <c:v>-448.69335526588532</c:v>
                </c:pt>
                <c:pt idx="278">
                  <c:v>-454.01494777988717</c:v>
                </c:pt>
                <c:pt idx="279">
                  <c:v>-459.17870615423612</c:v>
                </c:pt>
                <c:pt idx="280">
                  <c:v>-464.18369172693497</c:v>
                </c:pt>
                <c:pt idx="281">
                  <c:v>-469.03153772052269</c:v>
                </c:pt>
                <c:pt idx="282">
                  <c:v>-473.72389564021535</c:v>
                </c:pt>
                <c:pt idx="283">
                  <c:v>-478.26243718811702</c:v>
                </c:pt>
                <c:pt idx="284">
                  <c:v>-482.64885617742982</c:v>
                </c:pt>
                <c:pt idx="285">
                  <c:v>-486.88487044666476</c:v>
                </c:pt>
                <c:pt idx="286">
                  <c:v>-490.97222377385174</c:v>
                </c:pt>
                <c:pt idx="287">
                  <c:v>-494.91268779075051</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numCache>
            </c:numRef>
          </c:val>
          <c:smooth val="0"/>
        </c:ser>
        <c:ser>
          <c:idx val="5"/>
          <c:order val="1"/>
          <c:tx>
            <c:v>YTpaw</c:v>
          </c:tx>
          <c:spPr>
            <a:ln w="38100">
              <a:solidFill>
                <a:srgbClr val="800000"/>
              </a:solidFill>
              <a:prstDash val="solid"/>
            </a:ln>
          </c:spPr>
          <c:marker>
            <c:symbol val="none"/>
          </c:marker>
          <c:cat>
            <c:numRef>
              <c:f>MakeSchedule!$A$16:$A$592</c:f>
              <c:numCache>
                <c:formatCode>dd\-mmm\-yy</c:formatCode>
                <c:ptCount val="577"/>
                <c:pt idx="0">
                  <c:v>41640</c:v>
                </c:pt>
                <c:pt idx="1">
                  <c:v>41641</c:v>
                </c:pt>
                <c:pt idx="2">
                  <c:v>41642</c:v>
                </c:pt>
                <c:pt idx="3">
                  <c:v>41643</c:v>
                </c:pt>
                <c:pt idx="4">
                  <c:v>41644</c:v>
                </c:pt>
                <c:pt idx="5">
                  <c:v>41645</c:v>
                </c:pt>
                <c:pt idx="6">
                  <c:v>41646</c:v>
                </c:pt>
                <c:pt idx="7">
                  <c:v>41647</c:v>
                </c:pt>
                <c:pt idx="8">
                  <c:v>41648</c:v>
                </c:pt>
                <c:pt idx="9">
                  <c:v>41649</c:v>
                </c:pt>
                <c:pt idx="10">
                  <c:v>41650</c:v>
                </c:pt>
                <c:pt idx="11">
                  <c:v>41651</c:v>
                </c:pt>
                <c:pt idx="12">
                  <c:v>41652</c:v>
                </c:pt>
                <c:pt idx="13">
                  <c:v>41653</c:v>
                </c:pt>
                <c:pt idx="14">
                  <c:v>41654</c:v>
                </c:pt>
                <c:pt idx="15">
                  <c:v>41655</c:v>
                </c:pt>
                <c:pt idx="16">
                  <c:v>41656</c:v>
                </c:pt>
                <c:pt idx="17">
                  <c:v>41657</c:v>
                </c:pt>
                <c:pt idx="18">
                  <c:v>41658</c:v>
                </c:pt>
                <c:pt idx="19">
                  <c:v>41659</c:v>
                </c:pt>
                <c:pt idx="20">
                  <c:v>41660</c:v>
                </c:pt>
                <c:pt idx="21">
                  <c:v>41661</c:v>
                </c:pt>
                <c:pt idx="22">
                  <c:v>41662</c:v>
                </c:pt>
                <c:pt idx="23">
                  <c:v>41663</c:v>
                </c:pt>
                <c:pt idx="24">
                  <c:v>41664</c:v>
                </c:pt>
                <c:pt idx="25">
                  <c:v>41665</c:v>
                </c:pt>
                <c:pt idx="26">
                  <c:v>41666</c:v>
                </c:pt>
                <c:pt idx="27">
                  <c:v>41667</c:v>
                </c:pt>
                <c:pt idx="28">
                  <c:v>41668</c:v>
                </c:pt>
                <c:pt idx="29">
                  <c:v>41669</c:v>
                </c:pt>
                <c:pt idx="30">
                  <c:v>41670</c:v>
                </c:pt>
                <c:pt idx="31">
                  <c:v>41671</c:v>
                </c:pt>
                <c:pt idx="32">
                  <c:v>41672</c:v>
                </c:pt>
                <c:pt idx="33">
                  <c:v>41673</c:v>
                </c:pt>
                <c:pt idx="34">
                  <c:v>41674</c:v>
                </c:pt>
                <c:pt idx="35">
                  <c:v>41675</c:v>
                </c:pt>
                <c:pt idx="36">
                  <c:v>41676</c:v>
                </c:pt>
                <c:pt idx="37">
                  <c:v>41677</c:v>
                </c:pt>
                <c:pt idx="38">
                  <c:v>41678</c:v>
                </c:pt>
                <c:pt idx="39">
                  <c:v>41679</c:v>
                </c:pt>
                <c:pt idx="40">
                  <c:v>41680</c:v>
                </c:pt>
                <c:pt idx="41">
                  <c:v>41681</c:v>
                </c:pt>
                <c:pt idx="42">
                  <c:v>41682</c:v>
                </c:pt>
                <c:pt idx="43">
                  <c:v>41683</c:v>
                </c:pt>
                <c:pt idx="44">
                  <c:v>41684</c:v>
                </c:pt>
                <c:pt idx="45">
                  <c:v>41685</c:v>
                </c:pt>
                <c:pt idx="46">
                  <c:v>41686</c:v>
                </c:pt>
                <c:pt idx="47">
                  <c:v>41687</c:v>
                </c:pt>
                <c:pt idx="48">
                  <c:v>41688</c:v>
                </c:pt>
                <c:pt idx="49">
                  <c:v>41689</c:v>
                </c:pt>
                <c:pt idx="50">
                  <c:v>41690</c:v>
                </c:pt>
                <c:pt idx="51">
                  <c:v>41691</c:v>
                </c:pt>
                <c:pt idx="52">
                  <c:v>41692</c:v>
                </c:pt>
                <c:pt idx="53">
                  <c:v>41693</c:v>
                </c:pt>
                <c:pt idx="54">
                  <c:v>41694</c:v>
                </c:pt>
                <c:pt idx="55">
                  <c:v>41695</c:v>
                </c:pt>
                <c:pt idx="56">
                  <c:v>41696</c:v>
                </c:pt>
                <c:pt idx="57">
                  <c:v>41697</c:v>
                </c:pt>
                <c:pt idx="58">
                  <c:v>41698</c:v>
                </c:pt>
                <c:pt idx="59">
                  <c:v>41699</c:v>
                </c:pt>
                <c:pt idx="60">
                  <c:v>41700</c:v>
                </c:pt>
                <c:pt idx="61">
                  <c:v>41701</c:v>
                </c:pt>
                <c:pt idx="62">
                  <c:v>41702</c:v>
                </c:pt>
                <c:pt idx="63">
                  <c:v>41703</c:v>
                </c:pt>
                <c:pt idx="64">
                  <c:v>41704</c:v>
                </c:pt>
                <c:pt idx="65">
                  <c:v>41705</c:v>
                </c:pt>
                <c:pt idx="66">
                  <c:v>41706</c:v>
                </c:pt>
                <c:pt idx="67">
                  <c:v>41707</c:v>
                </c:pt>
                <c:pt idx="68">
                  <c:v>41708</c:v>
                </c:pt>
                <c:pt idx="69">
                  <c:v>41709</c:v>
                </c:pt>
                <c:pt idx="70">
                  <c:v>41710</c:v>
                </c:pt>
                <c:pt idx="71">
                  <c:v>41711</c:v>
                </c:pt>
                <c:pt idx="72">
                  <c:v>41712</c:v>
                </c:pt>
                <c:pt idx="73">
                  <c:v>41713</c:v>
                </c:pt>
                <c:pt idx="74">
                  <c:v>41714</c:v>
                </c:pt>
                <c:pt idx="75">
                  <c:v>41715</c:v>
                </c:pt>
                <c:pt idx="76">
                  <c:v>41716</c:v>
                </c:pt>
                <c:pt idx="77">
                  <c:v>41717</c:v>
                </c:pt>
                <c:pt idx="78">
                  <c:v>41718</c:v>
                </c:pt>
                <c:pt idx="79">
                  <c:v>41719</c:v>
                </c:pt>
                <c:pt idx="80">
                  <c:v>41720</c:v>
                </c:pt>
                <c:pt idx="81">
                  <c:v>41721</c:v>
                </c:pt>
                <c:pt idx="82">
                  <c:v>41722</c:v>
                </c:pt>
                <c:pt idx="83">
                  <c:v>41723</c:v>
                </c:pt>
                <c:pt idx="84">
                  <c:v>41724</c:v>
                </c:pt>
                <c:pt idx="85">
                  <c:v>41725</c:v>
                </c:pt>
                <c:pt idx="86">
                  <c:v>41726</c:v>
                </c:pt>
                <c:pt idx="87">
                  <c:v>41727</c:v>
                </c:pt>
                <c:pt idx="88">
                  <c:v>41728</c:v>
                </c:pt>
                <c:pt idx="89">
                  <c:v>41729</c:v>
                </c:pt>
                <c:pt idx="90">
                  <c:v>41730</c:v>
                </c:pt>
                <c:pt idx="91">
                  <c:v>41731</c:v>
                </c:pt>
                <c:pt idx="92">
                  <c:v>41732</c:v>
                </c:pt>
                <c:pt idx="93">
                  <c:v>41733</c:v>
                </c:pt>
                <c:pt idx="94">
                  <c:v>41734</c:v>
                </c:pt>
                <c:pt idx="95">
                  <c:v>41735</c:v>
                </c:pt>
                <c:pt idx="96">
                  <c:v>41736</c:v>
                </c:pt>
                <c:pt idx="97">
                  <c:v>41737</c:v>
                </c:pt>
                <c:pt idx="98">
                  <c:v>41738</c:v>
                </c:pt>
                <c:pt idx="99">
                  <c:v>41739</c:v>
                </c:pt>
                <c:pt idx="100">
                  <c:v>41740</c:v>
                </c:pt>
                <c:pt idx="101">
                  <c:v>41741</c:v>
                </c:pt>
                <c:pt idx="102">
                  <c:v>41742</c:v>
                </c:pt>
                <c:pt idx="103">
                  <c:v>41743</c:v>
                </c:pt>
                <c:pt idx="104">
                  <c:v>41744</c:v>
                </c:pt>
                <c:pt idx="105">
                  <c:v>41745</c:v>
                </c:pt>
                <c:pt idx="106">
                  <c:v>41746</c:v>
                </c:pt>
                <c:pt idx="107">
                  <c:v>41747</c:v>
                </c:pt>
                <c:pt idx="108">
                  <c:v>41748</c:v>
                </c:pt>
                <c:pt idx="109">
                  <c:v>41749</c:v>
                </c:pt>
                <c:pt idx="110">
                  <c:v>41750</c:v>
                </c:pt>
                <c:pt idx="111">
                  <c:v>41751</c:v>
                </c:pt>
                <c:pt idx="112">
                  <c:v>41752</c:v>
                </c:pt>
                <c:pt idx="113">
                  <c:v>41753</c:v>
                </c:pt>
                <c:pt idx="114">
                  <c:v>41754</c:v>
                </c:pt>
                <c:pt idx="115">
                  <c:v>41755</c:v>
                </c:pt>
                <c:pt idx="116">
                  <c:v>41756</c:v>
                </c:pt>
                <c:pt idx="117">
                  <c:v>41757</c:v>
                </c:pt>
                <c:pt idx="118">
                  <c:v>41758</c:v>
                </c:pt>
                <c:pt idx="119">
                  <c:v>41759</c:v>
                </c:pt>
                <c:pt idx="120">
                  <c:v>41760</c:v>
                </c:pt>
                <c:pt idx="121">
                  <c:v>41761</c:v>
                </c:pt>
                <c:pt idx="122">
                  <c:v>41762</c:v>
                </c:pt>
                <c:pt idx="123">
                  <c:v>41763</c:v>
                </c:pt>
                <c:pt idx="124">
                  <c:v>41764</c:v>
                </c:pt>
                <c:pt idx="125">
                  <c:v>41765</c:v>
                </c:pt>
                <c:pt idx="126">
                  <c:v>41766</c:v>
                </c:pt>
                <c:pt idx="127">
                  <c:v>41767</c:v>
                </c:pt>
                <c:pt idx="128">
                  <c:v>41768</c:v>
                </c:pt>
                <c:pt idx="129">
                  <c:v>41769</c:v>
                </c:pt>
                <c:pt idx="130">
                  <c:v>41770</c:v>
                </c:pt>
                <c:pt idx="131">
                  <c:v>41771</c:v>
                </c:pt>
                <c:pt idx="132">
                  <c:v>41772</c:v>
                </c:pt>
                <c:pt idx="133">
                  <c:v>41773</c:v>
                </c:pt>
                <c:pt idx="134">
                  <c:v>41774</c:v>
                </c:pt>
                <c:pt idx="135">
                  <c:v>41775</c:v>
                </c:pt>
                <c:pt idx="136">
                  <c:v>41776</c:v>
                </c:pt>
                <c:pt idx="137">
                  <c:v>41777</c:v>
                </c:pt>
                <c:pt idx="138">
                  <c:v>41778</c:v>
                </c:pt>
                <c:pt idx="139">
                  <c:v>41779</c:v>
                </c:pt>
                <c:pt idx="140">
                  <c:v>41780</c:v>
                </c:pt>
                <c:pt idx="141">
                  <c:v>41781</c:v>
                </c:pt>
                <c:pt idx="142">
                  <c:v>41782</c:v>
                </c:pt>
                <c:pt idx="143">
                  <c:v>41783</c:v>
                </c:pt>
                <c:pt idx="144">
                  <c:v>41784</c:v>
                </c:pt>
                <c:pt idx="145">
                  <c:v>41785</c:v>
                </c:pt>
                <c:pt idx="146">
                  <c:v>41786</c:v>
                </c:pt>
                <c:pt idx="147">
                  <c:v>41787</c:v>
                </c:pt>
                <c:pt idx="148">
                  <c:v>41788</c:v>
                </c:pt>
                <c:pt idx="149">
                  <c:v>41789</c:v>
                </c:pt>
                <c:pt idx="150">
                  <c:v>41790</c:v>
                </c:pt>
                <c:pt idx="151">
                  <c:v>41791</c:v>
                </c:pt>
                <c:pt idx="152">
                  <c:v>41792</c:v>
                </c:pt>
                <c:pt idx="153">
                  <c:v>41793</c:v>
                </c:pt>
                <c:pt idx="154">
                  <c:v>41794</c:v>
                </c:pt>
                <c:pt idx="155">
                  <c:v>41795</c:v>
                </c:pt>
                <c:pt idx="156">
                  <c:v>41796</c:v>
                </c:pt>
                <c:pt idx="157">
                  <c:v>41797</c:v>
                </c:pt>
                <c:pt idx="158">
                  <c:v>41798</c:v>
                </c:pt>
                <c:pt idx="159">
                  <c:v>41799</c:v>
                </c:pt>
                <c:pt idx="160">
                  <c:v>41800</c:v>
                </c:pt>
                <c:pt idx="161">
                  <c:v>41801</c:v>
                </c:pt>
                <c:pt idx="162">
                  <c:v>41802</c:v>
                </c:pt>
                <c:pt idx="163">
                  <c:v>41803</c:v>
                </c:pt>
                <c:pt idx="164">
                  <c:v>41804</c:v>
                </c:pt>
                <c:pt idx="165">
                  <c:v>41805</c:v>
                </c:pt>
                <c:pt idx="166">
                  <c:v>41806</c:v>
                </c:pt>
                <c:pt idx="167">
                  <c:v>41807</c:v>
                </c:pt>
                <c:pt idx="168">
                  <c:v>41808</c:v>
                </c:pt>
                <c:pt idx="169">
                  <c:v>41809</c:v>
                </c:pt>
                <c:pt idx="170">
                  <c:v>41810</c:v>
                </c:pt>
                <c:pt idx="171">
                  <c:v>41811</c:v>
                </c:pt>
                <c:pt idx="172">
                  <c:v>41812</c:v>
                </c:pt>
                <c:pt idx="173">
                  <c:v>41813</c:v>
                </c:pt>
                <c:pt idx="174">
                  <c:v>41814</c:v>
                </c:pt>
                <c:pt idx="175">
                  <c:v>41815</c:v>
                </c:pt>
                <c:pt idx="176">
                  <c:v>41816</c:v>
                </c:pt>
                <c:pt idx="177">
                  <c:v>41817</c:v>
                </c:pt>
                <c:pt idx="178">
                  <c:v>41818</c:v>
                </c:pt>
                <c:pt idx="179">
                  <c:v>41819</c:v>
                </c:pt>
                <c:pt idx="180">
                  <c:v>41820</c:v>
                </c:pt>
                <c:pt idx="181">
                  <c:v>41821</c:v>
                </c:pt>
                <c:pt idx="182">
                  <c:v>41822</c:v>
                </c:pt>
                <c:pt idx="183">
                  <c:v>41823</c:v>
                </c:pt>
                <c:pt idx="184">
                  <c:v>41824</c:v>
                </c:pt>
                <c:pt idx="185">
                  <c:v>41825</c:v>
                </c:pt>
                <c:pt idx="186">
                  <c:v>41826</c:v>
                </c:pt>
                <c:pt idx="187">
                  <c:v>41827</c:v>
                </c:pt>
                <c:pt idx="188">
                  <c:v>41828</c:v>
                </c:pt>
                <c:pt idx="189">
                  <c:v>41829</c:v>
                </c:pt>
                <c:pt idx="190">
                  <c:v>41830</c:v>
                </c:pt>
                <c:pt idx="191">
                  <c:v>41831</c:v>
                </c:pt>
                <c:pt idx="192">
                  <c:v>41832</c:v>
                </c:pt>
                <c:pt idx="193">
                  <c:v>41833</c:v>
                </c:pt>
                <c:pt idx="194">
                  <c:v>41834</c:v>
                </c:pt>
                <c:pt idx="195">
                  <c:v>41835</c:v>
                </c:pt>
                <c:pt idx="196">
                  <c:v>41836</c:v>
                </c:pt>
                <c:pt idx="197">
                  <c:v>41837</c:v>
                </c:pt>
                <c:pt idx="198">
                  <c:v>41838</c:v>
                </c:pt>
                <c:pt idx="199">
                  <c:v>41839</c:v>
                </c:pt>
                <c:pt idx="200">
                  <c:v>41840</c:v>
                </c:pt>
                <c:pt idx="201">
                  <c:v>41841</c:v>
                </c:pt>
                <c:pt idx="202">
                  <c:v>41842</c:v>
                </c:pt>
                <c:pt idx="203">
                  <c:v>41843</c:v>
                </c:pt>
                <c:pt idx="204">
                  <c:v>41844</c:v>
                </c:pt>
                <c:pt idx="205">
                  <c:v>41845</c:v>
                </c:pt>
                <c:pt idx="206">
                  <c:v>41846</c:v>
                </c:pt>
                <c:pt idx="207">
                  <c:v>41847</c:v>
                </c:pt>
                <c:pt idx="208">
                  <c:v>41848</c:v>
                </c:pt>
                <c:pt idx="209">
                  <c:v>41849</c:v>
                </c:pt>
                <c:pt idx="210">
                  <c:v>41850</c:v>
                </c:pt>
                <c:pt idx="211">
                  <c:v>41851</c:v>
                </c:pt>
                <c:pt idx="212">
                  <c:v>41852</c:v>
                </c:pt>
                <c:pt idx="213">
                  <c:v>41853</c:v>
                </c:pt>
                <c:pt idx="214">
                  <c:v>41854</c:v>
                </c:pt>
                <c:pt idx="215">
                  <c:v>41855</c:v>
                </c:pt>
                <c:pt idx="216">
                  <c:v>41856</c:v>
                </c:pt>
                <c:pt idx="217">
                  <c:v>41857</c:v>
                </c:pt>
                <c:pt idx="218">
                  <c:v>41858</c:v>
                </c:pt>
                <c:pt idx="219">
                  <c:v>41859</c:v>
                </c:pt>
                <c:pt idx="220">
                  <c:v>41860</c:v>
                </c:pt>
                <c:pt idx="221">
                  <c:v>41861</c:v>
                </c:pt>
                <c:pt idx="222">
                  <c:v>41862</c:v>
                </c:pt>
                <c:pt idx="223">
                  <c:v>41863</c:v>
                </c:pt>
                <c:pt idx="224">
                  <c:v>41864</c:v>
                </c:pt>
                <c:pt idx="225">
                  <c:v>41865</c:v>
                </c:pt>
                <c:pt idx="226">
                  <c:v>41866</c:v>
                </c:pt>
                <c:pt idx="227">
                  <c:v>41867</c:v>
                </c:pt>
                <c:pt idx="228">
                  <c:v>41868</c:v>
                </c:pt>
                <c:pt idx="229">
                  <c:v>41869</c:v>
                </c:pt>
                <c:pt idx="230">
                  <c:v>41870</c:v>
                </c:pt>
                <c:pt idx="231">
                  <c:v>41871</c:v>
                </c:pt>
                <c:pt idx="232">
                  <c:v>41872</c:v>
                </c:pt>
                <c:pt idx="233">
                  <c:v>41873</c:v>
                </c:pt>
                <c:pt idx="234">
                  <c:v>41874</c:v>
                </c:pt>
                <c:pt idx="235">
                  <c:v>41875</c:v>
                </c:pt>
                <c:pt idx="236">
                  <c:v>41876</c:v>
                </c:pt>
                <c:pt idx="237">
                  <c:v>41877</c:v>
                </c:pt>
                <c:pt idx="238">
                  <c:v>41878</c:v>
                </c:pt>
                <c:pt idx="239">
                  <c:v>41879</c:v>
                </c:pt>
                <c:pt idx="240">
                  <c:v>41880</c:v>
                </c:pt>
                <c:pt idx="241">
                  <c:v>41881</c:v>
                </c:pt>
                <c:pt idx="242">
                  <c:v>41882</c:v>
                </c:pt>
                <c:pt idx="243">
                  <c:v>41883</c:v>
                </c:pt>
                <c:pt idx="244">
                  <c:v>41884</c:v>
                </c:pt>
                <c:pt idx="245">
                  <c:v>41885</c:v>
                </c:pt>
                <c:pt idx="246">
                  <c:v>41886</c:v>
                </c:pt>
                <c:pt idx="247">
                  <c:v>41887</c:v>
                </c:pt>
                <c:pt idx="248">
                  <c:v>41888</c:v>
                </c:pt>
                <c:pt idx="249">
                  <c:v>41889</c:v>
                </c:pt>
                <c:pt idx="250">
                  <c:v>41890</c:v>
                </c:pt>
                <c:pt idx="251">
                  <c:v>41891</c:v>
                </c:pt>
                <c:pt idx="252">
                  <c:v>41892</c:v>
                </c:pt>
                <c:pt idx="253">
                  <c:v>41893</c:v>
                </c:pt>
                <c:pt idx="254">
                  <c:v>41894</c:v>
                </c:pt>
                <c:pt idx="255">
                  <c:v>41895</c:v>
                </c:pt>
                <c:pt idx="256">
                  <c:v>41896</c:v>
                </c:pt>
                <c:pt idx="257">
                  <c:v>41897</c:v>
                </c:pt>
                <c:pt idx="258">
                  <c:v>41898</c:v>
                </c:pt>
                <c:pt idx="259">
                  <c:v>41899</c:v>
                </c:pt>
                <c:pt idx="260">
                  <c:v>41900</c:v>
                </c:pt>
                <c:pt idx="261">
                  <c:v>41901</c:v>
                </c:pt>
                <c:pt idx="262">
                  <c:v>41902</c:v>
                </c:pt>
                <c:pt idx="263">
                  <c:v>41903</c:v>
                </c:pt>
                <c:pt idx="264">
                  <c:v>41904</c:v>
                </c:pt>
                <c:pt idx="265">
                  <c:v>41905</c:v>
                </c:pt>
                <c:pt idx="266">
                  <c:v>41906</c:v>
                </c:pt>
                <c:pt idx="267">
                  <c:v>41907</c:v>
                </c:pt>
                <c:pt idx="268">
                  <c:v>41908</c:v>
                </c:pt>
                <c:pt idx="269">
                  <c:v>41909</c:v>
                </c:pt>
                <c:pt idx="270">
                  <c:v>41910</c:v>
                </c:pt>
                <c:pt idx="271">
                  <c:v>41911</c:v>
                </c:pt>
                <c:pt idx="272">
                  <c:v>41912</c:v>
                </c:pt>
                <c:pt idx="273">
                  <c:v>41913</c:v>
                </c:pt>
                <c:pt idx="274">
                  <c:v>41914</c:v>
                </c:pt>
                <c:pt idx="275">
                  <c:v>41915</c:v>
                </c:pt>
                <c:pt idx="276">
                  <c:v>41916</c:v>
                </c:pt>
                <c:pt idx="277">
                  <c:v>41917</c:v>
                </c:pt>
                <c:pt idx="278">
                  <c:v>41918</c:v>
                </c:pt>
                <c:pt idx="279">
                  <c:v>41919</c:v>
                </c:pt>
                <c:pt idx="280">
                  <c:v>41920</c:v>
                </c:pt>
                <c:pt idx="281">
                  <c:v>41921</c:v>
                </c:pt>
                <c:pt idx="282">
                  <c:v>41922</c:v>
                </c:pt>
                <c:pt idx="283">
                  <c:v>41923</c:v>
                </c:pt>
                <c:pt idx="284">
                  <c:v>41924</c:v>
                </c:pt>
                <c:pt idx="285">
                  <c:v>41925</c:v>
                </c:pt>
                <c:pt idx="286">
                  <c:v>41926</c:v>
                </c:pt>
                <c:pt idx="287">
                  <c:v>41927</c:v>
                </c:pt>
                <c:pt idx="288">
                  <c:v>41928</c:v>
                </c:pt>
                <c:pt idx="289">
                  <c:v>41929</c:v>
                </c:pt>
                <c:pt idx="290">
                  <c:v>41930</c:v>
                </c:pt>
                <c:pt idx="291">
                  <c:v>41931</c:v>
                </c:pt>
                <c:pt idx="292">
                  <c:v>41932</c:v>
                </c:pt>
                <c:pt idx="293">
                  <c:v>41933</c:v>
                </c:pt>
                <c:pt idx="294">
                  <c:v>41934</c:v>
                </c:pt>
                <c:pt idx="295">
                  <c:v>41935</c:v>
                </c:pt>
                <c:pt idx="296">
                  <c:v>41936</c:v>
                </c:pt>
                <c:pt idx="297">
                  <c:v>41937</c:v>
                </c:pt>
                <c:pt idx="298">
                  <c:v>41938</c:v>
                </c:pt>
                <c:pt idx="299">
                  <c:v>41939</c:v>
                </c:pt>
                <c:pt idx="300">
                  <c:v>41940</c:v>
                </c:pt>
                <c:pt idx="301">
                  <c:v>41941</c:v>
                </c:pt>
                <c:pt idx="302">
                  <c:v>41942</c:v>
                </c:pt>
                <c:pt idx="303">
                  <c:v>41943</c:v>
                </c:pt>
                <c:pt idx="304">
                  <c:v>41944</c:v>
                </c:pt>
                <c:pt idx="305">
                  <c:v>41945</c:v>
                </c:pt>
                <c:pt idx="306">
                  <c:v>41946</c:v>
                </c:pt>
                <c:pt idx="307">
                  <c:v>41947</c:v>
                </c:pt>
                <c:pt idx="308">
                  <c:v>41948</c:v>
                </c:pt>
                <c:pt idx="309">
                  <c:v>41949</c:v>
                </c:pt>
                <c:pt idx="310">
                  <c:v>41950</c:v>
                </c:pt>
                <c:pt idx="311">
                  <c:v>41951</c:v>
                </c:pt>
                <c:pt idx="312">
                  <c:v>41952</c:v>
                </c:pt>
                <c:pt idx="313">
                  <c:v>41953</c:v>
                </c:pt>
                <c:pt idx="314">
                  <c:v>41954</c:v>
                </c:pt>
                <c:pt idx="315">
                  <c:v>41955</c:v>
                </c:pt>
                <c:pt idx="316">
                  <c:v>41956</c:v>
                </c:pt>
                <c:pt idx="317">
                  <c:v>41957</c:v>
                </c:pt>
                <c:pt idx="318">
                  <c:v>41958</c:v>
                </c:pt>
                <c:pt idx="319">
                  <c:v>41959</c:v>
                </c:pt>
                <c:pt idx="320">
                  <c:v>41960</c:v>
                </c:pt>
                <c:pt idx="321">
                  <c:v>41961</c:v>
                </c:pt>
                <c:pt idx="322">
                  <c:v>41962</c:v>
                </c:pt>
                <c:pt idx="323">
                  <c:v>41963</c:v>
                </c:pt>
                <c:pt idx="324">
                  <c:v>41964</c:v>
                </c:pt>
                <c:pt idx="325">
                  <c:v>41965</c:v>
                </c:pt>
                <c:pt idx="326">
                  <c:v>41966</c:v>
                </c:pt>
                <c:pt idx="327">
                  <c:v>41967</c:v>
                </c:pt>
                <c:pt idx="328">
                  <c:v>41968</c:v>
                </c:pt>
                <c:pt idx="329">
                  <c:v>41969</c:v>
                </c:pt>
                <c:pt idx="330">
                  <c:v>41970</c:v>
                </c:pt>
                <c:pt idx="331">
                  <c:v>41971</c:v>
                </c:pt>
                <c:pt idx="332">
                  <c:v>41972</c:v>
                </c:pt>
                <c:pt idx="333">
                  <c:v>41973</c:v>
                </c:pt>
                <c:pt idx="334">
                  <c:v>41974</c:v>
                </c:pt>
                <c:pt idx="335">
                  <c:v>41975</c:v>
                </c:pt>
                <c:pt idx="336">
                  <c:v>41976</c:v>
                </c:pt>
                <c:pt idx="337">
                  <c:v>41977</c:v>
                </c:pt>
                <c:pt idx="338">
                  <c:v>41978</c:v>
                </c:pt>
                <c:pt idx="339">
                  <c:v>41979</c:v>
                </c:pt>
                <c:pt idx="340">
                  <c:v>41980</c:v>
                </c:pt>
                <c:pt idx="341">
                  <c:v>41981</c:v>
                </c:pt>
                <c:pt idx="342">
                  <c:v>41982</c:v>
                </c:pt>
                <c:pt idx="343">
                  <c:v>41983</c:v>
                </c:pt>
                <c:pt idx="344">
                  <c:v>41984</c:v>
                </c:pt>
                <c:pt idx="345">
                  <c:v>41985</c:v>
                </c:pt>
                <c:pt idx="346">
                  <c:v>41986</c:v>
                </c:pt>
                <c:pt idx="347">
                  <c:v>41987</c:v>
                </c:pt>
                <c:pt idx="348">
                  <c:v>41988</c:v>
                </c:pt>
                <c:pt idx="349">
                  <c:v>41989</c:v>
                </c:pt>
                <c:pt idx="350">
                  <c:v>41990</c:v>
                </c:pt>
                <c:pt idx="351">
                  <c:v>41991</c:v>
                </c:pt>
                <c:pt idx="352">
                  <c:v>41992</c:v>
                </c:pt>
                <c:pt idx="353">
                  <c:v>41993</c:v>
                </c:pt>
                <c:pt idx="354">
                  <c:v>41994</c:v>
                </c:pt>
                <c:pt idx="355">
                  <c:v>41995</c:v>
                </c:pt>
                <c:pt idx="356">
                  <c:v>41996</c:v>
                </c:pt>
                <c:pt idx="357">
                  <c:v>41997</c:v>
                </c:pt>
                <c:pt idx="358">
                  <c:v>41998</c:v>
                </c:pt>
                <c:pt idx="359">
                  <c:v>41999</c:v>
                </c:pt>
                <c:pt idx="360">
                  <c:v>42000</c:v>
                </c:pt>
                <c:pt idx="361">
                  <c:v>42001</c:v>
                </c:pt>
                <c:pt idx="362">
                  <c:v>42002</c:v>
                </c:pt>
                <c:pt idx="363">
                  <c:v>42003</c:v>
                </c:pt>
                <c:pt idx="364">
                  <c:v>42004</c:v>
                </c:pt>
                <c:pt idx="365">
                  <c:v>42005</c:v>
                </c:pt>
                <c:pt idx="366">
                  <c:v>42006</c:v>
                </c:pt>
                <c:pt idx="367">
                  <c:v>42007</c:v>
                </c:pt>
                <c:pt idx="368">
                  <c:v>42008</c:v>
                </c:pt>
                <c:pt idx="369">
                  <c:v>42009</c:v>
                </c:pt>
                <c:pt idx="370">
                  <c:v>42010</c:v>
                </c:pt>
                <c:pt idx="371">
                  <c:v>42011</c:v>
                </c:pt>
                <c:pt idx="372">
                  <c:v>42012</c:v>
                </c:pt>
                <c:pt idx="373">
                  <c:v>42013</c:v>
                </c:pt>
                <c:pt idx="374">
                  <c:v>42014</c:v>
                </c:pt>
                <c:pt idx="375">
                  <c:v>42015</c:v>
                </c:pt>
                <c:pt idx="376">
                  <c:v>42016</c:v>
                </c:pt>
                <c:pt idx="377">
                  <c:v>42017</c:v>
                </c:pt>
                <c:pt idx="378">
                  <c:v>42018</c:v>
                </c:pt>
                <c:pt idx="379">
                  <c:v>42019</c:v>
                </c:pt>
                <c:pt idx="380">
                  <c:v>42020</c:v>
                </c:pt>
                <c:pt idx="381">
                  <c:v>42021</c:v>
                </c:pt>
                <c:pt idx="382">
                  <c:v>42022</c:v>
                </c:pt>
                <c:pt idx="383">
                  <c:v>42023</c:v>
                </c:pt>
                <c:pt idx="384">
                  <c:v>42024</c:v>
                </c:pt>
                <c:pt idx="385">
                  <c:v>42025</c:v>
                </c:pt>
                <c:pt idx="386">
                  <c:v>42026</c:v>
                </c:pt>
                <c:pt idx="387">
                  <c:v>42027</c:v>
                </c:pt>
                <c:pt idx="388">
                  <c:v>42028</c:v>
                </c:pt>
                <c:pt idx="389">
                  <c:v>42029</c:v>
                </c:pt>
                <c:pt idx="390">
                  <c:v>42030</c:v>
                </c:pt>
                <c:pt idx="391">
                  <c:v>42031</c:v>
                </c:pt>
                <c:pt idx="392">
                  <c:v>42032</c:v>
                </c:pt>
                <c:pt idx="393">
                  <c:v>42033</c:v>
                </c:pt>
                <c:pt idx="394">
                  <c:v>42034</c:v>
                </c:pt>
                <c:pt idx="395">
                  <c:v>42035</c:v>
                </c:pt>
                <c:pt idx="396">
                  <c:v>42036</c:v>
                </c:pt>
                <c:pt idx="397">
                  <c:v>42037</c:v>
                </c:pt>
                <c:pt idx="398">
                  <c:v>42038</c:v>
                </c:pt>
                <c:pt idx="399">
                  <c:v>42039</c:v>
                </c:pt>
                <c:pt idx="400">
                  <c:v>42040</c:v>
                </c:pt>
                <c:pt idx="401">
                  <c:v>42041</c:v>
                </c:pt>
                <c:pt idx="402">
                  <c:v>42042</c:v>
                </c:pt>
                <c:pt idx="403">
                  <c:v>42043</c:v>
                </c:pt>
                <c:pt idx="404">
                  <c:v>42044</c:v>
                </c:pt>
                <c:pt idx="405">
                  <c:v>42045</c:v>
                </c:pt>
                <c:pt idx="406">
                  <c:v>42046</c:v>
                </c:pt>
                <c:pt idx="407">
                  <c:v>42047</c:v>
                </c:pt>
                <c:pt idx="408">
                  <c:v>42048</c:v>
                </c:pt>
                <c:pt idx="409">
                  <c:v>42049</c:v>
                </c:pt>
                <c:pt idx="410">
                  <c:v>42050</c:v>
                </c:pt>
                <c:pt idx="411">
                  <c:v>42051</c:v>
                </c:pt>
                <c:pt idx="412">
                  <c:v>42052</c:v>
                </c:pt>
                <c:pt idx="413">
                  <c:v>42053</c:v>
                </c:pt>
                <c:pt idx="414">
                  <c:v>42054</c:v>
                </c:pt>
                <c:pt idx="415">
                  <c:v>42055</c:v>
                </c:pt>
                <c:pt idx="416">
                  <c:v>42056</c:v>
                </c:pt>
                <c:pt idx="417">
                  <c:v>42057</c:v>
                </c:pt>
                <c:pt idx="418">
                  <c:v>42058</c:v>
                </c:pt>
                <c:pt idx="419">
                  <c:v>42059</c:v>
                </c:pt>
                <c:pt idx="420">
                  <c:v>42060</c:v>
                </c:pt>
                <c:pt idx="421">
                  <c:v>42061</c:v>
                </c:pt>
                <c:pt idx="422">
                  <c:v>42062</c:v>
                </c:pt>
                <c:pt idx="423">
                  <c:v>42063</c:v>
                </c:pt>
                <c:pt idx="424">
                  <c:v>42064</c:v>
                </c:pt>
                <c:pt idx="425">
                  <c:v>42065</c:v>
                </c:pt>
                <c:pt idx="426">
                  <c:v>42066</c:v>
                </c:pt>
                <c:pt idx="427">
                  <c:v>42067</c:v>
                </c:pt>
                <c:pt idx="428">
                  <c:v>42068</c:v>
                </c:pt>
                <c:pt idx="429">
                  <c:v>42069</c:v>
                </c:pt>
                <c:pt idx="430">
                  <c:v>42070</c:v>
                </c:pt>
                <c:pt idx="431">
                  <c:v>42071</c:v>
                </c:pt>
                <c:pt idx="432">
                  <c:v>42072</c:v>
                </c:pt>
                <c:pt idx="433">
                  <c:v>42073</c:v>
                </c:pt>
                <c:pt idx="434">
                  <c:v>42074</c:v>
                </c:pt>
                <c:pt idx="435">
                  <c:v>42075</c:v>
                </c:pt>
                <c:pt idx="436">
                  <c:v>42076</c:v>
                </c:pt>
                <c:pt idx="437">
                  <c:v>42077</c:v>
                </c:pt>
                <c:pt idx="438">
                  <c:v>42078</c:v>
                </c:pt>
                <c:pt idx="439">
                  <c:v>42079</c:v>
                </c:pt>
                <c:pt idx="440">
                  <c:v>42080</c:v>
                </c:pt>
                <c:pt idx="441">
                  <c:v>42081</c:v>
                </c:pt>
                <c:pt idx="442">
                  <c:v>42082</c:v>
                </c:pt>
                <c:pt idx="443">
                  <c:v>42083</c:v>
                </c:pt>
                <c:pt idx="444">
                  <c:v>42084</c:v>
                </c:pt>
                <c:pt idx="445">
                  <c:v>42085</c:v>
                </c:pt>
                <c:pt idx="446">
                  <c:v>42086</c:v>
                </c:pt>
                <c:pt idx="447">
                  <c:v>42087</c:v>
                </c:pt>
                <c:pt idx="448">
                  <c:v>42088</c:v>
                </c:pt>
                <c:pt idx="449">
                  <c:v>42089</c:v>
                </c:pt>
                <c:pt idx="450">
                  <c:v>42090</c:v>
                </c:pt>
                <c:pt idx="451">
                  <c:v>42091</c:v>
                </c:pt>
                <c:pt idx="452">
                  <c:v>42092</c:v>
                </c:pt>
                <c:pt idx="453">
                  <c:v>42093</c:v>
                </c:pt>
                <c:pt idx="454">
                  <c:v>42094</c:v>
                </c:pt>
                <c:pt idx="455">
                  <c:v>42095</c:v>
                </c:pt>
                <c:pt idx="456">
                  <c:v>42096</c:v>
                </c:pt>
                <c:pt idx="457">
                  <c:v>42097</c:v>
                </c:pt>
                <c:pt idx="458">
                  <c:v>42098</c:v>
                </c:pt>
                <c:pt idx="459">
                  <c:v>42099</c:v>
                </c:pt>
                <c:pt idx="460">
                  <c:v>42100</c:v>
                </c:pt>
                <c:pt idx="461">
                  <c:v>42101</c:v>
                </c:pt>
                <c:pt idx="462">
                  <c:v>42102</c:v>
                </c:pt>
                <c:pt idx="463">
                  <c:v>42103</c:v>
                </c:pt>
                <c:pt idx="464">
                  <c:v>42104</c:v>
                </c:pt>
                <c:pt idx="465">
                  <c:v>42105</c:v>
                </c:pt>
                <c:pt idx="466">
                  <c:v>42106</c:v>
                </c:pt>
                <c:pt idx="467">
                  <c:v>42107</c:v>
                </c:pt>
                <c:pt idx="468">
                  <c:v>42108</c:v>
                </c:pt>
                <c:pt idx="469">
                  <c:v>42109</c:v>
                </c:pt>
                <c:pt idx="470">
                  <c:v>42110</c:v>
                </c:pt>
                <c:pt idx="471">
                  <c:v>42111</c:v>
                </c:pt>
                <c:pt idx="472">
                  <c:v>42112</c:v>
                </c:pt>
                <c:pt idx="473">
                  <c:v>42113</c:v>
                </c:pt>
                <c:pt idx="474">
                  <c:v>42114</c:v>
                </c:pt>
                <c:pt idx="475">
                  <c:v>42115</c:v>
                </c:pt>
                <c:pt idx="476">
                  <c:v>42116</c:v>
                </c:pt>
                <c:pt idx="477">
                  <c:v>42117</c:v>
                </c:pt>
                <c:pt idx="478">
                  <c:v>42118</c:v>
                </c:pt>
                <c:pt idx="479">
                  <c:v>42119</c:v>
                </c:pt>
                <c:pt idx="480">
                  <c:v>42120</c:v>
                </c:pt>
                <c:pt idx="481">
                  <c:v>42121</c:v>
                </c:pt>
                <c:pt idx="482">
                  <c:v>42122</c:v>
                </c:pt>
                <c:pt idx="483">
                  <c:v>42123</c:v>
                </c:pt>
                <c:pt idx="484">
                  <c:v>42124</c:v>
                </c:pt>
                <c:pt idx="485">
                  <c:v>42125</c:v>
                </c:pt>
                <c:pt idx="486">
                  <c:v>42126</c:v>
                </c:pt>
                <c:pt idx="487">
                  <c:v>42127</c:v>
                </c:pt>
                <c:pt idx="488">
                  <c:v>42128</c:v>
                </c:pt>
                <c:pt idx="489">
                  <c:v>42129</c:v>
                </c:pt>
                <c:pt idx="490">
                  <c:v>42130</c:v>
                </c:pt>
                <c:pt idx="491">
                  <c:v>42131</c:v>
                </c:pt>
                <c:pt idx="492">
                  <c:v>42132</c:v>
                </c:pt>
                <c:pt idx="493">
                  <c:v>42133</c:v>
                </c:pt>
                <c:pt idx="494">
                  <c:v>42134</c:v>
                </c:pt>
                <c:pt idx="495">
                  <c:v>42135</c:v>
                </c:pt>
                <c:pt idx="496">
                  <c:v>42136</c:v>
                </c:pt>
                <c:pt idx="497">
                  <c:v>42137</c:v>
                </c:pt>
                <c:pt idx="498">
                  <c:v>42138</c:v>
                </c:pt>
                <c:pt idx="499">
                  <c:v>42139</c:v>
                </c:pt>
                <c:pt idx="500">
                  <c:v>42140</c:v>
                </c:pt>
                <c:pt idx="501">
                  <c:v>42141</c:v>
                </c:pt>
                <c:pt idx="502">
                  <c:v>42142</c:v>
                </c:pt>
                <c:pt idx="503">
                  <c:v>42143</c:v>
                </c:pt>
                <c:pt idx="504">
                  <c:v>42144</c:v>
                </c:pt>
                <c:pt idx="505">
                  <c:v>42145</c:v>
                </c:pt>
                <c:pt idx="506">
                  <c:v>42146</c:v>
                </c:pt>
                <c:pt idx="507">
                  <c:v>42147</c:v>
                </c:pt>
                <c:pt idx="508">
                  <c:v>42148</c:v>
                </c:pt>
                <c:pt idx="509">
                  <c:v>42149</c:v>
                </c:pt>
                <c:pt idx="510">
                  <c:v>42150</c:v>
                </c:pt>
                <c:pt idx="511">
                  <c:v>42151</c:v>
                </c:pt>
                <c:pt idx="512">
                  <c:v>42152</c:v>
                </c:pt>
                <c:pt idx="513">
                  <c:v>42153</c:v>
                </c:pt>
                <c:pt idx="514">
                  <c:v>42154</c:v>
                </c:pt>
                <c:pt idx="515">
                  <c:v>42155</c:v>
                </c:pt>
                <c:pt idx="516">
                  <c:v>42156</c:v>
                </c:pt>
                <c:pt idx="517">
                  <c:v>42157</c:v>
                </c:pt>
                <c:pt idx="518">
                  <c:v>42158</c:v>
                </c:pt>
                <c:pt idx="519">
                  <c:v>42159</c:v>
                </c:pt>
                <c:pt idx="520">
                  <c:v>42160</c:v>
                </c:pt>
                <c:pt idx="521">
                  <c:v>42161</c:v>
                </c:pt>
                <c:pt idx="522">
                  <c:v>42162</c:v>
                </c:pt>
                <c:pt idx="523">
                  <c:v>42163</c:v>
                </c:pt>
                <c:pt idx="524">
                  <c:v>42164</c:v>
                </c:pt>
                <c:pt idx="525">
                  <c:v>42165</c:v>
                </c:pt>
                <c:pt idx="526">
                  <c:v>42166</c:v>
                </c:pt>
                <c:pt idx="527">
                  <c:v>42167</c:v>
                </c:pt>
                <c:pt idx="528">
                  <c:v>42168</c:v>
                </c:pt>
                <c:pt idx="529">
                  <c:v>42169</c:v>
                </c:pt>
                <c:pt idx="530">
                  <c:v>42170</c:v>
                </c:pt>
                <c:pt idx="531">
                  <c:v>42171</c:v>
                </c:pt>
                <c:pt idx="532">
                  <c:v>42172</c:v>
                </c:pt>
                <c:pt idx="533">
                  <c:v>42173</c:v>
                </c:pt>
                <c:pt idx="534">
                  <c:v>42174</c:v>
                </c:pt>
                <c:pt idx="535">
                  <c:v>42175</c:v>
                </c:pt>
                <c:pt idx="536">
                  <c:v>42176</c:v>
                </c:pt>
                <c:pt idx="537">
                  <c:v>42177</c:v>
                </c:pt>
                <c:pt idx="538">
                  <c:v>42178</c:v>
                </c:pt>
                <c:pt idx="539">
                  <c:v>42179</c:v>
                </c:pt>
                <c:pt idx="540">
                  <c:v>42180</c:v>
                </c:pt>
                <c:pt idx="541">
                  <c:v>42181</c:v>
                </c:pt>
                <c:pt idx="542">
                  <c:v>42182</c:v>
                </c:pt>
                <c:pt idx="543">
                  <c:v>42183</c:v>
                </c:pt>
                <c:pt idx="544">
                  <c:v>42184</c:v>
                </c:pt>
                <c:pt idx="545">
                  <c:v>42185</c:v>
                </c:pt>
                <c:pt idx="546">
                  <c:v>42186</c:v>
                </c:pt>
                <c:pt idx="547">
                  <c:v>42187</c:v>
                </c:pt>
                <c:pt idx="548">
                  <c:v>42188</c:v>
                </c:pt>
                <c:pt idx="549">
                  <c:v>42189</c:v>
                </c:pt>
                <c:pt idx="550">
                  <c:v>42190</c:v>
                </c:pt>
                <c:pt idx="551">
                  <c:v>42191</c:v>
                </c:pt>
                <c:pt idx="552">
                  <c:v>42192</c:v>
                </c:pt>
                <c:pt idx="553">
                  <c:v>42193</c:v>
                </c:pt>
                <c:pt idx="554">
                  <c:v>42194</c:v>
                </c:pt>
                <c:pt idx="555">
                  <c:v>42195</c:v>
                </c:pt>
                <c:pt idx="556">
                  <c:v>42196</c:v>
                </c:pt>
                <c:pt idx="557">
                  <c:v>42197</c:v>
                </c:pt>
                <c:pt idx="558">
                  <c:v>42198</c:v>
                </c:pt>
                <c:pt idx="559">
                  <c:v>42199</c:v>
                </c:pt>
                <c:pt idx="560">
                  <c:v>42200</c:v>
                </c:pt>
                <c:pt idx="561">
                  <c:v>42201</c:v>
                </c:pt>
                <c:pt idx="562">
                  <c:v>42202</c:v>
                </c:pt>
                <c:pt idx="563">
                  <c:v>42203</c:v>
                </c:pt>
                <c:pt idx="564">
                  <c:v>42204</c:v>
                </c:pt>
                <c:pt idx="565">
                  <c:v>42205</c:v>
                </c:pt>
                <c:pt idx="566">
                  <c:v>42206</c:v>
                </c:pt>
                <c:pt idx="567">
                  <c:v>42207</c:v>
                </c:pt>
                <c:pt idx="568">
                  <c:v>42208</c:v>
                </c:pt>
                <c:pt idx="569">
                  <c:v>42209</c:v>
                </c:pt>
                <c:pt idx="570">
                  <c:v>42210</c:v>
                </c:pt>
                <c:pt idx="571">
                  <c:v>42211</c:v>
                </c:pt>
                <c:pt idx="572">
                  <c:v>42212</c:v>
                </c:pt>
                <c:pt idx="573">
                  <c:v>42213</c:v>
                </c:pt>
                <c:pt idx="574">
                  <c:v>42214</c:v>
                </c:pt>
                <c:pt idx="575">
                  <c:v>42215</c:v>
                </c:pt>
                <c:pt idx="576">
                  <c:v>42216</c:v>
                </c:pt>
              </c:numCache>
            </c:numRef>
          </c:cat>
          <c:val>
            <c:numRef>
              <c:f>YTD!$AE$16:$AE$592</c:f>
              <c:numCache>
                <c:formatCode>0.00</c:formatCode>
                <c:ptCount val="577"/>
                <c:pt idx="0">
                  <c:v>243</c:v>
                </c:pt>
                <c:pt idx="1">
                  <c:v>243</c:v>
                </c:pt>
                <c:pt idx="2">
                  <c:v>243</c:v>
                </c:pt>
                <c:pt idx="3">
                  <c:v>243</c:v>
                </c:pt>
                <c:pt idx="4">
                  <c:v>243</c:v>
                </c:pt>
                <c:pt idx="5">
                  <c:v>243</c:v>
                </c:pt>
                <c:pt idx="6">
                  <c:v>243</c:v>
                </c:pt>
                <c:pt idx="7">
                  <c:v>243</c:v>
                </c:pt>
                <c:pt idx="8">
                  <c:v>243</c:v>
                </c:pt>
                <c:pt idx="9">
                  <c:v>243</c:v>
                </c:pt>
                <c:pt idx="10">
                  <c:v>243</c:v>
                </c:pt>
                <c:pt idx="11">
                  <c:v>243</c:v>
                </c:pt>
                <c:pt idx="12">
                  <c:v>243</c:v>
                </c:pt>
                <c:pt idx="13">
                  <c:v>243</c:v>
                </c:pt>
                <c:pt idx="14">
                  <c:v>243</c:v>
                </c:pt>
                <c:pt idx="15">
                  <c:v>243</c:v>
                </c:pt>
                <c:pt idx="16">
                  <c:v>243</c:v>
                </c:pt>
                <c:pt idx="17">
                  <c:v>243</c:v>
                </c:pt>
                <c:pt idx="18">
                  <c:v>243</c:v>
                </c:pt>
                <c:pt idx="19">
                  <c:v>243</c:v>
                </c:pt>
                <c:pt idx="20">
                  <c:v>243</c:v>
                </c:pt>
                <c:pt idx="21">
                  <c:v>243</c:v>
                </c:pt>
                <c:pt idx="22">
                  <c:v>243</c:v>
                </c:pt>
                <c:pt idx="23">
                  <c:v>243</c:v>
                </c:pt>
                <c:pt idx="24">
                  <c:v>243</c:v>
                </c:pt>
                <c:pt idx="25">
                  <c:v>243</c:v>
                </c:pt>
                <c:pt idx="26">
                  <c:v>243</c:v>
                </c:pt>
                <c:pt idx="27">
                  <c:v>243</c:v>
                </c:pt>
                <c:pt idx="28">
                  <c:v>243</c:v>
                </c:pt>
                <c:pt idx="29">
                  <c:v>243</c:v>
                </c:pt>
                <c:pt idx="30">
                  <c:v>243</c:v>
                </c:pt>
                <c:pt idx="31">
                  <c:v>243</c:v>
                </c:pt>
                <c:pt idx="32">
                  <c:v>243</c:v>
                </c:pt>
                <c:pt idx="33">
                  <c:v>243</c:v>
                </c:pt>
                <c:pt idx="34">
                  <c:v>243</c:v>
                </c:pt>
                <c:pt idx="35">
                  <c:v>243</c:v>
                </c:pt>
                <c:pt idx="36">
                  <c:v>243</c:v>
                </c:pt>
                <c:pt idx="37">
                  <c:v>243</c:v>
                </c:pt>
                <c:pt idx="38">
                  <c:v>243</c:v>
                </c:pt>
                <c:pt idx="39">
                  <c:v>243</c:v>
                </c:pt>
                <c:pt idx="40">
                  <c:v>243</c:v>
                </c:pt>
                <c:pt idx="41">
                  <c:v>243</c:v>
                </c:pt>
                <c:pt idx="42">
                  <c:v>243</c:v>
                </c:pt>
                <c:pt idx="43">
                  <c:v>243</c:v>
                </c:pt>
                <c:pt idx="44">
                  <c:v>243</c:v>
                </c:pt>
                <c:pt idx="45">
                  <c:v>243</c:v>
                </c:pt>
                <c:pt idx="46">
                  <c:v>243</c:v>
                </c:pt>
                <c:pt idx="47">
                  <c:v>243</c:v>
                </c:pt>
                <c:pt idx="48">
                  <c:v>243</c:v>
                </c:pt>
                <c:pt idx="49">
                  <c:v>243</c:v>
                </c:pt>
                <c:pt idx="50">
                  <c:v>243</c:v>
                </c:pt>
                <c:pt idx="51">
                  <c:v>243</c:v>
                </c:pt>
                <c:pt idx="52">
                  <c:v>243</c:v>
                </c:pt>
                <c:pt idx="53">
                  <c:v>243</c:v>
                </c:pt>
                <c:pt idx="54">
                  <c:v>243</c:v>
                </c:pt>
                <c:pt idx="55">
                  <c:v>243</c:v>
                </c:pt>
                <c:pt idx="56">
                  <c:v>135</c:v>
                </c:pt>
                <c:pt idx="57">
                  <c:v>135</c:v>
                </c:pt>
                <c:pt idx="58">
                  <c:v>135</c:v>
                </c:pt>
                <c:pt idx="59">
                  <c:v>135</c:v>
                </c:pt>
                <c:pt idx="60">
                  <c:v>135</c:v>
                </c:pt>
                <c:pt idx="61">
                  <c:v>135</c:v>
                </c:pt>
                <c:pt idx="62">
                  <c:v>135</c:v>
                </c:pt>
                <c:pt idx="63">
                  <c:v>135</c:v>
                </c:pt>
                <c:pt idx="64">
                  <c:v>135</c:v>
                </c:pt>
                <c:pt idx="65">
                  <c:v>135</c:v>
                </c:pt>
                <c:pt idx="66">
                  <c:v>135</c:v>
                </c:pt>
                <c:pt idx="67">
                  <c:v>135</c:v>
                </c:pt>
                <c:pt idx="68">
                  <c:v>135</c:v>
                </c:pt>
                <c:pt idx="69">
                  <c:v>135</c:v>
                </c:pt>
                <c:pt idx="70">
                  <c:v>135</c:v>
                </c:pt>
                <c:pt idx="71">
                  <c:v>135</c:v>
                </c:pt>
                <c:pt idx="72">
                  <c:v>135</c:v>
                </c:pt>
                <c:pt idx="73">
                  <c:v>135</c:v>
                </c:pt>
                <c:pt idx="74">
                  <c:v>135</c:v>
                </c:pt>
                <c:pt idx="75">
                  <c:v>135</c:v>
                </c:pt>
                <c:pt idx="76">
                  <c:v>135</c:v>
                </c:pt>
                <c:pt idx="77">
                  <c:v>135</c:v>
                </c:pt>
                <c:pt idx="78">
                  <c:v>135</c:v>
                </c:pt>
                <c:pt idx="79">
                  <c:v>135</c:v>
                </c:pt>
                <c:pt idx="80">
                  <c:v>135</c:v>
                </c:pt>
                <c:pt idx="81">
                  <c:v>135</c:v>
                </c:pt>
                <c:pt idx="82">
                  <c:v>135</c:v>
                </c:pt>
                <c:pt idx="83">
                  <c:v>135</c:v>
                </c:pt>
                <c:pt idx="84">
                  <c:v>135</c:v>
                </c:pt>
                <c:pt idx="85">
                  <c:v>135</c:v>
                </c:pt>
                <c:pt idx="86">
                  <c:v>135</c:v>
                </c:pt>
                <c:pt idx="87">
                  <c:v>135</c:v>
                </c:pt>
                <c:pt idx="88">
                  <c:v>135</c:v>
                </c:pt>
                <c:pt idx="89">
                  <c:v>135</c:v>
                </c:pt>
                <c:pt idx="90">
                  <c:v>135</c:v>
                </c:pt>
                <c:pt idx="91">
                  <c:v>135</c:v>
                </c:pt>
                <c:pt idx="92">
                  <c:v>135</c:v>
                </c:pt>
                <c:pt idx="93">
                  <c:v>135</c:v>
                </c:pt>
                <c:pt idx="94">
                  <c:v>135</c:v>
                </c:pt>
                <c:pt idx="95">
                  <c:v>135</c:v>
                </c:pt>
                <c:pt idx="96">
                  <c:v>135</c:v>
                </c:pt>
                <c:pt idx="97">
                  <c:v>135</c:v>
                </c:pt>
                <c:pt idx="98">
                  <c:v>135</c:v>
                </c:pt>
                <c:pt idx="99">
                  <c:v>135</c:v>
                </c:pt>
                <c:pt idx="100">
                  <c:v>135</c:v>
                </c:pt>
                <c:pt idx="101">
                  <c:v>135</c:v>
                </c:pt>
                <c:pt idx="102">
                  <c:v>135</c:v>
                </c:pt>
                <c:pt idx="103">
                  <c:v>135</c:v>
                </c:pt>
                <c:pt idx="104">
                  <c:v>135</c:v>
                </c:pt>
                <c:pt idx="105">
                  <c:v>135</c:v>
                </c:pt>
                <c:pt idx="106">
                  <c:v>135</c:v>
                </c:pt>
                <c:pt idx="107">
                  <c:v>135</c:v>
                </c:pt>
                <c:pt idx="108">
                  <c:v>135</c:v>
                </c:pt>
                <c:pt idx="109">
                  <c:v>135</c:v>
                </c:pt>
                <c:pt idx="110">
                  <c:v>135</c:v>
                </c:pt>
                <c:pt idx="111">
                  <c:v>135</c:v>
                </c:pt>
                <c:pt idx="112">
                  <c:v>135</c:v>
                </c:pt>
                <c:pt idx="113">
                  <c:v>135</c:v>
                </c:pt>
                <c:pt idx="114">
                  <c:v>135</c:v>
                </c:pt>
                <c:pt idx="115">
                  <c:v>135</c:v>
                </c:pt>
                <c:pt idx="116">
                  <c:v>135</c:v>
                </c:pt>
                <c:pt idx="117">
                  <c:v>135</c:v>
                </c:pt>
                <c:pt idx="118">
                  <c:v>135</c:v>
                </c:pt>
                <c:pt idx="119">
                  <c:v>135</c:v>
                </c:pt>
                <c:pt idx="120">
                  <c:v>135</c:v>
                </c:pt>
                <c:pt idx="121">
                  <c:v>135</c:v>
                </c:pt>
                <c:pt idx="122">
                  <c:v>135</c:v>
                </c:pt>
                <c:pt idx="123">
                  <c:v>135</c:v>
                </c:pt>
                <c:pt idx="124">
                  <c:v>135</c:v>
                </c:pt>
                <c:pt idx="125">
                  <c:v>135</c:v>
                </c:pt>
                <c:pt idx="126">
                  <c:v>135</c:v>
                </c:pt>
                <c:pt idx="127">
                  <c:v>135</c:v>
                </c:pt>
                <c:pt idx="128">
                  <c:v>135</c:v>
                </c:pt>
                <c:pt idx="129">
                  <c:v>135</c:v>
                </c:pt>
                <c:pt idx="130">
                  <c:v>135</c:v>
                </c:pt>
                <c:pt idx="131">
                  <c:v>135</c:v>
                </c:pt>
                <c:pt idx="132">
                  <c:v>135</c:v>
                </c:pt>
                <c:pt idx="133">
                  <c:v>135</c:v>
                </c:pt>
                <c:pt idx="134">
                  <c:v>135</c:v>
                </c:pt>
                <c:pt idx="135">
                  <c:v>135</c:v>
                </c:pt>
                <c:pt idx="136">
                  <c:v>135</c:v>
                </c:pt>
                <c:pt idx="137">
                  <c:v>135</c:v>
                </c:pt>
                <c:pt idx="138">
                  <c:v>135</c:v>
                </c:pt>
                <c:pt idx="139">
                  <c:v>135</c:v>
                </c:pt>
                <c:pt idx="140">
                  <c:v>135</c:v>
                </c:pt>
                <c:pt idx="141">
                  <c:v>135</c:v>
                </c:pt>
                <c:pt idx="142">
                  <c:v>135</c:v>
                </c:pt>
                <c:pt idx="143">
                  <c:v>135</c:v>
                </c:pt>
                <c:pt idx="144">
                  <c:v>135</c:v>
                </c:pt>
                <c:pt idx="145">
                  <c:v>135</c:v>
                </c:pt>
                <c:pt idx="146">
                  <c:v>135</c:v>
                </c:pt>
                <c:pt idx="147">
                  <c:v>135</c:v>
                </c:pt>
                <c:pt idx="148">
                  <c:v>135</c:v>
                </c:pt>
                <c:pt idx="149">
                  <c:v>135</c:v>
                </c:pt>
                <c:pt idx="150">
                  <c:v>135</c:v>
                </c:pt>
                <c:pt idx="151">
                  <c:v>135</c:v>
                </c:pt>
                <c:pt idx="152">
                  <c:v>135</c:v>
                </c:pt>
                <c:pt idx="153">
                  <c:v>135</c:v>
                </c:pt>
                <c:pt idx="154">
                  <c:v>135</c:v>
                </c:pt>
                <c:pt idx="155">
                  <c:v>135</c:v>
                </c:pt>
                <c:pt idx="156">
                  <c:v>135</c:v>
                </c:pt>
                <c:pt idx="157">
                  <c:v>135</c:v>
                </c:pt>
                <c:pt idx="158">
                  <c:v>135</c:v>
                </c:pt>
                <c:pt idx="159">
                  <c:v>135</c:v>
                </c:pt>
                <c:pt idx="160">
                  <c:v>135</c:v>
                </c:pt>
                <c:pt idx="161">
                  <c:v>135</c:v>
                </c:pt>
                <c:pt idx="162">
                  <c:v>135</c:v>
                </c:pt>
                <c:pt idx="163">
                  <c:v>135</c:v>
                </c:pt>
                <c:pt idx="164">
                  <c:v>135</c:v>
                </c:pt>
                <c:pt idx="165">
                  <c:v>135</c:v>
                </c:pt>
                <c:pt idx="166">
                  <c:v>135</c:v>
                </c:pt>
                <c:pt idx="167">
                  <c:v>135</c:v>
                </c:pt>
                <c:pt idx="168">
                  <c:v>135</c:v>
                </c:pt>
                <c:pt idx="169">
                  <c:v>135</c:v>
                </c:pt>
                <c:pt idx="170">
                  <c:v>135</c:v>
                </c:pt>
                <c:pt idx="171">
                  <c:v>135</c:v>
                </c:pt>
                <c:pt idx="172">
                  <c:v>135</c:v>
                </c:pt>
                <c:pt idx="173">
                  <c:v>135</c:v>
                </c:pt>
                <c:pt idx="174">
                  <c:v>135</c:v>
                </c:pt>
                <c:pt idx="175">
                  <c:v>135</c:v>
                </c:pt>
                <c:pt idx="176">
                  <c:v>135</c:v>
                </c:pt>
                <c:pt idx="177">
                  <c:v>135</c:v>
                </c:pt>
                <c:pt idx="178">
                  <c:v>135</c:v>
                </c:pt>
                <c:pt idx="179">
                  <c:v>135</c:v>
                </c:pt>
                <c:pt idx="180">
                  <c:v>135</c:v>
                </c:pt>
                <c:pt idx="181">
                  <c:v>135</c:v>
                </c:pt>
                <c:pt idx="182">
                  <c:v>135</c:v>
                </c:pt>
                <c:pt idx="183">
                  <c:v>135</c:v>
                </c:pt>
                <c:pt idx="184">
                  <c:v>135</c:v>
                </c:pt>
                <c:pt idx="185">
                  <c:v>135</c:v>
                </c:pt>
                <c:pt idx="186">
                  <c:v>135</c:v>
                </c:pt>
                <c:pt idx="187">
                  <c:v>135</c:v>
                </c:pt>
                <c:pt idx="188">
                  <c:v>135</c:v>
                </c:pt>
                <c:pt idx="189">
                  <c:v>135</c:v>
                </c:pt>
                <c:pt idx="190">
                  <c:v>135</c:v>
                </c:pt>
                <c:pt idx="191">
                  <c:v>135</c:v>
                </c:pt>
                <c:pt idx="192">
                  <c:v>135</c:v>
                </c:pt>
                <c:pt idx="193">
                  <c:v>135</c:v>
                </c:pt>
                <c:pt idx="194">
                  <c:v>135</c:v>
                </c:pt>
                <c:pt idx="195">
                  <c:v>135</c:v>
                </c:pt>
                <c:pt idx="196">
                  <c:v>135</c:v>
                </c:pt>
                <c:pt idx="197">
                  <c:v>135</c:v>
                </c:pt>
                <c:pt idx="198">
                  <c:v>135</c:v>
                </c:pt>
                <c:pt idx="199">
                  <c:v>135</c:v>
                </c:pt>
                <c:pt idx="200">
                  <c:v>135</c:v>
                </c:pt>
                <c:pt idx="201">
                  <c:v>135</c:v>
                </c:pt>
                <c:pt idx="202">
                  <c:v>135</c:v>
                </c:pt>
                <c:pt idx="203">
                  <c:v>135</c:v>
                </c:pt>
                <c:pt idx="204">
                  <c:v>135</c:v>
                </c:pt>
                <c:pt idx="205">
                  <c:v>135</c:v>
                </c:pt>
                <c:pt idx="206">
                  <c:v>135</c:v>
                </c:pt>
                <c:pt idx="207">
                  <c:v>135</c:v>
                </c:pt>
                <c:pt idx="208">
                  <c:v>135</c:v>
                </c:pt>
                <c:pt idx="209">
                  <c:v>135</c:v>
                </c:pt>
                <c:pt idx="210">
                  <c:v>135</c:v>
                </c:pt>
                <c:pt idx="211">
                  <c:v>135</c:v>
                </c:pt>
                <c:pt idx="212">
                  <c:v>135</c:v>
                </c:pt>
                <c:pt idx="213">
                  <c:v>135</c:v>
                </c:pt>
                <c:pt idx="214">
                  <c:v>135</c:v>
                </c:pt>
                <c:pt idx="215">
                  <c:v>135</c:v>
                </c:pt>
                <c:pt idx="216">
                  <c:v>135</c:v>
                </c:pt>
                <c:pt idx="217">
                  <c:v>135</c:v>
                </c:pt>
                <c:pt idx="218">
                  <c:v>135</c:v>
                </c:pt>
                <c:pt idx="219">
                  <c:v>135</c:v>
                </c:pt>
                <c:pt idx="220">
                  <c:v>135</c:v>
                </c:pt>
                <c:pt idx="221">
                  <c:v>135</c:v>
                </c:pt>
                <c:pt idx="222">
                  <c:v>135</c:v>
                </c:pt>
                <c:pt idx="223">
                  <c:v>135</c:v>
                </c:pt>
                <c:pt idx="224">
                  <c:v>135</c:v>
                </c:pt>
                <c:pt idx="225">
                  <c:v>135</c:v>
                </c:pt>
                <c:pt idx="226">
                  <c:v>135</c:v>
                </c:pt>
                <c:pt idx="227">
                  <c:v>135</c:v>
                </c:pt>
                <c:pt idx="228">
                  <c:v>135</c:v>
                </c:pt>
                <c:pt idx="229">
                  <c:v>135</c:v>
                </c:pt>
                <c:pt idx="230">
                  <c:v>135</c:v>
                </c:pt>
                <c:pt idx="231">
                  <c:v>135</c:v>
                </c:pt>
                <c:pt idx="232">
                  <c:v>135</c:v>
                </c:pt>
                <c:pt idx="233">
                  <c:v>135</c:v>
                </c:pt>
                <c:pt idx="234">
                  <c:v>135</c:v>
                </c:pt>
                <c:pt idx="235">
                  <c:v>135</c:v>
                </c:pt>
                <c:pt idx="236">
                  <c:v>135</c:v>
                </c:pt>
                <c:pt idx="237">
                  <c:v>135</c:v>
                </c:pt>
                <c:pt idx="238">
                  <c:v>135</c:v>
                </c:pt>
                <c:pt idx="239">
                  <c:v>135</c:v>
                </c:pt>
                <c:pt idx="240">
                  <c:v>135</c:v>
                </c:pt>
                <c:pt idx="241">
                  <c:v>135</c:v>
                </c:pt>
                <c:pt idx="242">
                  <c:v>135</c:v>
                </c:pt>
                <c:pt idx="243">
                  <c:v>135</c:v>
                </c:pt>
                <c:pt idx="244">
                  <c:v>135</c:v>
                </c:pt>
                <c:pt idx="245">
                  <c:v>135</c:v>
                </c:pt>
                <c:pt idx="246">
                  <c:v>135</c:v>
                </c:pt>
                <c:pt idx="247">
                  <c:v>135</c:v>
                </c:pt>
                <c:pt idx="248">
                  <c:v>135</c:v>
                </c:pt>
                <c:pt idx="249">
                  <c:v>135</c:v>
                </c:pt>
                <c:pt idx="250">
                  <c:v>135</c:v>
                </c:pt>
                <c:pt idx="251">
                  <c:v>135</c:v>
                </c:pt>
                <c:pt idx="252">
                  <c:v>135</c:v>
                </c:pt>
                <c:pt idx="253">
                  <c:v>135</c:v>
                </c:pt>
                <c:pt idx="254">
                  <c:v>135</c:v>
                </c:pt>
                <c:pt idx="255">
                  <c:v>135</c:v>
                </c:pt>
                <c:pt idx="256">
                  <c:v>135</c:v>
                </c:pt>
                <c:pt idx="257">
                  <c:v>135</c:v>
                </c:pt>
                <c:pt idx="258">
                  <c:v>135</c:v>
                </c:pt>
                <c:pt idx="259">
                  <c:v>135</c:v>
                </c:pt>
                <c:pt idx="260">
                  <c:v>135</c:v>
                </c:pt>
                <c:pt idx="261">
                  <c:v>135</c:v>
                </c:pt>
                <c:pt idx="262">
                  <c:v>135</c:v>
                </c:pt>
                <c:pt idx="263">
                  <c:v>135</c:v>
                </c:pt>
                <c:pt idx="264">
                  <c:v>135</c:v>
                </c:pt>
                <c:pt idx="265">
                  <c:v>135</c:v>
                </c:pt>
                <c:pt idx="266">
                  <c:v>135</c:v>
                </c:pt>
                <c:pt idx="267">
                  <c:v>135</c:v>
                </c:pt>
                <c:pt idx="268">
                  <c:v>135</c:v>
                </c:pt>
                <c:pt idx="269">
                  <c:v>135</c:v>
                </c:pt>
                <c:pt idx="270">
                  <c:v>135</c:v>
                </c:pt>
                <c:pt idx="271">
                  <c:v>135</c:v>
                </c:pt>
                <c:pt idx="272">
                  <c:v>135</c:v>
                </c:pt>
                <c:pt idx="273">
                  <c:v>135</c:v>
                </c:pt>
                <c:pt idx="274">
                  <c:v>135</c:v>
                </c:pt>
                <c:pt idx="275">
                  <c:v>135</c:v>
                </c:pt>
                <c:pt idx="276">
                  <c:v>135</c:v>
                </c:pt>
                <c:pt idx="277">
                  <c:v>135</c:v>
                </c:pt>
                <c:pt idx="278">
                  <c:v>135</c:v>
                </c:pt>
                <c:pt idx="279">
                  <c:v>135</c:v>
                </c:pt>
                <c:pt idx="280">
                  <c:v>135</c:v>
                </c:pt>
                <c:pt idx="281">
                  <c:v>135</c:v>
                </c:pt>
                <c:pt idx="282">
                  <c:v>135</c:v>
                </c:pt>
                <c:pt idx="283">
                  <c:v>135</c:v>
                </c:pt>
                <c:pt idx="284">
                  <c:v>135</c:v>
                </c:pt>
                <c:pt idx="285">
                  <c:v>243</c:v>
                </c:pt>
                <c:pt idx="286">
                  <c:v>243</c:v>
                </c:pt>
                <c:pt idx="287">
                  <c:v>243</c:v>
                </c:pt>
                <c:pt idx="288">
                  <c:v>243</c:v>
                </c:pt>
                <c:pt idx="289">
                  <c:v>243</c:v>
                </c:pt>
                <c:pt idx="290">
                  <c:v>243</c:v>
                </c:pt>
                <c:pt idx="291">
                  <c:v>243</c:v>
                </c:pt>
                <c:pt idx="292">
                  <c:v>243</c:v>
                </c:pt>
                <c:pt idx="293">
                  <c:v>243</c:v>
                </c:pt>
                <c:pt idx="294">
                  <c:v>243</c:v>
                </c:pt>
                <c:pt idx="295">
                  <c:v>243</c:v>
                </c:pt>
                <c:pt idx="296">
                  <c:v>243</c:v>
                </c:pt>
                <c:pt idx="297">
                  <c:v>243</c:v>
                </c:pt>
                <c:pt idx="298">
                  <c:v>243</c:v>
                </c:pt>
                <c:pt idx="299">
                  <c:v>243</c:v>
                </c:pt>
                <c:pt idx="300">
                  <c:v>243</c:v>
                </c:pt>
                <c:pt idx="301">
                  <c:v>243</c:v>
                </c:pt>
                <c:pt idx="302">
                  <c:v>243</c:v>
                </c:pt>
                <c:pt idx="303">
                  <c:v>243</c:v>
                </c:pt>
                <c:pt idx="304">
                  <c:v>243</c:v>
                </c:pt>
                <c:pt idx="305">
                  <c:v>243</c:v>
                </c:pt>
                <c:pt idx="306">
                  <c:v>243</c:v>
                </c:pt>
                <c:pt idx="307">
                  <c:v>243</c:v>
                </c:pt>
                <c:pt idx="308">
                  <c:v>243</c:v>
                </c:pt>
                <c:pt idx="309">
                  <c:v>243</c:v>
                </c:pt>
                <c:pt idx="310">
                  <c:v>243</c:v>
                </c:pt>
                <c:pt idx="311">
                  <c:v>243</c:v>
                </c:pt>
                <c:pt idx="312">
                  <c:v>243</c:v>
                </c:pt>
                <c:pt idx="313">
                  <c:v>243</c:v>
                </c:pt>
                <c:pt idx="314">
                  <c:v>243</c:v>
                </c:pt>
                <c:pt idx="315">
                  <c:v>243</c:v>
                </c:pt>
                <c:pt idx="316">
                  <c:v>243</c:v>
                </c:pt>
                <c:pt idx="317">
                  <c:v>243</c:v>
                </c:pt>
                <c:pt idx="318">
                  <c:v>243</c:v>
                </c:pt>
                <c:pt idx="319">
                  <c:v>243</c:v>
                </c:pt>
                <c:pt idx="320">
                  <c:v>243</c:v>
                </c:pt>
                <c:pt idx="321">
                  <c:v>243</c:v>
                </c:pt>
                <c:pt idx="322">
                  <c:v>243</c:v>
                </c:pt>
                <c:pt idx="323">
                  <c:v>243</c:v>
                </c:pt>
                <c:pt idx="324">
                  <c:v>243</c:v>
                </c:pt>
                <c:pt idx="325">
                  <c:v>243</c:v>
                </c:pt>
                <c:pt idx="326">
                  <c:v>243</c:v>
                </c:pt>
                <c:pt idx="327">
                  <c:v>243</c:v>
                </c:pt>
                <c:pt idx="328">
                  <c:v>243</c:v>
                </c:pt>
                <c:pt idx="329">
                  <c:v>243</c:v>
                </c:pt>
                <c:pt idx="330">
                  <c:v>243</c:v>
                </c:pt>
                <c:pt idx="331">
                  <c:v>243</c:v>
                </c:pt>
                <c:pt idx="332">
                  <c:v>243</c:v>
                </c:pt>
                <c:pt idx="333">
                  <c:v>243</c:v>
                </c:pt>
                <c:pt idx="334">
                  <c:v>243</c:v>
                </c:pt>
                <c:pt idx="335">
                  <c:v>243</c:v>
                </c:pt>
                <c:pt idx="336">
                  <c:v>243</c:v>
                </c:pt>
                <c:pt idx="337">
                  <c:v>243</c:v>
                </c:pt>
                <c:pt idx="338">
                  <c:v>243</c:v>
                </c:pt>
                <c:pt idx="339">
                  <c:v>243</c:v>
                </c:pt>
                <c:pt idx="340">
                  <c:v>243</c:v>
                </c:pt>
                <c:pt idx="341">
                  <c:v>243</c:v>
                </c:pt>
                <c:pt idx="342">
                  <c:v>243</c:v>
                </c:pt>
                <c:pt idx="343">
                  <c:v>243</c:v>
                </c:pt>
                <c:pt idx="344">
                  <c:v>243</c:v>
                </c:pt>
                <c:pt idx="345">
                  <c:v>243</c:v>
                </c:pt>
                <c:pt idx="346">
                  <c:v>243</c:v>
                </c:pt>
                <c:pt idx="347">
                  <c:v>243</c:v>
                </c:pt>
                <c:pt idx="348">
                  <c:v>243</c:v>
                </c:pt>
                <c:pt idx="349">
                  <c:v>243</c:v>
                </c:pt>
                <c:pt idx="350">
                  <c:v>243</c:v>
                </c:pt>
                <c:pt idx="351">
                  <c:v>243</c:v>
                </c:pt>
                <c:pt idx="352">
                  <c:v>243</c:v>
                </c:pt>
                <c:pt idx="353">
                  <c:v>243</c:v>
                </c:pt>
                <c:pt idx="354">
                  <c:v>243</c:v>
                </c:pt>
                <c:pt idx="355">
                  <c:v>243</c:v>
                </c:pt>
                <c:pt idx="356">
                  <c:v>243</c:v>
                </c:pt>
                <c:pt idx="357">
                  <c:v>243</c:v>
                </c:pt>
                <c:pt idx="358">
                  <c:v>243</c:v>
                </c:pt>
                <c:pt idx="359">
                  <c:v>243</c:v>
                </c:pt>
                <c:pt idx="360">
                  <c:v>243</c:v>
                </c:pt>
                <c:pt idx="361">
                  <c:v>243</c:v>
                </c:pt>
                <c:pt idx="362">
                  <c:v>243</c:v>
                </c:pt>
                <c:pt idx="363">
                  <c:v>243</c:v>
                </c:pt>
                <c:pt idx="364">
                  <c:v>243</c:v>
                </c:pt>
                <c:pt idx="365">
                  <c:v>243</c:v>
                </c:pt>
                <c:pt idx="366">
                  <c:v>243</c:v>
                </c:pt>
                <c:pt idx="367">
                  <c:v>243</c:v>
                </c:pt>
                <c:pt idx="368">
                  <c:v>243</c:v>
                </c:pt>
                <c:pt idx="369">
                  <c:v>243</c:v>
                </c:pt>
                <c:pt idx="370">
                  <c:v>243</c:v>
                </c:pt>
                <c:pt idx="371">
                  <c:v>243</c:v>
                </c:pt>
                <c:pt idx="372">
                  <c:v>243</c:v>
                </c:pt>
                <c:pt idx="373">
                  <c:v>243</c:v>
                </c:pt>
                <c:pt idx="374">
                  <c:v>243</c:v>
                </c:pt>
                <c:pt idx="375">
                  <c:v>243</c:v>
                </c:pt>
                <c:pt idx="376">
                  <c:v>243</c:v>
                </c:pt>
                <c:pt idx="377">
                  <c:v>243</c:v>
                </c:pt>
                <c:pt idx="378">
                  <c:v>243</c:v>
                </c:pt>
                <c:pt idx="379">
                  <c:v>243</c:v>
                </c:pt>
                <c:pt idx="380">
                  <c:v>243</c:v>
                </c:pt>
                <c:pt idx="381">
                  <c:v>243</c:v>
                </c:pt>
                <c:pt idx="382">
                  <c:v>243</c:v>
                </c:pt>
                <c:pt idx="383">
                  <c:v>243</c:v>
                </c:pt>
                <c:pt idx="384">
                  <c:v>243</c:v>
                </c:pt>
                <c:pt idx="385">
                  <c:v>243</c:v>
                </c:pt>
                <c:pt idx="386">
                  <c:v>243</c:v>
                </c:pt>
                <c:pt idx="387">
                  <c:v>243</c:v>
                </c:pt>
                <c:pt idx="388">
                  <c:v>243</c:v>
                </c:pt>
                <c:pt idx="389">
                  <c:v>243</c:v>
                </c:pt>
                <c:pt idx="390">
                  <c:v>243</c:v>
                </c:pt>
                <c:pt idx="391">
                  <c:v>243</c:v>
                </c:pt>
                <c:pt idx="392">
                  <c:v>243</c:v>
                </c:pt>
                <c:pt idx="393">
                  <c:v>243</c:v>
                </c:pt>
                <c:pt idx="394">
                  <c:v>243</c:v>
                </c:pt>
                <c:pt idx="395">
                  <c:v>243</c:v>
                </c:pt>
                <c:pt idx="396">
                  <c:v>243</c:v>
                </c:pt>
                <c:pt idx="397">
                  <c:v>243</c:v>
                </c:pt>
                <c:pt idx="398">
                  <c:v>243</c:v>
                </c:pt>
                <c:pt idx="399">
                  <c:v>243</c:v>
                </c:pt>
                <c:pt idx="400">
                  <c:v>243</c:v>
                </c:pt>
                <c:pt idx="401">
                  <c:v>243</c:v>
                </c:pt>
                <c:pt idx="402">
                  <c:v>243</c:v>
                </c:pt>
                <c:pt idx="403">
                  <c:v>243</c:v>
                </c:pt>
                <c:pt idx="404">
                  <c:v>243</c:v>
                </c:pt>
                <c:pt idx="405">
                  <c:v>243</c:v>
                </c:pt>
                <c:pt idx="406">
                  <c:v>243</c:v>
                </c:pt>
                <c:pt idx="407">
                  <c:v>243</c:v>
                </c:pt>
                <c:pt idx="408">
                  <c:v>243</c:v>
                </c:pt>
                <c:pt idx="409">
                  <c:v>243</c:v>
                </c:pt>
                <c:pt idx="410">
                  <c:v>243</c:v>
                </c:pt>
                <c:pt idx="411">
                  <c:v>243</c:v>
                </c:pt>
                <c:pt idx="412">
                  <c:v>243</c:v>
                </c:pt>
                <c:pt idx="413">
                  <c:v>243</c:v>
                </c:pt>
                <c:pt idx="414">
                  <c:v>243</c:v>
                </c:pt>
                <c:pt idx="415">
                  <c:v>243</c:v>
                </c:pt>
                <c:pt idx="416">
                  <c:v>243</c:v>
                </c:pt>
                <c:pt idx="417">
                  <c:v>243</c:v>
                </c:pt>
                <c:pt idx="418">
                  <c:v>243</c:v>
                </c:pt>
                <c:pt idx="419">
                  <c:v>243</c:v>
                </c:pt>
                <c:pt idx="420">
                  <c:v>243</c:v>
                </c:pt>
                <c:pt idx="421">
                  <c:v>243</c:v>
                </c:pt>
                <c:pt idx="422">
                  <c:v>243</c:v>
                </c:pt>
                <c:pt idx="423">
                  <c:v>243</c:v>
                </c:pt>
                <c:pt idx="424">
                  <c:v>243</c:v>
                </c:pt>
                <c:pt idx="425">
                  <c:v>243</c:v>
                </c:pt>
                <c:pt idx="426">
                  <c:v>243</c:v>
                </c:pt>
                <c:pt idx="427">
                  <c:v>243</c:v>
                </c:pt>
                <c:pt idx="428">
                  <c:v>243</c:v>
                </c:pt>
                <c:pt idx="429">
                  <c:v>243</c:v>
                </c:pt>
                <c:pt idx="430">
                  <c:v>243</c:v>
                </c:pt>
                <c:pt idx="431">
                  <c:v>243</c:v>
                </c:pt>
                <c:pt idx="432">
                  <c:v>243</c:v>
                </c:pt>
                <c:pt idx="433">
                  <c:v>243</c:v>
                </c:pt>
                <c:pt idx="434">
                  <c:v>243</c:v>
                </c:pt>
                <c:pt idx="435">
                  <c:v>243</c:v>
                </c:pt>
                <c:pt idx="436">
                  <c:v>243</c:v>
                </c:pt>
                <c:pt idx="437">
                  <c:v>243</c:v>
                </c:pt>
                <c:pt idx="438">
                  <c:v>243</c:v>
                </c:pt>
                <c:pt idx="439">
                  <c:v>243</c:v>
                </c:pt>
                <c:pt idx="440">
                  <c:v>243</c:v>
                </c:pt>
                <c:pt idx="441">
                  <c:v>243</c:v>
                </c:pt>
                <c:pt idx="442">
                  <c:v>243</c:v>
                </c:pt>
                <c:pt idx="443">
                  <c:v>243</c:v>
                </c:pt>
                <c:pt idx="444">
                  <c:v>243</c:v>
                </c:pt>
                <c:pt idx="445">
                  <c:v>243</c:v>
                </c:pt>
                <c:pt idx="446">
                  <c:v>243</c:v>
                </c:pt>
                <c:pt idx="447">
                  <c:v>243</c:v>
                </c:pt>
                <c:pt idx="448">
                  <c:v>243</c:v>
                </c:pt>
                <c:pt idx="449">
                  <c:v>243</c:v>
                </c:pt>
                <c:pt idx="450">
                  <c:v>243</c:v>
                </c:pt>
                <c:pt idx="451">
                  <c:v>243</c:v>
                </c:pt>
                <c:pt idx="452">
                  <c:v>243</c:v>
                </c:pt>
                <c:pt idx="453">
                  <c:v>243</c:v>
                </c:pt>
                <c:pt idx="454">
                  <c:v>243</c:v>
                </c:pt>
                <c:pt idx="455">
                  <c:v>243</c:v>
                </c:pt>
                <c:pt idx="456">
                  <c:v>243</c:v>
                </c:pt>
                <c:pt idx="457">
                  <c:v>243</c:v>
                </c:pt>
                <c:pt idx="458">
                  <c:v>243</c:v>
                </c:pt>
                <c:pt idx="459">
                  <c:v>243</c:v>
                </c:pt>
                <c:pt idx="460">
                  <c:v>243</c:v>
                </c:pt>
                <c:pt idx="461">
                  <c:v>243</c:v>
                </c:pt>
                <c:pt idx="462">
                  <c:v>243</c:v>
                </c:pt>
                <c:pt idx="463">
                  <c:v>243</c:v>
                </c:pt>
                <c:pt idx="464">
                  <c:v>243</c:v>
                </c:pt>
                <c:pt idx="465">
                  <c:v>243</c:v>
                </c:pt>
                <c:pt idx="466">
                  <c:v>243</c:v>
                </c:pt>
                <c:pt idx="467">
                  <c:v>243</c:v>
                </c:pt>
                <c:pt idx="468">
                  <c:v>243</c:v>
                </c:pt>
                <c:pt idx="469">
                  <c:v>243</c:v>
                </c:pt>
                <c:pt idx="470">
                  <c:v>243</c:v>
                </c:pt>
                <c:pt idx="471">
                  <c:v>243</c:v>
                </c:pt>
                <c:pt idx="472">
                  <c:v>243</c:v>
                </c:pt>
                <c:pt idx="473">
                  <c:v>243</c:v>
                </c:pt>
                <c:pt idx="474">
                  <c:v>243</c:v>
                </c:pt>
                <c:pt idx="475">
                  <c:v>243</c:v>
                </c:pt>
                <c:pt idx="476">
                  <c:v>243</c:v>
                </c:pt>
                <c:pt idx="477">
                  <c:v>243</c:v>
                </c:pt>
                <c:pt idx="478">
                  <c:v>243</c:v>
                </c:pt>
                <c:pt idx="479">
                  <c:v>243</c:v>
                </c:pt>
                <c:pt idx="480">
                  <c:v>243</c:v>
                </c:pt>
                <c:pt idx="481">
                  <c:v>243</c:v>
                </c:pt>
                <c:pt idx="482">
                  <c:v>243</c:v>
                </c:pt>
                <c:pt idx="483">
                  <c:v>243</c:v>
                </c:pt>
                <c:pt idx="484">
                  <c:v>243</c:v>
                </c:pt>
                <c:pt idx="485">
                  <c:v>243</c:v>
                </c:pt>
                <c:pt idx="486">
                  <c:v>243</c:v>
                </c:pt>
                <c:pt idx="487">
                  <c:v>243</c:v>
                </c:pt>
                <c:pt idx="488">
                  <c:v>243</c:v>
                </c:pt>
                <c:pt idx="489">
                  <c:v>243</c:v>
                </c:pt>
                <c:pt idx="490">
                  <c:v>243</c:v>
                </c:pt>
                <c:pt idx="491">
                  <c:v>243</c:v>
                </c:pt>
                <c:pt idx="492">
                  <c:v>243</c:v>
                </c:pt>
                <c:pt idx="493">
                  <c:v>243</c:v>
                </c:pt>
                <c:pt idx="494">
                  <c:v>243</c:v>
                </c:pt>
                <c:pt idx="495">
                  <c:v>243</c:v>
                </c:pt>
                <c:pt idx="496">
                  <c:v>243</c:v>
                </c:pt>
                <c:pt idx="497">
                  <c:v>243</c:v>
                </c:pt>
                <c:pt idx="498">
                  <c:v>243</c:v>
                </c:pt>
                <c:pt idx="499">
                  <c:v>243</c:v>
                </c:pt>
                <c:pt idx="500">
                  <c:v>243</c:v>
                </c:pt>
                <c:pt idx="501">
                  <c:v>243</c:v>
                </c:pt>
                <c:pt idx="502">
                  <c:v>243</c:v>
                </c:pt>
                <c:pt idx="503">
                  <c:v>243</c:v>
                </c:pt>
                <c:pt idx="504">
                  <c:v>243</c:v>
                </c:pt>
                <c:pt idx="505">
                  <c:v>243</c:v>
                </c:pt>
                <c:pt idx="506">
                  <c:v>243</c:v>
                </c:pt>
                <c:pt idx="507">
                  <c:v>243</c:v>
                </c:pt>
                <c:pt idx="508">
                  <c:v>243</c:v>
                </c:pt>
                <c:pt idx="509">
                  <c:v>243</c:v>
                </c:pt>
                <c:pt idx="510">
                  <c:v>243</c:v>
                </c:pt>
                <c:pt idx="511">
                  <c:v>243</c:v>
                </c:pt>
                <c:pt idx="512">
                  <c:v>243</c:v>
                </c:pt>
                <c:pt idx="513">
                  <c:v>243</c:v>
                </c:pt>
                <c:pt idx="514">
                  <c:v>243</c:v>
                </c:pt>
                <c:pt idx="515">
                  <c:v>243</c:v>
                </c:pt>
                <c:pt idx="516">
                  <c:v>243</c:v>
                </c:pt>
                <c:pt idx="517">
                  <c:v>243</c:v>
                </c:pt>
                <c:pt idx="518">
                  <c:v>243</c:v>
                </c:pt>
                <c:pt idx="519">
                  <c:v>243</c:v>
                </c:pt>
                <c:pt idx="520">
                  <c:v>243</c:v>
                </c:pt>
                <c:pt idx="521">
                  <c:v>243</c:v>
                </c:pt>
                <c:pt idx="522">
                  <c:v>243</c:v>
                </c:pt>
                <c:pt idx="523">
                  <c:v>243</c:v>
                </c:pt>
                <c:pt idx="524">
                  <c:v>243</c:v>
                </c:pt>
                <c:pt idx="525">
                  <c:v>243</c:v>
                </c:pt>
                <c:pt idx="526">
                  <c:v>243</c:v>
                </c:pt>
                <c:pt idx="527">
                  <c:v>243</c:v>
                </c:pt>
                <c:pt idx="528">
                  <c:v>243</c:v>
                </c:pt>
                <c:pt idx="529">
                  <c:v>243</c:v>
                </c:pt>
                <c:pt idx="530">
                  <c:v>243</c:v>
                </c:pt>
                <c:pt idx="531">
                  <c:v>243</c:v>
                </c:pt>
                <c:pt idx="532">
                  <c:v>243</c:v>
                </c:pt>
                <c:pt idx="533">
                  <c:v>243</c:v>
                </c:pt>
                <c:pt idx="534">
                  <c:v>243</c:v>
                </c:pt>
                <c:pt idx="535">
                  <c:v>243</c:v>
                </c:pt>
                <c:pt idx="536">
                  <c:v>243</c:v>
                </c:pt>
                <c:pt idx="537">
                  <c:v>243</c:v>
                </c:pt>
                <c:pt idx="538">
                  <c:v>243</c:v>
                </c:pt>
                <c:pt idx="539">
                  <c:v>243</c:v>
                </c:pt>
                <c:pt idx="540">
                  <c:v>243</c:v>
                </c:pt>
                <c:pt idx="541">
                  <c:v>243</c:v>
                </c:pt>
                <c:pt idx="542">
                  <c:v>243</c:v>
                </c:pt>
                <c:pt idx="543">
                  <c:v>243</c:v>
                </c:pt>
                <c:pt idx="544">
                  <c:v>243</c:v>
                </c:pt>
                <c:pt idx="545">
                  <c:v>243</c:v>
                </c:pt>
                <c:pt idx="546">
                  <c:v>243</c:v>
                </c:pt>
                <c:pt idx="547">
                  <c:v>243</c:v>
                </c:pt>
                <c:pt idx="548">
                  <c:v>243</c:v>
                </c:pt>
                <c:pt idx="549">
                  <c:v>243</c:v>
                </c:pt>
                <c:pt idx="550">
                  <c:v>243</c:v>
                </c:pt>
                <c:pt idx="551">
                  <c:v>243</c:v>
                </c:pt>
                <c:pt idx="552">
                  <c:v>243</c:v>
                </c:pt>
                <c:pt idx="553">
                  <c:v>243</c:v>
                </c:pt>
                <c:pt idx="554">
                  <c:v>243</c:v>
                </c:pt>
                <c:pt idx="555">
                  <c:v>243</c:v>
                </c:pt>
                <c:pt idx="556">
                  <c:v>243</c:v>
                </c:pt>
                <c:pt idx="557">
                  <c:v>243</c:v>
                </c:pt>
                <c:pt idx="558">
                  <c:v>243</c:v>
                </c:pt>
                <c:pt idx="559">
                  <c:v>243</c:v>
                </c:pt>
                <c:pt idx="560">
                  <c:v>243</c:v>
                </c:pt>
                <c:pt idx="561">
                  <c:v>243</c:v>
                </c:pt>
                <c:pt idx="562">
                  <c:v>243</c:v>
                </c:pt>
                <c:pt idx="563">
                  <c:v>243</c:v>
                </c:pt>
                <c:pt idx="564">
                  <c:v>243</c:v>
                </c:pt>
                <c:pt idx="565">
                  <c:v>243</c:v>
                </c:pt>
                <c:pt idx="566">
                  <c:v>243</c:v>
                </c:pt>
                <c:pt idx="567">
                  <c:v>243</c:v>
                </c:pt>
                <c:pt idx="568">
                  <c:v>243</c:v>
                </c:pt>
                <c:pt idx="569">
                  <c:v>243</c:v>
                </c:pt>
                <c:pt idx="570">
                  <c:v>243</c:v>
                </c:pt>
                <c:pt idx="571">
                  <c:v>243</c:v>
                </c:pt>
                <c:pt idx="572">
                  <c:v>243</c:v>
                </c:pt>
                <c:pt idx="573">
                  <c:v>243</c:v>
                </c:pt>
                <c:pt idx="574" formatCode="d\-mmm">
                  <c:v>0</c:v>
                </c:pt>
              </c:numCache>
            </c:numRef>
          </c:val>
          <c:smooth val="0"/>
        </c:ser>
        <c:ser>
          <c:idx val="4"/>
          <c:order val="2"/>
          <c:tx>
            <c:v>PAWmax</c:v>
          </c:tx>
          <c:spPr>
            <a:ln w="38100">
              <a:solidFill>
                <a:srgbClr val="0000FF"/>
              </a:solidFill>
              <a:prstDash val="solid"/>
            </a:ln>
          </c:spPr>
          <c:marker>
            <c:symbol val="none"/>
          </c:marker>
          <c:cat>
            <c:numRef>
              <c:f>MakeSchedule!$A$16:$A$592</c:f>
              <c:numCache>
                <c:formatCode>dd\-mmm\-yy</c:formatCode>
                <c:ptCount val="577"/>
                <c:pt idx="0">
                  <c:v>41640</c:v>
                </c:pt>
                <c:pt idx="1">
                  <c:v>41641</c:v>
                </c:pt>
                <c:pt idx="2">
                  <c:v>41642</c:v>
                </c:pt>
                <c:pt idx="3">
                  <c:v>41643</c:v>
                </c:pt>
                <c:pt idx="4">
                  <c:v>41644</c:v>
                </c:pt>
                <c:pt idx="5">
                  <c:v>41645</c:v>
                </c:pt>
                <c:pt idx="6">
                  <c:v>41646</c:v>
                </c:pt>
                <c:pt idx="7">
                  <c:v>41647</c:v>
                </c:pt>
                <c:pt idx="8">
                  <c:v>41648</c:v>
                </c:pt>
                <c:pt idx="9">
                  <c:v>41649</c:v>
                </c:pt>
                <c:pt idx="10">
                  <c:v>41650</c:v>
                </c:pt>
                <c:pt idx="11">
                  <c:v>41651</c:v>
                </c:pt>
                <c:pt idx="12">
                  <c:v>41652</c:v>
                </c:pt>
                <c:pt idx="13">
                  <c:v>41653</c:v>
                </c:pt>
                <c:pt idx="14">
                  <c:v>41654</c:v>
                </c:pt>
                <c:pt idx="15">
                  <c:v>41655</c:v>
                </c:pt>
                <c:pt idx="16">
                  <c:v>41656</c:v>
                </c:pt>
                <c:pt idx="17">
                  <c:v>41657</c:v>
                </c:pt>
                <c:pt idx="18">
                  <c:v>41658</c:v>
                </c:pt>
                <c:pt idx="19">
                  <c:v>41659</c:v>
                </c:pt>
                <c:pt idx="20">
                  <c:v>41660</c:v>
                </c:pt>
                <c:pt idx="21">
                  <c:v>41661</c:v>
                </c:pt>
                <c:pt idx="22">
                  <c:v>41662</c:v>
                </c:pt>
                <c:pt idx="23">
                  <c:v>41663</c:v>
                </c:pt>
                <c:pt idx="24">
                  <c:v>41664</c:v>
                </c:pt>
                <c:pt idx="25">
                  <c:v>41665</c:v>
                </c:pt>
                <c:pt idx="26">
                  <c:v>41666</c:v>
                </c:pt>
                <c:pt idx="27">
                  <c:v>41667</c:v>
                </c:pt>
                <c:pt idx="28">
                  <c:v>41668</c:v>
                </c:pt>
                <c:pt idx="29">
                  <c:v>41669</c:v>
                </c:pt>
                <c:pt idx="30">
                  <c:v>41670</c:v>
                </c:pt>
                <c:pt idx="31">
                  <c:v>41671</c:v>
                </c:pt>
                <c:pt idx="32">
                  <c:v>41672</c:v>
                </c:pt>
                <c:pt idx="33">
                  <c:v>41673</c:v>
                </c:pt>
                <c:pt idx="34">
                  <c:v>41674</c:v>
                </c:pt>
                <c:pt idx="35">
                  <c:v>41675</c:v>
                </c:pt>
                <c:pt idx="36">
                  <c:v>41676</c:v>
                </c:pt>
                <c:pt idx="37">
                  <c:v>41677</c:v>
                </c:pt>
                <c:pt idx="38">
                  <c:v>41678</c:v>
                </c:pt>
                <c:pt idx="39">
                  <c:v>41679</c:v>
                </c:pt>
                <c:pt idx="40">
                  <c:v>41680</c:v>
                </c:pt>
                <c:pt idx="41">
                  <c:v>41681</c:v>
                </c:pt>
                <c:pt idx="42">
                  <c:v>41682</c:v>
                </c:pt>
                <c:pt idx="43">
                  <c:v>41683</c:v>
                </c:pt>
                <c:pt idx="44">
                  <c:v>41684</c:v>
                </c:pt>
                <c:pt idx="45">
                  <c:v>41685</c:v>
                </c:pt>
                <c:pt idx="46">
                  <c:v>41686</c:v>
                </c:pt>
                <c:pt idx="47">
                  <c:v>41687</c:v>
                </c:pt>
                <c:pt idx="48">
                  <c:v>41688</c:v>
                </c:pt>
                <c:pt idx="49">
                  <c:v>41689</c:v>
                </c:pt>
                <c:pt idx="50">
                  <c:v>41690</c:v>
                </c:pt>
                <c:pt idx="51">
                  <c:v>41691</c:v>
                </c:pt>
                <c:pt idx="52">
                  <c:v>41692</c:v>
                </c:pt>
                <c:pt idx="53">
                  <c:v>41693</c:v>
                </c:pt>
                <c:pt idx="54">
                  <c:v>41694</c:v>
                </c:pt>
                <c:pt idx="55">
                  <c:v>41695</c:v>
                </c:pt>
                <c:pt idx="56">
                  <c:v>41696</c:v>
                </c:pt>
                <c:pt idx="57">
                  <c:v>41697</c:v>
                </c:pt>
                <c:pt idx="58">
                  <c:v>41698</c:v>
                </c:pt>
                <c:pt idx="59">
                  <c:v>41699</c:v>
                </c:pt>
                <c:pt idx="60">
                  <c:v>41700</c:v>
                </c:pt>
                <c:pt idx="61">
                  <c:v>41701</c:v>
                </c:pt>
                <c:pt idx="62">
                  <c:v>41702</c:v>
                </c:pt>
                <c:pt idx="63">
                  <c:v>41703</c:v>
                </c:pt>
                <c:pt idx="64">
                  <c:v>41704</c:v>
                </c:pt>
                <c:pt idx="65">
                  <c:v>41705</c:v>
                </c:pt>
                <c:pt idx="66">
                  <c:v>41706</c:v>
                </c:pt>
                <c:pt idx="67">
                  <c:v>41707</c:v>
                </c:pt>
                <c:pt idx="68">
                  <c:v>41708</c:v>
                </c:pt>
                <c:pt idx="69">
                  <c:v>41709</c:v>
                </c:pt>
                <c:pt idx="70">
                  <c:v>41710</c:v>
                </c:pt>
                <c:pt idx="71">
                  <c:v>41711</c:v>
                </c:pt>
                <c:pt idx="72">
                  <c:v>41712</c:v>
                </c:pt>
                <c:pt idx="73">
                  <c:v>41713</c:v>
                </c:pt>
                <c:pt idx="74">
                  <c:v>41714</c:v>
                </c:pt>
                <c:pt idx="75">
                  <c:v>41715</c:v>
                </c:pt>
                <c:pt idx="76">
                  <c:v>41716</c:v>
                </c:pt>
                <c:pt idx="77">
                  <c:v>41717</c:v>
                </c:pt>
                <c:pt idx="78">
                  <c:v>41718</c:v>
                </c:pt>
                <c:pt idx="79">
                  <c:v>41719</c:v>
                </c:pt>
                <c:pt idx="80">
                  <c:v>41720</c:v>
                </c:pt>
                <c:pt idx="81">
                  <c:v>41721</c:v>
                </c:pt>
                <c:pt idx="82">
                  <c:v>41722</c:v>
                </c:pt>
                <c:pt idx="83">
                  <c:v>41723</c:v>
                </c:pt>
                <c:pt idx="84">
                  <c:v>41724</c:v>
                </c:pt>
                <c:pt idx="85">
                  <c:v>41725</c:v>
                </c:pt>
                <c:pt idx="86">
                  <c:v>41726</c:v>
                </c:pt>
                <c:pt idx="87">
                  <c:v>41727</c:v>
                </c:pt>
                <c:pt idx="88">
                  <c:v>41728</c:v>
                </c:pt>
                <c:pt idx="89">
                  <c:v>41729</c:v>
                </c:pt>
                <c:pt idx="90">
                  <c:v>41730</c:v>
                </c:pt>
                <c:pt idx="91">
                  <c:v>41731</c:v>
                </c:pt>
                <c:pt idx="92">
                  <c:v>41732</c:v>
                </c:pt>
                <c:pt idx="93">
                  <c:v>41733</c:v>
                </c:pt>
                <c:pt idx="94">
                  <c:v>41734</c:v>
                </c:pt>
                <c:pt idx="95">
                  <c:v>41735</c:v>
                </c:pt>
                <c:pt idx="96">
                  <c:v>41736</c:v>
                </c:pt>
                <c:pt idx="97">
                  <c:v>41737</c:v>
                </c:pt>
                <c:pt idx="98">
                  <c:v>41738</c:v>
                </c:pt>
                <c:pt idx="99">
                  <c:v>41739</c:v>
                </c:pt>
                <c:pt idx="100">
                  <c:v>41740</c:v>
                </c:pt>
                <c:pt idx="101">
                  <c:v>41741</c:v>
                </c:pt>
                <c:pt idx="102">
                  <c:v>41742</c:v>
                </c:pt>
                <c:pt idx="103">
                  <c:v>41743</c:v>
                </c:pt>
                <c:pt idx="104">
                  <c:v>41744</c:v>
                </c:pt>
                <c:pt idx="105">
                  <c:v>41745</c:v>
                </c:pt>
                <c:pt idx="106">
                  <c:v>41746</c:v>
                </c:pt>
                <c:pt idx="107">
                  <c:v>41747</c:v>
                </c:pt>
                <c:pt idx="108">
                  <c:v>41748</c:v>
                </c:pt>
                <c:pt idx="109">
                  <c:v>41749</c:v>
                </c:pt>
                <c:pt idx="110">
                  <c:v>41750</c:v>
                </c:pt>
                <c:pt idx="111">
                  <c:v>41751</c:v>
                </c:pt>
                <c:pt idx="112">
                  <c:v>41752</c:v>
                </c:pt>
                <c:pt idx="113">
                  <c:v>41753</c:v>
                </c:pt>
                <c:pt idx="114">
                  <c:v>41754</c:v>
                </c:pt>
                <c:pt idx="115">
                  <c:v>41755</c:v>
                </c:pt>
                <c:pt idx="116">
                  <c:v>41756</c:v>
                </c:pt>
                <c:pt idx="117">
                  <c:v>41757</c:v>
                </c:pt>
                <c:pt idx="118">
                  <c:v>41758</c:v>
                </c:pt>
                <c:pt idx="119">
                  <c:v>41759</c:v>
                </c:pt>
                <c:pt idx="120">
                  <c:v>41760</c:v>
                </c:pt>
                <c:pt idx="121">
                  <c:v>41761</c:v>
                </c:pt>
                <c:pt idx="122">
                  <c:v>41762</c:v>
                </c:pt>
                <c:pt idx="123">
                  <c:v>41763</c:v>
                </c:pt>
                <c:pt idx="124">
                  <c:v>41764</c:v>
                </c:pt>
                <c:pt idx="125">
                  <c:v>41765</c:v>
                </c:pt>
                <c:pt idx="126">
                  <c:v>41766</c:v>
                </c:pt>
                <c:pt idx="127">
                  <c:v>41767</c:v>
                </c:pt>
                <c:pt idx="128">
                  <c:v>41768</c:v>
                </c:pt>
                <c:pt idx="129">
                  <c:v>41769</c:v>
                </c:pt>
                <c:pt idx="130">
                  <c:v>41770</c:v>
                </c:pt>
                <c:pt idx="131">
                  <c:v>41771</c:v>
                </c:pt>
                <c:pt idx="132">
                  <c:v>41772</c:v>
                </c:pt>
                <c:pt idx="133">
                  <c:v>41773</c:v>
                </c:pt>
                <c:pt idx="134">
                  <c:v>41774</c:v>
                </c:pt>
                <c:pt idx="135">
                  <c:v>41775</c:v>
                </c:pt>
                <c:pt idx="136">
                  <c:v>41776</c:v>
                </c:pt>
                <c:pt idx="137">
                  <c:v>41777</c:v>
                </c:pt>
                <c:pt idx="138">
                  <c:v>41778</c:v>
                </c:pt>
                <c:pt idx="139">
                  <c:v>41779</c:v>
                </c:pt>
                <c:pt idx="140">
                  <c:v>41780</c:v>
                </c:pt>
                <c:pt idx="141">
                  <c:v>41781</c:v>
                </c:pt>
                <c:pt idx="142">
                  <c:v>41782</c:v>
                </c:pt>
                <c:pt idx="143">
                  <c:v>41783</c:v>
                </c:pt>
                <c:pt idx="144">
                  <c:v>41784</c:v>
                </c:pt>
                <c:pt idx="145">
                  <c:v>41785</c:v>
                </c:pt>
                <c:pt idx="146">
                  <c:v>41786</c:v>
                </c:pt>
                <c:pt idx="147">
                  <c:v>41787</c:v>
                </c:pt>
                <c:pt idx="148">
                  <c:v>41788</c:v>
                </c:pt>
                <c:pt idx="149">
                  <c:v>41789</c:v>
                </c:pt>
                <c:pt idx="150">
                  <c:v>41790</c:v>
                </c:pt>
                <c:pt idx="151">
                  <c:v>41791</c:v>
                </c:pt>
                <c:pt idx="152">
                  <c:v>41792</c:v>
                </c:pt>
                <c:pt idx="153">
                  <c:v>41793</c:v>
                </c:pt>
                <c:pt idx="154">
                  <c:v>41794</c:v>
                </c:pt>
                <c:pt idx="155">
                  <c:v>41795</c:v>
                </c:pt>
                <c:pt idx="156">
                  <c:v>41796</c:v>
                </c:pt>
                <c:pt idx="157">
                  <c:v>41797</c:v>
                </c:pt>
                <c:pt idx="158">
                  <c:v>41798</c:v>
                </c:pt>
                <c:pt idx="159">
                  <c:v>41799</c:v>
                </c:pt>
                <c:pt idx="160">
                  <c:v>41800</c:v>
                </c:pt>
                <c:pt idx="161">
                  <c:v>41801</c:v>
                </c:pt>
                <c:pt idx="162">
                  <c:v>41802</c:v>
                </c:pt>
                <c:pt idx="163">
                  <c:v>41803</c:v>
                </c:pt>
                <c:pt idx="164">
                  <c:v>41804</c:v>
                </c:pt>
                <c:pt idx="165">
                  <c:v>41805</c:v>
                </c:pt>
                <c:pt idx="166">
                  <c:v>41806</c:v>
                </c:pt>
                <c:pt idx="167">
                  <c:v>41807</c:v>
                </c:pt>
                <c:pt idx="168">
                  <c:v>41808</c:v>
                </c:pt>
                <c:pt idx="169">
                  <c:v>41809</c:v>
                </c:pt>
                <c:pt idx="170">
                  <c:v>41810</c:v>
                </c:pt>
                <c:pt idx="171">
                  <c:v>41811</c:v>
                </c:pt>
                <c:pt idx="172">
                  <c:v>41812</c:v>
                </c:pt>
                <c:pt idx="173">
                  <c:v>41813</c:v>
                </c:pt>
                <c:pt idx="174">
                  <c:v>41814</c:v>
                </c:pt>
                <c:pt idx="175">
                  <c:v>41815</c:v>
                </c:pt>
                <c:pt idx="176">
                  <c:v>41816</c:v>
                </c:pt>
                <c:pt idx="177">
                  <c:v>41817</c:v>
                </c:pt>
                <c:pt idx="178">
                  <c:v>41818</c:v>
                </c:pt>
                <c:pt idx="179">
                  <c:v>41819</c:v>
                </c:pt>
                <c:pt idx="180">
                  <c:v>41820</c:v>
                </c:pt>
                <c:pt idx="181">
                  <c:v>41821</c:v>
                </c:pt>
                <c:pt idx="182">
                  <c:v>41822</c:v>
                </c:pt>
                <c:pt idx="183">
                  <c:v>41823</c:v>
                </c:pt>
                <c:pt idx="184">
                  <c:v>41824</c:v>
                </c:pt>
                <c:pt idx="185">
                  <c:v>41825</c:v>
                </c:pt>
                <c:pt idx="186">
                  <c:v>41826</c:v>
                </c:pt>
                <c:pt idx="187">
                  <c:v>41827</c:v>
                </c:pt>
                <c:pt idx="188">
                  <c:v>41828</c:v>
                </c:pt>
                <c:pt idx="189">
                  <c:v>41829</c:v>
                </c:pt>
                <c:pt idx="190">
                  <c:v>41830</c:v>
                </c:pt>
                <c:pt idx="191">
                  <c:v>41831</c:v>
                </c:pt>
                <c:pt idx="192">
                  <c:v>41832</c:v>
                </c:pt>
                <c:pt idx="193">
                  <c:v>41833</c:v>
                </c:pt>
                <c:pt idx="194">
                  <c:v>41834</c:v>
                </c:pt>
                <c:pt idx="195">
                  <c:v>41835</c:v>
                </c:pt>
                <c:pt idx="196">
                  <c:v>41836</c:v>
                </c:pt>
                <c:pt idx="197">
                  <c:v>41837</c:v>
                </c:pt>
                <c:pt idx="198">
                  <c:v>41838</c:v>
                </c:pt>
                <c:pt idx="199">
                  <c:v>41839</c:v>
                </c:pt>
                <c:pt idx="200">
                  <c:v>41840</c:v>
                </c:pt>
                <c:pt idx="201">
                  <c:v>41841</c:v>
                </c:pt>
                <c:pt idx="202">
                  <c:v>41842</c:v>
                </c:pt>
                <c:pt idx="203">
                  <c:v>41843</c:v>
                </c:pt>
                <c:pt idx="204">
                  <c:v>41844</c:v>
                </c:pt>
                <c:pt idx="205">
                  <c:v>41845</c:v>
                </c:pt>
                <c:pt idx="206">
                  <c:v>41846</c:v>
                </c:pt>
                <c:pt idx="207">
                  <c:v>41847</c:v>
                </c:pt>
                <c:pt idx="208">
                  <c:v>41848</c:v>
                </c:pt>
                <c:pt idx="209">
                  <c:v>41849</c:v>
                </c:pt>
                <c:pt idx="210">
                  <c:v>41850</c:v>
                </c:pt>
                <c:pt idx="211">
                  <c:v>41851</c:v>
                </c:pt>
                <c:pt idx="212">
                  <c:v>41852</c:v>
                </c:pt>
                <c:pt idx="213">
                  <c:v>41853</c:v>
                </c:pt>
                <c:pt idx="214">
                  <c:v>41854</c:v>
                </c:pt>
                <c:pt idx="215">
                  <c:v>41855</c:v>
                </c:pt>
                <c:pt idx="216">
                  <c:v>41856</c:v>
                </c:pt>
                <c:pt idx="217">
                  <c:v>41857</c:v>
                </c:pt>
                <c:pt idx="218">
                  <c:v>41858</c:v>
                </c:pt>
                <c:pt idx="219">
                  <c:v>41859</c:v>
                </c:pt>
                <c:pt idx="220">
                  <c:v>41860</c:v>
                </c:pt>
                <c:pt idx="221">
                  <c:v>41861</c:v>
                </c:pt>
                <c:pt idx="222">
                  <c:v>41862</c:v>
                </c:pt>
                <c:pt idx="223">
                  <c:v>41863</c:v>
                </c:pt>
                <c:pt idx="224">
                  <c:v>41864</c:v>
                </c:pt>
                <c:pt idx="225">
                  <c:v>41865</c:v>
                </c:pt>
                <c:pt idx="226">
                  <c:v>41866</c:v>
                </c:pt>
                <c:pt idx="227">
                  <c:v>41867</c:v>
                </c:pt>
                <c:pt idx="228">
                  <c:v>41868</c:v>
                </c:pt>
                <c:pt idx="229">
                  <c:v>41869</c:v>
                </c:pt>
                <c:pt idx="230">
                  <c:v>41870</c:v>
                </c:pt>
                <c:pt idx="231">
                  <c:v>41871</c:v>
                </c:pt>
                <c:pt idx="232">
                  <c:v>41872</c:v>
                </c:pt>
                <c:pt idx="233">
                  <c:v>41873</c:v>
                </c:pt>
                <c:pt idx="234">
                  <c:v>41874</c:v>
                </c:pt>
                <c:pt idx="235">
                  <c:v>41875</c:v>
                </c:pt>
                <c:pt idx="236">
                  <c:v>41876</c:v>
                </c:pt>
                <c:pt idx="237">
                  <c:v>41877</c:v>
                </c:pt>
                <c:pt idx="238">
                  <c:v>41878</c:v>
                </c:pt>
                <c:pt idx="239">
                  <c:v>41879</c:v>
                </c:pt>
                <c:pt idx="240">
                  <c:v>41880</c:v>
                </c:pt>
                <c:pt idx="241">
                  <c:v>41881</c:v>
                </c:pt>
                <c:pt idx="242">
                  <c:v>41882</c:v>
                </c:pt>
                <c:pt idx="243">
                  <c:v>41883</c:v>
                </c:pt>
                <c:pt idx="244">
                  <c:v>41884</c:v>
                </c:pt>
                <c:pt idx="245">
                  <c:v>41885</c:v>
                </c:pt>
                <c:pt idx="246">
                  <c:v>41886</c:v>
                </c:pt>
                <c:pt idx="247">
                  <c:v>41887</c:v>
                </c:pt>
                <c:pt idx="248">
                  <c:v>41888</c:v>
                </c:pt>
                <c:pt idx="249">
                  <c:v>41889</c:v>
                </c:pt>
                <c:pt idx="250">
                  <c:v>41890</c:v>
                </c:pt>
                <c:pt idx="251">
                  <c:v>41891</c:v>
                </c:pt>
                <c:pt idx="252">
                  <c:v>41892</c:v>
                </c:pt>
                <c:pt idx="253">
                  <c:v>41893</c:v>
                </c:pt>
                <c:pt idx="254">
                  <c:v>41894</c:v>
                </c:pt>
                <c:pt idx="255">
                  <c:v>41895</c:v>
                </c:pt>
                <c:pt idx="256">
                  <c:v>41896</c:v>
                </c:pt>
                <c:pt idx="257">
                  <c:v>41897</c:v>
                </c:pt>
                <c:pt idx="258">
                  <c:v>41898</c:v>
                </c:pt>
                <c:pt idx="259">
                  <c:v>41899</c:v>
                </c:pt>
                <c:pt idx="260">
                  <c:v>41900</c:v>
                </c:pt>
                <c:pt idx="261">
                  <c:v>41901</c:v>
                </c:pt>
                <c:pt idx="262">
                  <c:v>41902</c:v>
                </c:pt>
                <c:pt idx="263">
                  <c:v>41903</c:v>
                </c:pt>
                <c:pt idx="264">
                  <c:v>41904</c:v>
                </c:pt>
                <c:pt idx="265">
                  <c:v>41905</c:v>
                </c:pt>
                <c:pt idx="266">
                  <c:v>41906</c:v>
                </c:pt>
                <c:pt idx="267">
                  <c:v>41907</c:v>
                </c:pt>
                <c:pt idx="268">
                  <c:v>41908</c:v>
                </c:pt>
                <c:pt idx="269">
                  <c:v>41909</c:v>
                </c:pt>
                <c:pt idx="270">
                  <c:v>41910</c:v>
                </c:pt>
                <c:pt idx="271">
                  <c:v>41911</c:v>
                </c:pt>
                <c:pt idx="272">
                  <c:v>41912</c:v>
                </c:pt>
                <c:pt idx="273">
                  <c:v>41913</c:v>
                </c:pt>
                <c:pt idx="274">
                  <c:v>41914</c:v>
                </c:pt>
                <c:pt idx="275">
                  <c:v>41915</c:v>
                </c:pt>
                <c:pt idx="276">
                  <c:v>41916</c:v>
                </c:pt>
                <c:pt idx="277">
                  <c:v>41917</c:v>
                </c:pt>
                <c:pt idx="278">
                  <c:v>41918</c:v>
                </c:pt>
                <c:pt idx="279">
                  <c:v>41919</c:v>
                </c:pt>
                <c:pt idx="280">
                  <c:v>41920</c:v>
                </c:pt>
                <c:pt idx="281">
                  <c:v>41921</c:v>
                </c:pt>
                <c:pt idx="282">
                  <c:v>41922</c:v>
                </c:pt>
                <c:pt idx="283">
                  <c:v>41923</c:v>
                </c:pt>
                <c:pt idx="284">
                  <c:v>41924</c:v>
                </c:pt>
                <c:pt idx="285">
                  <c:v>41925</c:v>
                </c:pt>
                <c:pt idx="286">
                  <c:v>41926</c:v>
                </c:pt>
                <c:pt idx="287">
                  <c:v>41927</c:v>
                </c:pt>
                <c:pt idx="288">
                  <c:v>41928</c:v>
                </c:pt>
                <c:pt idx="289">
                  <c:v>41929</c:v>
                </c:pt>
                <c:pt idx="290">
                  <c:v>41930</c:v>
                </c:pt>
                <c:pt idx="291">
                  <c:v>41931</c:v>
                </c:pt>
                <c:pt idx="292">
                  <c:v>41932</c:v>
                </c:pt>
                <c:pt idx="293">
                  <c:v>41933</c:v>
                </c:pt>
                <c:pt idx="294">
                  <c:v>41934</c:v>
                </c:pt>
                <c:pt idx="295">
                  <c:v>41935</c:v>
                </c:pt>
                <c:pt idx="296">
                  <c:v>41936</c:v>
                </c:pt>
                <c:pt idx="297">
                  <c:v>41937</c:v>
                </c:pt>
                <c:pt idx="298">
                  <c:v>41938</c:v>
                </c:pt>
                <c:pt idx="299">
                  <c:v>41939</c:v>
                </c:pt>
                <c:pt idx="300">
                  <c:v>41940</c:v>
                </c:pt>
                <c:pt idx="301">
                  <c:v>41941</c:v>
                </c:pt>
                <c:pt idx="302">
                  <c:v>41942</c:v>
                </c:pt>
                <c:pt idx="303">
                  <c:v>41943</c:v>
                </c:pt>
                <c:pt idx="304">
                  <c:v>41944</c:v>
                </c:pt>
                <c:pt idx="305">
                  <c:v>41945</c:v>
                </c:pt>
                <c:pt idx="306">
                  <c:v>41946</c:v>
                </c:pt>
                <c:pt idx="307">
                  <c:v>41947</c:v>
                </c:pt>
                <c:pt idx="308">
                  <c:v>41948</c:v>
                </c:pt>
                <c:pt idx="309">
                  <c:v>41949</c:v>
                </c:pt>
                <c:pt idx="310">
                  <c:v>41950</c:v>
                </c:pt>
                <c:pt idx="311">
                  <c:v>41951</c:v>
                </c:pt>
                <c:pt idx="312">
                  <c:v>41952</c:v>
                </c:pt>
                <c:pt idx="313">
                  <c:v>41953</c:v>
                </c:pt>
                <c:pt idx="314">
                  <c:v>41954</c:v>
                </c:pt>
                <c:pt idx="315">
                  <c:v>41955</c:v>
                </c:pt>
                <c:pt idx="316">
                  <c:v>41956</c:v>
                </c:pt>
                <c:pt idx="317">
                  <c:v>41957</c:v>
                </c:pt>
                <c:pt idx="318">
                  <c:v>41958</c:v>
                </c:pt>
                <c:pt idx="319">
                  <c:v>41959</c:v>
                </c:pt>
                <c:pt idx="320">
                  <c:v>41960</c:v>
                </c:pt>
                <c:pt idx="321">
                  <c:v>41961</c:v>
                </c:pt>
                <c:pt idx="322">
                  <c:v>41962</c:v>
                </c:pt>
                <c:pt idx="323">
                  <c:v>41963</c:v>
                </c:pt>
                <c:pt idx="324">
                  <c:v>41964</c:v>
                </c:pt>
                <c:pt idx="325">
                  <c:v>41965</c:v>
                </c:pt>
                <c:pt idx="326">
                  <c:v>41966</c:v>
                </c:pt>
                <c:pt idx="327">
                  <c:v>41967</c:v>
                </c:pt>
                <c:pt idx="328">
                  <c:v>41968</c:v>
                </c:pt>
                <c:pt idx="329">
                  <c:v>41969</c:v>
                </c:pt>
                <c:pt idx="330">
                  <c:v>41970</c:v>
                </c:pt>
                <c:pt idx="331">
                  <c:v>41971</c:v>
                </c:pt>
                <c:pt idx="332">
                  <c:v>41972</c:v>
                </c:pt>
                <c:pt idx="333">
                  <c:v>41973</c:v>
                </c:pt>
                <c:pt idx="334">
                  <c:v>41974</c:v>
                </c:pt>
                <c:pt idx="335">
                  <c:v>41975</c:v>
                </c:pt>
                <c:pt idx="336">
                  <c:v>41976</c:v>
                </c:pt>
                <c:pt idx="337">
                  <c:v>41977</c:v>
                </c:pt>
                <c:pt idx="338">
                  <c:v>41978</c:v>
                </c:pt>
                <c:pt idx="339">
                  <c:v>41979</c:v>
                </c:pt>
                <c:pt idx="340">
                  <c:v>41980</c:v>
                </c:pt>
                <c:pt idx="341">
                  <c:v>41981</c:v>
                </c:pt>
                <c:pt idx="342">
                  <c:v>41982</c:v>
                </c:pt>
                <c:pt idx="343">
                  <c:v>41983</c:v>
                </c:pt>
                <c:pt idx="344">
                  <c:v>41984</c:v>
                </c:pt>
                <c:pt idx="345">
                  <c:v>41985</c:v>
                </c:pt>
                <c:pt idx="346">
                  <c:v>41986</c:v>
                </c:pt>
                <c:pt idx="347">
                  <c:v>41987</c:v>
                </c:pt>
                <c:pt idx="348">
                  <c:v>41988</c:v>
                </c:pt>
                <c:pt idx="349">
                  <c:v>41989</c:v>
                </c:pt>
                <c:pt idx="350">
                  <c:v>41990</c:v>
                </c:pt>
                <c:pt idx="351">
                  <c:v>41991</c:v>
                </c:pt>
                <c:pt idx="352">
                  <c:v>41992</c:v>
                </c:pt>
                <c:pt idx="353">
                  <c:v>41993</c:v>
                </c:pt>
                <c:pt idx="354">
                  <c:v>41994</c:v>
                </c:pt>
                <c:pt idx="355">
                  <c:v>41995</c:v>
                </c:pt>
                <c:pt idx="356">
                  <c:v>41996</c:v>
                </c:pt>
                <c:pt idx="357">
                  <c:v>41997</c:v>
                </c:pt>
                <c:pt idx="358">
                  <c:v>41998</c:v>
                </c:pt>
                <c:pt idx="359">
                  <c:v>41999</c:v>
                </c:pt>
                <c:pt idx="360">
                  <c:v>42000</c:v>
                </c:pt>
                <c:pt idx="361">
                  <c:v>42001</c:v>
                </c:pt>
                <c:pt idx="362">
                  <c:v>42002</c:v>
                </c:pt>
                <c:pt idx="363">
                  <c:v>42003</c:v>
                </c:pt>
                <c:pt idx="364">
                  <c:v>42004</c:v>
                </c:pt>
                <c:pt idx="365">
                  <c:v>42005</c:v>
                </c:pt>
                <c:pt idx="366">
                  <c:v>42006</c:v>
                </c:pt>
                <c:pt idx="367">
                  <c:v>42007</c:v>
                </c:pt>
                <c:pt idx="368">
                  <c:v>42008</c:v>
                </c:pt>
                <c:pt idx="369">
                  <c:v>42009</c:v>
                </c:pt>
                <c:pt idx="370">
                  <c:v>42010</c:v>
                </c:pt>
                <c:pt idx="371">
                  <c:v>42011</c:v>
                </c:pt>
                <c:pt idx="372">
                  <c:v>42012</c:v>
                </c:pt>
                <c:pt idx="373">
                  <c:v>42013</c:v>
                </c:pt>
                <c:pt idx="374">
                  <c:v>42014</c:v>
                </c:pt>
                <c:pt idx="375">
                  <c:v>42015</c:v>
                </c:pt>
                <c:pt idx="376">
                  <c:v>42016</c:v>
                </c:pt>
                <c:pt idx="377">
                  <c:v>42017</c:v>
                </c:pt>
                <c:pt idx="378">
                  <c:v>42018</c:v>
                </c:pt>
                <c:pt idx="379">
                  <c:v>42019</c:v>
                </c:pt>
                <c:pt idx="380">
                  <c:v>42020</c:v>
                </c:pt>
                <c:pt idx="381">
                  <c:v>42021</c:v>
                </c:pt>
                <c:pt idx="382">
                  <c:v>42022</c:v>
                </c:pt>
                <c:pt idx="383">
                  <c:v>42023</c:v>
                </c:pt>
                <c:pt idx="384">
                  <c:v>42024</c:v>
                </c:pt>
                <c:pt idx="385">
                  <c:v>42025</c:v>
                </c:pt>
                <c:pt idx="386">
                  <c:v>42026</c:v>
                </c:pt>
                <c:pt idx="387">
                  <c:v>42027</c:v>
                </c:pt>
                <c:pt idx="388">
                  <c:v>42028</c:v>
                </c:pt>
                <c:pt idx="389">
                  <c:v>42029</c:v>
                </c:pt>
                <c:pt idx="390">
                  <c:v>42030</c:v>
                </c:pt>
                <c:pt idx="391">
                  <c:v>42031</c:v>
                </c:pt>
                <c:pt idx="392">
                  <c:v>42032</c:v>
                </c:pt>
                <c:pt idx="393">
                  <c:v>42033</c:v>
                </c:pt>
                <c:pt idx="394">
                  <c:v>42034</c:v>
                </c:pt>
                <c:pt idx="395">
                  <c:v>42035</c:v>
                </c:pt>
                <c:pt idx="396">
                  <c:v>42036</c:v>
                </c:pt>
                <c:pt idx="397">
                  <c:v>42037</c:v>
                </c:pt>
                <c:pt idx="398">
                  <c:v>42038</c:v>
                </c:pt>
                <c:pt idx="399">
                  <c:v>42039</c:v>
                </c:pt>
                <c:pt idx="400">
                  <c:v>42040</c:v>
                </c:pt>
                <c:pt idx="401">
                  <c:v>42041</c:v>
                </c:pt>
                <c:pt idx="402">
                  <c:v>42042</c:v>
                </c:pt>
                <c:pt idx="403">
                  <c:v>42043</c:v>
                </c:pt>
                <c:pt idx="404">
                  <c:v>42044</c:v>
                </c:pt>
                <c:pt idx="405">
                  <c:v>42045</c:v>
                </c:pt>
                <c:pt idx="406">
                  <c:v>42046</c:v>
                </c:pt>
                <c:pt idx="407">
                  <c:v>42047</c:v>
                </c:pt>
                <c:pt idx="408">
                  <c:v>42048</c:v>
                </c:pt>
                <c:pt idx="409">
                  <c:v>42049</c:v>
                </c:pt>
                <c:pt idx="410">
                  <c:v>42050</c:v>
                </c:pt>
                <c:pt idx="411">
                  <c:v>42051</c:v>
                </c:pt>
                <c:pt idx="412">
                  <c:v>42052</c:v>
                </c:pt>
                <c:pt idx="413">
                  <c:v>42053</c:v>
                </c:pt>
                <c:pt idx="414">
                  <c:v>42054</c:v>
                </c:pt>
                <c:pt idx="415">
                  <c:v>42055</c:v>
                </c:pt>
                <c:pt idx="416">
                  <c:v>42056</c:v>
                </c:pt>
                <c:pt idx="417">
                  <c:v>42057</c:v>
                </c:pt>
                <c:pt idx="418">
                  <c:v>42058</c:v>
                </c:pt>
                <c:pt idx="419">
                  <c:v>42059</c:v>
                </c:pt>
                <c:pt idx="420">
                  <c:v>42060</c:v>
                </c:pt>
                <c:pt idx="421">
                  <c:v>42061</c:v>
                </c:pt>
                <c:pt idx="422">
                  <c:v>42062</c:v>
                </c:pt>
                <c:pt idx="423">
                  <c:v>42063</c:v>
                </c:pt>
                <c:pt idx="424">
                  <c:v>42064</c:v>
                </c:pt>
                <c:pt idx="425">
                  <c:v>42065</c:v>
                </c:pt>
                <c:pt idx="426">
                  <c:v>42066</c:v>
                </c:pt>
                <c:pt idx="427">
                  <c:v>42067</c:v>
                </c:pt>
                <c:pt idx="428">
                  <c:v>42068</c:v>
                </c:pt>
                <c:pt idx="429">
                  <c:v>42069</c:v>
                </c:pt>
                <c:pt idx="430">
                  <c:v>42070</c:v>
                </c:pt>
                <c:pt idx="431">
                  <c:v>42071</c:v>
                </c:pt>
                <c:pt idx="432">
                  <c:v>42072</c:v>
                </c:pt>
                <c:pt idx="433">
                  <c:v>42073</c:v>
                </c:pt>
                <c:pt idx="434">
                  <c:v>42074</c:v>
                </c:pt>
                <c:pt idx="435">
                  <c:v>42075</c:v>
                </c:pt>
                <c:pt idx="436">
                  <c:v>42076</c:v>
                </c:pt>
                <c:pt idx="437">
                  <c:v>42077</c:v>
                </c:pt>
                <c:pt idx="438">
                  <c:v>42078</c:v>
                </c:pt>
                <c:pt idx="439">
                  <c:v>42079</c:v>
                </c:pt>
                <c:pt idx="440">
                  <c:v>42080</c:v>
                </c:pt>
                <c:pt idx="441">
                  <c:v>42081</c:v>
                </c:pt>
                <c:pt idx="442">
                  <c:v>42082</c:v>
                </c:pt>
                <c:pt idx="443">
                  <c:v>42083</c:v>
                </c:pt>
                <c:pt idx="444">
                  <c:v>42084</c:v>
                </c:pt>
                <c:pt idx="445">
                  <c:v>42085</c:v>
                </c:pt>
                <c:pt idx="446">
                  <c:v>42086</c:v>
                </c:pt>
                <c:pt idx="447">
                  <c:v>42087</c:v>
                </c:pt>
                <c:pt idx="448">
                  <c:v>42088</c:v>
                </c:pt>
                <c:pt idx="449">
                  <c:v>42089</c:v>
                </c:pt>
                <c:pt idx="450">
                  <c:v>42090</c:v>
                </c:pt>
                <c:pt idx="451">
                  <c:v>42091</c:v>
                </c:pt>
                <c:pt idx="452">
                  <c:v>42092</c:v>
                </c:pt>
                <c:pt idx="453">
                  <c:v>42093</c:v>
                </c:pt>
                <c:pt idx="454">
                  <c:v>42094</c:v>
                </c:pt>
                <c:pt idx="455">
                  <c:v>42095</c:v>
                </c:pt>
                <c:pt idx="456">
                  <c:v>42096</c:v>
                </c:pt>
                <c:pt idx="457">
                  <c:v>42097</c:v>
                </c:pt>
                <c:pt idx="458">
                  <c:v>42098</c:v>
                </c:pt>
                <c:pt idx="459">
                  <c:v>42099</c:v>
                </c:pt>
                <c:pt idx="460">
                  <c:v>42100</c:v>
                </c:pt>
                <c:pt idx="461">
                  <c:v>42101</c:v>
                </c:pt>
                <c:pt idx="462">
                  <c:v>42102</c:v>
                </c:pt>
                <c:pt idx="463">
                  <c:v>42103</c:v>
                </c:pt>
                <c:pt idx="464">
                  <c:v>42104</c:v>
                </c:pt>
                <c:pt idx="465">
                  <c:v>42105</c:v>
                </c:pt>
                <c:pt idx="466">
                  <c:v>42106</c:v>
                </c:pt>
                <c:pt idx="467">
                  <c:v>42107</c:v>
                </c:pt>
                <c:pt idx="468">
                  <c:v>42108</c:v>
                </c:pt>
                <c:pt idx="469">
                  <c:v>42109</c:v>
                </c:pt>
                <c:pt idx="470">
                  <c:v>42110</c:v>
                </c:pt>
                <c:pt idx="471">
                  <c:v>42111</c:v>
                </c:pt>
                <c:pt idx="472">
                  <c:v>42112</c:v>
                </c:pt>
                <c:pt idx="473">
                  <c:v>42113</c:v>
                </c:pt>
                <c:pt idx="474">
                  <c:v>42114</c:v>
                </c:pt>
                <c:pt idx="475">
                  <c:v>42115</c:v>
                </c:pt>
                <c:pt idx="476">
                  <c:v>42116</c:v>
                </c:pt>
                <c:pt idx="477">
                  <c:v>42117</c:v>
                </c:pt>
                <c:pt idx="478">
                  <c:v>42118</c:v>
                </c:pt>
                <c:pt idx="479">
                  <c:v>42119</c:v>
                </c:pt>
                <c:pt idx="480">
                  <c:v>42120</c:v>
                </c:pt>
                <c:pt idx="481">
                  <c:v>42121</c:v>
                </c:pt>
                <c:pt idx="482">
                  <c:v>42122</c:v>
                </c:pt>
                <c:pt idx="483">
                  <c:v>42123</c:v>
                </c:pt>
                <c:pt idx="484">
                  <c:v>42124</c:v>
                </c:pt>
                <c:pt idx="485">
                  <c:v>42125</c:v>
                </c:pt>
                <c:pt idx="486">
                  <c:v>42126</c:v>
                </c:pt>
                <c:pt idx="487">
                  <c:v>42127</c:v>
                </c:pt>
                <c:pt idx="488">
                  <c:v>42128</c:v>
                </c:pt>
                <c:pt idx="489">
                  <c:v>42129</c:v>
                </c:pt>
                <c:pt idx="490">
                  <c:v>42130</c:v>
                </c:pt>
                <c:pt idx="491">
                  <c:v>42131</c:v>
                </c:pt>
                <c:pt idx="492">
                  <c:v>42132</c:v>
                </c:pt>
                <c:pt idx="493">
                  <c:v>42133</c:v>
                </c:pt>
                <c:pt idx="494">
                  <c:v>42134</c:v>
                </c:pt>
                <c:pt idx="495">
                  <c:v>42135</c:v>
                </c:pt>
                <c:pt idx="496">
                  <c:v>42136</c:v>
                </c:pt>
                <c:pt idx="497">
                  <c:v>42137</c:v>
                </c:pt>
                <c:pt idx="498">
                  <c:v>42138</c:v>
                </c:pt>
                <c:pt idx="499">
                  <c:v>42139</c:v>
                </c:pt>
                <c:pt idx="500">
                  <c:v>42140</c:v>
                </c:pt>
                <c:pt idx="501">
                  <c:v>42141</c:v>
                </c:pt>
                <c:pt idx="502">
                  <c:v>42142</c:v>
                </c:pt>
                <c:pt idx="503">
                  <c:v>42143</c:v>
                </c:pt>
                <c:pt idx="504">
                  <c:v>42144</c:v>
                </c:pt>
                <c:pt idx="505">
                  <c:v>42145</c:v>
                </c:pt>
                <c:pt idx="506">
                  <c:v>42146</c:v>
                </c:pt>
                <c:pt idx="507">
                  <c:v>42147</c:v>
                </c:pt>
                <c:pt idx="508">
                  <c:v>42148</c:v>
                </c:pt>
                <c:pt idx="509">
                  <c:v>42149</c:v>
                </c:pt>
                <c:pt idx="510">
                  <c:v>42150</c:v>
                </c:pt>
                <c:pt idx="511">
                  <c:v>42151</c:v>
                </c:pt>
                <c:pt idx="512">
                  <c:v>42152</c:v>
                </c:pt>
                <c:pt idx="513">
                  <c:v>42153</c:v>
                </c:pt>
                <c:pt idx="514">
                  <c:v>42154</c:v>
                </c:pt>
                <c:pt idx="515">
                  <c:v>42155</c:v>
                </c:pt>
                <c:pt idx="516">
                  <c:v>42156</c:v>
                </c:pt>
                <c:pt idx="517">
                  <c:v>42157</c:v>
                </c:pt>
                <c:pt idx="518">
                  <c:v>42158</c:v>
                </c:pt>
                <c:pt idx="519">
                  <c:v>42159</c:v>
                </c:pt>
                <c:pt idx="520">
                  <c:v>42160</c:v>
                </c:pt>
                <c:pt idx="521">
                  <c:v>42161</c:v>
                </c:pt>
                <c:pt idx="522">
                  <c:v>42162</c:v>
                </c:pt>
                <c:pt idx="523">
                  <c:v>42163</c:v>
                </c:pt>
                <c:pt idx="524">
                  <c:v>42164</c:v>
                </c:pt>
                <c:pt idx="525">
                  <c:v>42165</c:v>
                </c:pt>
                <c:pt idx="526">
                  <c:v>42166</c:v>
                </c:pt>
                <c:pt idx="527">
                  <c:v>42167</c:v>
                </c:pt>
                <c:pt idx="528">
                  <c:v>42168</c:v>
                </c:pt>
                <c:pt idx="529">
                  <c:v>42169</c:v>
                </c:pt>
                <c:pt idx="530">
                  <c:v>42170</c:v>
                </c:pt>
                <c:pt idx="531">
                  <c:v>42171</c:v>
                </c:pt>
                <c:pt idx="532">
                  <c:v>42172</c:v>
                </c:pt>
                <c:pt idx="533">
                  <c:v>42173</c:v>
                </c:pt>
                <c:pt idx="534">
                  <c:v>42174</c:v>
                </c:pt>
                <c:pt idx="535">
                  <c:v>42175</c:v>
                </c:pt>
                <c:pt idx="536">
                  <c:v>42176</c:v>
                </c:pt>
                <c:pt idx="537">
                  <c:v>42177</c:v>
                </c:pt>
                <c:pt idx="538">
                  <c:v>42178</c:v>
                </c:pt>
                <c:pt idx="539">
                  <c:v>42179</c:v>
                </c:pt>
                <c:pt idx="540">
                  <c:v>42180</c:v>
                </c:pt>
                <c:pt idx="541">
                  <c:v>42181</c:v>
                </c:pt>
                <c:pt idx="542">
                  <c:v>42182</c:v>
                </c:pt>
                <c:pt idx="543">
                  <c:v>42183</c:v>
                </c:pt>
                <c:pt idx="544">
                  <c:v>42184</c:v>
                </c:pt>
                <c:pt idx="545">
                  <c:v>42185</c:v>
                </c:pt>
                <c:pt idx="546">
                  <c:v>42186</c:v>
                </c:pt>
                <c:pt idx="547">
                  <c:v>42187</c:v>
                </c:pt>
                <c:pt idx="548">
                  <c:v>42188</c:v>
                </c:pt>
                <c:pt idx="549">
                  <c:v>42189</c:v>
                </c:pt>
                <c:pt idx="550">
                  <c:v>42190</c:v>
                </c:pt>
                <c:pt idx="551">
                  <c:v>42191</c:v>
                </c:pt>
                <c:pt idx="552">
                  <c:v>42192</c:v>
                </c:pt>
                <c:pt idx="553">
                  <c:v>42193</c:v>
                </c:pt>
                <c:pt idx="554">
                  <c:v>42194</c:v>
                </c:pt>
                <c:pt idx="555">
                  <c:v>42195</c:v>
                </c:pt>
                <c:pt idx="556">
                  <c:v>42196</c:v>
                </c:pt>
                <c:pt idx="557">
                  <c:v>42197</c:v>
                </c:pt>
                <c:pt idx="558">
                  <c:v>42198</c:v>
                </c:pt>
                <c:pt idx="559">
                  <c:v>42199</c:v>
                </c:pt>
                <c:pt idx="560">
                  <c:v>42200</c:v>
                </c:pt>
                <c:pt idx="561">
                  <c:v>42201</c:v>
                </c:pt>
                <c:pt idx="562">
                  <c:v>42202</c:v>
                </c:pt>
                <c:pt idx="563">
                  <c:v>42203</c:v>
                </c:pt>
                <c:pt idx="564">
                  <c:v>42204</c:v>
                </c:pt>
                <c:pt idx="565">
                  <c:v>42205</c:v>
                </c:pt>
                <c:pt idx="566">
                  <c:v>42206</c:v>
                </c:pt>
                <c:pt idx="567">
                  <c:v>42207</c:v>
                </c:pt>
                <c:pt idx="568">
                  <c:v>42208</c:v>
                </c:pt>
                <c:pt idx="569">
                  <c:v>42209</c:v>
                </c:pt>
                <c:pt idx="570">
                  <c:v>42210</c:v>
                </c:pt>
                <c:pt idx="571">
                  <c:v>42211</c:v>
                </c:pt>
                <c:pt idx="572">
                  <c:v>42212</c:v>
                </c:pt>
                <c:pt idx="573">
                  <c:v>42213</c:v>
                </c:pt>
                <c:pt idx="574">
                  <c:v>42214</c:v>
                </c:pt>
                <c:pt idx="575">
                  <c:v>42215</c:v>
                </c:pt>
                <c:pt idx="576">
                  <c:v>42216</c:v>
                </c:pt>
              </c:numCache>
            </c:numRef>
          </c:cat>
          <c:val>
            <c:numRef>
              <c:f>YTD!$AB$16:$AB$592</c:f>
              <c:numCache>
                <c:formatCode>0.00</c:formatCode>
                <c:ptCount val="577"/>
                <c:pt idx="0">
                  <c:v>270</c:v>
                </c:pt>
                <c:pt idx="1">
                  <c:v>270</c:v>
                </c:pt>
                <c:pt idx="2">
                  <c:v>270</c:v>
                </c:pt>
                <c:pt idx="3">
                  <c:v>270</c:v>
                </c:pt>
                <c:pt idx="4">
                  <c:v>270</c:v>
                </c:pt>
                <c:pt idx="5">
                  <c:v>270</c:v>
                </c:pt>
                <c:pt idx="6">
                  <c:v>270</c:v>
                </c:pt>
                <c:pt idx="7">
                  <c:v>270</c:v>
                </c:pt>
                <c:pt idx="8">
                  <c:v>270</c:v>
                </c:pt>
                <c:pt idx="9">
                  <c:v>270</c:v>
                </c:pt>
                <c:pt idx="10">
                  <c:v>270</c:v>
                </c:pt>
                <c:pt idx="11">
                  <c:v>270</c:v>
                </c:pt>
                <c:pt idx="12">
                  <c:v>270</c:v>
                </c:pt>
                <c:pt idx="13">
                  <c:v>270</c:v>
                </c:pt>
                <c:pt idx="14">
                  <c:v>270</c:v>
                </c:pt>
                <c:pt idx="15">
                  <c:v>270</c:v>
                </c:pt>
                <c:pt idx="16">
                  <c:v>270</c:v>
                </c:pt>
                <c:pt idx="17">
                  <c:v>270</c:v>
                </c:pt>
                <c:pt idx="18">
                  <c:v>270</c:v>
                </c:pt>
                <c:pt idx="19">
                  <c:v>270</c:v>
                </c:pt>
                <c:pt idx="20">
                  <c:v>270</c:v>
                </c:pt>
                <c:pt idx="21">
                  <c:v>270</c:v>
                </c:pt>
                <c:pt idx="22">
                  <c:v>270</c:v>
                </c:pt>
                <c:pt idx="23">
                  <c:v>270</c:v>
                </c:pt>
                <c:pt idx="24">
                  <c:v>270</c:v>
                </c:pt>
                <c:pt idx="25">
                  <c:v>270</c:v>
                </c:pt>
                <c:pt idx="26">
                  <c:v>270</c:v>
                </c:pt>
                <c:pt idx="27">
                  <c:v>270</c:v>
                </c:pt>
                <c:pt idx="28">
                  <c:v>270</c:v>
                </c:pt>
                <c:pt idx="29">
                  <c:v>270</c:v>
                </c:pt>
                <c:pt idx="30">
                  <c:v>270</c:v>
                </c:pt>
                <c:pt idx="31">
                  <c:v>270</c:v>
                </c:pt>
                <c:pt idx="32">
                  <c:v>270</c:v>
                </c:pt>
                <c:pt idx="33">
                  <c:v>270</c:v>
                </c:pt>
                <c:pt idx="34">
                  <c:v>270</c:v>
                </c:pt>
                <c:pt idx="35">
                  <c:v>270</c:v>
                </c:pt>
                <c:pt idx="36">
                  <c:v>270</c:v>
                </c:pt>
                <c:pt idx="37">
                  <c:v>270</c:v>
                </c:pt>
                <c:pt idx="38">
                  <c:v>270</c:v>
                </c:pt>
                <c:pt idx="39">
                  <c:v>270</c:v>
                </c:pt>
                <c:pt idx="40">
                  <c:v>270</c:v>
                </c:pt>
                <c:pt idx="41">
                  <c:v>270</c:v>
                </c:pt>
                <c:pt idx="42">
                  <c:v>270</c:v>
                </c:pt>
                <c:pt idx="43">
                  <c:v>270</c:v>
                </c:pt>
                <c:pt idx="44">
                  <c:v>270</c:v>
                </c:pt>
                <c:pt idx="45">
                  <c:v>270</c:v>
                </c:pt>
                <c:pt idx="46">
                  <c:v>270</c:v>
                </c:pt>
                <c:pt idx="47">
                  <c:v>270</c:v>
                </c:pt>
                <c:pt idx="48">
                  <c:v>270</c:v>
                </c:pt>
                <c:pt idx="49">
                  <c:v>270</c:v>
                </c:pt>
                <c:pt idx="50">
                  <c:v>270</c:v>
                </c:pt>
                <c:pt idx="51">
                  <c:v>270</c:v>
                </c:pt>
                <c:pt idx="52">
                  <c:v>270</c:v>
                </c:pt>
                <c:pt idx="53">
                  <c:v>270</c:v>
                </c:pt>
                <c:pt idx="54">
                  <c:v>270</c:v>
                </c:pt>
                <c:pt idx="55">
                  <c:v>270</c:v>
                </c:pt>
                <c:pt idx="56">
                  <c:v>270</c:v>
                </c:pt>
                <c:pt idx="57">
                  <c:v>270</c:v>
                </c:pt>
                <c:pt idx="58">
                  <c:v>270</c:v>
                </c:pt>
                <c:pt idx="59">
                  <c:v>270</c:v>
                </c:pt>
                <c:pt idx="60">
                  <c:v>270</c:v>
                </c:pt>
                <c:pt idx="61">
                  <c:v>270</c:v>
                </c:pt>
                <c:pt idx="62">
                  <c:v>270</c:v>
                </c:pt>
                <c:pt idx="63">
                  <c:v>270</c:v>
                </c:pt>
                <c:pt idx="64">
                  <c:v>270</c:v>
                </c:pt>
                <c:pt idx="65">
                  <c:v>270</c:v>
                </c:pt>
                <c:pt idx="66">
                  <c:v>270</c:v>
                </c:pt>
                <c:pt idx="67">
                  <c:v>270</c:v>
                </c:pt>
                <c:pt idx="68">
                  <c:v>270</c:v>
                </c:pt>
                <c:pt idx="69">
                  <c:v>270</c:v>
                </c:pt>
                <c:pt idx="70">
                  <c:v>270</c:v>
                </c:pt>
                <c:pt idx="71">
                  <c:v>270</c:v>
                </c:pt>
                <c:pt idx="72">
                  <c:v>270</c:v>
                </c:pt>
                <c:pt idx="73">
                  <c:v>270</c:v>
                </c:pt>
                <c:pt idx="74">
                  <c:v>270</c:v>
                </c:pt>
                <c:pt idx="75">
                  <c:v>270</c:v>
                </c:pt>
                <c:pt idx="76">
                  <c:v>270</c:v>
                </c:pt>
                <c:pt idx="77">
                  <c:v>270</c:v>
                </c:pt>
                <c:pt idx="78">
                  <c:v>270</c:v>
                </c:pt>
                <c:pt idx="79">
                  <c:v>270</c:v>
                </c:pt>
                <c:pt idx="80">
                  <c:v>270</c:v>
                </c:pt>
                <c:pt idx="81">
                  <c:v>270</c:v>
                </c:pt>
                <c:pt idx="82">
                  <c:v>270</c:v>
                </c:pt>
                <c:pt idx="83">
                  <c:v>270</c:v>
                </c:pt>
                <c:pt idx="84">
                  <c:v>270</c:v>
                </c:pt>
                <c:pt idx="85">
                  <c:v>270</c:v>
                </c:pt>
                <c:pt idx="86">
                  <c:v>270</c:v>
                </c:pt>
                <c:pt idx="87">
                  <c:v>270</c:v>
                </c:pt>
                <c:pt idx="88">
                  <c:v>270</c:v>
                </c:pt>
                <c:pt idx="89">
                  <c:v>270</c:v>
                </c:pt>
                <c:pt idx="90">
                  <c:v>270</c:v>
                </c:pt>
                <c:pt idx="91">
                  <c:v>270</c:v>
                </c:pt>
                <c:pt idx="92">
                  <c:v>270</c:v>
                </c:pt>
                <c:pt idx="93">
                  <c:v>270</c:v>
                </c:pt>
                <c:pt idx="94">
                  <c:v>270</c:v>
                </c:pt>
                <c:pt idx="95">
                  <c:v>270</c:v>
                </c:pt>
                <c:pt idx="96">
                  <c:v>270</c:v>
                </c:pt>
                <c:pt idx="97">
                  <c:v>270</c:v>
                </c:pt>
                <c:pt idx="98">
                  <c:v>270</c:v>
                </c:pt>
                <c:pt idx="99">
                  <c:v>270</c:v>
                </c:pt>
                <c:pt idx="100">
                  <c:v>270</c:v>
                </c:pt>
                <c:pt idx="101">
                  <c:v>270</c:v>
                </c:pt>
                <c:pt idx="102">
                  <c:v>270</c:v>
                </c:pt>
                <c:pt idx="103">
                  <c:v>270</c:v>
                </c:pt>
                <c:pt idx="104">
                  <c:v>270</c:v>
                </c:pt>
                <c:pt idx="105">
                  <c:v>270</c:v>
                </c:pt>
                <c:pt idx="106">
                  <c:v>270</c:v>
                </c:pt>
                <c:pt idx="107">
                  <c:v>270</c:v>
                </c:pt>
                <c:pt idx="108">
                  <c:v>270</c:v>
                </c:pt>
                <c:pt idx="109">
                  <c:v>270</c:v>
                </c:pt>
                <c:pt idx="110">
                  <c:v>270</c:v>
                </c:pt>
                <c:pt idx="111">
                  <c:v>270</c:v>
                </c:pt>
                <c:pt idx="112">
                  <c:v>270</c:v>
                </c:pt>
                <c:pt idx="113">
                  <c:v>270</c:v>
                </c:pt>
                <c:pt idx="114">
                  <c:v>270</c:v>
                </c:pt>
                <c:pt idx="115">
                  <c:v>270</c:v>
                </c:pt>
                <c:pt idx="116">
                  <c:v>270</c:v>
                </c:pt>
                <c:pt idx="117">
                  <c:v>270</c:v>
                </c:pt>
                <c:pt idx="118">
                  <c:v>270</c:v>
                </c:pt>
                <c:pt idx="119">
                  <c:v>270</c:v>
                </c:pt>
                <c:pt idx="120">
                  <c:v>270</c:v>
                </c:pt>
                <c:pt idx="121">
                  <c:v>270</c:v>
                </c:pt>
                <c:pt idx="122">
                  <c:v>270</c:v>
                </c:pt>
                <c:pt idx="123">
                  <c:v>270</c:v>
                </c:pt>
                <c:pt idx="124">
                  <c:v>270</c:v>
                </c:pt>
                <c:pt idx="125">
                  <c:v>270</c:v>
                </c:pt>
                <c:pt idx="126">
                  <c:v>270</c:v>
                </c:pt>
                <c:pt idx="127">
                  <c:v>270</c:v>
                </c:pt>
                <c:pt idx="128">
                  <c:v>270</c:v>
                </c:pt>
                <c:pt idx="129">
                  <c:v>270</c:v>
                </c:pt>
                <c:pt idx="130">
                  <c:v>270</c:v>
                </c:pt>
                <c:pt idx="131">
                  <c:v>270</c:v>
                </c:pt>
                <c:pt idx="132">
                  <c:v>270</c:v>
                </c:pt>
                <c:pt idx="133">
                  <c:v>270</c:v>
                </c:pt>
                <c:pt idx="134">
                  <c:v>270</c:v>
                </c:pt>
                <c:pt idx="135">
                  <c:v>270</c:v>
                </c:pt>
                <c:pt idx="136">
                  <c:v>270</c:v>
                </c:pt>
                <c:pt idx="137">
                  <c:v>270</c:v>
                </c:pt>
                <c:pt idx="138">
                  <c:v>270</c:v>
                </c:pt>
                <c:pt idx="139">
                  <c:v>270</c:v>
                </c:pt>
                <c:pt idx="140">
                  <c:v>270</c:v>
                </c:pt>
                <c:pt idx="141">
                  <c:v>270</c:v>
                </c:pt>
                <c:pt idx="142">
                  <c:v>270</c:v>
                </c:pt>
                <c:pt idx="143">
                  <c:v>270</c:v>
                </c:pt>
                <c:pt idx="144">
                  <c:v>270</c:v>
                </c:pt>
                <c:pt idx="145">
                  <c:v>270</c:v>
                </c:pt>
                <c:pt idx="146">
                  <c:v>270</c:v>
                </c:pt>
                <c:pt idx="147">
                  <c:v>270</c:v>
                </c:pt>
                <c:pt idx="148">
                  <c:v>270</c:v>
                </c:pt>
                <c:pt idx="149">
                  <c:v>270</c:v>
                </c:pt>
                <c:pt idx="150">
                  <c:v>270</c:v>
                </c:pt>
                <c:pt idx="151">
                  <c:v>270</c:v>
                </c:pt>
                <c:pt idx="152">
                  <c:v>270</c:v>
                </c:pt>
                <c:pt idx="153">
                  <c:v>270</c:v>
                </c:pt>
                <c:pt idx="154">
                  <c:v>270</c:v>
                </c:pt>
                <c:pt idx="155">
                  <c:v>270</c:v>
                </c:pt>
                <c:pt idx="156">
                  <c:v>270</c:v>
                </c:pt>
                <c:pt idx="157">
                  <c:v>270</c:v>
                </c:pt>
                <c:pt idx="158">
                  <c:v>270</c:v>
                </c:pt>
                <c:pt idx="159">
                  <c:v>270</c:v>
                </c:pt>
                <c:pt idx="160">
                  <c:v>270</c:v>
                </c:pt>
                <c:pt idx="161">
                  <c:v>270</c:v>
                </c:pt>
                <c:pt idx="162">
                  <c:v>270</c:v>
                </c:pt>
                <c:pt idx="163">
                  <c:v>270</c:v>
                </c:pt>
                <c:pt idx="164">
                  <c:v>270</c:v>
                </c:pt>
                <c:pt idx="165">
                  <c:v>270</c:v>
                </c:pt>
                <c:pt idx="166">
                  <c:v>270</c:v>
                </c:pt>
                <c:pt idx="167">
                  <c:v>270</c:v>
                </c:pt>
                <c:pt idx="168">
                  <c:v>270</c:v>
                </c:pt>
                <c:pt idx="169">
                  <c:v>270</c:v>
                </c:pt>
                <c:pt idx="170">
                  <c:v>270</c:v>
                </c:pt>
                <c:pt idx="171">
                  <c:v>270</c:v>
                </c:pt>
                <c:pt idx="172">
                  <c:v>270</c:v>
                </c:pt>
                <c:pt idx="173">
                  <c:v>270</c:v>
                </c:pt>
                <c:pt idx="174">
                  <c:v>270</c:v>
                </c:pt>
                <c:pt idx="175">
                  <c:v>270</c:v>
                </c:pt>
                <c:pt idx="176">
                  <c:v>270</c:v>
                </c:pt>
                <c:pt idx="177">
                  <c:v>270</c:v>
                </c:pt>
                <c:pt idx="178">
                  <c:v>270</c:v>
                </c:pt>
                <c:pt idx="179">
                  <c:v>270</c:v>
                </c:pt>
                <c:pt idx="180">
                  <c:v>270</c:v>
                </c:pt>
                <c:pt idx="181">
                  <c:v>270</c:v>
                </c:pt>
                <c:pt idx="182">
                  <c:v>270</c:v>
                </c:pt>
                <c:pt idx="183">
                  <c:v>270</c:v>
                </c:pt>
                <c:pt idx="184">
                  <c:v>270</c:v>
                </c:pt>
                <c:pt idx="185">
                  <c:v>270</c:v>
                </c:pt>
                <c:pt idx="186">
                  <c:v>270</c:v>
                </c:pt>
                <c:pt idx="187">
                  <c:v>270</c:v>
                </c:pt>
                <c:pt idx="188">
                  <c:v>270</c:v>
                </c:pt>
                <c:pt idx="189">
                  <c:v>270</c:v>
                </c:pt>
                <c:pt idx="190">
                  <c:v>270</c:v>
                </c:pt>
                <c:pt idx="191">
                  <c:v>270</c:v>
                </c:pt>
                <c:pt idx="192">
                  <c:v>270</c:v>
                </c:pt>
                <c:pt idx="193">
                  <c:v>270</c:v>
                </c:pt>
                <c:pt idx="194">
                  <c:v>270</c:v>
                </c:pt>
                <c:pt idx="195">
                  <c:v>270</c:v>
                </c:pt>
                <c:pt idx="196">
                  <c:v>270</c:v>
                </c:pt>
                <c:pt idx="197">
                  <c:v>270</c:v>
                </c:pt>
                <c:pt idx="198">
                  <c:v>270</c:v>
                </c:pt>
                <c:pt idx="199">
                  <c:v>270</c:v>
                </c:pt>
                <c:pt idx="200">
                  <c:v>270</c:v>
                </c:pt>
                <c:pt idx="201">
                  <c:v>270</c:v>
                </c:pt>
                <c:pt idx="202">
                  <c:v>270</c:v>
                </c:pt>
                <c:pt idx="203">
                  <c:v>270</c:v>
                </c:pt>
                <c:pt idx="204">
                  <c:v>270</c:v>
                </c:pt>
                <c:pt idx="205">
                  <c:v>270</c:v>
                </c:pt>
                <c:pt idx="206">
                  <c:v>270</c:v>
                </c:pt>
                <c:pt idx="207">
                  <c:v>270</c:v>
                </c:pt>
                <c:pt idx="208">
                  <c:v>270</c:v>
                </c:pt>
                <c:pt idx="209">
                  <c:v>270</c:v>
                </c:pt>
                <c:pt idx="210">
                  <c:v>270</c:v>
                </c:pt>
                <c:pt idx="211">
                  <c:v>270</c:v>
                </c:pt>
                <c:pt idx="212">
                  <c:v>270</c:v>
                </c:pt>
                <c:pt idx="213">
                  <c:v>270</c:v>
                </c:pt>
                <c:pt idx="214">
                  <c:v>270</c:v>
                </c:pt>
                <c:pt idx="215">
                  <c:v>270</c:v>
                </c:pt>
                <c:pt idx="216">
                  <c:v>270</c:v>
                </c:pt>
                <c:pt idx="217">
                  <c:v>270</c:v>
                </c:pt>
                <c:pt idx="218">
                  <c:v>270</c:v>
                </c:pt>
                <c:pt idx="219">
                  <c:v>270</c:v>
                </c:pt>
                <c:pt idx="220">
                  <c:v>270</c:v>
                </c:pt>
                <c:pt idx="221">
                  <c:v>270</c:v>
                </c:pt>
                <c:pt idx="222">
                  <c:v>270</c:v>
                </c:pt>
                <c:pt idx="223">
                  <c:v>270</c:v>
                </c:pt>
                <c:pt idx="224">
                  <c:v>270</c:v>
                </c:pt>
                <c:pt idx="225">
                  <c:v>270</c:v>
                </c:pt>
                <c:pt idx="226">
                  <c:v>270</c:v>
                </c:pt>
                <c:pt idx="227">
                  <c:v>270</c:v>
                </c:pt>
                <c:pt idx="228">
                  <c:v>270</c:v>
                </c:pt>
                <c:pt idx="229">
                  <c:v>270</c:v>
                </c:pt>
                <c:pt idx="230">
                  <c:v>270</c:v>
                </c:pt>
                <c:pt idx="231">
                  <c:v>270</c:v>
                </c:pt>
                <c:pt idx="232">
                  <c:v>270</c:v>
                </c:pt>
                <c:pt idx="233">
                  <c:v>270</c:v>
                </c:pt>
                <c:pt idx="234">
                  <c:v>270</c:v>
                </c:pt>
                <c:pt idx="235">
                  <c:v>270</c:v>
                </c:pt>
                <c:pt idx="236">
                  <c:v>270</c:v>
                </c:pt>
                <c:pt idx="237">
                  <c:v>270</c:v>
                </c:pt>
                <c:pt idx="238">
                  <c:v>270</c:v>
                </c:pt>
                <c:pt idx="239">
                  <c:v>270</c:v>
                </c:pt>
                <c:pt idx="240">
                  <c:v>270</c:v>
                </c:pt>
                <c:pt idx="241">
                  <c:v>270</c:v>
                </c:pt>
                <c:pt idx="242">
                  <c:v>270</c:v>
                </c:pt>
                <c:pt idx="243">
                  <c:v>270</c:v>
                </c:pt>
                <c:pt idx="244">
                  <c:v>270</c:v>
                </c:pt>
                <c:pt idx="245">
                  <c:v>270</c:v>
                </c:pt>
                <c:pt idx="246">
                  <c:v>270</c:v>
                </c:pt>
                <c:pt idx="247">
                  <c:v>270</c:v>
                </c:pt>
                <c:pt idx="248">
                  <c:v>270</c:v>
                </c:pt>
                <c:pt idx="249">
                  <c:v>270</c:v>
                </c:pt>
                <c:pt idx="250">
                  <c:v>270</c:v>
                </c:pt>
                <c:pt idx="251">
                  <c:v>270</c:v>
                </c:pt>
                <c:pt idx="252">
                  <c:v>270</c:v>
                </c:pt>
                <c:pt idx="253">
                  <c:v>270</c:v>
                </c:pt>
                <c:pt idx="254">
                  <c:v>270</c:v>
                </c:pt>
                <c:pt idx="255">
                  <c:v>270</c:v>
                </c:pt>
                <c:pt idx="256">
                  <c:v>270</c:v>
                </c:pt>
                <c:pt idx="257">
                  <c:v>270</c:v>
                </c:pt>
                <c:pt idx="258">
                  <c:v>270</c:v>
                </c:pt>
                <c:pt idx="259">
                  <c:v>270</c:v>
                </c:pt>
                <c:pt idx="260">
                  <c:v>270</c:v>
                </c:pt>
                <c:pt idx="261">
                  <c:v>270</c:v>
                </c:pt>
                <c:pt idx="262">
                  <c:v>270</c:v>
                </c:pt>
                <c:pt idx="263">
                  <c:v>270</c:v>
                </c:pt>
                <c:pt idx="264">
                  <c:v>270</c:v>
                </c:pt>
                <c:pt idx="265">
                  <c:v>270</c:v>
                </c:pt>
                <c:pt idx="266">
                  <c:v>270</c:v>
                </c:pt>
                <c:pt idx="267">
                  <c:v>270</c:v>
                </c:pt>
                <c:pt idx="268">
                  <c:v>270</c:v>
                </c:pt>
                <c:pt idx="269">
                  <c:v>270</c:v>
                </c:pt>
                <c:pt idx="270">
                  <c:v>270</c:v>
                </c:pt>
                <c:pt idx="271">
                  <c:v>270</c:v>
                </c:pt>
                <c:pt idx="272">
                  <c:v>270</c:v>
                </c:pt>
                <c:pt idx="273">
                  <c:v>270</c:v>
                </c:pt>
                <c:pt idx="274">
                  <c:v>270</c:v>
                </c:pt>
                <c:pt idx="275">
                  <c:v>270</c:v>
                </c:pt>
                <c:pt idx="276">
                  <c:v>270</c:v>
                </c:pt>
                <c:pt idx="277">
                  <c:v>270</c:v>
                </c:pt>
                <c:pt idx="278">
                  <c:v>270</c:v>
                </c:pt>
                <c:pt idx="279">
                  <c:v>270</c:v>
                </c:pt>
                <c:pt idx="280">
                  <c:v>270</c:v>
                </c:pt>
                <c:pt idx="281">
                  <c:v>270</c:v>
                </c:pt>
                <c:pt idx="282">
                  <c:v>270</c:v>
                </c:pt>
                <c:pt idx="283">
                  <c:v>270</c:v>
                </c:pt>
                <c:pt idx="284">
                  <c:v>270</c:v>
                </c:pt>
                <c:pt idx="285">
                  <c:v>270</c:v>
                </c:pt>
                <c:pt idx="286">
                  <c:v>270</c:v>
                </c:pt>
                <c:pt idx="287">
                  <c:v>270</c:v>
                </c:pt>
                <c:pt idx="288">
                  <c:v>270</c:v>
                </c:pt>
                <c:pt idx="289">
                  <c:v>270</c:v>
                </c:pt>
                <c:pt idx="290">
                  <c:v>270</c:v>
                </c:pt>
                <c:pt idx="291">
                  <c:v>270</c:v>
                </c:pt>
                <c:pt idx="292">
                  <c:v>270</c:v>
                </c:pt>
                <c:pt idx="293">
                  <c:v>270</c:v>
                </c:pt>
                <c:pt idx="294">
                  <c:v>270</c:v>
                </c:pt>
                <c:pt idx="295">
                  <c:v>270</c:v>
                </c:pt>
                <c:pt idx="296">
                  <c:v>270</c:v>
                </c:pt>
                <c:pt idx="297">
                  <c:v>270</c:v>
                </c:pt>
                <c:pt idx="298">
                  <c:v>270</c:v>
                </c:pt>
                <c:pt idx="299">
                  <c:v>270</c:v>
                </c:pt>
                <c:pt idx="300">
                  <c:v>270</c:v>
                </c:pt>
                <c:pt idx="301">
                  <c:v>270</c:v>
                </c:pt>
                <c:pt idx="302">
                  <c:v>270</c:v>
                </c:pt>
                <c:pt idx="303">
                  <c:v>270</c:v>
                </c:pt>
                <c:pt idx="304">
                  <c:v>270</c:v>
                </c:pt>
                <c:pt idx="305">
                  <c:v>270</c:v>
                </c:pt>
                <c:pt idx="306">
                  <c:v>270</c:v>
                </c:pt>
                <c:pt idx="307">
                  <c:v>270</c:v>
                </c:pt>
                <c:pt idx="308">
                  <c:v>270</c:v>
                </c:pt>
                <c:pt idx="309">
                  <c:v>270</c:v>
                </c:pt>
                <c:pt idx="310">
                  <c:v>270</c:v>
                </c:pt>
                <c:pt idx="311">
                  <c:v>270</c:v>
                </c:pt>
                <c:pt idx="312">
                  <c:v>270</c:v>
                </c:pt>
                <c:pt idx="313">
                  <c:v>270</c:v>
                </c:pt>
                <c:pt idx="314">
                  <c:v>270</c:v>
                </c:pt>
                <c:pt idx="315">
                  <c:v>270</c:v>
                </c:pt>
                <c:pt idx="316">
                  <c:v>270</c:v>
                </c:pt>
                <c:pt idx="317">
                  <c:v>270</c:v>
                </c:pt>
                <c:pt idx="318">
                  <c:v>270</c:v>
                </c:pt>
                <c:pt idx="319">
                  <c:v>270</c:v>
                </c:pt>
                <c:pt idx="320">
                  <c:v>270</c:v>
                </c:pt>
                <c:pt idx="321">
                  <c:v>270</c:v>
                </c:pt>
                <c:pt idx="322">
                  <c:v>270</c:v>
                </c:pt>
                <c:pt idx="323">
                  <c:v>270</c:v>
                </c:pt>
                <c:pt idx="324">
                  <c:v>270</c:v>
                </c:pt>
                <c:pt idx="325">
                  <c:v>270</c:v>
                </c:pt>
                <c:pt idx="326">
                  <c:v>270</c:v>
                </c:pt>
                <c:pt idx="327">
                  <c:v>270</c:v>
                </c:pt>
                <c:pt idx="328">
                  <c:v>270</c:v>
                </c:pt>
                <c:pt idx="329">
                  <c:v>270</c:v>
                </c:pt>
                <c:pt idx="330">
                  <c:v>270</c:v>
                </c:pt>
                <c:pt idx="331">
                  <c:v>270</c:v>
                </c:pt>
                <c:pt idx="332">
                  <c:v>270</c:v>
                </c:pt>
                <c:pt idx="333">
                  <c:v>270</c:v>
                </c:pt>
                <c:pt idx="334">
                  <c:v>270</c:v>
                </c:pt>
                <c:pt idx="335">
                  <c:v>270</c:v>
                </c:pt>
                <c:pt idx="336">
                  <c:v>270</c:v>
                </c:pt>
                <c:pt idx="337">
                  <c:v>270</c:v>
                </c:pt>
                <c:pt idx="338">
                  <c:v>270</c:v>
                </c:pt>
                <c:pt idx="339">
                  <c:v>270</c:v>
                </c:pt>
                <c:pt idx="340">
                  <c:v>270</c:v>
                </c:pt>
                <c:pt idx="341">
                  <c:v>270</c:v>
                </c:pt>
                <c:pt idx="342">
                  <c:v>270</c:v>
                </c:pt>
                <c:pt idx="343">
                  <c:v>270</c:v>
                </c:pt>
                <c:pt idx="344">
                  <c:v>270</c:v>
                </c:pt>
                <c:pt idx="345">
                  <c:v>270</c:v>
                </c:pt>
                <c:pt idx="346">
                  <c:v>270</c:v>
                </c:pt>
                <c:pt idx="347">
                  <c:v>270</c:v>
                </c:pt>
                <c:pt idx="348">
                  <c:v>270</c:v>
                </c:pt>
                <c:pt idx="349">
                  <c:v>270</c:v>
                </c:pt>
                <c:pt idx="350">
                  <c:v>270</c:v>
                </c:pt>
                <c:pt idx="351">
                  <c:v>270</c:v>
                </c:pt>
                <c:pt idx="352">
                  <c:v>270</c:v>
                </c:pt>
                <c:pt idx="353">
                  <c:v>270</c:v>
                </c:pt>
                <c:pt idx="354">
                  <c:v>270</c:v>
                </c:pt>
                <c:pt idx="355">
                  <c:v>270</c:v>
                </c:pt>
                <c:pt idx="356">
                  <c:v>270</c:v>
                </c:pt>
                <c:pt idx="357">
                  <c:v>270</c:v>
                </c:pt>
                <c:pt idx="358">
                  <c:v>270</c:v>
                </c:pt>
                <c:pt idx="359">
                  <c:v>270</c:v>
                </c:pt>
                <c:pt idx="360">
                  <c:v>270</c:v>
                </c:pt>
                <c:pt idx="361">
                  <c:v>270</c:v>
                </c:pt>
                <c:pt idx="362">
                  <c:v>270</c:v>
                </c:pt>
                <c:pt idx="363">
                  <c:v>270</c:v>
                </c:pt>
                <c:pt idx="364">
                  <c:v>270</c:v>
                </c:pt>
                <c:pt idx="365">
                  <c:v>270</c:v>
                </c:pt>
                <c:pt idx="366">
                  <c:v>270</c:v>
                </c:pt>
                <c:pt idx="367">
                  <c:v>270</c:v>
                </c:pt>
                <c:pt idx="368">
                  <c:v>270</c:v>
                </c:pt>
                <c:pt idx="369">
                  <c:v>270</c:v>
                </c:pt>
                <c:pt idx="370">
                  <c:v>270</c:v>
                </c:pt>
                <c:pt idx="371">
                  <c:v>270</c:v>
                </c:pt>
                <c:pt idx="372">
                  <c:v>270</c:v>
                </c:pt>
                <c:pt idx="373">
                  <c:v>270</c:v>
                </c:pt>
                <c:pt idx="374">
                  <c:v>270</c:v>
                </c:pt>
                <c:pt idx="375">
                  <c:v>270</c:v>
                </c:pt>
                <c:pt idx="376">
                  <c:v>270</c:v>
                </c:pt>
                <c:pt idx="377">
                  <c:v>270</c:v>
                </c:pt>
                <c:pt idx="378">
                  <c:v>270</c:v>
                </c:pt>
                <c:pt idx="379">
                  <c:v>270</c:v>
                </c:pt>
                <c:pt idx="380">
                  <c:v>270</c:v>
                </c:pt>
                <c:pt idx="381">
                  <c:v>270</c:v>
                </c:pt>
                <c:pt idx="382">
                  <c:v>270</c:v>
                </c:pt>
                <c:pt idx="383">
                  <c:v>270</c:v>
                </c:pt>
                <c:pt idx="384">
                  <c:v>270</c:v>
                </c:pt>
                <c:pt idx="385">
                  <c:v>270</c:v>
                </c:pt>
                <c:pt idx="386">
                  <c:v>270</c:v>
                </c:pt>
                <c:pt idx="387">
                  <c:v>270</c:v>
                </c:pt>
                <c:pt idx="388">
                  <c:v>270</c:v>
                </c:pt>
                <c:pt idx="389">
                  <c:v>270</c:v>
                </c:pt>
                <c:pt idx="390">
                  <c:v>270</c:v>
                </c:pt>
                <c:pt idx="391">
                  <c:v>270</c:v>
                </c:pt>
                <c:pt idx="392">
                  <c:v>270</c:v>
                </c:pt>
                <c:pt idx="393">
                  <c:v>270</c:v>
                </c:pt>
                <c:pt idx="394">
                  <c:v>270</c:v>
                </c:pt>
                <c:pt idx="395">
                  <c:v>270</c:v>
                </c:pt>
                <c:pt idx="396">
                  <c:v>270</c:v>
                </c:pt>
                <c:pt idx="397">
                  <c:v>270</c:v>
                </c:pt>
                <c:pt idx="398">
                  <c:v>270</c:v>
                </c:pt>
                <c:pt idx="399">
                  <c:v>270</c:v>
                </c:pt>
                <c:pt idx="400">
                  <c:v>270</c:v>
                </c:pt>
                <c:pt idx="401">
                  <c:v>270</c:v>
                </c:pt>
                <c:pt idx="402">
                  <c:v>270</c:v>
                </c:pt>
                <c:pt idx="403">
                  <c:v>270</c:v>
                </c:pt>
                <c:pt idx="404">
                  <c:v>270</c:v>
                </c:pt>
                <c:pt idx="405">
                  <c:v>270</c:v>
                </c:pt>
                <c:pt idx="406">
                  <c:v>270</c:v>
                </c:pt>
                <c:pt idx="407">
                  <c:v>270</c:v>
                </c:pt>
                <c:pt idx="408">
                  <c:v>270</c:v>
                </c:pt>
                <c:pt idx="409">
                  <c:v>270</c:v>
                </c:pt>
                <c:pt idx="410">
                  <c:v>270</c:v>
                </c:pt>
                <c:pt idx="411">
                  <c:v>270</c:v>
                </c:pt>
                <c:pt idx="412">
                  <c:v>270</c:v>
                </c:pt>
                <c:pt idx="413">
                  <c:v>270</c:v>
                </c:pt>
                <c:pt idx="414">
                  <c:v>270</c:v>
                </c:pt>
                <c:pt idx="415">
                  <c:v>270</c:v>
                </c:pt>
                <c:pt idx="416">
                  <c:v>270</c:v>
                </c:pt>
                <c:pt idx="417">
                  <c:v>270</c:v>
                </c:pt>
                <c:pt idx="418">
                  <c:v>270</c:v>
                </c:pt>
                <c:pt idx="419">
                  <c:v>270</c:v>
                </c:pt>
                <c:pt idx="420">
                  <c:v>270</c:v>
                </c:pt>
                <c:pt idx="421">
                  <c:v>270</c:v>
                </c:pt>
                <c:pt idx="422">
                  <c:v>270</c:v>
                </c:pt>
                <c:pt idx="423">
                  <c:v>270</c:v>
                </c:pt>
                <c:pt idx="424">
                  <c:v>270</c:v>
                </c:pt>
                <c:pt idx="425">
                  <c:v>270</c:v>
                </c:pt>
                <c:pt idx="426">
                  <c:v>270</c:v>
                </c:pt>
                <c:pt idx="427">
                  <c:v>270</c:v>
                </c:pt>
                <c:pt idx="428">
                  <c:v>270</c:v>
                </c:pt>
                <c:pt idx="429">
                  <c:v>270</c:v>
                </c:pt>
                <c:pt idx="430">
                  <c:v>270</c:v>
                </c:pt>
                <c:pt idx="431">
                  <c:v>270</c:v>
                </c:pt>
                <c:pt idx="432">
                  <c:v>270</c:v>
                </c:pt>
                <c:pt idx="433">
                  <c:v>270</c:v>
                </c:pt>
                <c:pt idx="434">
                  <c:v>270</c:v>
                </c:pt>
                <c:pt idx="435">
                  <c:v>270</c:v>
                </c:pt>
                <c:pt idx="436">
                  <c:v>270</c:v>
                </c:pt>
                <c:pt idx="437">
                  <c:v>270</c:v>
                </c:pt>
                <c:pt idx="438">
                  <c:v>270</c:v>
                </c:pt>
                <c:pt idx="439">
                  <c:v>270</c:v>
                </c:pt>
                <c:pt idx="440">
                  <c:v>270</c:v>
                </c:pt>
                <c:pt idx="441">
                  <c:v>270</c:v>
                </c:pt>
                <c:pt idx="442">
                  <c:v>270</c:v>
                </c:pt>
                <c:pt idx="443">
                  <c:v>270</c:v>
                </c:pt>
                <c:pt idx="444">
                  <c:v>270</c:v>
                </c:pt>
                <c:pt idx="445">
                  <c:v>270</c:v>
                </c:pt>
                <c:pt idx="446">
                  <c:v>270</c:v>
                </c:pt>
                <c:pt idx="447">
                  <c:v>270</c:v>
                </c:pt>
                <c:pt idx="448">
                  <c:v>270</c:v>
                </c:pt>
                <c:pt idx="449">
                  <c:v>270</c:v>
                </c:pt>
                <c:pt idx="450">
                  <c:v>270</c:v>
                </c:pt>
                <c:pt idx="451">
                  <c:v>270</c:v>
                </c:pt>
                <c:pt idx="452">
                  <c:v>270</c:v>
                </c:pt>
                <c:pt idx="453">
                  <c:v>270</c:v>
                </c:pt>
                <c:pt idx="454">
                  <c:v>270</c:v>
                </c:pt>
                <c:pt idx="455">
                  <c:v>270</c:v>
                </c:pt>
                <c:pt idx="456">
                  <c:v>270</c:v>
                </c:pt>
                <c:pt idx="457">
                  <c:v>270</c:v>
                </c:pt>
                <c:pt idx="458">
                  <c:v>270</c:v>
                </c:pt>
                <c:pt idx="459">
                  <c:v>270</c:v>
                </c:pt>
                <c:pt idx="460">
                  <c:v>270</c:v>
                </c:pt>
                <c:pt idx="461">
                  <c:v>270</c:v>
                </c:pt>
                <c:pt idx="462">
                  <c:v>270</c:v>
                </c:pt>
                <c:pt idx="463">
                  <c:v>270</c:v>
                </c:pt>
                <c:pt idx="464">
                  <c:v>270</c:v>
                </c:pt>
                <c:pt idx="465">
                  <c:v>270</c:v>
                </c:pt>
                <c:pt idx="466">
                  <c:v>270</c:v>
                </c:pt>
                <c:pt idx="467">
                  <c:v>270</c:v>
                </c:pt>
                <c:pt idx="468">
                  <c:v>270</c:v>
                </c:pt>
                <c:pt idx="469">
                  <c:v>270</c:v>
                </c:pt>
                <c:pt idx="470">
                  <c:v>270</c:v>
                </c:pt>
                <c:pt idx="471">
                  <c:v>270</c:v>
                </c:pt>
                <c:pt idx="472">
                  <c:v>270</c:v>
                </c:pt>
                <c:pt idx="473">
                  <c:v>270</c:v>
                </c:pt>
                <c:pt idx="474">
                  <c:v>270</c:v>
                </c:pt>
                <c:pt idx="475">
                  <c:v>270</c:v>
                </c:pt>
                <c:pt idx="476">
                  <c:v>270</c:v>
                </c:pt>
                <c:pt idx="477">
                  <c:v>270</c:v>
                </c:pt>
                <c:pt idx="478">
                  <c:v>270</c:v>
                </c:pt>
                <c:pt idx="479">
                  <c:v>270</c:v>
                </c:pt>
                <c:pt idx="480">
                  <c:v>270</c:v>
                </c:pt>
                <c:pt idx="481">
                  <c:v>270</c:v>
                </c:pt>
                <c:pt idx="482">
                  <c:v>270</c:v>
                </c:pt>
                <c:pt idx="483">
                  <c:v>270</c:v>
                </c:pt>
                <c:pt idx="484">
                  <c:v>270</c:v>
                </c:pt>
                <c:pt idx="485">
                  <c:v>270</c:v>
                </c:pt>
                <c:pt idx="486">
                  <c:v>270</c:v>
                </c:pt>
                <c:pt idx="487">
                  <c:v>270</c:v>
                </c:pt>
                <c:pt idx="488">
                  <c:v>270</c:v>
                </c:pt>
                <c:pt idx="489">
                  <c:v>270</c:v>
                </c:pt>
                <c:pt idx="490">
                  <c:v>270</c:v>
                </c:pt>
                <c:pt idx="491">
                  <c:v>270</c:v>
                </c:pt>
                <c:pt idx="492">
                  <c:v>270</c:v>
                </c:pt>
                <c:pt idx="493">
                  <c:v>270</c:v>
                </c:pt>
                <c:pt idx="494">
                  <c:v>270</c:v>
                </c:pt>
                <c:pt idx="495">
                  <c:v>270</c:v>
                </c:pt>
                <c:pt idx="496">
                  <c:v>270</c:v>
                </c:pt>
                <c:pt idx="497">
                  <c:v>270</c:v>
                </c:pt>
                <c:pt idx="498">
                  <c:v>270</c:v>
                </c:pt>
                <c:pt idx="499">
                  <c:v>270</c:v>
                </c:pt>
                <c:pt idx="500">
                  <c:v>270</c:v>
                </c:pt>
                <c:pt idx="501">
                  <c:v>270</c:v>
                </c:pt>
                <c:pt idx="502">
                  <c:v>270</c:v>
                </c:pt>
                <c:pt idx="503">
                  <c:v>270</c:v>
                </c:pt>
                <c:pt idx="504">
                  <c:v>270</c:v>
                </c:pt>
                <c:pt idx="505">
                  <c:v>270</c:v>
                </c:pt>
                <c:pt idx="506">
                  <c:v>270</c:v>
                </c:pt>
                <c:pt idx="507">
                  <c:v>270</c:v>
                </c:pt>
                <c:pt idx="508">
                  <c:v>270</c:v>
                </c:pt>
                <c:pt idx="509">
                  <c:v>270</c:v>
                </c:pt>
                <c:pt idx="510">
                  <c:v>270</c:v>
                </c:pt>
                <c:pt idx="511">
                  <c:v>270</c:v>
                </c:pt>
                <c:pt idx="512">
                  <c:v>270</c:v>
                </c:pt>
                <c:pt idx="513">
                  <c:v>270</c:v>
                </c:pt>
                <c:pt idx="514">
                  <c:v>270</c:v>
                </c:pt>
                <c:pt idx="515">
                  <c:v>270</c:v>
                </c:pt>
                <c:pt idx="516">
                  <c:v>270</c:v>
                </c:pt>
                <c:pt idx="517">
                  <c:v>270</c:v>
                </c:pt>
                <c:pt idx="518">
                  <c:v>270</c:v>
                </c:pt>
                <c:pt idx="519">
                  <c:v>270</c:v>
                </c:pt>
                <c:pt idx="520">
                  <c:v>270</c:v>
                </c:pt>
                <c:pt idx="521">
                  <c:v>270</c:v>
                </c:pt>
                <c:pt idx="522">
                  <c:v>270</c:v>
                </c:pt>
                <c:pt idx="523">
                  <c:v>270</c:v>
                </c:pt>
                <c:pt idx="524">
                  <c:v>270</c:v>
                </c:pt>
                <c:pt idx="525">
                  <c:v>270</c:v>
                </c:pt>
                <c:pt idx="526">
                  <c:v>270</c:v>
                </c:pt>
                <c:pt idx="527">
                  <c:v>270</c:v>
                </c:pt>
                <c:pt idx="528">
                  <c:v>270</c:v>
                </c:pt>
                <c:pt idx="529">
                  <c:v>270</c:v>
                </c:pt>
                <c:pt idx="530">
                  <c:v>270</c:v>
                </c:pt>
                <c:pt idx="531">
                  <c:v>270</c:v>
                </c:pt>
                <c:pt idx="532">
                  <c:v>270</c:v>
                </c:pt>
                <c:pt idx="533">
                  <c:v>270</c:v>
                </c:pt>
                <c:pt idx="534">
                  <c:v>270</c:v>
                </c:pt>
                <c:pt idx="535">
                  <c:v>270</c:v>
                </c:pt>
                <c:pt idx="536">
                  <c:v>270</c:v>
                </c:pt>
                <c:pt idx="537">
                  <c:v>270</c:v>
                </c:pt>
                <c:pt idx="538">
                  <c:v>270</c:v>
                </c:pt>
                <c:pt idx="539">
                  <c:v>270</c:v>
                </c:pt>
                <c:pt idx="540">
                  <c:v>270</c:v>
                </c:pt>
                <c:pt idx="541">
                  <c:v>270</c:v>
                </c:pt>
                <c:pt idx="542">
                  <c:v>270</c:v>
                </c:pt>
                <c:pt idx="543">
                  <c:v>270</c:v>
                </c:pt>
                <c:pt idx="544">
                  <c:v>270</c:v>
                </c:pt>
                <c:pt idx="545">
                  <c:v>270</c:v>
                </c:pt>
                <c:pt idx="546">
                  <c:v>270</c:v>
                </c:pt>
                <c:pt idx="547">
                  <c:v>270</c:v>
                </c:pt>
                <c:pt idx="548">
                  <c:v>270</c:v>
                </c:pt>
                <c:pt idx="549">
                  <c:v>270</c:v>
                </c:pt>
                <c:pt idx="550">
                  <c:v>270</c:v>
                </c:pt>
                <c:pt idx="551">
                  <c:v>270</c:v>
                </c:pt>
                <c:pt idx="552">
                  <c:v>270</c:v>
                </c:pt>
                <c:pt idx="553">
                  <c:v>270</c:v>
                </c:pt>
                <c:pt idx="554">
                  <c:v>270</c:v>
                </c:pt>
                <c:pt idx="555">
                  <c:v>270</c:v>
                </c:pt>
                <c:pt idx="556">
                  <c:v>270</c:v>
                </c:pt>
                <c:pt idx="557">
                  <c:v>270</c:v>
                </c:pt>
                <c:pt idx="558">
                  <c:v>270</c:v>
                </c:pt>
                <c:pt idx="559">
                  <c:v>270</c:v>
                </c:pt>
                <c:pt idx="560">
                  <c:v>270</c:v>
                </c:pt>
                <c:pt idx="561">
                  <c:v>270</c:v>
                </c:pt>
                <c:pt idx="562">
                  <c:v>270</c:v>
                </c:pt>
                <c:pt idx="563">
                  <c:v>270</c:v>
                </c:pt>
                <c:pt idx="564">
                  <c:v>270</c:v>
                </c:pt>
                <c:pt idx="565">
                  <c:v>270</c:v>
                </c:pt>
                <c:pt idx="566">
                  <c:v>270</c:v>
                </c:pt>
                <c:pt idx="567">
                  <c:v>270</c:v>
                </c:pt>
                <c:pt idx="568">
                  <c:v>270</c:v>
                </c:pt>
                <c:pt idx="569">
                  <c:v>270</c:v>
                </c:pt>
                <c:pt idx="570">
                  <c:v>270</c:v>
                </c:pt>
                <c:pt idx="571">
                  <c:v>270</c:v>
                </c:pt>
                <c:pt idx="572">
                  <c:v>270</c:v>
                </c:pt>
                <c:pt idx="573">
                  <c:v>270</c:v>
                </c:pt>
                <c:pt idx="574" formatCode="d\-mmm">
                  <c:v>0</c:v>
                </c:pt>
              </c:numCache>
            </c:numRef>
          </c:val>
          <c:smooth val="0"/>
        </c:ser>
        <c:dLbls>
          <c:showLegendKey val="0"/>
          <c:showVal val="0"/>
          <c:showCatName val="0"/>
          <c:showSerName val="0"/>
          <c:showPercent val="0"/>
          <c:showBubbleSize val="0"/>
        </c:dLbls>
        <c:marker val="1"/>
        <c:smooth val="0"/>
        <c:axId val="216824832"/>
        <c:axId val="308219264"/>
      </c:lineChart>
      <c:dateAx>
        <c:axId val="216824832"/>
        <c:scaling>
          <c:orientation val="minMax"/>
        </c:scaling>
        <c:delete val="0"/>
        <c:axPos val="b"/>
        <c:numFmt formatCode="d\-mmm" sourceLinked="0"/>
        <c:majorTickMark val="cross"/>
        <c:minorTickMark val="cross"/>
        <c:tickLblPos val="low"/>
        <c:spPr>
          <a:ln w="3175">
            <a:solidFill>
              <a:srgbClr val="000000"/>
            </a:solidFill>
            <a:prstDash val="solid"/>
          </a:ln>
        </c:spPr>
        <c:txPr>
          <a:bodyPr rot="-5400000" vert="horz"/>
          <a:lstStyle/>
          <a:p>
            <a:pPr>
              <a:defRPr/>
            </a:pPr>
            <a:endParaRPr lang="en-US"/>
          </a:p>
        </c:txPr>
        <c:crossAx val="308219264"/>
        <c:crosses val="autoZero"/>
        <c:auto val="1"/>
        <c:lblOffset val="100"/>
        <c:baseTimeUnit val="days"/>
        <c:majorUnit val="28"/>
        <c:majorTimeUnit val="days"/>
        <c:minorUnit val="7"/>
        <c:minorTimeUnit val="days"/>
      </c:dateAx>
      <c:valAx>
        <c:axId val="308219264"/>
        <c:scaling>
          <c:orientation val="minMax"/>
          <c:min val="0"/>
        </c:scaling>
        <c:delete val="0"/>
        <c:axPos val="l"/>
        <c:majorGridlines>
          <c:spPr>
            <a:ln w="3175">
              <a:solidFill>
                <a:srgbClr val="000000"/>
              </a:solidFill>
              <a:prstDash val="solid"/>
            </a:ln>
          </c:spPr>
        </c:majorGridlines>
        <c:title>
          <c:tx>
            <c:rich>
              <a:bodyPr/>
              <a:lstStyle/>
              <a:p>
                <a:pPr>
                  <a:defRPr sz="1000" b="0" i="0" u="none" strike="noStrike" baseline="0">
                    <a:solidFill>
                      <a:srgbClr val="000000"/>
                    </a:solidFill>
                    <a:latin typeface="Arial"/>
                    <a:ea typeface="Arial"/>
                    <a:cs typeface="Arial"/>
                  </a:defRPr>
                </a:pPr>
                <a:r>
                  <a:rPr lang="en-US" sz="1600" b="1" i="0" u="none" strike="noStrike" baseline="0">
                    <a:solidFill>
                      <a:srgbClr val="000000"/>
                    </a:solidFill>
                    <a:latin typeface="Arial"/>
                    <a:cs typeface="Arial"/>
                  </a:rPr>
                  <a:t>Available Water Content (mm h</a:t>
                </a:r>
                <a:r>
                  <a:rPr lang="en-US" sz="1600" b="1" i="0" u="none" strike="noStrike" baseline="30000">
                    <a:solidFill>
                      <a:srgbClr val="000000"/>
                    </a:solidFill>
                    <a:latin typeface="Arial"/>
                    <a:cs typeface="Arial"/>
                  </a:rPr>
                  <a:t>-1</a:t>
                </a:r>
                <a:r>
                  <a:rPr lang="en-US" sz="1600" b="1" i="0" u="none" strike="noStrike" baseline="0">
                    <a:solidFill>
                      <a:srgbClr val="000000"/>
                    </a:solidFill>
                    <a:latin typeface="Arial"/>
                    <a:cs typeface="Arial"/>
                  </a:rPr>
                  <a:t>)</a:t>
                </a:r>
              </a:p>
            </c:rich>
          </c:tx>
          <c:layout>
            <c:manualLayout>
              <c:xMode val="edge"/>
              <c:yMode val="edge"/>
              <c:x val="6.9770869314910765E-3"/>
              <c:y val="0.23130606420927466"/>
            </c:manualLayout>
          </c:layout>
          <c:overlay val="0"/>
          <c:spPr>
            <a:noFill/>
            <a:ln w="25400">
              <a:noFill/>
            </a:ln>
          </c:spPr>
        </c:title>
        <c:numFmt formatCode="0" sourceLinked="0"/>
        <c:majorTickMark val="cross"/>
        <c:minorTickMark val="in"/>
        <c:tickLblPos val="low"/>
        <c:spPr>
          <a:ln w="3175">
            <a:solidFill>
              <a:srgbClr val="000000"/>
            </a:solidFill>
            <a:prstDash val="solid"/>
          </a:ln>
        </c:spPr>
        <c:txPr>
          <a:bodyPr rot="0" vert="horz"/>
          <a:lstStyle/>
          <a:p>
            <a:pPr>
              <a:defRPr/>
            </a:pPr>
            <a:endParaRPr lang="en-US"/>
          </a:p>
        </c:txPr>
        <c:crossAx val="216824832"/>
        <c:crosses val="autoZero"/>
        <c:crossBetween val="between"/>
      </c:valAx>
      <c:spPr>
        <a:solidFill>
          <a:srgbClr val="FFFFFF"/>
        </a:solidFill>
        <a:ln w="12700">
          <a:solidFill>
            <a:srgbClr val="808080"/>
          </a:solidFill>
          <a:prstDash val="solid"/>
        </a:ln>
      </c:spPr>
    </c:plotArea>
    <c:legend>
      <c:legendPos val="r"/>
      <c:layout>
        <c:manualLayout>
          <c:xMode val="edge"/>
          <c:yMode val="edge"/>
          <c:wMode val="edge"/>
          <c:hMode val="edge"/>
          <c:x val="5.7777777777777768E-2"/>
          <c:y val="0"/>
          <c:w val="0.95259263097294178"/>
          <c:h val="6.4270154577883473E-2"/>
        </c:manualLayout>
      </c:layout>
      <c:overlay val="0"/>
      <c:spPr>
        <a:solidFill>
          <a:srgbClr val="FFFFFF"/>
        </a:solidFill>
        <a:ln w="3175">
          <a:noFill/>
          <a:prstDash val="solid"/>
        </a:ln>
      </c:spPr>
    </c:legend>
    <c:plotVisOnly val="1"/>
    <c:dispBlanksAs val="gap"/>
    <c:showDLblsOverMax val="0"/>
  </c:chart>
  <c:spPr>
    <a:noFill/>
    <a:ln w="9525">
      <a:noFill/>
    </a:ln>
  </c:spPr>
  <c:txPr>
    <a:bodyPr/>
    <a:lstStyle/>
    <a:p>
      <a:pPr>
        <a:defRPr sz="1600" b="1" i="0" u="none" strike="noStrike" baseline="0">
          <a:solidFill>
            <a:srgbClr val="000000"/>
          </a:solidFill>
          <a:latin typeface="Arial"/>
          <a:ea typeface="Arial"/>
          <a:cs typeface="Arial"/>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chartsheets/sheet1.xml><?xml version="1.0" encoding="utf-8"?>
<chartsheet xmlns="http://schemas.openxmlformats.org/spreadsheetml/2006/main" xmlns:r="http://schemas.openxmlformats.org/officeDocument/2006/relationships">
  <sheetPr>
    <tabColor rgb="FF66FF99"/>
  </sheetPr>
  <sheetViews>
    <sheetView zoomScale="137" workbookViewId="0"/>
  </sheetViews>
  <sheetProtection content="1" objects="1"/>
  <pageMargins left="0.75" right="0.75" top="1" bottom="1" header="0.5" footer="0.5"/>
  <pageSetup orientation="landscape" horizontalDpi="300" verticalDpi="300" r:id="rId1"/>
  <headerFooter alignWithMargins="0"/>
  <drawing r:id="rId2"/>
</chartsheet>
</file>

<file path=xl/chartsheets/sheet2.xml><?xml version="1.0" encoding="utf-8"?>
<chartsheet xmlns="http://schemas.openxmlformats.org/spreadsheetml/2006/main" xmlns:r="http://schemas.openxmlformats.org/officeDocument/2006/relationships">
  <sheetPr>
    <tabColor rgb="FF66FF99"/>
  </sheetPr>
  <sheetViews>
    <sheetView zoomScale="127" workbookViewId="0"/>
  </sheetViews>
  <sheetProtection content="1" objects="1"/>
  <pageMargins left="0.75" right="0.75" top="1" bottom="1" header="0.5" footer="0.5"/>
  <headerFooter alignWithMargins="0"/>
  <drawing r:id="rId1"/>
</chartsheet>
</file>

<file path=xl/chartsheets/sheet3.xml><?xml version="1.0" encoding="utf-8"?>
<chartsheet xmlns="http://schemas.openxmlformats.org/spreadsheetml/2006/main" xmlns:r="http://schemas.openxmlformats.org/officeDocument/2006/relationships">
  <sheetPr>
    <tabColor rgb="FF66FF99"/>
  </sheetPr>
  <sheetViews>
    <sheetView zoomScale="127" workbookViewId="0"/>
  </sheetViews>
  <sheetProtection content="1" objects="1"/>
  <pageMargins left="0.75" right="0.75" top="1" bottom="1" header="0.5" footer="0.5"/>
  <headerFooter alignWithMargins="0"/>
  <drawing r:id="rId1"/>
</chartsheet>
</file>

<file path=xl/chartsheets/sheet4.xml><?xml version="1.0" encoding="utf-8"?>
<chartsheet xmlns="http://schemas.openxmlformats.org/spreadsheetml/2006/main" xmlns:r="http://schemas.openxmlformats.org/officeDocument/2006/relationships">
  <sheetPr/>
  <sheetViews>
    <sheetView workbookViewId="0"/>
  </sheetViews>
  <pageMargins left="0.75" right="0.75" top="1" bottom="1" header="0.5" footer="0.5"/>
  <headerFooter alignWithMargins="0"/>
  <drawing r:id="rId1"/>
</chartsheet>
</file>

<file path=xl/chartsheets/sheet5.xml><?xml version="1.0" encoding="utf-8"?>
<chartsheet xmlns="http://schemas.openxmlformats.org/spreadsheetml/2006/main" xmlns:r="http://schemas.openxmlformats.org/officeDocument/2006/relationships">
  <sheetPr>
    <tabColor rgb="FF66FF99"/>
  </sheetPr>
  <sheetViews>
    <sheetView zoomScale="127" workbookViewId="0"/>
  </sheetViews>
  <sheetProtection content="1" objects="1"/>
  <pageMargins left="0.75" right="0.75" top="1" bottom="1" header="0.5" footer="0.5"/>
  <headerFooter alignWithMargins="0"/>
  <drawing r:id="rId1"/>
</chartsheet>
</file>

<file path=xl/chartsheets/sheet6.xml><?xml version="1.0" encoding="utf-8"?>
<chartsheet xmlns="http://schemas.openxmlformats.org/spreadsheetml/2006/main" xmlns:r="http://schemas.openxmlformats.org/officeDocument/2006/relationships">
  <sheetPr>
    <tabColor rgb="FF66FF99"/>
  </sheetPr>
  <sheetViews>
    <sheetView zoomScale="127" workbookViewId="0"/>
  </sheetViews>
  <sheetProtection content="1" objects="1"/>
  <pageMargins left="0.75" right="0.75" top="1" bottom="1" header="0.5" footer="0.5"/>
  <headerFooter alignWithMargins="0"/>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absoluteAnchor>
    <xdr:pos x="0" y="0"/>
    <xdr:ext cx="8572500" cy="58293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572500" cy="58293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twoCellAnchor>
    <xdr:from>
      <xdr:col>0</xdr:col>
      <xdr:colOff>133350</xdr:colOff>
      <xdr:row>0</xdr:row>
      <xdr:rowOff>114300</xdr:rowOff>
    </xdr:from>
    <xdr:to>
      <xdr:col>8</xdr:col>
      <xdr:colOff>514350</xdr:colOff>
      <xdr:row>49</xdr:row>
      <xdr:rowOff>76200</xdr:rowOff>
    </xdr:to>
    <xdr:sp macro="" textlink="">
      <xdr:nvSpPr>
        <xdr:cNvPr id="4097" name="Text Box 1"/>
        <xdr:cNvSpPr txBox="1">
          <a:spLocks noChangeArrowheads="1"/>
        </xdr:cNvSpPr>
      </xdr:nvSpPr>
      <xdr:spPr bwMode="auto">
        <a:xfrm>
          <a:off x="133350" y="114300"/>
          <a:ext cx="5257800" cy="7896225"/>
        </a:xfrm>
        <a:prstGeom prst="rect">
          <a:avLst/>
        </a:prstGeom>
        <a:solidFill>
          <a:srgbClr val="FFFFFF"/>
        </a:solidFill>
        <a:ln w="9525">
          <a:solidFill>
            <a:srgbClr val="000000"/>
          </a:solidFill>
          <a:miter lim="800000"/>
          <a:headEnd/>
          <a:tailEnd/>
        </a:ln>
      </xdr:spPr>
      <xdr:txBody>
        <a:bodyPr vertOverflow="clip" wrap="square" lIns="36576" tIns="22860" rIns="0" bIns="0" anchor="t" upright="1"/>
        <a:lstStyle/>
        <a:p>
          <a:pPr algn="l" rtl="0">
            <a:defRPr sz="1000"/>
          </a:pPr>
          <a:r>
            <a:rPr lang="en-US" sz="1000" b="0" i="0" u="none" strike="noStrike" baseline="0">
              <a:solidFill>
                <a:srgbClr val="000000"/>
              </a:solidFill>
              <a:latin typeface="Arial"/>
              <a:cs typeface="Arial"/>
            </a:rPr>
            <a:t>Kc data marked in blue were derived in work by T.C. Hsiao and former students at UC Davis.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Kc for corn was derived by Steduto and Hsiao (1998) maize canopies uhnder two soil water regimes II. Seasonal trends of evapotranspiration, carbon dioxide assimilation and canopy conductance, and as related to leaf area index. Agric. and forest  Meteorol. 89:185-200.</a:t>
          </a:r>
        </a:p>
        <a:p>
          <a:pPr algn="l" rtl="0">
            <a:defRPr sz="1000"/>
          </a:pPr>
          <a:r>
            <a:rPr lang="en-US" sz="1000" b="0" i="0" u="none" strike="noStrike" baseline="0">
              <a:solidFill>
                <a:srgbClr val="000000"/>
              </a:solidFill>
              <a:latin typeface="Arial"/>
              <a:cs typeface="Arial"/>
            </a:rPr>
            <a:t>The Kc =1.05 for cotton is based on work by Held and Hsiao</a:t>
          </a:r>
        </a:p>
        <a:p>
          <a:pPr algn="l" rtl="0">
            <a:defRPr sz="1000"/>
          </a:pPr>
          <a:r>
            <a:rPr lang="en-US" sz="1000" b="0" i="0" u="none" strike="noStrike" baseline="0">
              <a:solidFill>
                <a:srgbClr val="000000"/>
              </a:solidFill>
              <a:latin typeface="Arial"/>
              <a:cs typeface="Arial"/>
            </a:rPr>
            <a:t>The Kc = 1.00 for sorghum is based on work by Held and Hsiao.  Millet and </a:t>
          </a:r>
        </a:p>
        <a:p>
          <a:pPr algn="l" rtl="0">
            <a:defRPr sz="1000"/>
          </a:pPr>
          <a:r>
            <a:rPr lang="en-US" sz="1000" b="0" i="0" u="none" strike="noStrike" baseline="0">
              <a:solidFill>
                <a:srgbClr val="000000"/>
              </a:solidFill>
              <a:latin typeface="Arial"/>
              <a:cs typeface="Arial"/>
            </a:rPr>
            <a:t>For tomato a Kc = 1.10 was selected based on unpublished data from Snyder and Cahn and on expeiments by Held &amp; Hsiao.  The kc values reported by Held and Hsiao were slightly higher, but the tomatoes were full canopy (not in beds, which is the normal practice). The data from Snyder and Cahn were typical for California practices.</a:t>
          </a:r>
        </a:p>
        <a:p>
          <a:pPr algn="l" rtl="0">
            <a:defRPr sz="1000"/>
          </a:pPr>
          <a:r>
            <a:rPr lang="en-US" sz="1000" b="0" i="0" u="none" strike="noStrike" baseline="0">
              <a:solidFill>
                <a:srgbClr val="000000"/>
              </a:solidFill>
              <a:latin typeface="Arial"/>
              <a:cs typeface="Arial"/>
            </a:rPr>
            <a:t>The data for sunflower were based on data from Hsiao (personal communication)</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Kc data marked in green were derived from several sources.  The assumption is that corn has a Kc = 1.00 for ETo calculated using the Pruitt and Doorenbos (1977) hourly ETo equation that is used by the California Irrigation Management Information System CIMIS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Snyder and Pruitt (1992) Evapotranspiration Data Management in California Irrigation &amp; Drainage Session Proceedings/Water Forum '92, EE,HY,IR,WR Div/ASCE, Baltimore, MD/August 2-6, 1992. pp128-133..</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Relative Kp values for alfalfa for the crops marked in green were selected from</a:t>
          </a:r>
        </a:p>
        <a:p>
          <a:pPr algn="l" rtl="0">
            <a:defRPr sz="1000"/>
          </a:pPr>
          <a:r>
            <a:rPr lang="en-US" sz="1000" b="0" i="0" u="none" strike="noStrike" baseline="0">
              <a:solidFill>
                <a:srgbClr val="000000"/>
              </a:solidFill>
              <a:latin typeface="Arial"/>
              <a:cs typeface="Arial"/>
            </a:rPr>
            <a:t> </a:t>
          </a:r>
        </a:p>
        <a:p>
          <a:pPr algn="l" rtl="0">
            <a:defRPr sz="1000"/>
          </a:pPr>
          <a:r>
            <a:rPr lang="en-US" sz="1000" b="0" i="0" u="none" strike="noStrike" baseline="0">
              <a:solidFill>
                <a:srgbClr val="000000"/>
              </a:solidFill>
              <a:latin typeface="Arial"/>
              <a:cs typeface="Arial"/>
            </a:rPr>
            <a:t>Wright (1982) New Evapotranspiration Crop Coefficients. Presented at Irrigation and Drainage Specialty Conference, ASCE, July 17-20, Albuquerque, New Mexico. pp 57-74.</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peak Kp values were corn = 0.95, alfalfa = 1.0, beans = 1.0, potatoes = 0.8, sugar beets = 1.0, peas = 0.9, and cereals = 1.0.  Because the equation for ETo was not available at that time, the Kp values cannot be used directly.  However, assuming the Kc = 1.00 is correct for corn, then the approximate peak Kc values for the other crops are found by dividing the Kp by 0.95.  The peak  Kc values for a grass ETo are corn = 1.00, alfalfa = 1.05, beans = 1.00, potatoes = 0.85, sugar beets = 1.05, peas =0.95, and cereals = 1.05.</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rice Kc = 1.1 more current data on typical ETo from CIMIs and the article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Lourence and Pruitt (1971) Energy balance and water use of rice grown in the Central Valley of California. Agron. J. 63:827-832.</a:t>
          </a:r>
        </a:p>
        <a:p>
          <a:pPr algn="l" rtl="0">
            <a:defRPr sz="1000"/>
          </a:pPr>
          <a:r>
            <a:rPr lang="en-US" sz="1000" b="0" i="0" u="none" strike="noStrike" baseline="0">
              <a:solidFill>
                <a:srgbClr val="000000"/>
              </a:solidFill>
              <a:latin typeface="Arial"/>
              <a:cs typeface="Arial"/>
            </a:rPr>
            <a:t> </a:t>
          </a:r>
        </a:p>
        <a:p>
          <a:pPr algn="l" rtl="0">
            <a:defRPr sz="1000"/>
          </a:pPr>
          <a:r>
            <a:rPr lang="en-US" sz="1000" b="0" i="0" u="none" strike="noStrike" baseline="0">
              <a:solidFill>
                <a:srgbClr val="000000"/>
              </a:solidFill>
              <a:latin typeface="Arial"/>
              <a:cs typeface="Arial"/>
            </a:rPr>
            <a:t>Lourence and Pruitt found ET of rice to be about 4-5% higher than lysimeter measured grass in Davis.  Rice ET was measured by Bowen ratio about 25 miles north of Davis.  The postulated that the ETo would be less in the rice growing region because of higher humidity.  As a result, they recommend a Kc = 1.20 to 1.25.  However, CIMIS data indicates that the ETo is only about 5% higher in Davis than at the Nicolas site and in Colusa, which are near the rice growing region.   As a result, we would recommend a Kc = 1.05 x 1.05 = 1.10 to estimate ETrice from ETo estimated at a CIMIS station in the rice growing region..    </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hyperlink" Target="mailto:morang@water.ca.gov" TargetMode="External"/><Relationship Id="rId2" Type="http://schemas.openxmlformats.org/officeDocument/2006/relationships/hyperlink" Target="mailto:kmbali@ucdavis.edu" TargetMode="External"/><Relationship Id="rId1" Type="http://schemas.openxmlformats.org/officeDocument/2006/relationships/hyperlink" Target="mailto:rlsnyder@ucdavis.edu" TargetMode="External"/><Relationship Id="rId6" Type="http://schemas.openxmlformats.org/officeDocument/2006/relationships/printerSettings" Target="../printerSettings/printerSettings1.bin"/><Relationship Id="rId5" Type="http://schemas.openxmlformats.org/officeDocument/2006/relationships/hyperlink" Target="mailto:dzaccaria@ucdavis.edu" TargetMode="External"/><Relationship Id="rId4" Type="http://schemas.openxmlformats.org/officeDocument/2006/relationships/hyperlink" Target="mailto:seching@water.ca.gov"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
  <sheetViews>
    <sheetView workbookViewId="0">
      <selection activeCell="J20" sqref="J20"/>
    </sheetView>
  </sheetViews>
  <sheetFormatPr defaultRowHeight="12.75" x14ac:dyDescent="0.2"/>
  <sheetData>
    <row r="1" spans="1:15" x14ac:dyDescent="0.2">
      <c r="H1" t="s">
        <v>20</v>
      </c>
      <c r="I1">
        <v>0</v>
      </c>
    </row>
    <row r="2" spans="1:15" x14ac:dyDescent="0.2">
      <c r="H2" t="s">
        <v>21</v>
      </c>
      <c r="I2">
        <v>0</v>
      </c>
    </row>
    <row r="3" spans="1:15" x14ac:dyDescent="0.2">
      <c r="A3" t="s">
        <v>22</v>
      </c>
      <c r="B3" t="s">
        <v>23</v>
      </c>
      <c r="C3" t="s">
        <v>24</v>
      </c>
      <c r="D3" t="s">
        <v>25</v>
      </c>
      <c r="E3" t="s">
        <v>8</v>
      </c>
      <c r="F3" t="s">
        <v>26</v>
      </c>
      <c r="G3" t="s">
        <v>27</v>
      </c>
      <c r="H3" t="s">
        <v>28</v>
      </c>
      <c r="I3" t="s">
        <v>29</v>
      </c>
      <c r="J3" t="s">
        <v>30</v>
      </c>
      <c r="K3" t="s">
        <v>31</v>
      </c>
    </row>
    <row r="4" spans="1:15" x14ac:dyDescent="0.2">
      <c r="A4">
        <v>11</v>
      </c>
      <c r="B4">
        <v>1</v>
      </c>
      <c r="D4" s="15">
        <v>320</v>
      </c>
      <c r="E4">
        <f>D4-319</f>
        <v>1</v>
      </c>
      <c r="F4" s="15">
        <f>C16</f>
        <v>2.0987687517840574</v>
      </c>
      <c r="G4" s="16"/>
      <c r="H4" s="16"/>
      <c r="I4" s="14">
        <f>(3/(E5-E4))*((F5-F4)/(E5-E4)-I$1)</f>
        <v>-2.980194799337736E-3</v>
      </c>
      <c r="J4" s="17">
        <v>-0.25</v>
      </c>
      <c r="K4" s="10">
        <f t="shared" ref="K4:K19" si="0">J4*K5+I4</f>
        <v>-3.4781873817351892E-3</v>
      </c>
    </row>
    <row r="5" spans="1:15" x14ac:dyDescent="0.2">
      <c r="A5">
        <v>12</v>
      </c>
      <c r="B5">
        <f>B4+1</f>
        <v>2</v>
      </c>
      <c r="D5" s="15">
        <v>351</v>
      </c>
      <c r="E5">
        <f>D5-319</f>
        <v>32</v>
      </c>
      <c r="F5" s="15">
        <f>C17</f>
        <v>1.144113017729536</v>
      </c>
      <c r="G5" s="16">
        <f>(E5-E4)/(E6-E4)</f>
        <v>0.51666666666666672</v>
      </c>
      <c r="H5" s="16">
        <f t="shared" ref="H5:H19" si="1">G5*J4+2</f>
        <v>1.8708333333333333</v>
      </c>
      <c r="I5" s="10">
        <f t="shared" ref="I5:I18" si="2">(6*(((F6-F5)/(E6-E5))-((F5-F4)/(E5-E4)))/(E6-E4)-G5*I4)/H5</f>
        <v>2.2117873964476124E-3</v>
      </c>
      <c r="J5" s="8">
        <f t="shared" ref="J5:J18" si="3">(G5-1)/H5</f>
        <v>-0.25835189309576834</v>
      </c>
      <c r="K5" s="10">
        <f t="shared" si="0"/>
        <v>1.9919703295898129E-3</v>
      </c>
    </row>
    <row r="6" spans="1:15" x14ac:dyDescent="0.2">
      <c r="A6" s="15">
        <v>1</v>
      </c>
      <c r="B6">
        <f t="shared" ref="B6:B19" si="4">B5+1</f>
        <v>3</v>
      </c>
      <c r="C6" s="19">
        <f>Weather!K11</f>
        <v>1.0045022758082387</v>
      </c>
      <c r="D6" s="13">
        <f>365+INT(30.5*A6-14.6)</f>
        <v>380</v>
      </c>
      <c r="E6">
        <f t="shared" ref="E6:E19" si="5">D6-319</f>
        <v>61</v>
      </c>
      <c r="F6">
        <f t="shared" ref="F6:F17" si="6">C6</f>
        <v>1.0045022758082387</v>
      </c>
      <c r="G6" s="16">
        <f t="shared" ref="G6:G19" si="7">(E6-E5)/(E7-E5)</f>
        <v>0.48333333333333334</v>
      </c>
      <c r="H6" s="16">
        <f t="shared" si="1"/>
        <v>1.8751299183370453</v>
      </c>
      <c r="I6" s="10">
        <f t="shared" si="2"/>
        <v>8.7283272320408086E-4</v>
      </c>
      <c r="J6" s="8">
        <f t="shared" si="3"/>
        <v>-0.27553646369467094</v>
      </c>
      <c r="K6" s="10">
        <f t="shared" si="0"/>
        <v>8.5084364671682788E-4</v>
      </c>
      <c r="L6" s="18"/>
      <c r="M6" s="18" t="s">
        <v>32</v>
      </c>
      <c r="N6" s="18"/>
      <c r="O6" s="18"/>
    </row>
    <row r="7" spans="1:15" x14ac:dyDescent="0.2">
      <c r="A7" s="15">
        <v>2</v>
      </c>
      <c r="B7">
        <f t="shared" si="4"/>
        <v>4</v>
      </c>
      <c r="C7" s="19">
        <f>Weather!K12</f>
        <v>1.6940318585171934</v>
      </c>
      <c r="D7" s="13">
        <f t="shared" ref="D7:D17" si="8">365+INT(30.5*A7-14.6)</f>
        <v>411</v>
      </c>
      <c r="E7">
        <f t="shared" si="5"/>
        <v>92</v>
      </c>
      <c r="F7">
        <f t="shared" si="6"/>
        <v>1.6940318585171934</v>
      </c>
      <c r="G7" s="16">
        <f t="shared" si="7"/>
        <v>0.50819672131147542</v>
      </c>
      <c r="H7" s="16">
        <f t="shared" si="1"/>
        <v>1.8599732725486098</v>
      </c>
      <c r="I7" s="10">
        <f t="shared" si="2"/>
        <v>4.0802677694855272E-4</v>
      </c>
      <c r="J7" s="8">
        <f t="shared" si="3"/>
        <v>-0.26441416441142512</v>
      </c>
      <c r="K7" s="10">
        <f t="shared" si="0"/>
        <v>7.9804597157128701E-5</v>
      </c>
    </row>
    <row r="8" spans="1:15" x14ac:dyDescent="0.2">
      <c r="A8" s="15">
        <v>3</v>
      </c>
      <c r="B8">
        <f t="shared" si="4"/>
        <v>5</v>
      </c>
      <c r="C8" s="19">
        <f>Weather!K13</f>
        <v>2.7280778879385563</v>
      </c>
      <c r="D8" s="13">
        <f t="shared" si="8"/>
        <v>441</v>
      </c>
      <c r="E8">
        <f t="shared" si="5"/>
        <v>122</v>
      </c>
      <c r="F8">
        <f t="shared" si="6"/>
        <v>2.7280778879385563</v>
      </c>
      <c r="G8" s="16">
        <f t="shared" si="7"/>
        <v>0.49180327868852458</v>
      </c>
      <c r="H8" s="16">
        <f t="shared" si="1"/>
        <v>1.8699602470107746</v>
      </c>
      <c r="I8" s="10">
        <f t="shared" si="2"/>
        <v>8.9455922345090498E-4</v>
      </c>
      <c r="J8" s="8">
        <f t="shared" si="3"/>
        <v>-0.2717687299095547</v>
      </c>
      <c r="K8" s="10">
        <f t="shared" si="0"/>
        <v>1.2413184464683761E-3</v>
      </c>
    </row>
    <row r="9" spans="1:15" x14ac:dyDescent="0.2">
      <c r="A9" s="15">
        <v>4</v>
      </c>
      <c r="B9">
        <f t="shared" si="4"/>
        <v>6</v>
      </c>
      <c r="C9" s="19">
        <f>Weather!K14</f>
        <v>4.387043975863822</v>
      </c>
      <c r="D9" s="13">
        <f t="shared" si="8"/>
        <v>472</v>
      </c>
      <c r="E9">
        <f t="shared" si="5"/>
        <v>153</v>
      </c>
      <c r="F9">
        <f t="shared" si="6"/>
        <v>4.387043975863822</v>
      </c>
      <c r="G9" s="16">
        <f t="shared" si="7"/>
        <v>0.50819672131147542</v>
      </c>
      <c r="H9" s="16">
        <f t="shared" si="1"/>
        <v>1.8618880225049803</v>
      </c>
      <c r="I9" s="10">
        <f t="shared" si="2"/>
        <v>-1.0625414609094633E-3</v>
      </c>
      <c r="J9" s="8">
        <f t="shared" si="3"/>
        <v>-0.26414224311237228</v>
      </c>
      <c r="K9" s="10">
        <f t="shared" si="0"/>
        <v>-1.2759349581273509E-3</v>
      </c>
    </row>
    <row r="10" spans="1:15" x14ac:dyDescent="0.2">
      <c r="A10" s="15">
        <v>5</v>
      </c>
      <c r="B10">
        <f t="shared" si="4"/>
        <v>7</v>
      </c>
      <c r="C10" s="19">
        <f>Weather!K15</f>
        <v>5.527760076387521</v>
      </c>
      <c r="D10" s="13">
        <f t="shared" si="8"/>
        <v>502</v>
      </c>
      <c r="E10">
        <f t="shared" si="5"/>
        <v>183</v>
      </c>
      <c r="F10">
        <f t="shared" si="6"/>
        <v>5.527760076387521</v>
      </c>
      <c r="G10" s="16">
        <f t="shared" si="7"/>
        <v>0.49180327868852458</v>
      </c>
      <c r="H10" s="16">
        <f t="shared" si="1"/>
        <v>1.870093978797194</v>
      </c>
      <c r="I10" s="10">
        <f t="shared" si="2"/>
        <v>4.1280096803541778E-4</v>
      </c>
      <c r="J10" s="8">
        <f t="shared" si="3"/>
        <v>-0.27174929552916754</v>
      </c>
      <c r="K10" s="10">
        <f t="shared" si="0"/>
        <v>8.0787341965255096E-4</v>
      </c>
    </row>
    <row r="11" spans="1:15" x14ac:dyDescent="0.2">
      <c r="A11" s="15">
        <v>6</v>
      </c>
      <c r="B11">
        <f t="shared" si="4"/>
        <v>8</v>
      </c>
      <c r="C11" s="19">
        <f>Weather!K16</f>
        <v>6.7851074137560472</v>
      </c>
      <c r="D11" s="13">
        <f t="shared" si="8"/>
        <v>533</v>
      </c>
      <c r="E11">
        <f t="shared" si="5"/>
        <v>214</v>
      </c>
      <c r="F11">
        <f t="shared" si="6"/>
        <v>6.7851074137560472</v>
      </c>
      <c r="G11" s="16">
        <f t="shared" si="7"/>
        <v>0.50819672131147542</v>
      </c>
      <c r="H11" s="16">
        <f t="shared" si="1"/>
        <v>1.8618978989933739</v>
      </c>
      <c r="I11" s="10">
        <f t="shared" si="2"/>
        <v>-1.7048803311100803E-3</v>
      </c>
      <c r="J11" s="8">
        <f t="shared" si="3"/>
        <v>-0.26414084196261012</v>
      </c>
      <c r="K11" s="10">
        <f t="shared" si="0"/>
        <v>-1.4538122384009236E-3</v>
      </c>
    </row>
    <row r="12" spans="1:15" x14ac:dyDescent="0.2">
      <c r="A12" s="15">
        <v>7</v>
      </c>
      <c r="B12">
        <f t="shared" si="4"/>
        <v>9</v>
      </c>
      <c r="C12" s="19">
        <f>Weather!K17</f>
        <v>7.0977138121507055</v>
      </c>
      <c r="D12" s="13">
        <f t="shared" si="8"/>
        <v>563</v>
      </c>
      <c r="E12">
        <f t="shared" si="5"/>
        <v>244</v>
      </c>
      <c r="F12">
        <f t="shared" si="6"/>
        <v>7.0977138121507055</v>
      </c>
      <c r="G12" s="16">
        <f t="shared" si="7"/>
        <v>0.49180327868852458</v>
      </c>
      <c r="H12" s="16">
        <f t="shared" si="1"/>
        <v>1.870094667887241</v>
      </c>
      <c r="I12" s="10">
        <f t="shared" si="2"/>
        <v>-1.1248515163546785E-3</v>
      </c>
      <c r="J12" s="8">
        <f t="shared" si="3"/>
        <v>-0.27174919539534115</v>
      </c>
      <c r="K12" s="10">
        <f t="shared" si="0"/>
        <v>-9.5050841378288608E-4</v>
      </c>
    </row>
    <row r="13" spans="1:15" x14ac:dyDescent="0.2">
      <c r="A13" s="15">
        <v>8</v>
      </c>
      <c r="B13">
        <f t="shared" si="4"/>
        <v>10</v>
      </c>
      <c r="C13" s="19">
        <f>Weather!K18</f>
        <v>6.4935060468192152</v>
      </c>
      <c r="D13" s="13">
        <f t="shared" si="8"/>
        <v>594</v>
      </c>
      <c r="E13">
        <f t="shared" si="5"/>
        <v>275</v>
      </c>
      <c r="F13">
        <f t="shared" si="6"/>
        <v>6.4935060468192152</v>
      </c>
      <c r="G13" s="16">
        <f t="shared" si="7"/>
        <v>0.50819672131147542</v>
      </c>
      <c r="H13" s="16">
        <f t="shared" si="1"/>
        <v>1.8618979498810562</v>
      </c>
      <c r="I13" s="10">
        <f t="shared" si="2"/>
        <v>-6.7992596007880699E-4</v>
      </c>
      <c r="J13" s="8">
        <f t="shared" si="3"/>
        <v>-0.26414083474335559</v>
      </c>
      <c r="K13" s="10">
        <f t="shared" si="0"/>
        <v>-6.4155885473058262E-4</v>
      </c>
    </row>
    <row r="14" spans="1:15" x14ac:dyDescent="0.2">
      <c r="A14" s="15">
        <v>9</v>
      </c>
      <c r="B14">
        <f t="shared" si="4"/>
        <v>11</v>
      </c>
      <c r="C14" s="19">
        <f>Weather!K19</f>
        <v>5.3483212804297589</v>
      </c>
      <c r="D14" s="13">
        <f t="shared" si="8"/>
        <v>624</v>
      </c>
      <c r="E14">
        <f t="shared" si="5"/>
        <v>305</v>
      </c>
      <c r="F14">
        <f t="shared" si="6"/>
        <v>5.3483212804297589</v>
      </c>
      <c r="G14" s="16">
        <f t="shared" si="7"/>
        <v>0.49180327868852458</v>
      </c>
      <c r="H14" s="16">
        <f t="shared" si="1"/>
        <v>1.870094671437694</v>
      </c>
      <c r="I14" s="10">
        <f t="shared" si="2"/>
        <v>-3.6130154548664356E-4</v>
      </c>
      <c r="J14" s="8">
        <f t="shared" si="3"/>
        <v>-0.2717491948794139</v>
      </c>
      <c r="K14" s="10">
        <f t="shared" si="0"/>
        <v>-1.4525245740781644E-4</v>
      </c>
    </row>
    <row r="15" spans="1:15" x14ac:dyDescent="0.2">
      <c r="A15" s="15">
        <v>10</v>
      </c>
      <c r="B15">
        <f t="shared" si="4"/>
        <v>12</v>
      </c>
      <c r="C15" s="19">
        <f>Weather!K20</f>
        <v>3.8466271034086219</v>
      </c>
      <c r="D15" s="13">
        <f t="shared" si="8"/>
        <v>655</v>
      </c>
      <c r="E15">
        <f t="shared" si="5"/>
        <v>336</v>
      </c>
      <c r="F15">
        <f t="shared" si="6"/>
        <v>3.8466271034086219</v>
      </c>
      <c r="G15" s="16">
        <f t="shared" si="7"/>
        <v>0.50819672131147542</v>
      </c>
      <c r="H15" s="16">
        <f t="shared" si="1"/>
        <v>1.8618979501432487</v>
      </c>
      <c r="I15" s="10">
        <f t="shared" si="2"/>
        <v>-4.2016738654968505E-4</v>
      </c>
      <c r="J15" s="8">
        <f t="shared" si="3"/>
        <v>-0.26414083470615923</v>
      </c>
      <c r="K15" s="10">
        <f t="shared" si="0"/>
        <v>-7.9503119843536913E-4</v>
      </c>
    </row>
    <row r="16" spans="1:15" x14ac:dyDescent="0.2">
      <c r="A16" s="15">
        <v>11</v>
      </c>
      <c r="B16">
        <f t="shared" si="4"/>
        <v>13</v>
      </c>
      <c r="C16" s="19">
        <f>Weather!K21</f>
        <v>2.0987687517840574</v>
      </c>
      <c r="D16" s="13">
        <f t="shared" si="8"/>
        <v>685</v>
      </c>
      <c r="E16">
        <f t="shared" si="5"/>
        <v>366</v>
      </c>
      <c r="F16">
        <f t="shared" si="6"/>
        <v>2.0987687517840574</v>
      </c>
      <c r="G16" s="16">
        <f t="shared" si="7"/>
        <v>0.49180327868852458</v>
      </c>
      <c r="H16" s="16">
        <f t="shared" si="1"/>
        <v>1.8700946714559872</v>
      </c>
      <c r="I16" s="10">
        <f t="shared" si="2"/>
        <v>1.5551471329168023E-3</v>
      </c>
      <c r="J16" s="8">
        <f t="shared" si="3"/>
        <v>-0.27174919487675564</v>
      </c>
      <c r="K16" s="10">
        <f t="shared" si="0"/>
        <v>1.4191815979634407E-3</v>
      </c>
    </row>
    <row r="17" spans="1:15" x14ac:dyDescent="0.2">
      <c r="A17" s="15">
        <v>12</v>
      </c>
      <c r="B17">
        <f t="shared" si="4"/>
        <v>14</v>
      </c>
      <c r="C17" s="19">
        <f>Weather!K22</f>
        <v>1.144113017729536</v>
      </c>
      <c r="D17" s="13">
        <f t="shared" si="8"/>
        <v>716</v>
      </c>
      <c r="E17">
        <f t="shared" si="5"/>
        <v>397</v>
      </c>
      <c r="F17">
        <f t="shared" si="6"/>
        <v>1.144113017729536</v>
      </c>
      <c r="G17" s="16">
        <f t="shared" si="7"/>
        <v>0.51666666666666672</v>
      </c>
      <c r="H17" s="16">
        <f t="shared" si="1"/>
        <v>1.8595962493136762</v>
      </c>
      <c r="I17" s="10">
        <f t="shared" si="2"/>
        <v>9.6506195355662539E-4</v>
      </c>
      <c r="J17" s="8">
        <f t="shared" si="3"/>
        <v>-0.25991305021814159</v>
      </c>
      <c r="K17" s="10">
        <f t="shared" si="0"/>
        <v>5.0033463766111625E-4</v>
      </c>
      <c r="L17" s="18"/>
      <c r="M17" s="18" t="s">
        <v>33</v>
      </c>
      <c r="N17" s="18"/>
      <c r="O17" s="18"/>
    </row>
    <row r="18" spans="1:15" x14ac:dyDescent="0.2">
      <c r="A18">
        <v>1</v>
      </c>
      <c r="B18">
        <f t="shared" si="4"/>
        <v>15</v>
      </c>
      <c r="D18" s="13">
        <f>730+INT(30.5*A18-14.6)</f>
        <v>745</v>
      </c>
      <c r="E18">
        <f t="shared" si="5"/>
        <v>426</v>
      </c>
      <c r="F18" s="15">
        <f>C6</f>
        <v>1.0045022758082387</v>
      </c>
      <c r="G18" s="16">
        <f t="shared" si="7"/>
        <v>0.48333333333333334</v>
      </c>
      <c r="H18" s="16">
        <f t="shared" si="1"/>
        <v>1.8743753590612315</v>
      </c>
      <c r="I18" s="10">
        <f t="shared" si="2"/>
        <v>1.1946693100836877E-3</v>
      </c>
      <c r="J18" s="8">
        <f t="shared" si="3"/>
        <v>-0.2756473852310114</v>
      </c>
      <c r="K18" s="10">
        <f t="shared" si="0"/>
        <v>1.7880107039853124E-3</v>
      </c>
      <c r="M18" s="14"/>
    </row>
    <row r="19" spans="1:15" x14ac:dyDescent="0.2">
      <c r="A19">
        <v>2</v>
      </c>
      <c r="B19">
        <f t="shared" si="4"/>
        <v>16</v>
      </c>
      <c r="D19" s="13">
        <f>730+INT(30.5*A19-14.6)</f>
        <v>776</v>
      </c>
      <c r="E19">
        <f t="shared" si="5"/>
        <v>457</v>
      </c>
      <c r="F19" s="15">
        <f>C7</f>
        <v>1.6940318585171934</v>
      </c>
      <c r="G19" s="16">
        <f t="shared" si="7"/>
        <v>-7.2769953051643188E-2</v>
      </c>
      <c r="H19" s="16">
        <f t="shared" si="1"/>
        <v>2.0200588472820691</v>
      </c>
      <c r="I19" s="14">
        <f>(3/(E19-E18))*(I$2-(F19-F18))/(E19-E18)</f>
        <v>-2.1525377191746763E-3</v>
      </c>
      <c r="J19" s="17">
        <v>-0.25</v>
      </c>
      <c r="K19" s="10">
        <f t="shared" si="0"/>
        <v>-2.1525377191746763E-3</v>
      </c>
    </row>
  </sheetData>
  <phoneticPr fontId="0"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600"/>
  <sheetViews>
    <sheetView zoomScale="120" workbookViewId="0">
      <pane xSplit="1" ySplit="15" topLeftCell="B247" activePane="bottomRight" state="frozen"/>
      <selection activeCell="C16" sqref="C16"/>
      <selection pane="topRight" activeCell="C16" sqref="C16"/>
      <selection pane="bottomLeft" activeCell="C16" sqref="C16"/>
      <selection pane="bottomRight" activeCell="I10" sqref="I10"/>
    </sheetView>
  </sheetViews>
  <sheetFormatPr defaultRowHeight="12.75" x14ac:dyDescent="0.2"/>
  <cols>
    <col min="1" max="1" width="12" customWidth="1"/>
    <col min="2" max="3" width="10.7109375" customWidth="1"/>
    <col min="8" max="8" width="8" customWidth="1"/>
    <col min="12" max="13" width="10.28515625" customWidth="1"/>
    <col min="14" max="15" width="8.28515625" customWidth="1"/>
    <col min="17" max="17" width="9.140625" style="75" customWidth="1"/>
    <col min="19" max="19" width="9.140625" style="75" customWidth="1"/>
    <col min="23" max="23" width="10.28515625" customWidth="1"/>
    <col min="24" max="24" width="8.85546875" style="13" customWidth="1"/>
    <col min="25" max="27" width="8.7109375" customWidth="1"/>
    <col min="28" max="28" width="10" bestFit="1" customWidth="1"/>
    <col min="29" max="33" width="8.7109375" customWidth="1"/>
    <col min="35" max="35" width="9.28515625" bestFit="1" customWidth="1"/>
    <col min="36" max="37" width="9.28515625" customWidth="1"/>
  </cols>
  <sheetData>
    <row r="1" spans="1:36" x14ac:dyDescent="0.2">
      <c r="A1" s="2"/>
      <c r="B1" s="2"/>
      <c r="C1" s="2"/>
      <c r="D1" s="2"/>
      <c r="E1" s="2"/>
      <c r="F1" s="2"/>
      <c r="G1" s="2"/>
      <c r="H1" s="2"/>
      <c r="I1" s="2"/>
      <c r="J1" s="2"/>
      <c r="K1" s="2"/>
      <c r="L1" s="2"/>
      <c r="M1" s="2"/>
      <c r="N1" s="2"/>
      <c r="O1" s="2"/>
      <c r="P1" s="2"/>
      <c r="Q1" s="3"/>
      <c r="R1" s="2"/>
      <c r="S1" s="3"/>
      <c r="T1" s="2"/>
      <c r="U1" s="2"/>
      <c r="V1" s="2"/>
      <c r="W1" s="2"/>
      <c r="X1" s="2"/>
      <c r="Y1" s="2"/>
      <c r="Z1" s="2"/>
      <c r="AA1" s="2"/>
      <c r="AB1" s="2"/>
      <c r="AC1" s="2"/>
      <c r="AD1" s="2"/>
      <c r="AE1" s="2"/>
      <c r="AF1" s="2"/>
      <c r="AG1" s="2"/>
      <c r="AH1" s="2"/>
      <c r="AI1" s="2"/>
      <c r="AJ1" s="2"/>
    </row>
    <row r="2" spans="1:36" hidden="1" x14ac:dyDescent="0.2">
      <c r="A2" s="3" t="s">
        <v>82</v>
      </c>
      <c r="B2" s="2"/>
      <c r="C2" s="2"/>
      <c r="D2" s="2"/>
      <c r="E2" s="2"/>
      <c r="F2" s="2"/>
      <c r="G2" s="2"/>
      <c r="H2" s="2"/>
      <c r="I2" s="2"/>
      <c r="J2" s="2"/>
      <c r="K2" s="2"/>
      <c r="L2" s="2"/>
      <c r="M2" s="2"/>
      <c r="N2" s="2"/>
      <c r="O2" s="2"/>
      <c r="P2" s="2"/>
      <c r="Q2" s="3"/>
      <c r="R2" s="2"/>
      <c r="S2" s="3"/>
      <c r="T2" s="2"/>
      <c r="U2" s="2"/>
      <c r="V2" s="2"/>
      <c r="W2" s="2"/>
      <c r="X2" s="2"/>
      <c r="Y2" s="2"/>
      <c r="Z2" s="2"/>
      <c r="AA2" s="2"/>
      <c r="AB2" s="2"/>
      <c r="AC2" s="2"/>
      <c r="AD2" s="2"/>
      <c r="AE2" s="2"/>
      <c r="AF2" s="2"/>
      <c r="AG2" s="2"/>
      <c r="AH2" s="2"/>
      <c r="AI2" s="2"/>
      <c r="AJ2" s="2"/>
    </row>
    <row r="3" spans="1:36" hidden="1" x14ac:dyDescent="0.2">
      <c r="A3" s="33">
        <f>INT(Crop!E6)</f>
        <v>41699</v>
      </c>
      <c r="B3" s="2"/>
      <c r="C3" s="2"/>
      <c r="D3" s="2"/>
      <c r="E3" s="2"/>
      <c r="F3" s="2"/>
      <c r="G3" s="2"/>
      <c r="H3" s="2"/>
      <c r="I3" s="2"/>
      <c r="J3" s="2"/>
      <c r="K3" s="2"/>
      <c r="L3" s="2"/>
      <c r="M3" s="2"/>
      <c r="N3" s="2"/>
      <c r="O3" s="2"/>
      <c r="P3" s="2"/>
      <c r="Q3" s="3"/>
      <c r="R3" s="2"/>
      <c r="S3" s="3"/>
      <c r="T3" s="2"/>
      <c r="U3" s="2"/>
      <c r="V3" s="2"/>
      <c r="W3" s="2"/>
      <c r="X3" s="2"/>
      <c r="Y3" s="2"/>
      <c r="Z3" s="2"/>
      <c r="AA3" s="2"/>
      <c r="AB3" s="2"/>
      <c r="AC3" s="2"/>
      <c r="AD3" s="2"/>
      <c r="AE3" s="2"/>
      <c r="AF3" s="2"/>
      <c r="AG3" s="2"/>
      <c r="AH3" s="2"/>
      <c r="AI3" s="2"/>
      <c r="AJ3" s="2"/>
    </row>
    <row r="4" spans="1:36" hidden="1" x14ac:dyDescent="0.2">
      <c r="A4" s="33">
        <f>INT(Crop!E7)</f>
        <v>41699</v>
      </c>
      <c r="B4" s="2"/>
      <c r="C4" s="2"/>
      <c r="D4" s="2"/>
      <c r="E4" s="2"/>
      <c r="F4" s="2"/>
      <c r="G4" s="2"/>
      <c r="H4" s="2"/>
      <c r="I4" s="2"/>
      <c r="J4" s="2"/>
      <c r="K4" s="2"/>
      <c r="L4" s="2"/>
      <c r="M4" s="2"/>
      <c r="N4" s="2"/>
      <c r="O4" s="2"/>
      <c r="P4" s="2"/>
      <c r="Q4" s="3"/>
      <c r="R4" s="2"/>
      <c r="S4" s="3"/>
      <c r="T4" s="2"/>
      <c r="U4" s="2"/>
      <c r="V4" s="2"/>
      <c r="W4" s="2"/>
      <c r="X4" s="2"/>
      <c r="Y4" s="2"/>
      <c r="Z4" s="2"/>
      <c r="AA4" s="2"/>
      <c r="AB4" s="2"/>
      <c r="AC4" s="2"/>
      <c r="AD4" s="2"/>
      <c r="AE4" s="2"/>
      <c r="AF4" s="2"/>
      <c r="AG4" s="2"/>
      <c r="AH4" s="2"/>
      <c r="AI4" s="2"/>
      <c r="AJ4" s="2"/>
    </row>
    <row r="5" spans="1:36" hidden="1" x14ac:dyDescent="0.2">
      <c r="A5" s="33">
        <f>INT(Crop!E8)</f>
        <v>41813</v>
      </c>
      <c r="B5" s="3"/>
      <c r="C5" s="3"/>
      <c r="D5" s="2"/>
      <c r="E5" s="2"/>
      <c r="F5" s="2"/>
      <c r="G5" s="2"/>
      <c r="H5" s="2"/>
      <c r="I5" s="2"/>
      <c r="J5" s="2"/>
      <c r="K5" s="2"/>
      <c r="L5" s="2"/>
      <c r="M5" s="2"/>
      <c r="N5" s="2"/>
      <c r="O5" s="2"/>
      <c r="P5" s="2"/>
      <c r="Q5" s="3"/>
      <c r="R5" s="2"/>
      <c r="S5" s="3"/>
      <c r="T5" s="2"/>
      <c r="U5" s="2"/>
      <c r="V5" s="2"/>
      <c r="W5" s="2"/>
      <c r="X5" s="2"/>
      <c r="Y5" s="2"/>
      <c r="Z5" s="2"/>
      <c r="AA5" s="2"/>
      <c r="AB5" s="2"/>
      <c r="AC5" s="2"/>
      <c r="AD5" s="2"/>
      <c r="AE5" s="2"/>
      <c r="AF5" s="2"/>
      <c r="AG5" s="2"/>
      <c r="AH5" s="2"/>
      <c r="AI5" s="2"/>
      <c r="AJ5" s="2"/>
    </row>
    <row r="6" spans="1:36" hidden="1" x14ac:dyDescent="0.2">
      <c r="A6" s="33">
        <f>INT(Crop!E9)</f>
        <v>41905</v>
      </c>
      <c r="B6" s="33"/>
      <c r="C6" s="33"/>
      <c r="D6" s="2"/>
      <c r="E6" s="2"/>
      <c r="F6" s="2"/>
      <c r="G6" s="2"/>
      <c r="H6" s="2"/>
      <c r="I6" s="2"/>
      <c r="J6" s="2"/>
      <c r="K6" s="2"/>
      <c r="L6" s="2"/>
      <c r="M6" s="2"/>
      <c r="N6" s="2"/>
      <c r="O6" s="2"/>
      <c r="P6" s="2"/>
      <c r="Q6" s="3"/>
      <c r="R6" s="2"/>
      <c r="S6" s="3"/>
      <c r="T6" s="2"/>
      <c r="U6" s="2"/>
      <c r="V6" s="2"/>
      <c r="W6" s="2"/>
      <c r="X6" s="2"/>
      <c r="Y6" s="2"/>
      <c r="Z6" s="2"/>
      <c r="AA6" s="2"/>
      <c r="AB6" s="2"/>
      <c r="AC6" s="2"/>
      <c r="AD6" s="2"/>
      <c r="AE6" s="2"/>
      <c r="AF6" s="2"/>
      <c r="AG6" s="2"/>
      <c r="AH6" s="2"/>
      <c r="AI6" s="2"/>
      <c r="AJ6" s="2"/>
    </row>
    <row r="7" spans="1:36" hidden="1" x14ac:dyDescent="0.2">
      <c r="A7" s="33">
        <f>INT(Crop!E10)</f>
        <v>41927</v>
      </c>
      <c r="B7" s="33"/>
      <c r="C7" s="33"/>
      <c r="D7" s="2"/>
      <c r="E7" s="2"/>
      <c r="F7" s="2"/>
      <c r="G7" s="2"/>
      <c r="H7" s="2"/>
      <c r="I7" s="2"/>
      <c r="J7" s="2"/>
      <c r="K7" s="2"/>
      <c r="L7" s="2"/>
      <c r="M7" s="2"/>
      <c r="N7" s="2"/>
      <c r="O7" s="2"/>
      <c r="P7" s="2"/>
      <c r="Q7" s="3"/>
      <c r="R7" s="2"/>
      <c r="S7" s="3"/>
      <c r="T7" s="2"/>
      <c r="U7" s="2"/>
      <c r="V7" s="2"/>
      <c r="W7" s="2"/>
      <c r="X7" s="2"/>
      <c r="Y7" s="2"/>
      <c r="Z7" s="2"/>
      <c r="AA7" s="2"/>
      <c r="AB7" s="2"/>
      <c r="AC7" s="2"/>
      <c r="AD7" s="2"/>
      <c r="AE7" s="2"/>
      <c r="AF7" s="2"/>
      <c r="AG7" s="2"/>
      <c r="AH7" s="2"/>
      <c r="AI7" s="2"/>
      <c r="AJ7" s="2"/>
    </row>
    <row r="8" spans="1:36" ht="20.25" x14ac:dyDescent="0.3">
      <c r="A8" s="2"/>
      <c r="B8" s="33"/>
      <c r="C8" s="33"/>
      <c r="D8" s="2"/>
      <c r="E8" s="2"/>
      <c r="F8" s="2"/>
      <c r="G8" s="2"/>
      <c r="H8" s="322" t="s">
        <v>383</v>
      </c>
      <c r="I8" s="324">
        <f>IF(ISNUMBER(I9),I9/100,0)</f>
        <v>0.1</v>
      </c>
      <c r="J8" s="325" t="s">
        <v>379</v>
      </c>
      <c r="K8" s="2"/>
      <c r="L8" s="327" t="s">
        <v>386</v>
      </c>
      <c r="M8" s="327"/>
      <c r="N8" s="2"/>
      <c r="O8" s="2"/>
      <c r="P8" s="2"/>
      <c r="Q8" s="353" t="s">
        <v>401</v>
      </c>
      <c r="R8" s="30"/>
      <c r="S8" s="30"/>
      <c r="T8" s="353"/>
      <c r="U8" s="353" t="s">
        <v>402</v>
      </c>
      <c r="V8" s="242"/>
      <c r="W8" s="242"/>
      <c r="X8" s="353"/>
      <c r="Y8" s="242"/>
      <c r="Z8" s="242"/>
      <c r="AA8" s="242"/>
      <c r="AB8" s="242"/>
      <c r="AC8" s="242"/>
      <c r="AD8" s="2"/>
      <c r="AE8" s="2"/>
      <c r="AF8" s="2"/>
      <c r="AG8" s="2"/>
      <c r="AH8" s="2"/>
      <c r="AI8" s="2"/>
      <c r="AJ8" s="2"/>
    </row>
    <row r="9" spans="1:36" ht="14.25" x14ac:dyDescent="0.2">
      <c r="A9" s="2"/>
      <c r="B9" s="33"/>
      <c r="C9" s="33"/>
      <c r="D9" s="2"/>
      <c r="E9" s="2"/>
      <c r="F9" s="2"/>
      <c r="G9" s="2"/>
      <c r="H9" s="322" t="s">
        <v>384</v>
      </c>
      <c r="I9" s="356">
        <v>10</v>
      </c>
      <c r="J9" s="325" t="s">
        <v>238</v>
      </c>
      <c r="K9" s="2"/>
      <c r="L9" s="327" t="s">
        <v>387</v>
      </c>
      <c r="M9" s="327"/>
      <c r="N9" s="2"/>
      <c r="O9" s="2"/>
      <c r="P9" s="2"/>
      <c r="Q9" s="3"/>
      <c r="R9" s="2"/>
      <c r="S9" s="3"/>
      <c r="T9" s="2"/>
      <c r="U9" s="2"/>
      <c r="V9" s="2"/>
      <c r="W9" s="2"/>
      <c r="X9" s="2"/>
      <c r="Y9" s="2"/>
      <c r="Z9" s="2"/>
      <c r="AA9" s="2"/>
      <c r="AB9" s="2"/>
      <c r="AC9" s="2"/>
      <c r="AD9" s="2"/>
      <c r="AE9" s="2"/>
      <c r="AF9" s="2"/>
      <c r="AG9" s="2"/>
      <c r="AH9" s="2"/>
      <c r="AI9" s="2"/>
      <c r="AJ9" s="2"/>
    </row>
    <row r="10" spans="1:36" ht="14.25" x14ac:dyDescent="0.2">
      <c r="A10" s="2"/>
      <c r="B10" s="33"/>
      <c r="C10" s="33"/>
      <c r="D10" s="2"/>
      <c r="E10" s="2"/>
      <c r="F10" s="2"/>
      <c r="G10" s="2"/>
      <c r="H10" s="322" t="s">
        <v>291</v>
      </c>
      <c r="I10" s="43">
        <v>0</v>
      </c>
      <c r="J10" s="325" t="s">
        <v>35</v>
      </c>
      <c r="K10" s="2"/>
      <c r="L10" s="327" t="s">
        <v>388</v>
      </c>
      <c r="M10" s="327"/>
      <c r="N10" s="2"/>
      <c r="O10" s="2"/>
      <c r="P10" s="2"/>
      <c r="Q10" s="3"/>
      <c r="R10" s="2"/>
      <c r="S10" s="3"/>
      <c r="T10" s="2"/>
      <c r="U10" s="2"/>
      <c r="V10" s="2"/>
      <c r="W10" s="2"/>
      <c r="X10" s="2"/>
      <c r="Y10" s="2"/>
      <c r="Z10" s="2"/>
      <c r="AA10" s="2"/>
      <c r="AB10" s="2"/>
      <c r="AC10" s="2"/>
      <c r="AD10" s="2"/>
      <c r="AE10" s="2"/>
      <c r="AF10" s="2"/>
      <c r="AG10" s="2"/>
      <c r="AH10" s="2"/>
      <c r="AI10" s="2"/>
      <c r="AJ10" s="2"/>
    </row>
    <row r="11" spans="1:36" x14ac:dyDescent="0.2">
      <c r="A11" s="2"/>
      <c r="B11" s="5"/>
      <c r="C11" s="5"/>
      <c r="D11" s="5"/>
      <c r="E11" s="5"/>
      <c r="F11" s="5"/>
      <c r="G11" s="5"/>
      <c r="H11" s="323" t="s">
        <v>385</v>
      </c>
      <c r="I11" s="326">
        <f>IF(I10="",0,I10)</f>
        <v>0</v>
      </c>
      <c r="J11" s="242"/>
      <c r="K11" s="5"/>
      <c r="L11" s="242"/>
      <c r="M11" s="242"/>
      <c r="N11" s="242"/>
      <c r="O11" s="242"/>
      <c r="P11" s="325"/>
      <c r="Q11" s="325"/>
      <c r="R11" s="294" t="s">
        <v>219</v>
      </c>
      <c r="S11" s="325"/>
      <c r="T11" s="325"/>
      <c r="U11" s="5"/>
      <c r="V11" s="2"/>
      <c r="W11" s="2"/>
      <c r="X11" s="2"/>
      <c r="Y11" s="2"/>
      <c r="Z11" s="2"/>
      <c r="AA11" s="2"/>
      <c r="AB11" s="2"/>
      <c r="AC11" s="2"/>
      <c r="AD11" s="2"/>
      <c r="AE11" s="2"/>
      <c r="AF11" s="2"/>
      <c r="AG11" s="2"/>
      <c r="AH11" s="2"/>
      <c r="AI11" s="2"/>
      <c r="AJ11" s="2"/>
    </row>
    <row r="12" spans="1:36" x14ac:dyDescent="0.2">
      <c r="A12" s="2"/>
      <c r="B12" s="2"/>
      <c r="C12" s="2"/>
      <c r="D12" s="2"/>
      <c r="E12" s="2"/>
      <c r="F12" s="2"/>
      <c r="G12" s="3"/>
      <c r="H12" s="3"/>
      <c r="I12" s="3"/>
      <c r="J12" s="242" t="s">
        <v>389</v>
      </c>
      <c r="K12" s="5" t="s">
        <v>224</v>
      </c>
      <c r="L12" s="325" t="s">
        <v>390</v>
      </c>
      <c r="M12" s="325" t="s">
        <v>407</v>
      </c>
      <c r="N12" s="325"/>
      <c r="O12" s="325"/>
      <c r="P12" s="294" t="s">
        <v>391</v>
      </c>
      <c r="Q12" s="5"/>
      <c r="R12" s="294" t="s">
        <v>392</v>
      </c>
      <c r="S12" s="294"/>
      <c r="T12" s="5"/>
      <c r="U12" s="2"/>
      <c r="V12" s="3"/>
      <c r="W12" s="2"/>
      <c r="X12" s="2"/>
      <c r="Y12" s="2"/>
      <c r="Z12" s="2"/>
      <c r="AA12" s="365"/>
      <c r="AB12" s="2"/>
      <c r="AC12" s="2"/>
      <c r="AD12" s="2"/>
      <c r="AE12" s="2"/>
      <c r="AF12" s="2"/>
      <c r="AG12" s="2"/>
      <c r="AH12" s="2"/>
      <c r="AI12" s="2"/>
      <c r="AJ12" s="2"/>
    </row>
    <row r="13" spans="1:36" ht="13.5" thickBot="1" x14ac:dyDescent="0.25">
      <c r="A13" s="295"/>
      <c r="B13" s="296" t="s">
        <v>323</v>
      </c>
      <c r="C13" s="296"/>
      <c r="D13" s="297" t="s">
        <v>381</v>
      </c>
      <c r="E13" s="298"/>
      <c r="F13" s="295"/>
      <c r="G13" s="295"/>
      <c r="H13" s="295"/>
      <c r="I13" s="299">
        <f>IF(I10="",0,I10)</f>
        <v>0</v>
      </c>
      <c r="J13" s="294" t="s">
        <v>392</v>
      </c>
      <c r="K13" s="298" t="s">
        <v>288</v>
      </c>
      <c r="L13" s="294" t="s">
        <v>270</v>
      </c>
      <c r="M13" s="294" t="s">
        <v>270</v>
      </c>
      <c r="N13" s="5"/>
      <c r="O13" s="5"/>
      <c r="P13" s="294" t="s">
        <v>393</v>
      </c>
      <c r="Q13" s="294"/>
      <c r="R13" s="294" t="s">
        <v>394</v>
      </c>
      <c r="S13" s="294"/>
      <c r="T13" s="5" t="s">
        <v>223</v>
      </c>
      <c r="U13" s="300"/>
      <c r="V13" s="295"/>
      <c r="W13" s="295"/>
      <c r="X13" s="295" t="s">
        <v>248</v>
      </c>
      <c r="Y13" s="295" t="s">
        <v>246</v>
      </c>
      <c r="Z13" s="295" t="s">
        <v>244</v>
      </c>
      <c r="AA13" s="303" t="s">
        <v>18</v>
      </c>
      <c r="AB13" s="295" t="s">
        <v>249</v>
      </c>
      <c r="AC13" s="295"/>
      <c r="AD13" s="295"/>
      <c r="AE13" s="295"/>
      <c r="AF13" s="296"/>
      <c r="AG13" s="296" t="s">
        <v>243</v>
      </c>
      <c r="AH13" s="2"/>
      <c r="AI13" s="2"/>
      <c r="AJ13" s="2"/>
    </row>
    <row r="14" spans="1:36" ht="13.5" thickBot="1" x14ac:dyDescent="0.25">
      <c r="A14" s="296" t="s">
        <v>82</v>
      </c>
      <c r="B14" s="296" t="s">
        <v>288</v>
      </c>
      <c r="C14" s="296" t="s">
        <v>24</v>
      </c>
      <c r="D14" s="297" t="s">
        <v>24</v>
      </c>
      <c r="E14" s="297" t="s">
        <v>24</v>
      </c>
      <c r="F14" s="296" t="s">
        <v>46</v>
      </c>
      <c r="G14" s="297" t="s">
        <v>54</v>
      </c>
      <c r="H14" s="301" t="str">
        <f>IF(H10=0,"YTD","AYTD")</f>
        <v>AYTD</v>
      </c>
      <c r="I14" s="296" t="s">
        <v>227</v>
      </c>
      <c r="J14" s="297" t="s">
        <v>397</v>
      </c>
      <c r="K14" s="297" t="s">
        <v>396</v>
      </c>
      <c r="L14" s="297" t="s">
        <v>395</v>
      </c>
      <c r="M14" s="297" t="s">
        <v>237</v>
      </c>
      <c r="N14" s="296" t="s">
        <v>225</v>
      </c>
      <c r="O14" s="296" t="s">
        <v>226</v>
      </c>
      <c r="P14" s="297" t="s">
        <v>380</v>
      </c>
      <c r="Q14" s="297" t="s">
        <v>380</v>
      </c>
      <c r="R14" s="296" t="s">
        <v>232</v>
      </c>
      <c r="S14" s="296" t="s">
        <v>232</v>
      </c>
      <c r="T14" s="296" t="s">
        <v>82</v>
      </c>
      <c r="U14" s="296" t="s">
        <v>19</v>
      </c>
      <c r="V14" s="296" t="s">
        <v>148</v>
      </c>
      <c r="W14" s="296" t="s">
        <v>236</v>
      </c>
      <c r="X14" s="296" t="s">
        <v>247</v>
      </c>
      <c r="Y14" s="296" t="s">
        <v>247</v>
      </c>
      <c r="Z14" s="296" t="s">
        <v>245</v>
      </c>
      <c r="AA14" s="297" t="s">
        <v>38</v>
      </c>
      <c r="AB14" s="296" t="s">
        <v>82</v>
      </c>
      <c r="AC14" s="297" t="s">
        <v>397</v>
      </c>
      <c r="AD14" s="297" t="s">
        <v>398</v>
      </c>
      <c r="AE14" s="296" t="s">
        <v>229</v>
      </c>
      <c r="AF14" s="296" t="s">
        <v>241</v>
      </c>
      <c r="AG14" s="296" t="s">
        <v>242</v>
      </c>
      <c r="AH14" s="3"/>
      <c r="AI14" s="2"/>
      <c r="AJ14" s="2"/>
    </row>
    <row r="15" spans="1:36" ht="15" thickBot="1" x14ac:dyDescent="0.25">
      <c r="A15" s="295"/>
      <c r="B15" s="295" t="s">
        <v>324</v>
      </c>
      <c r="C15" s="295" t="s">
        <v>324</v>
      </c>
      <c r="D15" s="295" t="s">
        <v>324</v>
      </c>
      <c r="E15" s="295" t="s">
        <v>324</v>
      </c>
      <c r="F15" s="296" t="s">
        <v>46</v>
      </c>
      <c r="G15" s="295" t="s">
        <v>324</v>
      </c>
      <c r="H15" s="302" t="s">
        <v>35</v>
      </c>
      <c r="I15" s="297" t="s">
        <v>35</v>
      </c>
      <c r="J15" s="297" t="s">
        <v>35</v>
      </c>
      <c r="K15" s="297" t="s">
        <v>35</v>
      </c>
      <c r="L15" s="297" t="s">
        <v>35</v>
      </c>
      <c r="M15" s="297" t="s">
        <v>35</v>
      </c>
      <c r="N15" s="296" t="s">
        <v>230</v>
      </c>
      <c r="O15" s="296" t="s">
        <v>231</v>
      </c>
      <c r="P15" s="303" t="s">
        <v>379</v>
      </c>
      <c r="Q15" s="297" t="s">
        <v>379</v>
      </c>
      <c r="R15" s="295" t="s">
        <v>290</v>
      </c>
      <c r="S15" s="295" t="s">
        <v>290</v>
      </c>
      <c r="T15" s="296"/>
      <c r="U15" s="297" t="s">
        <v>35</v>
      </c>
      <c r="V15" s="297" t="s">
        <v>35</v>
      </c>
      <c r="W15" s="297" t="s">
        <v>35</v>
      </c>
      <c r="X15" s="296"/>
      <c r="Y15" s="296"/>
      <c r="Z15" s="296"/>
      <c r="AA15" s="296"/>
      <c r="AB15" s="296"/>
      <c r="AC15" s="297" t="s">
        <v>35</v>
      </c>
      <c r="AD15" s="297" t="s">
        <v>35</v>
      </c>
      <c r="AE15" s="297" t="s">
        <v>35</v>
      </c>
      <c r="AF15" s="296"/>
      <c r="AG15" s="296"/>
      <c r="AH15" s="2"/>
      <c r="AI15" s="2"/>
      <c r="AJ15" s="2"/>
    </row>
    <row r="16" spans="1:36" x14ac:dyDescent="0.2">
      <c r="A16" s="306">
        <f>Crop!B49</f>
        <v>41640</v>
      </c>
      <c r="B16" s="307"/>
      <c r="C16" s="308"/>
      <c r="D16" s="304" t="str">
        <f>IF(OR($A16&lt;$A$3,$A16&gt;$A$7),"",Crop!$D49)</f>
        <v/>
      </c>
      <c r="E16" s="304" t="str">
        <f>IF(C16="",D16,C16)</f>
        <v/>
      </c>
      <c r="F16" s="304" t="str">
        <f>IF(OR(A16&lt;A$3,A16&gt;A$7),"",Crop!U49)</f>
        <v/>
      </c>
      <c r="G16" s="304" t="str">
        <f t="shared" ref="G16:G79" si="0">IF(OR(A16&lt;A$3,A16&gt;A$7),"",E16*F16)</f>
        <v/>
      </c>
      <c r="H16" s="309" t="str">
        <f>IF(OR(A16&lt;A$3,A16&gt;A$7),"",YTD!E13)</f>
        <v/>
      </c>
      <c r="I16" s="310" t="str">
        <f t="shared" ref="I16:I79" si="1">IF(A16=A$3-1,I$13,IF(OR(A16&lt;A$3,A16&gt;A$7),"",IF(T16="A",I15+G16-K16-J16,IF(J16&gt;0,I15+G16-K16-J16,I15+G16-K16))))</f>
        <v/>
      </c>
      <c r="J16" s="311"/>
      <c r="K16" s="309" t="str">
        <f t="shared" ref="K16:K79" si="2">IF(U16="","",IF(AND(E16="",B16=""),"",IF(B16="",0,IF(B16&gt;I15+G16,I15+G16,B16))))</f>
        <v/>
      </c>
      <c r="L16" s="312" t="str">
        <f>IF(J16="","",J16/Q16)</f>
        <v/>
      </c>
      <c r="M16" s="366" t="str">
        <f t="shared" ref="M16:M79" si="3">IF(L16="","",L16/(1-$I$8))</f>
        <v/>
      </c>
      <c r="N16" s="328" t="str">
        <f t="shared" ref="N16:N79" si="4">IF(L16="","",INT(M16/S16))</f>
        <v/>
      </c>
      <c r="O16" s="313" t="str">
        <f t="shared" ref="O16:O79" si="5">IF(N16="","",MOD(M16/S16,N16)*60)</f>
        <v/>
      </c>
      <c r="P16" s="307">
        <v>0.8</v>
      </c>
      <c r="Q16" s="309">
        <f>IF(P16="",Q15,P16)</f>
        <v>0.8</v>
      </c>
      <c r="R16" s="307">
        <v>11.2</v>
      </c>
      <c r="S16" s="314">
        <f>IF(R16="",S15,R16)</f>
        <v>11.2</v>
      </c>
      <c r="T16" s="304" t="str">
        <f t="shared" ref="T16:T79" si="6">IF(A16=A$3,"A",IF(A16=A$4,"B",IF(A16=A$5,"C",IF(A16=A$6,"D",IF(A16=A$7,"E","")))))</f>
        <v/>
      </c>
      <c r="U16" s="304" t="str">
        <f>IF(A16=YTD!B$6,E16,IF(OR(A16&lt;YTD!B$6,A16&gt;YTD!B$10),"",U15+E16))</f>
        <v/>
      </c>
      <c r="V16" s="309" t="str">
        <f>IF(G16="","",G16)</f>
        <v/>
      </c>
      <c r="W16" s="315" t="e">
        <f>IF(I16="",#N/A,YTD!G$8-I16)</f>
        <v>#N/A</v>
      </c>
      <c r="X16" s="368">
        <f t="shared" ref="X16:X79" si="7">IF(J16="",0,1)</f>
        <v>0</v>
      </c>
      <c r="Y16" s="368">
        <f>X16</f>
        <v>0</v>
      </c>
      <c r="Z16" s="368" t="str">
        <f t="shared" ref="Z16:Z79" si="8">IF(X16=1,Y16,"")</f>
        <v/>
      </c>
      <c r="AA16" s="368">
        <v>1</v>
      </c>
      <c r="AB16" s="369">
        <f t="array" ref="AB16">SUM(IF(AA16=Z$16:Z$592,A$16:A$592,""))</f>
        <v>41811</v>
      </c>
      <c r="AC16" s="370">
        <f t="array" ref="AC16">SUM(IF(AA16=Z$16:Z$592,J$16:J$592,""))</f>
        <v>100</v>
      </c>
      <c r="AD16" s="370">
        <f t="array" ref="AD16">SUM(IF($AA16=$Z$16:$Z$592,L$16:L$592,""))</f>
        <v>125</v>
      </c>
      <c r="AE16" s="370">
        <f t="array" ref="AE16">SUM(IF($AA16=$Z$16:$Z$592,M$16:M$592,""))</f>
        <v>138.88888888888889</v>
      </c>
      <c r="AF16" s="368">
        <f t="array" ref="AF16">SUM(IF($AA16=$Z$16:$Z$592,N$16:N$592,""))</f>
        <v>12</v>
      </c>
      <c r="AG16" s="370">
        <f t="array" ref="AG16">SUM(IF($AA16=$Z$16:$Z$592,O$16:O$592,""))</f>
        <v>24.047619047619122</v>
      </c>
      <c r="AH16" s="2"/>
      <c r="AI16" s="2"/>
      <c r="AJ16" s="2"/>
    </row>
    <row r="17" spans="1:36" x14ac:dyDescent="0.2">
      <c r="A17" s="306">
        <f>Crop!B50</f>
        <v>41641</v>
      </c>
      <c r="B17" s="307"/>
      <c r="C17" s="308"/>
      <c r="D17" s="304" t="str">
        <f>IF(OR($A17&lt;$A$3,$A17&gt;$A$7),"",Crop!$D50)</f>
        <v/>
      </c>
      <c r="E17" s="304" t="str">
        <f t="shared" ref="E17:E79" si="9">IF(C17="",D17,C17)</f>
        <v/>
      </c>
      <c r="F17" s="304" t="str">
        <f>IF(OR(A17&lt;A$3,A17&gt;A$7),"",Crop!U50)</f>
        <v/>
      </c>
      <c r="G17" s="304" t="str">
        <f t="shared" si="0"/>
        <v/>
      </c>
      <c r="H17" s="309" t="str">
        <f>IF(OR(A17&lt;A$3,A17&gt;A$7),"",YTD!E14)</f>
        <v/>
      </c>
      <c r="I17" s="310" t="str">
        <f t="shared" si="1"/>
        <v/>
      </c>
      <c r="J17" s="311"/>
      <c r="K17" s="309" t="str">
        <f t="shared" si="2"/>
        <v/>
      </c>
      <c r="L17" s="312" t="str">
        <f t="shared" ref="L17:L80" si="10">IF(J17="","",J17/Q17)</f>
        <v/>
      </c>
      <c r="M17" s="366" t="str">
        <f t="shared" si="3"/>
        <v/>
      </c>
      <c r="N17" s="328" t="str">
        <f t="shared" si="4"/>
        <v/>
      </c>
      <c r="O17" s="313" t="str">
        <f t="shared" si="5"/>
        <v/>
      </c>
      <c r="P17" s="307"/>
      <c r="Q17" s="309">
        <f t="shared" ref="Q17:Q80" si="11">IF(P17="",Q16,P17)</f>
        <v>0.8</v>
      </c>
      <c r="R17" s="307"/>
      <c r="S17" s="314">
        <f t="shared" ref="S17:S80" si="12">IF(R17="",S16,R17)</f>
        <v>11.2</v>
      </c>
      <c r="T17" s="304" t="str">
        <f t="shared" si="6"/>
        <v/>
      </c>
      <c r="U17" s="304" t="str">
        <f>IF(A17=YTD!B$6,E17,IF(OR(A17&lt;YTD!B$6,A17&gt;YTD!B$10),"",U16+E17))</f>
        <v/>
      </c>
      <c r="V17" s="304" t="str">
        <f t="shared" ref="V17:V80" si="13">IF(G17="","",IF(G16="",G17,V16+G17))</f>
        <v/>
      </c>
      <c r="W17" s="315" t="e">
        <f>IF(I17="",#N/A,YTD!G$8-I17)</f>
        <v>#N/A</v>
      </c>
      <c r="X17" s="368">
        <f t="shared" si="7"/>
        <v>0</v>
      </c>
      <c r="Y17" s="368">
        <f>Y16+X17</f>
        <v>0</v>
      </c>
      <c r="Z17" s="368" t="str">
        <f t="shared" si="8"/>
        <v/>
      </c>
      <c r="AA17" s="368">
        <v>2</v>
      </c>
      <c r="AB17" s="369">
        <f t="array" ref="AB17">SUM(IF(AA17=Z$16:Z$592,A$16:A$592,""))</f>
        <v>41828</v>
      </c>
      <c r="AC17" s="370">
        <f t="array" ref="AC17">SUM(IF(AA17=Z$16:Z$592,J$16:J$592,""))</f>
        <v>100</v>
      </c>
      <c r="AD17" s="370">
        <f t="array" ref="AD17">SUM(IF($AA17=$Z$16:$Z$592,L$16:L$592,""))</f>
        <v>125</v>
      </c>
      <c r="AE17" s="370">
        <f t="array" ref="AE17">SUM(IF($AA17=$Z$16:$Z$592,M$16:M$592,""))</f>
        <v>138.88888888888889</v>
      </c>
      <c r="AF17" s="368">
        <f t="array" ref="AF17">SUM(IF($AA17=$Z$16:$Z$592,N$16:N$592,""))</f>
        <v>12</v>
      </c>
      <c r="AG17" s="370">
        <f t="array" ref="AG17">SUM(IF($AA17=$Z$16:$Z$592,O$16:O$592,""))</f>
        <v>24.047619047619122</v>
      </c>
      <c r="AH17" s="2"/>
      <c r="AI17" s="2"/>
      <c r="AJ17" s="2"/>
    </row>
    <row r="18" spans="1:36" x14ac:dyDescent="0.2">
      <c r="A18" s="306">
        <f>Crop!B51</f>
        <v>41642</v>
      </c>
      <c r="B18" s="307"/>
      <c r="C18" s="308"/>
      <c r="D18" s="304" t="str">
        <f>IF(OR($A18&lt;$A$3,$A18&gt;$A$7),"",Crop!$D51)</f>
        <v/>
      </c>
      <c r="E18" s="304" t="str">
        <f t="shared" si="9"/>
        <v/>
      </c>
      <c r="F18" s="304" t="str">
        <f>IF(OR(A18&lt;A$3,A18&gt;A$7),"",Crop!U51)</f>
        <v/>
      </c>
      <c r="G18" s="304" t="str">
        <f t="shared" si="0"/>
        <v/>
      </c>
      <c r="H18" s="309" t="str">
        <f>IF(OR(A18&lt;A$3,A18&gt;A$7),"",YTD!E15)</f>
        <v/>
      </c>
      <c r="I18" s="310" t="str">
        <f t="shared" si="1"/>
        <v/>
      </c>
      <c r="J18" s="311"/>
      <c r="K18" s="309" t="str">
        <f t="shared" si="2"/>
        <v/>
      </c>
      <c r="L18" s="312" t="str">
        <f t="shared" si="10"/>
        <v/>
      </c>
      <c r="M18" s="366" t="str">
        <f t="shared" si="3"/>
        <v/>
      </c>
      <c r="N18" s="328" t="str">
        <f t="shared" si="4"/>
        <v/>
      </c>
      <c r="O18" s="313" t="str">
        <f t="shared" si="5"/>
        <v/>
      </c>
      <c r="P18" s="307"/>
      <c r="Q18" s="309">
        <f t="shared" si="11"/>
        <v>0.8</v>
      </c>
      <c r="R18" s="307"/>
      <c r="S18" s="314">
        <f t="shared" si="12"/>
        <v>11.2</v>
      </c>
      <c r="T18" s="304" t="str">
        <f t="shared" si="6"/>
        <v/>
      </c>
      <c r="U18" s="304" t="str">
        <f>IF(A18=YTD!B$6,E18,IF(OR(A18&lt;YTD!B$6,A18&gt;YTD!B$10),"",U17+E18))</f>
        <v/>
      </c>
      <c r="V18" s="304" t="str">
        <f t="shared" si="13"/>
        <v/>
      </c>
      <c r="W18" s="315" t="e">
        <f>IF(I18="",#N/A,YTD!G$8-I18)</f>
        <v>#N/A</v>
      </c>
      <c r="X18" s="368">
        <f t="shared" si="7"/>
        <v>0</v>
      </c>
      <c r="Y18" s="368">
        <f t="shared" ref="Y18:Y81" si="14">Y17+X18</f>
        <v>0</v>
      </c>
      <c r="Z18" s="368" t="str">
        <f t="shared" si="8"/>
        <v/>
      </c>
      <c r="AA18" s="368">
        <v>3</v>
      </c>
      <c r="AB18" s="369">
        <f t="array" ref="AB18">SUM(IF(AA18=Z$16:Z$592,A$16:A$592,""))</f>
        <v>41844</v>
      </c>
      <c r="AC18" s="370">
        <f t="array" ref="AC18">SUM(IF(AA18=Z$16:Z$592,J$16:J$592,""))</f>
        <v>100</v>
      </c>
      <c r="AD18" s="370">
        <f t="array" ref="AD18">SUM(IF($AA18=$Z$16:$Z$592,L$16:L$592,""))</f>
        <v>125</v>
      </c>
      <c r="AE18" s="370">
        <f t="array" ref="AE18">SUM(IF($AA18=$Z$16:$Z$592,M$16:M$592,""))</f>
        <v>138.88888888888889</v>
      </c>
      <c r="AF18" s="368">
        <f t="array" ref="AF18">SUM(IF($AA18=$Z$16:$Z$592,N$16:N$592,""))</f>
        <v>12</v>
      </c>
      <c r="AG18" s="370">
        <f t="array" ref="AG18">SUM(IF($AA18=$Z$16:$Z$592,O$16:O$592,""))</f>
        <v>24.047619047619122</v>
      </c>
      <c r="AH18" s="2"/>
      <c r="AI18" s="2"/>
      <c r="AJ18" s="2"/>
    </row>
    <row r="19" spans="1:36" x14ac:dyDescent="0.2">
      <c r="A19" s="306">
        <f>Crop!B52</f>
        <v>41643</v>
      </c>
      <c r="B19" s="307"/>
      <c r="C19" s="308"/>
      <c r="D19" s="304" t="str">
        <f>IF(OR($A19&lt;$A$3,$A19&gt;$A$7),"",Crop!$D52)</f>
        <v/>
      </c>
      <c r="E19" s="304" t="str">
        <f t="shared" si="9"/>
        <v/>
      </c>
      <c r="F19" s="304" t="str">
        <f>IF(OR(A19&lt;A$3,A19&gt;A$7),"",Crop!U52)</f>
        <v/>
      </c>
      <c r="G19" s="304" t="str">
        <f t="shared" si="0"/>
        <v/>
      </c>
      <c r="H19" s="309" t="str">
        <f>IF(OR(A19&lt;A$3,A19&gt;A$7),"",YTD!E16)</f>
        <v/>
      </c>
      <c r="I19" s="310" t="str">
        <f t="shared" si="1"/>
        <v/>
      </c>
      <c r="J19" s="311"/>
      <c r="K19" s="309" t="str">
        <f t="shared" si="2"/>
        <v/>
      </c>
      <c r="L19" s="312" t="str">
        <f t="shared" si="10"/>
        <v/>
      </c>
      <c r="M19" s="366" t="str">
        <f t="shared" si="3"/>
        <v/>
      </c>
      <c r="N19" s="328" t="str">
        <f t="shared" si="4"/>
        <v/>
      </c>
      <c r="O19" s="313" t="str">
        <f t="shared" si="5"/>
        <v/>
      </c>
      <c r="P19" s="307"/>
      <c r="Q19" s="309">
        <f t="shared" si="11"/>
        <v>0.8</v>
      </c>
      <c r="R19" s="307"/>
      <c r="S19" s="314">
        <f t="shared" si="12"/>
        <v>11.2</v>
      </c>
      <c r="T19" s="304" t="str">
        <f t="shared" si="6"/>
        <v/>
      </c>
      <c r="U19" s="304" t="str">
        <f>IF(A19=YTD!B$6,E19,IF(OR(A19&lt;YTD!B$6,A19&gt;YTD!B$10),"",U18+E19))</f>
        <v/>
      </c>
      <c r="V19" s="304" t="str">
        <f t="shared" si="13"/>
        <v/>
      </c>
      <c r="W19" s="315" t="e">
        <f>IF(I19="",#N/A,YTD!G$8-I19)</f>
        <v>#N/A</v>
      </c>
      <c r="X19" s="368">
        <f t="shared" si="7"/>
        <v>0</v>
      </c>
      <c r="Y19" s="368">
        <f t="shared" si="14"/>
        <v>0</v>
      </c>
      <c r="Z19" s="368" t="str">
        <f t="shared" si="8"/>
        <v/>
      </c>
      <c r="AA19" s="368">
        <v>4</v>
      </c>
      <c r="AB19" s="369">
        <f t="array" ref="AB19">SUM(IF(AA19=Z$16:Z$592,A$16:A$592,""))</f>
        <v>41858</v>
      </c>
      <c r="AC19" s="370">
        <f t="array" ref="AC19">SUM(IF(AA19=Z$16:Z$592,J$16:J$592,""))</f>
        <v>100</v>
      </c>
      <c r="AD19" s="370">
        <f t="array" ref="AD19">SUM(IF($AA19=$Z$16:$Z$592,L$16:L$592,""))</f>
        <v>125</v>
      </c>
      <c r="AE19" s="370">
        <f t="array" ref="AE19">SUM(IF($AA19=$Z$16:$Z$592,M$16:M$592,""))</f>
        <v>138.88888888888889</v>
      </c>
      <c r="AF19" s="368">
        <f t="array" ref="AF19">SUM(IF($AA19=$Z$16:$Z$592,N$16:N$592,""))</f>
        <v>12</v>
      </c>
      <c r="AG19" s="370">
        <f t="array" ref="AG19">SUM(IF($AA19=$Z$16:$Z$592,O$16:O$592,""))</f>
        <v>24.047619047619122</v>
      </c>
      <c r="AH19" s="2"/>
      <c r="AI19" s="2"/>
      <c r="AJ19" s="2"/>
    </row>
    <row r="20" spans="1:36" x14ac:dyDescent="0.2">
      <c r="A20" s="306">
        <f>Crop!B53</f>
        <v>41644</v>
      </c>
      <c r="B20" s="307"/>
      <c r="C20" s="308"/>
      <c r="D20" s="304" t="str">
        <f>IF(OR($A20&lt;$A$3,$A20&gt;$A$7),"",Crop!$D53)</f>
        <v/>
      </c>
      <c r="E20" s="304" t="str">
        <f t="shared" si="9"/>
        <v/>
      </c>
      <c r="F20" s="304" t="str">
        <f>IF(OR(A20&lt;A$3,A20&gt;A$7),"",Crop!U53)</f>
        <v/>
      </c>
      <c r="G20" s="304" t="str">
        <f t="shared" si="0"/>
        <v/>
      </c>
      <c r="H20" s="309" t="str">
        <f>IF(OR(A20&lt;A$3,A20&gt;A$7),"",YTD!E17)</f>
        <v/>
      </c>
      <c r="I20" s="310" t="str">
        <f t="shared" si="1"/>
        <v/>
      </c>
      <c r="J20" s="311"/>
      <c r="K20" s="309" t="str">
        <f t="shared" si="2"/>
        <v/>
      </c>
      <c r="L20" s="312" t="str">
        <f t="shared" si="10"/>
        <v/>
      </c>
      <c r="M20" s="366" t="str">
        <f t="shared" si="3"/>
        <v/>
      </c>
      <c r="N20" s="328" t="str">
        <f t="shared" si="4"/>
        <v/>
      </c>
      <c r="O20" s="313" t="str">
        <f t="shared" si="5"/>
        <v/>
      </c>
      <c r="P20" s="307"/>
      <c r="Q20" s="309">
        <f t="shared" si="11"/>
        <v>0.8</v>
      </c>
      <c r="R20" s="307"/>
      <c r="S20" s="314">
        <f t="shared" si="12"/>
        <v>11.2</v>
      </c>
      <c r="T20" s="304" t="str">
        <f t="shared" si="6"/>
        <v/>
      </c>
      <c r="U20" s="304" t="str">
        <f>IF(A20=YTD!B$6,E20,IF(OR(A20&lt;YTD!B$6,A20&gt;YTD!B$10),"",U19+E20))</f>
        <v/>
      </c>
      <c r="V20" s="304" t="str">
        <f t="shared" si="13"/>
        <v/>
      </c>
      <c r="W20" s="315" t="e">
        <f>IF(I20="",#N/A,YTD!G$8-I20)</f>
        <v>#N/A</v>
      </c>
      <c r="X20" s="368">
        <f t="shared" si="7"/>
        <v>0</v>
      </c>
      <c r="Y20" s="368">
        <f t="shared" si="14"/>
        <v>0</v>
      </c>
      <c r="Z20" s="368" t="str">
        <f t="shared" si="8"/>
        <v/>
      </c>
      <c r="AA20" s="368">
        <v>5</v>
      </c>
      <c r="AB20" s="369">
        <f t="array" ref="AB20">SUM(IF(AA20=Z$16:Z$592,A$16:A$592,""))</f>
        <v>41872</v>
      </c>
      <c r="AC20" s="370">
        <f t="array" ref="AC20">SUM(IF(AA20=Z$16:Z$592,J$16:J$592,""))</f>
        <v>100</v>
      </c>
      <c r="AD20" s="370">
        <f t="array" ref="AD20">SUM(IF($AA20=$Z$16:$Z$592,L$16:L$592,""))</f>
        <v>125</v>
      </c>
      <c r="AE20" s="370">
        <f t="array" ref="AE20">SUM(IF($AA20=$Z$16:$Z$592,M$16:M$592,""))</f>
        <v>138.88888888888889</v>
      </c>
      <c r="AF20" s="368">
        <f t="array" ref="AF20">SUM(IF($AA20=$Z$16:$Z$592,N$16:N$592,""))</f>
        <v>12</v>
      </c>
      <c r="AG20" s="370">
        <f t="array" ref="AG20">SUM(IF($AA20=$Z$16:$Z$592,O$16:O$592,""))</f>
        <v>24.047619047619122</v>
      </c>
      <c r="AH20" s="2"/>
      <c r="AI20" s="2"/>
      <c r="AJ20" s="2"/>
    </row>
    <row r="21" spans="1:36" x14ac:dyDescent="0.2">
      <c r="A21" s="306">
        <f>Crop!B54</f>
        <v>41645</v>
      </c>
      <c r="B21" s="307"/>
      <c r="C21" s="308"/>
      <c r="D21" s="304" t="str">
        <f>IF(OR($A21&lt;$A$3,$A21&gt;$A$7),"",Crop!$D54)</f>
        <v/>
      </c>
      <c r="E21" s="304" t="str">
        <f t="shared" si="9"/>
        <v/>
      </c>
      <c r="F21" s="304" t="str">
        <f>IF(OR(A21&lt;A$3,A21&gt;A$7),"",Crop!U54)</f>
        <v/>
      </c>
      <c r="G21" s="304" t="str">
        <f t="shared" si="0"/>
        <v/>
      </c>
      <c r="H21" s="309" t="str">
        <f>IF(OR(A21&lt;A$3,A21&gt;A$7),"",YTD!E18)</f>
        <v/>
      </c>
      <c r="I21" s="310" t="str">
        <f t="shared" si="1"/>
        <v/>
      </c>
      <c r="J21" s="311"/>
      <c r="K21" s="309" t="str">
        <f t="shared" si="2"/>
        <v/>
      </c>
      <c r="L21" s="312" t="str">
        <f t="shared" si="10"/>
        <v/>
      </c>
      <c r="M21" s="366" t="str">
        <f t="shared" si="3"/>
        <v/>
      </c>
      <c r="N21" s="328" t="str">
        <f t="shared" si="4"/>
        <v/>
      </c>
      <c r="O21" s="313" t="str">
        <f t="shared" si="5"/>
        <v/>
      </c>
      <c r="P21" s="307"/>
      <c r="Q21" s="309">
        <f t="shared" si="11"/>
        <v>0.8</v>
      </c>
      <c r="R21" s="307"/>
      <c r="S21" s="314">
        <f t="shared" si="12"/>
        <v>11.2</v>
      </c>
      <c r="T21" s="304" t="str">
        <f t="shared" si="6"/>
        <v/>
      </c>
      <c r="U21" s="304" t="str">
        <f>IF(A21=YTD!B$6,E21,IF(OR(A21&lt;YTD!B$6,A21&gt;YTD!B$10),"",U20+E21))</f>
        <v/>
      </c>
      <c r="V21" s="304" t="str">
        <f t="shared" si="13"/>
        <v/>
      </c>
      <c r="W21" s="315" t="e">
        <f>IF(I21="",#N/A,YTD!G$8-I21)</f>
        <v>#N/A</v>
      </c>
      <c r="X21" s="368">
        <f t="shared" si="7"/>
        <v>0</v>
      </c>
      <c r="Y21" s="368">
        <f t="shared" si="14"/>
        <v>0</v>
      </c>
      <c r="Z21" s="368" t="str">
        <f t="shared" si="8"/>
        <v/>
      </c>
      <c r="AA21" s="368">
        <v>6</v>
      </c>
      <c r="AB21" s="369">
        <f t="array" ref="AB21">SUM(IF(AA21=Z$16:Z$592,A$16:A$592,""))</f>
        <v>41889</v>
      </c>
      <c r="AC21" s="370">
        <f t="array" ref="AC21">SUM(IF(AA21=Z$16:Z$592,J$16:J$592,""))</f>
        <v>100</v>
      </c>
      <c r="AD21" s="370">
        <f t="array" ref="AD21">SUM(IF($AA21=$Z$16:$Z$592,L$16:L$592,""))</f>
        <v>125</v>
      </c>
      <c r="AE21" s="370">
        <f t="array" ref="AE21">SUM(IF($AA21=$Z$16:$Z$592,M$16:M$592,""))</f>
        <v>138.88888888888889</v>
      </c>
      <c r="AF21" s="368">
        <f t="array" ref="AF21">SUM(IF($AA21=$Z$16:$Z$592,N$16:N$592,""))</f>
        <v>12</v>
      </c>
      <c r="AG21" s="370">
        <f t="array" ref="AG21">SUM(IF($AA21=$Z$16:$Z$592,O$16:O$592,""))</f>
        <v>24.047619047619122</v>
      </c>
      <c r="AH21" s="2"/>
      <c r="AI21" s="2"/>
      <c r="AJ21" s="2"/>
    </row>
    <row r="22" spans="1:36" x14ac:dyDescent="0.2">
      <c r="A22" s="306">
        <f>Crop!B55</f>
        <v>41646</v>
      </c>
      <c r="B22" s="307"/>
      <c r="C22" s="308"/>
      <c r="D22" s="304" t="str">
        <f>IF(OR($A22&lt;$A$3,$A22&gt;$A$7),"",Crop!$D55)</f>
        <v/>
      </c>
      <c r="E22" s="304" t="str">
        <f t="shared" si="9"/>
        <v/>
      </c>
      <c r="F22" s="304" t="str">
        <f>IF(OR(A22&lt;A$3,A22&gt;A$7),"",Crop!U55)</f>
        <v/>
      </c>
      <c r="G22" s="304" t="str">
        <f t="shared" si="0"/>
        <v/>
      </c>
      <c r="H22" s="309" t="str">
        <f>IF(OR(A22&lt;A$3,A22&gt;A$7),"",YTD!E19)</f>
        <v/>
      </c>
      <c r="I22" s="310" t="str">
        <f t="shared" si="1"/>
        <v/>
      </c>
      <c r="J22" s="311"/>
      <c r="K22" s="309" t="str">
        <f t="shared" si="2"/>
        <v/>
      </c>
      <c r="L22" s="312" t="str">
        <f t="shared" si="10"/>
        <v/>
      </c>
      <c r="M22" s="366" t="str">
        <f t="shared" si="3"/>
        <v/>
      </c>
      <c r="N22" s="328" t="str">
        <f t="shared" si="4"/>
        <v/>
      </c>
      <c r="O22" s="313" t="str">
        <f t="shared" si="5"/>
        <v/>
      </c>
      <c r="P22" s="307"/>
      <c r="Q22" s="309">
        <f t="shared" si="11"/>
        <v>0.8</v>
      </c>
      <c r="R22" s="307"/>
      <c r="S22" s="314">
        <f t="shared" si="12"/>
        <v>11.2</v>
      </c>
      <c r="T22" s="304" t="str">
        <f t="shared" si="6"/>
        <v/>
      </c>
      <c r="U22" s="304" t="str">
        <f>IF(A22=YTD!B$6,E22,IF(OR(A22&lt;YTD!B$6,A22&gt;YTD!B$10),"",U21+E22))</f>
        <v/>
      </c>
      <c r="V22" s="304" t="str">
        <f t="shared" si="13"/>
        <v/>
      </c>
      <c r="W22" s="315" t="e">
        <f>IF(I22="",#N/A,YTD!G$8-I22)</f>
        <v>#N/A</v>
      </c>
      <c r="X22" s="368">
        <f t="shared" si="7"/>
        <v>0</v>
      </c>
      <c r="Y22" s="368">
        <f t="shared" si="14"/>
        <v>0</v>
      </c>
      <c r="Z22" s="368" t="str">
        <f t="shared" si="8"/>
        <v/>
      </c>
      <c r="AA22" s="368">
        <v>7</v>
      </c>
      <c r="AB22" s="369">
        <f t="array" ref="AB22">SUM(IF(AA22=Z$16:Z$592,A$16:A$592,""))</f>
        <v>0</v>
      </c>
      <c r="AC22" s="370">
        <f t="array" ref="AC22">SUM(IF(AA22=Z$16:Z$592,J$16:J$592,""))</f>
        <v>0</v>
      </c>
      <c r="AD22" s="370">
        <f t="array" ref="AD22">SUM(IF($AA22=$Z$16:$Z$592,L$16:L$592,""))</f>
        <v>0</v>
      </c>
      <c r="AE22" s="370">
        <f t="array" ref="AE22">SUM(IF($AA22=$Z$16:$Z$592,M$16:M$592,""))</f>
        <v>0</v>
      </c>
      <c r="AF22" s="368">
        <f t="array" ref="AF22">SUM(IF($AA22=$Z$16:$Z$592,N$16:N$592,""))</f>
        <v>0</v>
      </c>
      <c r="AG22" s="370">
        <f t="array" ref="AG22">SUM(IF($AA22=$Z$16:$Z$592,O$16:O$592,""))</f>
        <v>0</v>
      </c>
      <c r="AH22" s="2"/>
      <c r="AI22" s="2"/>
      <c r="AJ22" s="2"/>
    </row>
    <row r="23" spans="1:36" x14ac:dyDescent="0.2">
      <c r="A23" s="306">
        <f>Crop!B56</f>
        <v>41647</v>
      </c>
      <c r="B23" s="307"/>
      <c r="C23" s="308"/>
      <c r="D23" s="304" t="str">
        <f>IF(OR($A23&lt;$A$3,$A23&gt;$A$7),"",Crop!$D56)</f>
        <v/>
      </c>
      <c r="E23" s="304" t="str">
        <f t="shared" si="9"/>
        <v/>
      </c>
      <c r="F23" s="304" t="str">
        <f>IF(OR(A23&lt;A$3,A23&gt;A$7),"",Crop!U56)</f>
        <v/>
      </c>
      <c r="G23" s="304" t="str">
        <f t="shared" si="0"/>
        <v/>
      </c>
      <c r="H23" s="309" t="str">
        <f>IF(OR(A23&lt;A$3,A23&gt;A$7),"",YTD!E20)</f>
        <v/>
      </c>
      <c r="I23" s="310" t="str">
        <f t="shared" si="1"/>
        <v/>
      </c>
      <c r="J23" s="311"/>
      <c r="K23" s="309" t="str">
        <f t="shared" si="2"/>
        <v/>
      </c>
      <c r="L23" s="312" t="str">
        <f t="shared" si="10"/>
        <v/>
      </c>
      <c r="M23" s="366" t="str">
        <f t="shared" si="3"/>
        <v/>
      </c>
      <c r="N23" s="328" t="str">
        <f t="shared" si="4"/>
        <v/>
      </c>
      <c r="O23" s="313" t="str">
        <f t="shared" si="5"/>
        <v/>
      </c>
      <c r="P23" s="307"/>
      <c r="Q23" s="309">
        <f t="shared" si="11"/>
        <v>0.8</v>
      </c>
      <c r="R23" s="307"/>
      <c r="S23" s="314">
        <f t="shared" si="12"/>
        <v>11.2</v>
      </c>
      <c r="T23" s="304" t="str">
        <f t="shared" si="6"/>
        <v/>
      </c>
      <c r="U23" s="304" t="str">
        <f>IF(A23=YTD!B$6,E23,IF(OR(A23&lt;YTD!B$6,A23&gt;YTD!B$10),"",U22+E23))</f>
        <v/>
      </c>
      <c r="V23" s="304" t="str">
        <f t="shared" si="13"/>
        <v/>
      </c>
      <c r="W23" s="315" t="e">
        <f>IF(I23="",#N/A,YTD!G$8-I23)</f>
        <v>#N/A</v>
      </c>
      <c r="X23" s="368">
        <f t="shared" si="7"/>
        <v>0</v>
      </c>
      <c r="Y23" s="368">
        <f t="shared" si="14"/>
        <v>0</v>
      </c>
      <c r="Z23" s="368" t="str">
        <f t="shared" si="8"/>
        <v/>
      </c>
      <c r="AA23" s="368">
        <v>8</v>
      </c>
      <c r="AB23" s="369">
        <f t="array" ref="AB23">SUM(IF(AA23=Z$16:Z$592,A$16:A$592,""))</f>
        <v>0</v>
      </c>
      <c r="AC23" s="370">
        <f t="array" ref="AC23">SUM(IF(AA23=Z$16:Z$592,J$16:J$592,""))</f>
        <v>0</v>
      </c>
      <c r="AD23" s="370">
        <f t="array" ref="AD23">SUM(IF($AA23=$Z$16:$Z$592,L$16:L$592,""))</f>
        <v>0</v>
      </c>
      <c r="AE23" s="370">
        <f t="array" ref="AE23">SUM(IF($AA23=$Z$16:$Z$592,M$16:M$592,""))</f>
        <v>0</v>
      </c>
      <c r="AF23" s="368">
        <f t="array" ref="AF23">SUM(IF($AA23=$Z$16:$Z$592,N$16:N$592,""))</f>
        <v>0</v>
      </c>
      <c r="AG23" s="370">
        <f t="array" ref="AG23">SUM(IF($AA23=$Z$16:$Z$592,O$16:O$592,""))</f>
        <v>0</v>
      </c>
      <c r="AH23" s="2"/>
      <c r="AI23" s="2"/>
      <c r="AJ23" s="2"/>
    </row>
    <row r="24" spans="1:36" x14ac:dyDescent="0.2">
      <c r="A24" s="306">
        <f>Crop!B57</f>
        <v>41648</v>
      </c>
      <c r="B24" s="307"/>
      <c r="C24" s="308"/>
      <c r="D24" s="304" t="str">
        <f>IF(OR($A24&lt;$A$3,$A24&gt;$A$7),"",Crop!$D57)</f>
        <v/>
      </c>
      <c r="E24" s="304" t="str">
        <f t="shared" si="9"/>
        <v/>
      </c>
      <c r="F24" s="304" t="str">
        <f>IF(OR(A24&lt;A$3,A24&gt;A$7),"",Crop!U57)</f>
        <v/>
      </c>
      <c r="G24" s="304" t="str">
        <f t="shared" si="0"/>
        <v/>
      </c>
      <c r="H24" s="309" t="str">
        <f>IF(OR(A24&lt;A$3,A24&gt;A$7),"",YTD!E21)</f>
        <v/>
      </c>
      <c r="I24" s="310" t="str">
        <f t="shared" si="1"/>
        <v/>
      </c>
      <c r="J24" s="311"/>
      <c r="K24" s="309" t="str">
        <f t="shared" si="2"/>
        <v/>
      </c>
      <c r="L24" s="312" t="str">
        <f t="shared" si="10"/>
        <v/>
      </c>
      <c r="M24" s="366" t="str">
        <f t="shared" si="3"/>
        <v/>
      </c>
      <c r="N24" s="328" t="str">
        <f t="shared" si="4"/>
        <v/>
      </c>
      <c r="O24" s="313" t="str">
        <f t="shared" si="5"/>
        <v/>
      </c>
      <c r="P24" s="307"/>
      <c r="Q24" s="309">
        <f t="shared" si="11"/>
        <v>0.8</v>
      </c>
      <c r="R24" s="307"/>
      <c r="S24" s="314">
        <f t="shared" si="12"/>
        <v>11.2</v>
      </c>
      <c r="T24" s="304" t="str">
        <f t="shared" si="6"/>
        <v/>
      </c>
      <c r="U24" s="304" t="str">
        <f>IF(A24=YTD!B$6,E24,IF(OR(A24&lt;YTD!B$6,A24&gt;YTD!B$10),"",U23+E24))</f>
        <v/>
      </c>
      <c r="V24" s="304" t="str">
        <f t="shared" si="13"/>
        <v/>
      </c>
      <c r="W24" s="315" t="e">
        <f>IF(I24="",#N/A,YTD!G$8-I24)</f>
        <v>#N/A</v>
      </c>
      <c r="X24" s="368">
        <f t="shared" si="7"/>
        <v>0</v>
      </c>
      <c r="Y24" s="368">
        <f t="shared" si="14"/>
        <v>0</v>
      </c>
      <c r="Z24" s="368" t="str">
        <f t="shared" si="8"/>
        <v/>
      </c>
      <c r="AA24" s="368">
        <v>9</v>
      </c>
      <c r="AB24" s="369">
        <f t="array" ref="AB24">SUM(IF(AA24=Z$16:Z$592,A$16:A$592,""))</f>
        <v>0</v>
      </c>
      <c r="AC24" s="370">
        <f t="array" ref="AC24">SUM(IF(AA24=Z$16:Z$592,J$16:J$592,""))</f>
        <v>0</v>
      </c>
      <c r="AD24" s="370">
        <f t="array" ref="AD24">SUM(IF($AA24=$Z$16:$Z$592,L$16:L$592,""))</f>
        <v>0</v>
      </c>
      <c r="AE24" s="370">
        <f t="array" ref="AE24">SUM(IF($AA24=$Z$16:$Z$592,M$16:M$592,""))</f>
        <v>0</v>
      </c>
      <c r="AF24" s="368">
        <f t="array" ref="AF24">SUM(IF($AA24=$Z$16:$Z$592,N$16:N$592,""))</f>
        <v>0</v>
      </c>
      <c r="AG24" s="370">
        <f t="array" ref="AG24">SUM(IF($AA24=$Z$16:$Z$592,O$16:O$592,""))</f>
        <v>0</v>
      </c>
      <c r="AH24" s="2"/>
      <c r="AI24" s="2"/>
      <c r="AJ24" s="2"/>
    </row>
    <row r="25" spans="1:36" x14ac:dyDescent="0.2">
      <c r="A25" s="306">
        <f>Crop!B58</f>
        <v>41649</v>
      </c>
      <c r="B25" s="307">
        <v>50</v>
      </c>
      <c r="C25" s="308"/>
      <c r="D25" s="304" t="str">
        <f>IF(OR($A25&lt;$A$3,$A25&gt;$A$7),"",Crop!$D58)</f>
        <v/>
      </c>
      <c r="E25" s="304" t="str">
        <f t="shared" si="9"/>
        <v/>
      </c>
      <c r="F25" s="304" t="str">
        <f>IF(OR(A25&lt;A$3,A25&gt;A$7),"",Crop!U58)</f>
        <v/>
      </c>
      <c r="G25" s="304" t="str">
        <f t="shared" si="0"/>
        <v/>
      </c>
      <c r="H25" s="309" t="str">
        <f>IF(OR(A25&lt;A$3,A25&gt;A$7),"",YTD!E22)</f>
        <v/>
      </c>
      <c r="I25" s="310" t="str">
        <f t="shared" si="1"/>
        <v/>
      </c>
      <c r="J25" s="311"/>
      <c r="K25" s="309" t="str">
        <f t="shared" si="2"/>
        <v/>
      </c>
      <c r="L25" s="312" t="str">
        <f t="shared" si="10"/>
        <v/>
      </c>
      <c r="M25" s="366" t="str">
        <f t="shared" si="3"/>
        <v/>
      </c>
      <c r="N25" s="328" t="str">
        <f t="shared" si="4"/>
        <v/>
      </c>
      <c r="O25" s="313" t="str">
        <f t="shared" si="5"/>
        <v/>
      </c>
      <c r="P25" s="307"/>
      <c r="Q25" s="309">
        <f t="shared" si="11"/>
        <v>0.8</v>
      </c>
      <c r="R25" s="307"/>
      <c r="S25" s="314">
        <f t="shared" si="12"/>
        <v>11.2</v>
      </c>
      <c r="T25" s="304" t="str">
        <f t="shared" si="6"/>
        <v/>
      </c>
      <c r="U25" s="304" t="str">
        <f>IF(A25=YTD!B$6,E25,IF(OR(A25&lt;YTD!B$6,A25&gt;YTD!B$10),"",U24+E25))</f>
        <v/>
      </c>
      <c r="V25" s="304" t="str">
        <f t="shared" si="13"/>
        <v/>
      </c>
      <c r="W25" s="315" t="e">
        <f>IF(I25="",#N/A,YTD!G$8-I25)</f>
        <v>#N/A</v>
      </c>
      <c r="X25" s="368">
        <f t="shared" si="7"/>
        <v>0</v>
      </c>
      <c r="Y25" s="368">
        <f t="shared" si="14"/>
        <v>0</v>
      </c>
      <c r="Z25" s="368" t="str">
        <f t="shared" si="8"/>
        <v/>
      </c>
      <c r="AA25" s="368">
        <v>10</v>
      </c>
      <c r="AB25" s="369">
        <f t="array" ref="AB25">SUM(IF(AA25=Z$16:Z$592,A$16:A$592,""))</f>
        <v>0</v>
      </c>
      <c r="AC25" s="370">
        <f t="array" ref="AC25">SUM(IF(AA25=Z$16:Z$592,J$16:J$592,""))</f>
        <v>0</v>
      </c>
      <c r="AD25" s="370">
        <f t="array" ref="AD25">SUM(IF($AA25=$Z$16:$Z$592,L$16:L$592,""))</f>
        <v>0</v>
      </c>
      <c r="AE25" s="370">
        <f t="array" ref="AE25">SUM(IF($AA25=$Z$16:$Z$592,M$16:M$592,""))</f>
        <v>0</v>
      </c>
      <c r="AF25" s="368">
        <f t="array" ref="AF25">SUM(IF($AA25=$Z$16:$Z$592,N$16:N$592,""))</f>
        <v>0</v>
      </c>
      <c r="AG25" s="370">
        <f t="array" ref="AG25">SUM(IF($AA25=$Z$16:$Z$592,O$16:O$592,""))</f>
        <v>0</v>
      </c>
      <c r="AH25" s="2"/>
      <c r="AI25" s="2"/>
      <c r="AJ25" s="2"/>
    </row>
    <row r="26" spans="1:36" x14ac:dyDescent="0.2">
      <c r="A26" s="306">
        <f>Crop!B59</f>
        <v>41650</v>
      </c>
      <c r="B26" s="307"/>
      <c r="C26" s="308"/>
      <c r="D26" s="304" t="str">
        <f>IF(OR($A26&lt;$A$3,$A26&gt;$A$7),"",Crop!$D59)</f>
        <v/>
      </c>
      <c r="E26" s="304" t="str">
        <f t="shared" si="9"/>
        <v/>
      </c>
      <c r="F26" s="304" t="str">
        <f>IF(OR(A26&lt;A$3,A26&gt;A$7),"",Crop!U59)</f>
        <v/>
      </c>
      <c r="G26" s="304" t="str">
        <f t="shared" si="0"/>
        <v/>
      </c>
      <c r="H26" s="309" t="str">
        <f>IF(OR(A26&lt;A$3,A26&gt;A$7),"",YTD!E23)</f>
        <v/>
      </c>
      <c r="I26" s="310" t="str">
        <f t="shared" si="1"/>
        <v/>
      </c>
      <c r="J26" s="311"/>
      <c r="K26" s="309" t="str">
        <f t="shared" si="2"/>
        <v/>
      </c>
      <c r="L26" s="312" t="str">
        <f t="shared" si="10"/>
        <v/>
      </c>
      <c r="M26" s="366" t="str">
        <f t="shared" si="3"/>
        <v/>
      </c>
      <c r="N26" s="328" t="str">
        <f t="shared" si="4"/>
        <v/>
      </c>
      <c r="O26" s="313" t="str">
        <f t="shared" si="5"/>
        <v/>
      </c>
      <c r="P26" s="307"/>
      <c r="Q26" s="309">
        <f t="shared" si="11"/>
        <v>0.8</v>
      </c>
      <c r="R26" s="307"/>
      <c r="S26" s="314">
        <f t="shared" si="12"/>
        <v>11.2</v>
      </c>
      <c r="T26" s="304" t="str">
        <f t="shared" si="6"/>
        <v/>
      </c>
      <c r="U26" s="304" t="str">
        <f>IF(A26=YTD!B$6,E26,IF(OR(A26&lt;YTD!B$6,A26&gt;YTD!B$10),"",U25+E26))</f>
        <v/>
      </c>
      <c r="V26" s="304" t="str">
        <f t="shared" si="13"/>
        <v/>
      </c>
      <c r="W26" s="315" t="e">
        <f>IF(I26="",#N/A,YTD!G$8-I26)</f>
        <v>#N/A</v>
      </c>
      <c r="X26" s="368">
        <f t="shared" si="7"/>
        <v>0</v>
      </c>
      <c r="Y26" s="368">
        <f t="shared" si="14"/>
        <v>0</v>
      </c>
      <c r="Z26" s="368" t="str">
        <f t="shared" si="8"/>
        <v/>
      </c>
      <c r="AA26" s="368">
        <v>11</v>
      </c>
      <c r="AB26" s="369">
        <f t="array" ref="AB26">SUM(IF(AA26=Z$16:Z$592,A$16:A$592,""))</f>
        <v>0</v>
      </c>
      <c r="AC26" s="370">
        <f t="array" ref="AC26">SUM(IF(AA26=Z$16:Z$592,J$16:J$592,""))</f>
        <v>0</v>
      </c>
      <c r="AD26" s="370">
        <f t="array" ref="AD26">SUM(IF($AA26=$Z$16:$Z$592,L$16:L$592,""))</f>
        <v>0</v>
      </c>
      <c r="AE26" s="370">
        <f t="array" ref="AE26">SUM(IF($AA26=$Z$16:$Z$592,M$16:M$592,""))</f>
        <v>0</v>
      </c>
      <c r="AF26" s="368">
        <f t="array" ref="AF26">SUM(IF($AA26=$Z$16:$Z$592,N$16:N$592,""))</f>
        <v>0</v>
      </c>
      <c r="AG26" s="370">
        <f t="array" ref="AG26">SUM(IF($AA26=$Z$16:$Z$592,O$16:O$592,""))</f>
        <v>0</v>
      </c>
      <c r="AH26" s="2"/>
      <c r="AI26" s="2"/>
      <c r="AJ26" s="2"/>
    </row>
    <row r="27" spans="1:36" x14ac:dyDescent="0.2">
      <c r="A27" s="306">
        <f>Crop!B60</f>
        <v>41651</v>
      </c>
      <c r="B27" s="307"/>
      <c r="C27" s="308"/>
      <c r="D27" s="304" t="str">
        <f>IF(OR($A27&lt;$A$3,$A27&gt;$A$7),"",Crop!$D60)</f>
        <v/>
      </c>
      <c r="E27" s="304" t="str">
        <f t="shared" si="9"/>
        <v/>
      </c>
      <c r="F27" s="304" t="str">
        <f>IF(OR(A27&lt;A$3,A27&gt;A$7),"",Crop!U60)</f>
        <v/>
      </c>
      <c r="G27" s="304" t="str">
        <f t="shared" si="0"/>
        <v/>
      </c>
      <c r="H27" s="309" t="str">
        <f>IF(OR(A27&lt;A$3,A27&gt;A$7),"",YTD!E24)</f>
        <v/>
      </c>
      <c r="I27" s="310" t="str">
        <f t="shared" si="1"/>
        <v/>
      </c>
      <c r="J27" s="311"/>
      <c r="K27" s="309" t="str">
        <f t="shared" si="2"/>
        <v/>
      </c>
      <c r="L27" s="312" t="str">
        <f t="shared" si="10"/>
        <v/>
      </c>
      <c r="M27" s="366" t="str">
        <f t="shared" si="3"/>
        <v/>
      </c>
      <c r="N27" s="328" t="str">
        <f t="shared" si="4"/>
        <v/>
      </c>
      <c r="O27" s="313" t="str">
        <f t="shared" si="5"/>
        <v/>
      </c>
      <c r="P27" s="307"/>
      <c r="Q27" s="309">
        <f t="shared" si="11"/>
        <v>0.8</v>
      </c>
      <c r="R27" s="307"/>
      <c r="S27" s="314">
        <f t="shared" si="12"/>
        <v>11.2</v>
      </c>
      <c r="T27" s="304" t="str">
        <f t="shared" si="6"/>
        <v/>
      </c>
      <c r="U27" s="304" t="str">
        <f>IF(A27=YTD!B$6,E27,IF(OR(A27&lt;YTD!B$6,A27&gt;YTD!B$10),"",U26+E27))</f>
        <v/>
      </c>
      <c r="V27" s="304" t="str">
        <f t="shared" si="13"/>
        <v/>
      </c>
      <c r="W27" s="315" t="e">
        <f>IF(I27="",#N/A,YTD!G$8-I27)</f>
        <v>#N/A</v>
      </c>
      <c r="X27" s="368">
        <f t="shared" si="7"/>
        <v>0</v>
      </c>
      <c r="Y27" s="368">
        <f t="shared" si="14"/>
        <v>0</v>
      </c>
      <c r="Z27" s="368" t="str">
        <f t="shared" si="8"/>
        <v/>
      </c>
      <c r="AA27" s="368">
        <v>12</v>
      </c>
      <c r="AB27" s="369">
        <f t="array" ref="AB27">SUM(IF(AA27=Z$16:Z$592,A$16:A$592,""))</f>
        <v>0</v>
      </c>
      <c r="AC27" s="370">
        <f t="array" ref="AC27">SUM(IF(AA27=Z$16:Z$592,J$16:J$592,""))</f>
        <v>0</v>
      </c>
      <c r="AD27" s="370">
        <f t="array" ref="AD27">SUM(IF($AA27=$Z$16:$Z$592,L$16:L$592,""))</f>
        <v>0</v>
      </c>
      <c r="AE27" s="370">
        <f t="array" ref="AE27">SUM(IF($AA27=$Z$16:$Z$592,M$16:M$592,""))</f>
        <v>0</v>
      </c>
      <c r="AF27" s="368">
        <f t="array" ref="AF27">SUM(IF($AA27=$Z$16:$Z$592,N$16:N$592,""))</f>
        <v>0</v>
      </c>
      <c r="AG27" s="370">
        <f t="array" ref="AG27">SUM(IF($AA27=$Z$16:$Z$592,O$16:O$592,""))</f>
        <v>0</v>
      </c>
      <c r="AH27" s="2"/>
      <c r="AI27" s="2"/>
      <c r="AJ27" s="2"/>
    </row>
    <row r="28" spans="1:36" x14ac:dyDescent="0.2">
      <c r="A28" s="306">
        <f>Crop!B61</f>
        <v>41652</v>
      </c>
      <c r="B28" s="307"/>
      <c r="C28" s="308"/>
      <c r="D28" s="304" t="str">
        <f>IF(OR($A28&lt;$A$3,$A28&gt;$A$7),"",Crop!$D61)</f>
        <v/>
      </c>
      <c r="E28" s="304" t="str">
        <f t="shared" si="9"/>
        <v/>
      </c>
      <c r="F28" s="304" t="str">
        <f>IF(OR(A28&lt;A$3,A28&gt;A$7),"",Crop!U61)</f>
        <v/>
      </c>
      <c r="G28" s="304" t="str">
        <f t="shared" si="0"/>
        <v/>
      </c>
      <c r="H28" s="309" t="str">
        <f>IF(OR(A28&lt;A$3,A28&gt;A$7),"",YTD!E25)</f>
        <v/>
      </c>
      <c r="I28" s="310" t="str">
        <f t="shared" si="1"/>
        <v/>
      </c>
      <c r="J28" s="311"/>
      <c r="K28" s="309" t="str">
        <f t="shared" si="2"/>
        <v/>
      </c>
      <c r="L28" s="312" t="str">
        <f t="shared" si="10"/>
        <v/>
      </c>
      <c r="M28" s="366" t="str">
        <f t="shared" si="3"/>
        <v/>
      </c>
      <c r="N28" s="328" t="str">
        <f t="shared" si="4"/>
        <v/>
      </c>
      <c r="O28" s="313" t="str">
        <f t="shared" si="5"/>
        <v/>
      </c>
      <c r="P28" s="307"/>
      <c r="Q28" s="309">
        <f t="shared" si="11"/>
        <v>0.8</v>
      </c>
      <c r="R28" s="307"/>
      <c r="S28" s="314">
        <f t="shared" si="12"/>
        <v>11.2</v>
      </c>
      <c r="T28" s="304" t="str">
        <f t="shared" si="6"/>
        <v/>
      </c>
      <c r="U28" s="304" t="str">
        <f>IF(A28=YTD!B$6,E28,IF(OR(A28&lt;YTD!B$6,A28&gt;YTD!B$10),"",U27+E28))</f>
        <v/>
      </c>
      <c r="V28" s="304" t="str">
        <f t="shared" si="13"/>
        <v/>
      </c>
      <c r="W28" s="315" t="e">
        <f>IF(I28="",#N/A,YTD!G$8-I28)</f>
        <v>#N/A</v>
      </c>
      <c r="X28" s="368">
        <f t="shared" si="7"/>
        <v>0</v>
      </c>
      <c r="Y28" s="368">
        <f t="shared" si="14"/>
        <v>0</v>
      </c>
      <c r="Z28" s="368" t="str">
        <f t="shared" si="8"/>
        <v/>
      </c>
      <c r="AA28" s="368">
        <v>13</v>
      </c>
      <c r="AB28" s="369">
        <f t="array" ref="AB28">SUM(IF(AA28=Z$16:Z$592,A$16:A$592,""))</f>
        <v>0</v>
      </c>
      <c r="AC28" s="370">
        <f t="array" ref="AC28">SUM(IF(AA28=Z$16:Z$592,J$16:J$592,""))</f>
        <v>0</v>
      </c>
      <c r="AD28" s="370">
        <f t="array" ref="AD28">SUM(IF($AA28=$Z$16:$Z$592,L$16:L$592,""))</f>
        <v>0</v>
      </c>
      <c r="AE28" s="370">
        <f t="array" ref="AE28">SUM(IF($AA28=$Z$16:$Z$592,M$16:M$592,""))</f>
        <v>0</v>
      </c>
      <c r="AF28" s="368">
        <f t="array" ref="AF28">SUM(IF($AA28=$Z$16:$Z$592,N$16:N$592,""))</f>
        <v>0</v>
      </c>
      <c r="AG28" s="370">
        <f t="array" ref="AG28">SUM(IF($AA28=$Z$16:$Z$592,O$16:O$592,""))</f>
        <v>0</v>
      </c>
      <c r="AH28" s="2"/>
      <c r="AI28" s="2"/>
      <c r="AJ28" s="2"/>
    </row>
    <row r="29" spans="1:36" x14ac:dyDescent="0.2">
      <c r="A29" s="306">
        <f>Crop!B62</f>
        <v>41653</v>
      </c>
      <c r="B29" s="307"/>
      <c r="C29" s="308"/>
      <c r="D29" s="304" t="str">
        <f>IF(OR($A29&lt;$A$3,$A29&gt;$A$7),"",Crop!$D62)</f>
        <v/>
      </c>
      <c r="E29" s="304" t="str">
        <f t="shared" si="9"/>
        <v/>
      </c>
      <c r="F29" s="304" t="str">
        <f>IF(OR(A29&lt;A$3,A29&gt;A$7),"",Crop!U62)</f>
        <v/>
      </c>
      <c r="G29" s="304" t="str">
        <f t="shared" si="0"/>
        <v/>
      </c>
      <c r="H29" s="309" t="str">
        <f>IF(OR(A29&lt;A$3,A29&gt;A$7),"",YTD!E26)</f>
        <v/>
      </c>
      <c r="I29" s="310" t="str">
        <f t="shared" si="1"/>
        <v/>
      </c>
      <c r="J29" s="311"/>
      <c r="K29" s="309" t="str">
        <f t="shared" si="2"/>
        <v/>
      </c>
      <c r="L29" s="312" t="str">
        <f t="shared" si="10"/>
        <v/>
      </c>
      <c r="M29" s="366" t="str">
        <f t="shared" si="3"/>
        <v/>
      </c>
      <c r="N29" s="328" t="str">
        <f t="shared" si="4"/>
        <v/>
      </c>
      <c r="O29" s="313" t="str">
        <f t="shared" si="5"/>
        <v/>
      </c>
      <c r="P29" s="307"/>
      <c r="Q29" s="309">
        <f t="shared" si="11"/>
        <v>0.8</v>
      </c>
      <c r="R29" s="307"/>
      <c r="S29" s="314">
        <f t="shared" si="12"/>
        <v>11.2</v>
      </c>
      <c r="T29" s="304" t="str">
        <f t="shared" si="6"/>
        <v/>
      </c>
      <c r="U29" s="304" t="str">
        <f>IF(A29=YTD!B$6,E29,IF(OR(A29&lt;YTD!B$6,A29&gt;YTD!B$10),"",U28+E29))</f>
        <v/>
      </c>
      <c r="V29" s="304" t="str">
        <f t="shared" si="13"/>
        <v/>
      </c>
      <c r="W29" s="315" t="e">
        <f>IF(I29="",#N/A,YTD!G$8-I29)</f>
        <v>#N/A</v>
      </c>
      <c r="X29" s="368">
        <f t="shared" si="7"/>
        <v>0</v>
      </c>
      <c r="Y29" s="368">
        <f t="shared" si="14"/>
        <v>0</v>
      </c>
      <c r="Z29" s="368" t="str">
        <f t="shared" si="8"/>
        <v/>
      </c>
      <c r="AA29" s="368">
        <v>14</v>
      </c>
      <c r="AB29" s="369">
        <f t="array" ref="AB29">SUM(IF(AA29=Z$16:Z$592,A$16:A$592,""))</f>
        <v>0</v>
      </c>
      <c r="AC29" s="370">
        <f t="array" ref="AC29">SUM(IF(AA29=Z$16:Z$592,J$16:J$592,""))</f>
        <v>0</v>
      </c>
      <c r="AD29" s="370">
        <f t="array" ref="AD29">SUM(IF($AA29=$Z$16:$Z$592,L$16:L$592,""))</f>
        <v>0</v>
      </c>
      <c r="AE29" s="370">
        <f t="array" ref="AE29">SUM(IF($AA29=$Z$16:$Z$592,M$16:M$592,""))</f>
        <v>0</v>
      </c>
      <c r="AF29" s="368">
        <f t="array" ref="AF29">SUM(IF($AA29=$Z$16:$Z$592,N$16:N$592,""))</f>
        <v>0</v>
      </c>
      <c r="AG29" s="370">
        <f t="array" ref="AG29">SUM(IF($AA29=$Z$16:$Z$592,O$16:O$592,""))</f>
        <v>0</v>
      </c>
      <c r="AH29" s="2"/>
      <c r="AI29" s="2"/>
      <c r="AJ29" s="2"/>
    </row>
    <row r="30" spans="1:36" x14ac:dyDescent="0.2">
      <c r="A30" s="306">
        <f>Crop!B63</f>
        <v>41654</v>
      </c>
      <c r="B30" s="307">
        <v>15</v>
      </c>
      <c r="C30" s="308"/>
      <c r="D30" s="304" t="str">
        <f>IF(OR($A30&lt;$A$3,$A30&gt;$A$7),"",Crop!$D63)</f>
        <v/>
      </c>
      <c r="E30" s="304" t="str">
        <f t="shared" si="9"/>
        <v/>
      </c>
      <c r="F30" s="304" t="str">
        <f>IF(OR(A30&lt;A$3,A30&gt;A$7),"",Crop!U63)</f>
        <v/>
      </c>
      <c r="G30" s="304" t="str">
        <f t="shared" si="0"/>
        <v/>
      </c>
      <c r="H30" s="309" t="str">
        <f>IF(OR(A30&lt;A$3,A30&gt;A$7),"",YTD!E27)</f>
        <v/>
      </c>
      <c r="I30" s="310" t="str">
        <f t="shared" si="1"/>
        <v/>
      </c>
      <c r="J30" s="311"/>
      <c r="K30" s="309" t="str">
        <f t="shared" si="2"/>
        <v/>
      </c>
      <c r="L30" s="312" t="str">
        <f t="shared" si="10"/>
        <v/>
      </c>
      <c r="M30" s="366" t="str">
        <f t="shared" si="3"/>
        <v/>
      </c>
      <c r="N30" s="328" t="str">
        <f t="shared" si="4"/>
        <v/>
      </c>
      <c r="O30" s="313" t="str">
        <f t="shared" si="5"/>
        <v/>
      </c>
      <c r="P30" s="307"/>
      <c r="Q30" s="309">
        <f t="shared" si="11"/>
        <v>0.8</v>
      </c>
      <c r="R30" s="307"/>
      <c r="S30" s="314">
        <f t="shared" si="12"/>
        <v>11.2</v>
      </c>
      <c r="T30" s="304" t="str">
        <f t="shared" si="6"/>
        <v/>
      </c>
      <c r="U30" s="304" t="str">
        <f>IF(A30=YTD!B$6,E30,IF(OR(A30&lt;YTD!B$6,A30&gt;YTD!B$10),"",U29+E30))</f>
        <v/>
      </c>
      <c r="V30" s="304" t="str">
        <f t="shared" si="13"/>
        <v/>
      </c>
      <c r="W30" s="315" t="e">
        <f>IF(I30="",#N/A,YTD!G$8-I30)</f>
        <v>#N/A</v>
      </c>
      <c r="X30" s="368">
        <f t="shared" si="7"/>
        <v>0</v>
      </c>
      <c r="Y30" s="368">
        <f t="shared" si="14"/>
        <v>0</v>
      </c>
      <c r="Z30" s="368" t="str">
        <f t="shared" si="8"/>
        <v/>
      </c>
      <c r="AA30" s="368">
        <v>15</v>
      </c>
      <c r="AB30" s="369">
        <f t="array" ref="AB30">SUM(IF(AA30=Z$16:Z$592,A$16:A$592,""))</f>
        <v>0</v>
      </c>
      <c r="AC30" s="370">
        <f t="array" ref="AC30">SUM(IF(AA30=Z$16:Z$592,J$16:J$592,""))</f>
        <v>0</v>
      </c>
      <c r="AD30" s="370">
        <f t="array" ref="AD30">SUM(IF($AA30=$Z$16:$Z$592,L$16:L$592,""))</f>
        <v>0</v>
      </c>
      <c r="AE30" s="370">
        <f t="array" ref="AE30">SUM(IF($AA30=$Z$16:$Z$592,M$16:M$592,""))</f>
        <v>0</v>
      </c>
      <c r="AF30" s="368">
        <f t="array" ref="AF30">SUM(IF($AA30=$Z$16:$Z$592,N$16:N$592,""))</f>
        <v>0</v>
      </c>
      <c r="AG30" s="370">
        <f t="array" ref="AG30">SUM(IF($AA30=$Z$16:$Z$592,O$16:O$592,""))</f>
        <v>0</v>
      </c>
      <c r="AH30" s="2"/>
      <c r="AI30" s="2"/>
      <c r="AJ30" s="2"/>
    </row>
    <row r="31" spans="1:36" x14ac:dyDescent="0.2">
      <c r="A31" s="306">
        <f>Crop!B64</f>
        <v>41655</v>
      </c>
      <c r="B31" s="307"/>
      <c r="C31" s="308"/>
      <c r="D31" s="304" t="str">
        <f>IF(OR($A31&lt;$A$3,$A31&gt;$A$7),"",Crop!$D64)</f>
        <v/>
      </c>
      <c r="E31" s="304" t="str">
        <f t="shared" si="9"/>
        <v/>
      </c>
      <c r="F31" s="304" t="str">
        <f>IF(OR(A31&lt;A$3,A31&gt;A$7),"",Crop!U64)</f>
        <v/>
      </c>
      <c r="G31" s="304" t="str">
        <f t="shared" si="0"/>
        <v/>
      </c>
      <c r="H31" s="309" t="str">
        <f>IF(OR(A31&lt;A$3,A31&gt;A$7),"",YTD!E28)</f>
        <v/>
      </c>
      <c r="I31" s="310" t="str">
        <f t="shared" si="1"/>
        <v/>
      </c>
      <c r="J31" s="311"/>
      <c r="K31" s="309" t="str">
        <f t="shared" si="2"/>
        <v/>
      </c>
      <c r="L31" s="312" t="str">
        <f t="shared" si="10"/>
        <v/>
      </c>
      <c r="M31" s="366" t="str">
        <f t="shared" si="3"/>
        <v/>
      </c>
      <c r="N31" s="328" t="str">
        <f t="shared" si="4"/>
        <v/>
      </c>
      <c r="O31" s="313" t="str">
        <f t="shared" si="5"/>
        <v/>
      </c>
      <c r="P31" s="307"/>
      <c r="Q31" s="309">
        <f t="shared" si="11"/>
        <v>0.8</v>
      </c>
      <c r="R31" s="307"/>
      <c r="S31" s="314">
        <f t="shared" si="12"/>
        <v>11.2</v>
      </c>
      <c r="T31" s="304" t="str">
        <f t="shared" si="6"/>
        <v/>
      </c>
      <c r="U31" s="304" t="str">
        <f>IF(A31=YTD!B$6,E31,IF(OR(A31&lt;YTD!B$6,A31&gt;YTD!B$10),"",U30+E31))</f>
        <v/>
      </c>
      <c r="V31" s="304" t="str">
        <f t="shared" si="13"/>
        <v/>
      </c>
      <c r="W31" s="315" t="e">
        <f>IF(I31="",#N/A,YTD!G$8-I31)</f>
        <v>#N/A</v>
      </c>
      <c r="X31" s="368">
        <f t="shared" si="7"/>
        <v>0</v>
      </c>
      <c r="Y31" s="368">
        <f t="shared" si="14"/>
        <v>0</v>
      </c>
      <c r="Z31" s="368" t="str">
        <f t="shared" si="8"/>
        <v/>
      </c>
      <c r="AA31" s="368">
        <v>16</v>
      </c>
      <c r="AB31" s="369">
        <f t="array" ref="AB31">SUM(IF(AA31=Z$16:Z$592,A$16:A$592,""))</f>
        <v>0</v>
      </c>
      <c r="AC31" s="370">
        <f t="array" ref="AC31">SUM(IF(AA31=Z$16:Z$592,J$16:J$592,""))</f>
        <v>0</v>
      </c>
      <c r="AD31" s="370">
        <f t="array" ref="AD31">SUM(IF($AA31=$Z$16:$Z$592,L$16:L$592,""))</f>
        <v>0</v>
      </c>
      <c r="AE31" s="370">
        <f t="array" ref="AE31">SUM(IF($AA31=$Z$16:$Z$592,M$16:M$592,""))</f>
        <v>0</v>
      </c>
      <c r="AF31" s="368">
        <f t="array" ref="AF31">SUM(IF($AA31=$Z$16:$Z$592,N$16:N$592,""))</f>
        <v>0</v>
      </c>
      <c r="AG31" s="370">
        <f t="array" ref="AG31">SUM(IF($AA31=$Z$16:$Z$592,O$16:O$592,""))</f>
        <v>0</v>
      </c>
      <c r="AH31" s="2"/>
      <c r="AI31" s="2"/>
      <c r="AJ31" s="2"/>
    </row>
    <row r="32" spans="1:36" x14ac:dyDescent="0.2">
      <c r="A32" s="306">
        <f>Crop!B65</f>
        <v>41656</v>
      </c>
      <c r="B32" s="307"/>
      <c r="C32" s="308"/>
      <c r="D32" s="304" t="str">
        <f>IF(OR($A32&lt;$A$3,$A32&gt;$A$7),"",Crop!$D65)</f>
        <v/>
      </c>
      <c r="E32" s="304" t="str">
        <f t="shared" si="9"/>
        <v/>
      </c>
      <c r="F32" s="304" t="str">
        <f>IF(OR(A32&lt;A$3,A32&gt;A$7),"",Crop!U65)</f>
        <v/>
      </c>
      <c r="G32" s="304" t="str">
        <f t="shared" si="0"/>
        <v/>
      </c>
      <c r="H32" s="309" t="str">
        <f>IF(OR(A32&lt;A$3,A32&gt;A$7),"",YTD!E29)</f>
        <v/>
      </c>
      <c r="I32" s="310" t="str">
        <f t="shared" si="1"/>
        <v/>
      </c>
      <c r="J32" s="311"/>
      <c r="K32" s="309" t="str">
        <f t="shared" si="2"/>
        <v/>
      </c>
      <c r="L32" s="312" t="str">
        <f t="shared" si="10"/>
        <v/>
      </c>
      <c r="M32" s="366" t="str">
        <f t="shared" si="3"/>
        <v/>
      </c>
      <c r="N32" s="328" t="str">
        <f t="shared" si="4"/>
        <v/>
      </c>
      <c r="O32" s="313" t="str">
        <f t="shared" si="5"/>
        <v/>
      </c>
      <c r="P32" s="307"/>
      <c r="Q32" s="309">
        <f t="shared" si="11"/>
        <v>0.8</v>
      </c>
      <c r="R32" s="307"/>
      <c r="S32" s="314">
        <f t="shared" si="12"/>
        <v>11.2</v>
      </c>
      <c r="T32" s="304" t="str">
        <f t="shared" si="6"/>
        <v/>
      </c>
      <c r="U32" s="304" t="str">
        <f>IF(A32=YTD!B$6,E32,IF(OR(A32&lt;YTD!B$6,A32&gt;YTD!B$10),"",U31+E32))</f>
        <v/>
      </c>
      <c r="V32" s="304" t="str">
        <f t="shared" si="13"/>
        <v/>
      </c>
      <c r="W32" s="315" t="e">
        <f>IF(I32="",#N/A,YTD!G$8-I32)</f>
        <v>#N/A</v>
      </c>
      <c r="X32" s="368">
        <f t="shared" si="7"/>
        <v>0</v>
      </c>
      <c r="Y32" s="368">
        <f t="shared" si="14"/>
        <v>0</v>
      </c>
      <c r="Z32" s="368" t="str">
        <f t="shared" si="8"/>
        <v/>
      </c>
      <c r="AA32" s="368">
        <v>17</v>
      </c>
      <c r="AB32" s="369">
        <f t="array" ref="AB32">SUM(IF(AA32=Z$16:Z$592,A$16:A$592,""))</f>
        <v>0</v>
      </c>
      <c r="AC32" s="370">
        <f t="array" ref="AC32">SUM(IF(AA32=Z$16:Z$592,J$16:J$592,""))</f>
        <v>0</v>
      </c>
      <c r="AD32" s="370">
        <f t="array" ref="AD32">SUM(IF($AA32=$Z$16:$Z$592,L$16:L$592,""))</f>
        <v>0</v>
      </c>
      <c r="AE32" s="370">
        <f t="array" ref="AE32">SUM(IF($AA32=$Z$16:$Z$592,M$16:M$592,""))</f>
        <v>0</v>
      </c>
      <c r="AF32" s="368">
        <f t="array" ref="AF32">SUM(IF($AA32=$Z$16:$Z$592,N$16:N$592,""))</f>
        <v>0</v>
      </c>
      <c r="AG32" s="370">
        <f t="array" ref="AG32">SUM(IF($AA32=$Z$16:$Z$592,O$16:O$592,""))</f>
        <v>0</v>
      </c>
      <c r="AH32" s="2"/>
      <c r="AI32" s="2"/>
      <c r="AJ32" s="2"/>
    </row>
    <row r="33" spans="1:36" x14ac:dyDescent="0.2">
      <c r="A33" s="306">
        <f>Crop!B66</f>
        <v>41657</v>
      </c>
      <c r="B33" s="307"/>
      <c r="C33" s="308"/>
      <c r="D33" s="304" t="str">
        <f>IF(OR($A33&lt;$A$3,$A33&gt;$A$7),"",Crop!$D66)</f>
        <v/>
      </c>
      <c r="E33" s="304" t="str">
        <f t="shared" si="9"/>
        <v/>
      </c>
      <c r="F33" s="304" t="str">
        <f>IF(OR(A33&lt;A$3,A33&gt;A$7),"",Crop!U66)</f>
        <v/>
      </c>
      <c r="G33" s="304" t="str">
        <f t="shared" si="0"/>
        <v/>
      </c>
      <c r="H33" s="309" t="str">
        <f>IF(OR(A33&lt;A$3,A33&gt;A$7),"",YTD!E30)</f>
        <v/>
      </c>
      <c r="I33" s="310" t="str">
        <f t="shared" si="1"/>
        <v/>
      </c>
      <c r="J33" s="311"/>
      <c r="K33" s="309" t="str">
        <f t="shared" si="2"/>
        <v/>
      </c>
      <c r="L33" s="312" t="str">
        <f t="shared" si="10"/>
        <v/>
      </c>
      <c r="M33" s="366" t="str">
        <f t="shared" si="3"/>
        <v/>
      </c>
      <c r="N33" s="328" t="str">
        <f t="shared" si="4"/>
        <v/>
      </c>
      <c r="O33" s="313" t="str">
        <f t="shared" si="5"/>
        <v/>
      </c>
      <c r="P33" s="307"/>
      <c r="Q33" s="309">
        <f t="shared" si="11"/>
        <v>0.8</v>
      </c>
      <c r="R33" s="307"/>
      <c r="S33" s="314">
        <f t="shared" si="12"/>
        <v>11.2</v>
      </c>
      <c r="T33" s="304" t="str">
        <f t="shared" si="6"/>
        <v/>
      </c>
      <c r="U33" s="304" t="str">
        <f>IF(A33=YTD!B$6,E33,IF(OR(A33&lt;YTD!B$6,A33&gt;YTD!B$10),"",U32+E33))</f>
        <v/>
      </c>
      <c r="V33" s="304" t="str">
        <f t="shared" si="13"/>
        <v/>
      </c>
      <c r="W33" s="315" t="e">
        <f>IF(I33="",#N/A,YTD!G$8-I33)</f>
        <v>#N/A</v>
      </c>
      <c r="X33" s="368">
        <f t="shared" si="7"/>
        <v>0</v>
      </c>
      <c r="Y33" s="368">
        <f t="shared" si="14"/>
        <v>0</v>
      </c>
      <c r="Z33" s="368" t="str">
        <f t="shared" si="8"/>
        <v/>
      </c>
      <c r="AA33" s="368">
        <v>18</v>
      </c>
      <c r="AB33" s="369">
        <f t="array" ref="AB33">SUM(IF(AA33=Z$16:Z$592,A$16:A$592,""))</f>
        <v>0</v>
      </c>
      <c r="AC33" s="370">
        <f t="array" ref="AC33">SUM(IF(AA33=Z$16:Z$592,J$16:J$592,""))</f>
        <v>0</v>
      </c>
      <c r="AD33" s="370">
        <f t="array" ref="AD33">SUM(IF($AA33=$Z$16:$Z$592,L$16:L$592,""))</f>
        <v>0</v>
      </c>
      <c r="AE33" s="370">
        <f t="array" ref="AE33">SUM(IF($AA33=$Z$16:$Z$592,M$16:M$592,""))</f>
        <v>0</v>
      </c>
      <c r="AF33" s="368">
        <f t="array" ref="AF33">SUM(IF($AA33=$Z$16:$Z$592,N$16:N$592,""))</f>
        <v>0</v>
      </c>
      <c r="AG33" s="370">
        <f t="array" ref="AG33">SUM(IF($AA33=$Z$16:$Z$592,O$16:O$592,""))</f>
        <v>0</v>
      </c>
      <c r="AH33" s="2"/>
      <c r="AI33" s="2"/>
      <c r="AJ33" s="2"/>
    </row>
    <row r="34" spans="1:36" x14ac:dyDescent="0.2">
      <c r="A34" s="306">
        <f>Crop!B67</f>
        <v>41658</v>
      </c>
      <c r="B34" s="307"/>
      <c r="C34" s="308"/>
      <c r="D34" s="304" t="str">
        <f>IF(OR($A34&lt;$A$3,$A34&gt;$A$7),"",Crop!$D67)</f>
        <v/>
      </c>
      <c r="E34" s="304" t="str">
        <f t="shared" si="9"/>
        <v/>
      </c>
      <c r="F34" s="304" t="str">
        <f>IF(OR(A34&lt;A$3,A34&gt;A$7),"",Crop!U67)</f>
        <v/>
      </c>
      <c r="G34" s="304" t="str">
        <f t="shared" si="0"/>
        <v/>
      </c>
      <c r="H34" s="309" t="str">
        <f>IF(OR(A34&lt;A$3,A34&gt;A$7),"",YTD!E31)</f>
        <v/>
      </c>
      <c r="I34" s="310" t="str">
        <f t="shared" si="1"/>
        <v/>
      </c>
      <c r="J34" s="311"/>
      <c r="K34" s="309" t="str">
        <f t="shared" si="2"/>
        <v/>
      </c>
      <c r="L34" s="312" t="str">
        <f t="shared" si="10"/>
        <v/>
      </c>
      <c r="M34" s="366" t="str">
        <f t="shared" si="3"/>
        <v/>
      </c>
      <c r="N34" s="328" t="str">
        <f t="shared" si="4"/>
        <v/>
      </c>
      <c r="O34" s="313" t="str">
        <f t="shared" si="5"/>
        <v/>
      </c>
      <c r="P34" s="307"/>
      <c r="Q34" s="309">
        <f t="shared" si="11"/>
        <v>0.8</v>
      </c>
      <c r="R34" s="307"/>
      <c r="S34" s="314">
        <f t="shared" si="12"/>
        <v>11.2</v>
      </c>
      <c r="T34" s="304" t="str">
        <f t="shared" si="6"/>
        <v/>
      </c>
      <c r="U34" s="304" t="str">
        <f>IF(A34=YTD!B$6,E34,IF(OR(A34&lt;YTD!B$6,A34&gt;YTD!B$10),"",U33+E34))</f>
        <v/>
      </c>
      <c r="V34" s="304" t="str">
        <f t="shared" si="13"/>
        <v/>
      </c>
      <c r="W34" s="315" t="e">
        <f>IF(I34="",#N/A,YTD!G$8-I34)</f>
        <v>#N/A</v>
      </c>
      <c r="X34" s="368">
        <f t="shared" si="7"/>
        <v>0</v>
      </c>
      <c r="Y34" s="368">
        <f t="shared" si="14"/>
        <v>0</v>
      </c>
      <c r="Z34" s="368" t="str">
        <f t="shared" si="8"/>
        <v/>
      </c>
      <c r="AA34" s="368">
        <v>19</v>
      </c>
      <c r="AB34" s="369">
        <f t="array" ref="AB34">SUM(IF(AA34=Z$16:Z$592,A$16:A$592,""))</f>
        <v>0</v>
      </c>
      <c r="AC34" s="370">
        <f t="array" ref="AC34">SUM(IF(AA34=Z$16:Z$592,J$16:J$592,""))</f>
        <v>0</v>
      </c>
      <c r="AD34" s="370">
        <f t="array" ref="AD34">SUM(IF($AA34=$Z$16:$Z$592,L$16:L$592,""))</f>
        <v>0</v>
      </c>
      <c r="AE34" s="370">
        <f t="array" ref="AE34">SUM(IF($AA34=$Z$16:$Z$592,M$16:M$592,""))</f>
        <v>0</v>
      </c>
      <c r="AF34" s="368">
        <f t="array" ref="AF34">SUM(IF($AA34=$Z$16:$Z$592,N$16:N$592,""))</f>
        <v>0</v>
      </c>
      <c r="AG34" s="370">
        <f t="array" ref="AG34">SUM(IF($AA34=$Z$16:$Z$592,O$16:O$592,""))</f>
        <v>0</v>
      </c>
      <c r="AH34" s="2"/>
      <c r="AI34" s="2"/>
      <c r="AJ34" s="2"/>
    </row>
    <row r="35" spans="1:36" x14ac:dyDescent="0.2">
      <c r="A35" s="306">
        <f>Crop!B68</f>
        <v>41659</v>
      </c>
      <c r="B35" s="307"/>
      <c r="C35" s="308"/>
      <c r="D35" s="304" t="str">
        <f>IF(OR($A35&lt;$A$3,$A35&gt;$A$7),"",Crop!$D68)</f>
        <v/>
      </c>
      <c r="E35" s="304" t="str">
        <f t="shared" si="9"/>
        <v/>
      </c>
      <c r="F35" s="304" t="str">
        <f>IF(OR(A35&lt;A$3,A35&gt;A$7),"",Crop!U68)</f>
        <v/>
      </c>
      <c r="G35" s="304" t="str">
        <f t="shared" si="0"/>
        <v/>
      </c>
      <c r="H35" s="309" t="str">
        <f>IF(OR(A35&lt;A$3,A35&gt;A$7),"",YTD!E32)</f>
        <v/>
      </c>
      <c r="I35" s="310" t="str">
        <f t="shared" si="1"/>
        <v/>
      </c>
      <c r="J35" s="311"/>
      <c r="K35" s="309" t="str">
        <f t="shared" si="2"/>
        <v/>
      </c>
      <c r="L35" s="312" t="str">
        <f t="shared" si="10"/>
        <v/>
      </c>
      <c r="M35" s="366" t="str">
        <f t="shared" si="3"/>
        <v/>
      </c>
      <c r="N35" s="328" t="str">
        <f t="shared" si="4"/>
        <v/>
      </c>
      <c r="O35" s="313" t="str">
        <f t="shared" si="5"/>
        <v/>
      </c>
      <c r="P35" s="307"/>
      <c r="Q35" s="309">
        <f t="shared" si="11"/>
        <v>0.8</v>
      </c>
      <c r="R35" s="307"/>
      <c r="S35" s="314">
        <f t="shared" si="12"/>
        <v>11.2</v>
      </c>
      <c r="T35" s="304" t="str">
        <f t="shared" si="6"/>
        <v/>
      </c>
      <c r="U35" s="304" t="str">
        <f>IF(A35=YTD!B$6,E35,IF(OR(A35&lt;YTD!B$6,A35&gt;YTD!B$10),"",U34+E35))</f>
        <v/>
      </c>
      <c r="V35" s="304" t="str">
        <f t="shared" si="13"/>
        <v/>
      </c>
      <c r="W35" s="315" t="e">
        <f>IF(I35="",#N/A,YTD!G$8-I35)</f>
        <v>#N/A</v>
      </c>
      <c r="X35" s="368">
        <f t="shared" si="7"/>
        <v>0</v>
      </c>
      <c r="Y35" s="368">
        <f t="shared" si="14"/>
        <v>0</v>
      </c>
      <c r="Z35" s="368" t="str">
        <f t="shared" si="8"/>
        <v/>
      </c>
      <c r="AA35" s="368">
        <v>20</v>
      </c>
      <c r="AB35" s="369">
        <f t="array" ref="AB35">SUM(IF(AA35=Z$16:Z$592,A$16:A$592,""))</f>
        <v>0</v>
      </c>
      <c r="AC35" s="370">
        <f t="array" ref="AC35">SUM(IF(AA35=Z$16:Z$592,J$16:J$592,""))</f>
        <v>0</v>
      </c>
      <c r="AD35" s="370">
        <f t="array" ref="AD35">SUM(IF($AA35=$Z$16:$Z$592,L$16:L$592,""))</f>
        <v>0</v>
      </c>
      <c r="AE35" s="370">
        <f t="array" ref="AE35">SUM(IF($AA35=$Z$16:$Z$592,M$16:M$592,""))</f>
        <v>0</v>
      </c>
      <c r="AF35" s="368">
        <f t="array" ref="AF35">SUM(IF($AA35=$Z$16:$Z$592,N$16:N$592,""))</f>
        <v>0</v>
      </c>
      <c r="AG35" s="370">
        <f t="array" ref="AG35">SUM(IF($AA35=$Z$16:$Z$592,O$16:O$592,""))</f>
        <v>0</v>
      </c>
      <c r="AH35" s="2"/>
      <c r="AI35" s="2"/>
      <c r="AJ35" s="2"/>
    </row>
    <row r="36" spans="1:36" x14ac:dyDescent="0.2">
      <c r="A36" s="306">
        <f>Crop!B69</f>
        <v>41660</v>
      </c>
      <c r="B36" s="307"/>
      <c r="C36" s="308"/>
      <c r="D36" s="304" t="str">
        <f>IF(OR($A36&lt;$A$3,$A36&gt;$A$7),"",Crop!$D69)</f>
        <v/>
      </c>
      <c r="E36" s="304" t="str">
        <f t="shared" si="9"/>
        <v/>
      </c>
      <c r="F36" s="304" t="str">
        <f>IF(OR(A36&lt;A$3,A36&gt;A$7),"",Crop!U69)</f>
        <v/>
      </c>
      <c r="G36" s="304" t="str">
        <f t="shared" si="0"/>
        <v/>
      </c>
      <c r="H36" s="309" t="str">
        <f>IF(OR(A36&lt;A$3,A36&gt;A$7),"",YTD!E33)</f>
        <v/>
      </c>
      <c r="I36" s="310" t="str">
        <f t="shared" si="1"/>
        <v/>
      </c>
      <c r="J36" s="311"/>
      <c r="K36" s="309" t="str">
        <f t="shared" si="2"/>
        <v/>
      </c>
      <c r="L36" s="312" t="str">
        <f t="shared" si="10"/>
        <v/>
      </c>
      <c r="M36" s="366" t="str">
        <f t="shared" si="3"/>
        <v/>
      </c>
      <c r="N36" s="328" t="str">
        <f t="shared" si="4"/>
        <v/>
      </c>
      <c r="O36" s="313" t="str">
        <f t="shared" si="5"/>
        <v/>
      </c>
      <c r="P36" s="307"/>
      <c r="Q36" s="309">
        <f t="shared" si="11"/>
        <v>0.8</v>
      </c>
      <c r="R36" s="307"/>
      <c r="S36" s="314">
        <f t="shared" si="12"/>
        <v>11.2</v>
      </c>
      <c r="T36" s="304" t="str">
        <f t="shared" si="6"/>
        <v/>
      </c>
      <c r="U36" s="304" t="str">
        <f>IF(A36=YTD!B$6,E36,IF(OR(A36&lt;YTD!B$6,A36&gt;YTD!B$10),"",U35+E36))</f>
        <v/>
      </c>
      <c r="V36" s="304" t="str">
        <f t="shared" si="13"/>
        <v/>
      </c>
      <c r="W36" s="315" t="e">
        <f>IF(I36="",#N/A,YTD!G$8-I36)</f>
        <v>#N/A</v>
      </c>
      <c r="X36" s="368">
        <f t="shared" si="7"/>
        <v>0</v>
      </c>
      <c r="Y36" s="368">
        <f t="shared" si="14"/>
        <v>0</v>
      </c>
      <c r="Z36" s="368" t="str">
        <f t="shared" si="8"/>
        <v/>
      </c>
      <c r="AA36" s="368">
        <v>21</v>
      </c>
      <c r="AB36" s="369">
        <f t="array" ref="AB36">SUM(IF(AA36=Z$16:Z$592,A$16:A$592,""))</f>
        <v>0</v>
      </c>
      <c r="AC36" s="370">
        <f t="array" ref="AC36">SUM(IF(AA36=Z$16:Z$592,J$16:J$592,""))</f>
        <v>0</v>
      </c>
      <c r="AD36" s="370">
        <f t="array" ref="AD36">SUM(IF($AA36=$Z$16:$Z$592,L$16:L$592,""))</f>
        <v>0</v>
      </c>
      <c r="AE36" s="370">
        <f t="array" ref="AE36">SUM(IF($AA36=$Z$16:$Z$592,M$16:M$592,""))</f>
        <v>0</v>
      </c>
      <c r="AF36" s="368">
        <f t="array" ref="AF36">SUM(IF($AA36=$Z$16:$Z$592,N$16:N$592,""))</f>
        <v>0</v>
      </c>
      <c r="AG36" s="370">
        <f t="array" ref="AG36">SUM(IF($AA36=$Z$16:$Z$592,O$16:O$592,""))</f>
        <v>0</v>
      </c>
      <c r="AH36" s="2"/>
      <c r="AI36" s="2"/>
      <c r="AJ36" s="2"/>
    </row>
    <row r="37" spans="1:36" x14ac:dyDescent="0.2">
      <c r="A37" s="306">
        <f>Crop!B70</f>
        <v>41661</v>
      </c>
      <c r="B37" s="307"/>
      <c r="C37" s="308"/>
      <c r="D37" s="304" t="str">
        <f>IF(OR($A37&lt;$A$3,$A37&gt;$A$7),"",Crop!$D70)</f>
        <v/>
      </c>
      <c r="E37" s="304" t="str">
        <f t="shared" si="9"/>
        <v/>
      </c>
      <c r="F37" s="304" t="str">
        <f>IF(OR(A37&lt;A$3,A37&gt;A$7),"",Crop!U70)</f>
        <v/>
      </c>
      <c r="G37" s="304" t="str">
        <f t="shared" si="0"/>
        <v/>
      </c>
      <c r="H37" s="309" t="str">
        <f>IF(OR(A37&lt;A$3,A37&gt;A$7),"",YTD!E34)</f>
        <v/>
      </c>
      <c r="I37" s="310" t="str">
        <f t="shared" si="1"/>
        <v/>
      </c>
      <c r="J37" s="311"/>
      <c r="K37" s="309" t="str">
        <f t="shared" si="2"/>
        <v/>
      </c>
      <c r="L37" s="312" t="str">
        <f t="shared" si="10"/>
        <v/>
      </c>
      <c r="M37" s="366" t="str">
        <f t="shared" si="3"/>
        <v/>
      </c>
      <c r="N37" s="328" t="str">
        <f t="shared" si="4"/>
        <v/>
      </c>
      <c r="O37" s="313" t="str">
        <f t="shared" si="5"/>
        <v/>
      </c>
      <c r="P37" s="307"/>
      <c r="Q37" s="309">
        <f t="shared" si="11"/>
        <v>0.8</v>
      </c>
      <c r="R37" s="307"/>
      <c r="S37" s="314">
        <f t="shared" si="12"/>
        <v>11.2</v>
      </c>
      <c r="T37" s="304" t="str">
        <f t="shared" si="6"/>
        <v/>
      </c>
      <c r="U37" s="304" t="str">
        <f>IF(A37=YTD!B$6,E37,IF(OR(A37&lt;YTD!B$6,A37&gt;YTD!B$10),"",U36+E37))</f>
        <v/>
      </c>
      <c r="V37" s="304" t="str">
        <f t="shared" si="13"/>
        <v/>
      </c>
      <c r="W37" s="315" t="e">
        <f>IF(I37="",#N/A,YTD!G$8-I37)</f>
        <v>#N/A</v>
      </c>
      <c r="X37" s="368">
        <f t="shared" si="7"/>
        <v>0</v>
      </c>
      <c r="Y37" s="368">
        <f t="shared" si="14"/>
        <v>0</v>
      </c>
      <c r="Z37" s="368" t="str">
        <f t="shared" si="8"/>
        <v/>
      </c>
      <c r="AA37" s="368">
        <v>22</v>
      </c>
      <c r="AB37" s="369">
        <f t="array" ref="AB37">SUM(IF(AA37=Z$16:Z$592,A$16:A$592,""))</f>
        <v>0</v>
      </c>
      <c r="AC37" s="370">
        <f t="array" ref="AC37">SUM(IF(AA37=Z$16:Z$592,J$16:J$592,""))</f>
        <v>0</v>
      </c>
      <c r="AD37" s="370">
        <f t="array" ref="AD37">SUM(IF($AA37=$Z$16:$Z$592,L$16:L$592,""))</f>
        <v>0</v>
      </c>
      <c r="AE37" s="370">
        <f t="array" ref="AE37">SUM(IF($AA37=$Z$16:$Z$592,M$16:M$592,""))</f>
        <v>0</v>
      </c>
      <c r="AF37" s="368">
        <f t="array" ref="AF37">SUM(IF($AA37=$Z$16:$Z$592,N$16:N$592,""))</f>
        <v>0</v>
      </c>
      <c r="AG37" s="370">
        <f t="array" ref="AG37">SUM(IF($AA37=$Z$16:$Z$592,O$16:O$592,""))</f>
        <v>0</v>
      </c>
      <c r="AH37" s="2"/>
      <c r="AI37" s="2"/>
      <c r="AJ37" s="2"/>
    </row>
    <row r="38" spans="1:36" x14ac:dyDescent="0.2">
      <c r="A38" s="306">
        <f>Crop!B71</f>
        <v>41662</v>
      </c>
      <c r="B38" s="307"/>
      <c r="C38" s="308"/>
      <c r="D38" s="304" t="str">
        <f>IF(OR($A38&lt;$A$3,$A38&gt;$A$7),"",Crop!$D71)</f>
        <v/>
      </c>
      <c r="E38" s="304" t="str">
        <f t="shared" si="9"/>
        <v/>
      </c>
      <c r="F38" s="304" t="str">
        <f>IF(OR(A38&lt;A$3,A38&gt;A$7),"",Crop!U71)</f>
        <v/>
      </c>
      <c r="G38" s="304" t="str">
        <f t="shared" si="0"/>
        <v/>
      </c>
      <c r="H38" s="309" t="str">
        <f>IF(OR(A38&lt;A$3,A38&gt;A$7),"",YTD!E35)</f>
        <v/>
      </c>
      <c r="I38" s="310" t="str">
        <f t="shared" si="1"/>
        <v/>
      </c>
      <c r="J38" s="311"/>
      <c r="K38" s="309" t="str">
        <f t="shared" si="2"/>
        <v/>
      </c>
      <c r="L38" s="312" t="str">
        <f t="shared" si="10"/>
        <v/>
      </c>
      <c r="M38" s="366" t="str">
        <f t="shared" si="3"/>
        <v/>
      </c>
      <c r="N38" s="328" t="str">
        <f t="shared" si="4"/>
        <v/>
      </c>
      <c r="O38" s="313" t="str">
        <f t="shared" si="5"/>
        <v/>
      </c>
      <c r="P38" s="307"/>
      <c r="Q38" s="309">
        <f t="shared" si="11"/>
        <v>0.8</v>
      </c>
      <c r="R38" s="307"/>
      <c r="S38" s="314">
        <f t="shared" si="12"/>
        <v>11.2</v>
      </c>
      <c r="T38" s="304" t="str">
        <f t="shared" si="6"/>
        <v/>
      </c>
      <c r="U38" s="304" t="str">
        <f>IF(A38=YTD!B$6,E38,IF(OR(A38&lt;YTD!B$6,A38&gt;YTD!B$10),"",U37+E38))</f>
        <v/>
      </c>
      <c r="V38" s="304" t="str">
        <f t="shared" si="13"/>
        <v/>
      </c>
      <c r="W38" s="315" t="e">
        <f>IF(I38="",#N/A,YTD!G$8-I38)</f>
        <v>#N/A</v>
      </c>
      <c r="X38" s="368">
        <f t="shared" si="7"/>
        <v>0</v>
      </c>
      <c r="Y38" s="368">
        <f t="shared" si="14"/>
        <v>0</v>
      </c>
      <c r="Z38" s="368" t="str">
        <f t="shared" si="8"/>
        <v/>
      </c>
      <c r="AA38" s="368">
        <v>23</v>
      </c>
      <c r="AB38" s="369">
        <f t="array" ref="AB38">SUM(IF(AA38=Z$16:Z$592,A$16:A$592,""))</f>
        <v>0</v>
      </c>
      <c r="AC38" s="370">
        <f t="array" ref="AC38">SUM(IF(AA38=Z$16:Z$592,J$16:J$592,""))</f>
        <v>0</v>
      </c>
      <c r="AD38" s="370">
        <f t="array" ref="AD38">SUM(IF($AA38=$Z$16:$Z$592,L$16:L$592,""))</f>
        <v>0</v>
      </c>
      <c r="AE38" s="370">
        <f t="array" ref="AE38">SUM(IF($AA38=$Z$16:$Z$592,M$16:M$592,""))</f>
        <v>0</v>
      </c>
      <c r="AF38" s="368">
        <f t="array" ref="AF38">SUM(IF($AA38=$Z$16:$Z$592,N$16:N$592,""))</f>
        <v>0</v>
      </c>
      <c r="AG38" s="370">
        <f t="array" ref="AG38">SUM(IF($AA38=$Z$16:$Z$592,O$16:O$592,""))</f>
        <v>0</v>
      </c>
      <c r="AH38" s="2"/>
      <c r="AI38" s="2"/>
      <c r="AJ38" s="2"/>
    </row>
    <row r="39" spans="1:36" x14ac:dyDescent="0.2">
      <c r="A39" s="306">
        <f>Crop!B72</f>
        <v>41663</v>
      </c>
      <c r="B39" s="307"/>
      <c r="C39" s="308"/>
      <c r="D39" s="304" t="str">
        <f>IF(OR($A39&lt;$A$3,$A39&gt;$A$7),"",Crop!$D72)</f>
        <v/>
      </c>
      <c r="E39" s="304" t="str">
        <f t="shared" si="9"/>
        <v/>
      </c>
      <c r="F39" s="304" t="str">
        <f>IF(OR(A39&lt;A$3,A39&gt;A$7),"",Crop!U72)</f>
        <v/>
      </c>
      <c r="G39" s="304" t="str">
        <f t="shared" si="0"/>
        <v/>
      </c>
      <c r="H39" s="309" t="str">
        <f>IF(OR(A39&lt;A$3,A39&gt;A$7),"",YTD!E36)</f>
        <v/>
      </c>
      <c r="I39" s="310" t="str">
        <f t="shared" si="1"/>
        <v/>
      </c>
      <c r="J39" s="311"/>
      <c r="K39" s="309" t="str">
        <f t="shared" si="2"/>
        <v/>
      </c>
      <c r="L39" s="312" t="str">
        <f t="shared" si="10"/>
        <v/>
      </c>
      <c r="M39" s="366" t="str">
        <f t="shared" si="3"/>
        <v/>
      </c>
      <c r="N39" s="328" t="str">
        <f t="shared" si="4"/>
        <v/>
      </c>
      <c r="O39" s="313" t="str">
        <f t="shared" si="5"/>
        <v/>
      </c>
      <c r="P39" s="307"/>
      <c r="Q39" s="309">
        <f t="shared" si="11"/>
        <v>0.8</v>
      </c>
      <c r="R39" s="307"/>
      <c r="S39" s="314">
        <f t="shared" si="12"/>
        <v>11.2</v>
      </c>
      <c r="T39" s="304" t="str">
        <f t="shared" si="6"/>
        <v/>
      </c>
      <c r="U39" s="304" t="str">
        <f>IF(A39=YTD!B$6,E39,IF(OR(A39&lt;YTD!B$6,A39&gt;YTD!B$10),"",U38+E39))</f>
        <v/>
      </c>
      <c r="V39" s="304" t="str">
        <f t="shared" si="13"/>
        <v/>
      </c>
      <c r="W39" s="315" t="e">
        <f>IF(I39="",#N/A,YTD!G$8-I39)</f>
        <v>#N/A</v>
      </c>
      <c r="X39" s="368">
        <f t="shared" si="7"/>
        <v>0</v>
      </c>
      <c r="Y39" s="368">
        <f t="shared" si="14"/>
        <v>0</v>
      </c>
      <c r="Z39" s="368" t="str">
        <f t="shared" si="8"/>
        <v/>
      </c>
      <c r="AA39" s="368">
        <v>24</v>
      </c>
      <c r="AB39" s="369">
        <f t="array" ref="AB39">SUM(IF(AA39=Z$16:Z$592,A$16:A$592,""))</f>
        <v>0</v>
      </c>
      <c r="AC39" s="370">
        <f t="array" ref="AC39">SUM(IF(AA39=Z$16:Z$592,J$16:J$592,""))</f>
        <v>0</v>
      </c>
      <c r="AD39" s="370">
        <f t="array" ref="AD39">SUM(IF($AA39=$Z$16:$Z$592,L$16:L$592,""))</f>
        <v>0</v>
      </c>
      <c r="AE39" s="370">
        <f t="array" ref="AE39">SUM(IF($AA39=$Z$16:$Z$592,M$16:M$592,""))</f>
        <v>0</v>
      </c>
      <c r="AF39" s="368">
        <f t="array" ref="AF39">SUM(IF($AA39=$Z$16:$Z$592,N$16:N$592,""))</f>
        <v>0</v>
      </c>
      <c r="AG39" s="370">
        <f t="array" ref="AG39">SUM(IF($AA39=$Z$16:$Z$592,O$16:O$592,""))</f>
        <v>0</v>
      </c>
      <c r="AH39" s="2"/>
      <c r="AI39" s="2"/>
      <c r="AJ39" s="2"/>
    </row>
    <row r="40" spans="1:36" x14ac:dyDescent="0.2">
      <c r="A40" s="306">
        <f>Crop!B73</f>
        <v>41664</v>
      </c>
      <c r="B40" s="307"/>
      <c r="C40" s="308"/>
      <c r="D40" s="304" t="str">
        <f>IF(OR($A40&lt;$A$3,$A40&gt;$A$7),"",Crop!$D73)</f>
        <v/>
      </c>
      <c r="E40" s="304" t="str">
        <f t="shared" si="9"/>
        <v/>
      </c>
      <c r="F40" s="304" t="str">
        <f>IF(OR(A40&lt;A$3,A40&gt;A$7),"",Crop!U73)</f>
        <v/>
      </c>
      <c r="G40" s="304" t="str">
        <f t="shared" si="0"/>
        <v/>
      </c>
      <c r="H40" s="309" t="str">
        <f>IF(OR(A40&lt;A$3,A40&gt;A$7),"",YTD!E37)</f>
        <v/>
      </c>
      <c r="I40" s="310" t="str">
        <f t="shared" si="1"/>
        <v/>
      </c>
      <c r="J40" s="311"/>
      <c r="K40" s="309" t="str">
        <f t="shared" si="2"/>
        <v/>
      </c>
      <c r="L40" s="312" t="str">
        <f t="shared" si="10"/>
        <v/>
      </c>
      <c r="M40" s="366" t="str">
        <f t="shared" si="3"/>
        <v/>
      </c>
      <c r="N40" s="328" t="str">
        <f t="shared" si="4"/>
        <v/>
      </c>
      <c r="O40" s="313" t="str">
        <f t="shared" si="5"/>
        <v/>
      </c>
      <c r="P40" s="307"/>
      <c r="Q40" s="309">
        <f t="shared" si="11"/>
        <v>0.8</v>
      </c>
      <c r="R40" s="307"/>
      <c r="S40" s="314">
        <f t="shared" si="12"/>
        <v>11.2</v>
      </c>
      <c r="T40" s="304" t="str">
        <f t="shared" si="6"/>
        <v/>
      </c>
      <c r="U40" s="304" t="str">
        <f>IF(A40=YTD!B$6,E40,IF(OR(A40&lt;YTD!B$6,A40&gt;YTD!B$10),"",U39+E40))</f>
        <v/>
      </c>
      <c r="V40" s="304" t="str">
        <f t="shared" si="13"/>
        <v/>
      </c>
      <c r="W40" s="315" t="e">
        <f>IF(I40="",#N/A,YTD!G$8-I40)</f>
        <v>#N/A</v>
      </c>
      <c r="X40" s="368">
        <f t="shared" si="7"/>
        <v>0</v>
      </c>
      <c r="Y40" s="368">
        <f t="shared" si="14"/>
        <v>0</v>
      </c>
      <c r="Z40" s="368" t="str">
        <f t="shared" si="8"/>
        <v/>
      </c>
      <c r="AA40" s="368">
        <v>25</v>
      </c>
      <c r="AB40" s="369">
        <f t="array" ref="AB40">SUM(IF(AA40=Z$16:Z$592,A$16:A$592,""))</f>
        <v>0</v>
      </c>
      <c r="AC40" s="370">
        <f t="array" ref="AC40">SUM(IF(AA40=Z$16:Z$592,J$16:J$592,""))</f>
        <v>0</v>
      </c>
      <c r="AD40" s="370">
        <f t="array" ref="AD40">SUM(IF($AA40=$Z$16:$Z$592,L$16:L$592,""))</f>
        <v>0</v>
      </c>
      <c r="AE40" s="370">
        <f t="array" ref="AE40">SUM(IF($AA40=$Z$16:$Z$592,M$16:M$592,""))</f>
        <v>0</v>
      </c>
      <c r="AF40" s="368">
        <f t="array" ref="AF40">SUM(IF($AA40=$Z$16:$Z$592,N$16:N$592,""))</f>
        <v>0</v>
      </c>
      <c r="AG40" s="370">
        <f t="array" ref="AG40">SUM(IF($AA40=$Z$16:$Z$592,O$16:O$592,""))</f>
        <v>0</v>
      </c>
      <c r="AH40" s="2"/>
      <c r="AI40" s="2"/>
      <c r="AJ40" s="2"/>
    </row>
    <row r="41" spans="1:36" x14ac:dyDescent="0.2">
      <c r="A41" s="306">
        <f>Crop!B74</f>
        <v>41665</v>
      </c>
      <c r="B41" s="307"/>
      <c r="C41" s="308"/>
      <c r="D41" s="304" t="str">
        <f>IF(OR($A41&lt;$A$3,$A41&gt;$A$7),"",Crop!$D74)</f>
        <v/>
      </c>
      <c r="E41" s="304" t="str">
        <f t="shared" si="9"/>
        <v/>
      </c>
      <c r="F41" s="304" t="str">
        <f>IF(OR(A41&lt;A$3,A41&gt;A$7),"",Crop!U74)</f>
        <v/>
      </c>
      <c r="G41" s="304" t="str">
        <f t="shared" si="0"/>
        <v/>
      </c>
      <c r="H41" s="309" t="str">
        <f>IF(OR(A41&lt;A$3,A41&gt;A$7),"",YTD!E38)</f>
        <v/>
      </c>
      <c r="I41" s="310" t="str">
        <f t="shared" si="1"/>
        <v/>
      </c>
      <c r="J41" s="311"/>
      <c r="K41" s="309" t="str">
        <f t="shared" si="2"/>
        <v/>
      </c>
      <c r="L41" s="312" t="str">
        <f t="shared" si="10"/>
        <v/>
      </c>
      <c r="M41" s="366" t="str">
        <f t="shared" si="3"/>
        <v/>
      </c>
      <c r="N41" s="328" t="str">
        <f t="shared" si="4"/>
        <v/>
      </c>
      <c r="O41" s="313" t="str">
        <f t="shared" si="5"/>
        <v/>
      </c>
      <c r="P41" s="307"/>
      <c r="Q41" s="309">
        <f t="shared" si="11"/>
        <v>0.8</v>
      </c>
      <c r="R41" s="307"/>
      <c r="S41" s="314">
        <f t="shared" si="12"/>
        <v>11.2</v>
      </c>
      <c r="T41" s="304" t="str">
        <f t="shared" si="6"/>
        <v/>
      </c>
      <c r="U41" s="304" t="str">
        <f>IF(A41=YTD!B$6,E41,IF(OR(A41&lt;YTD!B$6,A41&gt;YTD!B$10),"",U40+E41))</f>
        <v/>
      </c>
      <c r="V41" s="304" t="str">
        <f t="shared" si="13"/>
        <v/>
      </c>
      <c r="W41" s="315" t="e">
        <f>IF(I41="",#N/A,YTD!G$8-I41)</f>
        <v>#N/A</v>
      </c>
      <c r="X41" s="368">
        <f t="shared" si="7"/>
        <v>0</v>
      </c>
      <c r="Y41" s="368">
        <f t="shared" si="14"/>
        <v>0</v>
      </c>
      <c r="Z41" s="368" t="str">
        <f t="shared" si="8"/>
        <v/>
      </c>
      <c r="AA41" s="368">
        <v>26</v>
      </c>
      <c r="AB41" s="369">
        <f t="array" ref="AB41">SUM(IF(AA41=Z$16:Z$592,A$16:A$592,""))</f>
        <v>0</v>
      </c>
      <c r="AC41" s="370">
        <f t="array" ref="AC41">SUM(IF(AA41=Z$16:Z$592,J$16:J$592,""))</f>
        <v>0</v>
      </c>
      <c r="AD41" s="370">
        <f t="array" ref="AD41">SUM(IF($AA41=$Z$16:$Z$592,L$16:L$592,""))</f>
        <v>0</v>
      </c>
      <c r="AE41" s="370">
        <f t="array" ref="AE41">SUM(IF($AA41=$Z$16:$Z$592,M$16:M$592,""))</f>
        <v>0</v>
      </c>
      <c r="AF41" s="368">
        <f t="array" ref="AF41">SUM(IF($AA41=$Z$16:$Z$592,N$16:N$592,""))</f>
        <v>0</v>
      </c>
      <c r="AG41" s="370">
        <f t="array" ref="AG41">SUM(IF($AA41=$Z$16:$Z$592,O$16:O$592,""))</f>
        <v>0</v>
      </c>
      <c r="AH41" s="2"/>
      <c r="AI41" s="2"/>
      <c r="AJ41" s="2"/>
    </row>
    <row r="42" spans="1:36" x14ac:dyDescent="0.2">
      <c r="A42" s="306">
        <f>Crop!B75</f>
        <v>41666</v>
      </c>
      <c r="B42" s="307"/>
      <c r="C42" s="308"/>
      <c r="D42" s="304" t="str">
        <f>IF(OR($A42&lt;$A$3,$A42&gt;$A$7),"",Crop!$D75)</f>
        <v/>
      </c>
      <c r="E42" s="304" t="str">
        <f t="shared" si="9"/>
        <v/>
      </c>
      <c r="F42" s="304" t="str">
        <f>IF(OR(A42&lt;A$3,A42&gt;A$7),"",Crop!U75)</f>
        <v/>
      </c>
      <c r="G42" s="304" t="str">
        <f t="shared" si="0"/>
        <v/>
      </c>
      <c r="H42" s="309" t="str">
        <f>IF(OR(A42&lt;A$3,A42&gt;A$7),"",YTD!E39)</f>
        <v/>
      </c>
      <c r="I42" s="310" t="str">
        <f t="shared" si="1"/>
        <v/>
      </c>
      <c r="J42" s="311"/>
      <c r="K42" s="309" t="str">
        <f t="shared" si="2"/>
        <v/>
      </c>
      <c r="L42" s="312" t="str">
        <f t="shared" si="10"/>
        <v/>
      </c>
      <c r="M42" s="366" t="str">
        <f t="shared" si="3"/>
        <v/>
      </c>
      <c r="N42" s="328" t="str">
        <f t="shared" si="4"/>
        <v/>
      </c>
      <c r="O42" s="313" t="str">
        <f t="shared" si="5"/>
        <v/>
      </c>
      <c r="P42" s="307"/>
      <c r="Q42" s="309">
        <f t="shared" si="11"/>
        <v>0.8</v>
      </c>
      <c r="R42" s="307"/>
      <c r="S42" s="314">
        <f t="shared" si="12"/>
        <v>11.2</v>
      </c>
      <c r="T42" s="304" t="str">
        <f t="shared" si="6"/>
        <v/>
      </c>
      <c r="U42" s="304" t="str">
        <f>IF(A42=YTD!B$6,E42,IF(OR(A42&lt;YTD!B$6,A42&gt;YTD!B$10),"",U41+E42))</f>
        <v/>
      </c>
      <c r="V42" s="304" t="str">
        <f t="shared" si="13"/>
        <v/>
      </c>
      <c r="W42" s="315" t="e">
        <f>IF(I42="",#N/A,YTD!G$8-I42)</f>
        <v>#N/A</v>
      </c>
      <c r="X42" s="368">
        <f t="shared" si="7"/>
        <v>0</v>
      </c>
      <c r="Y42" s="368">
        <f t="shared" si="14"/>
        <v>0</v>
      </c>
      <c r="Z42" s="368" t="str">
        <f t="shared" si="8"/>
        <v/>
      </c>
      <c r="AA42" s="368">
        <v>27</v>
      </c>
      <c r="AB42" s="369">
        <f t="array" ref="AB42">SUM(IF(AA42=Z$16:Z$592,A$16:A$592,""))</f>
        <v>0</v>
      </c>
      <c r="AC42" s="370">
        <f t="array" ref="AC42">SUM(IF(AA42=Z$16:Z$592,J$16:J$592,""))</f>
        <v>0</v>
      </c>
      <c r="AD42" s="370">
        <f t="array" ref="AD42">SUM(IF($AA42=$Z$16:$Z$592,L$16:L$592,""))</f>
        <v>0</v>
      </c>
      <c r="AE42" s="370">
        <f t="array" ref="AE42">SUM(IF($AA42=$Z$16:$Z$592,M$16:M$592,""))</f>
        <v>0</v>
      </c>
      <c r="AF42" s="368">
        <f t="array" ref="AF42">SUM(IF($AA42=$Z$16:$Z$592,N$16:N$592,""))</f>
        <v>0</v>
      </c>
      <c r="AG42" s="370">
        <f t="array" ref="AG42">SUM(IF($AA42=$Z$16:$Z$592,O$16:O$592,""))</f>
        <v>0</v>
      </c>
      <c r="AH42" s="2"/>
      <c r="AI42" s="2"/>
      <c r="AJ42" s="2"/>
    </row>
    <row r="43" spans="1:36" x14ac:dyDescent="0.2">
      <c r="A43" s="306">
        <f>Crop!B76</f>
        <v>41667</v>
      </c>
      <c r="B43" s="307"/>
      <c r="C43" s="308"/>
      <c r="D43" s="304" t="str">
        <f>IF(OR($A43&lt;$A$3,$A43&gt;$A$7),"",Crop!$D76)</f>
        <v/>
      </c>
      <c r="E43" s="304" t="str">
        <f t="shared" si="9"/>
        <v/>
      </c>
      <c r="F43" s="304" t="str">
        <f>IF(OR(A43&lt;A$3,A43&gt;A$7),"",Crop!U76)</f>
        <v/>
      </c>
      <c r="G43" s="304" t="str">
        <f t="shared" si="0"/>
        <v/>
      </c>
      <c r="H43" s="309" t="str">
        <f>IF(OR(A43&lt;A$3,A43&gt;A$7),"",YTD!E40)</f>
        <v/>
      </c>
      <c r="I43" s="310" t="str">
        <f t="shared" si="1"/>
        <v/>
      </c>
      <c r="J43" s="311"/>
      <c r="K43" s="309" t="str">
        <f t="shared" si="2"/>
        <v/>
      </c>
      <c r="L43" s="312" t="str">
        <f t="shared" si="10"/>
        <v/>
      </c>
      <c r="M43" s="366" t="str">
        <f t="shared" si="3"/>
        <v/>
      </c>
      <c r="N43" s="328" t="str">
        <f t="shared" si="4"/>
        <v/>
      </c>
      <c r="O43" s="313" t="str">
        <f t="shared" si="5"/>
        <v/>
      </c>
      <c r="P43" s="307"/>
      <c r="Q43" s="309">
        <f t="shared" si="11"/>
        <v>0.8</v>
      </c>
      <c r="R43" s="307"/>
      <c r="S43" s="314">
        <f t="shared" si="12"/>
        <v>11.2</v>
      </c>
      <c r="T43" s="304" t="str">
        <f t="shared" si="6"/>
        <v/>
      </c>
      <c r="U43" s="304" t="str">
        <f>IF(A43=YTD!B$6,E43,IF(OR(A43&lt;YTD!B$6,A43&gt;YTD!B$10),"",U42+E43))</f>
        <v/>
      </c>
      <c r="V43" s="304" t="str">
        <f t="shared" si="13"/>
        <v/>
      </c>
      <c r="W43" s="315" t="e">
        <f>IF(I43="",#N/A,YTD!G$8-I43)</f>
        <v>#N/A</v>
      </c>
      <c r="X43" s="368">
        <f t="shared" si="7"/>
        <v>0</v>
      </c>
      <c r="Y43" s="368">
        <f t="shared" si="14"/>
        <v>0</v>
      </c>
      <c r="Z43" s="368" t="str">
        <f t="shared" si="8"/>
        <v/>
      </c>
      <c r="AA43" s="368">
        <v>28</v>
      </c>
      <c r="AB43" s="369">
        <f t="array" ref="AB43">SUM(IF(AA43=Z$16:Z$592,A$16:A$592,""))</f>
        <v>0</v>
      </c>
      <c r="AC43" s="370">
        <f t="array" ref="AC43">SUM(IF(AA43=Z$16:Z$592,J$16:J$592,""))</f>
        <v>0</v>
      </c>
      <c r="AD43" s="370">
        <f t="array" ref="AD43">SUM(IF($AA43=$Z$16:$Z$592,L$16:L$592,""))</f>
        <v>0</v>
      </c>
      <c r="AE43" s="370">
        <f t="array" ref="AE43">SUM(IF($AA43=$Z$16:$Z$592,M$16:M$592,""))</f>
        <v>0</v>
      </c>
      <c r="AF43" s="368">
        <f t="array" ref="AF43">SUM(IF($AA43=$Z$16:$Z$592,N$16:N$592,""))</f>
        <v>0</v>
      </c>
      <c r="AG43" s="370">
        <f t="array" ref="AG43">SUM(IF($AA43=$Z$16:$Z$592,O$16:O$592,""))</f>
        <v>0</v>
      </c>
      <c r="AH43" s="2"/>
      <c r="AI43" s="2"/>
      <c r="AJ43" s="2"/>
    </row>
    <row r="44" spans="1:36" x14ac:dyDescent="0.2">
      <c r="A44" s="306">
        <f>Crop!B77</f>
        <v>41668</v>
      </c>
      <c r="B44" s="307"/>
      <c r="C44" s="308"/>
      <c r="D44" s="304" t="str">
        <f>IF(OR($A44&lt;$A$3,$A44&gt;$A$7),"",Crop!$D77)</f>
        <v/>
      </c>
      <c r="E44" s="304" t="str">
        <f t="shared" si="9"/>
        <v/>
      </c>
      <c r="F44" s="304" t="str">
        <f>IF(OR(A44&lt;A$3,A44&gt;A$7),"",Crop!U77)</f>
        <v/>
      </c>
      <c r="G44" s="304" t="str">
        <f t="shared" si="0"/>
        <v/>
      </c>
      <c r="H44" s="309" t="str">
        <f>IF(OR(A44&lt;A$3,A44&gt;A$7),"",YTD!E41)</f>
        <v/>
      </c>
      <c r="I44" s="310" t="str">
        <f t="shared" si="1"/>
        <v/>
      </c>
      <c r="J44" s="311"/>
      <c r="K44" s="309" t="str">
        <f t="shared" si="2"/>
        <v/>
      </c>
      <c r="L44" s="312" t="str">
        <f t="shared" si="10"/>
        <v/>
      </c>
      <c r="M44" s="366" t="str">
        <f t="shared" si="3"/>
        <v/>
      </c>
      <c r="N44" s="328" t="str">
        <f t="shared" si="4"/>
        <v/>
      </c>
      <c r="O44" s="313" t="str">
        <f t="shared" si="5"/>
        <v/>
      </c>
      <c r="P44" s="307"/>
      <c r="Q44" s="309">
        <f t="shared" si="11"/>
        <v>0.8</v>
      </c>
      <c r="R44" s="307"/>
      <c r="S44" s="314">
        <f t="shared" si="12"/>
        <v>11.2</v>
      </c>
      <c r="T44" s="304" t="str">
        <f t="shared" si="6"/>
        <v/>
      </c>
      <c r="U44" s="304" t="str">
        <f>IF(A44=YTD!B$6,E44,IF(OR(A44&lt;YTD!B$6,A44&gt;YTD!B$10),"",U43+E44))</f>
        <v/>
      </c>
      <c r="V44" s="304" t="str">
        <f t="shared" si="13"/>
        <v/>
      </c>
      <c r="W44" s="315" t="e">
        <f>IF(I44="",#N/A,YTD!G$8-I44)</f>
        <v>#N/A</v>
      </c>
      <c r="X44" s="368">
        <f t="shared" si="7"/>
        <v>0</v>
      </c>
      <c r="Y44" s="368">
        <f t="shared" si="14"/>
        <v>0</v>
      </c>
      <c r="Z44" s="368" t="str">
        <f t="shared" si="8"/>
        <v/>
      </c>
      <c r="AA44" s="368">
        <v>29</v>
      </c>
      <c r="AB44" s="369">
        <f t="array" ref="AB44">SUM(IF(AA44=Z$16:Z$592,A$16:A$592,""))</f>
        <v>0</v>
      </c>
      <c r="AC44" s="370">
        <f t="array" ref="AC44">SUM(IF(AA44=Z$16:Z$592,J$16:J$592,""))</f>
        <v>0</v>
      </c>
      <c r="AD44" s="370">
        <f t="array" ref="AD44">SUM(IF($AA44=$Z$16:$Z$592,L$16:L$592,""))</f>
        <v>0</v>
      </c>
      <c r="AE44" s="370">
        <f t="array" ref="AE44">SUM(IF($AA44=$Z$16:$Z$592,M$16:M$592,""))</f>
        <v>0</v>
      </c>
      <c r="AF44" s="368">
        <f t="array" ref="AF44">SUM(IF($AA44=$Z$16:$Z$592,N$16:N$592,""))</f>
        <v>0</v>
      </c>
      <c r="AG44" s="370">
        <f t="array" ref="AG44">SUM(IF($AA44=$Z$16:$Z$592,O$16:O$592,""))</f>
        <v>0</v>
      </c>
      <c r="AH44" s="2"/>
      <c r="AI44" s="2"/>
      <c r="AJ44" s="2"/>
    </row>
    <row r="45" spans="1:36" x14ac:dyDescent="0.2">
      <c r="A45" s="306">
        <f>Crop!B78</f>
        <v>41669</v>
      </c>
      <c r="B45" s="307"/>
      <c r="C45" s="308"/>
      <c r="D45" s="304" t="str">
        <f>IF(OR($A45&lt;$A$3,$A45&gt;$A$7),"",Crop!$D78)</f>
        <v/>
      </c>
      <c r="E45" s="304" t="str">
        <f t="shared" si="9"/>
        <v/>
      </c>
      <c r="F45" s="304" t="str">
        <f>IF(OR(A45&lt;A$3,A45&gt;A$7),"",Crop!U78)</f>
        <v/>
      </c>
      <c r="G45" s="304" t="str">
        <f t="shared" si="0"/>
        <v/>
      </c>
      <c r="H45" s="309" t="str">
        <f>IF(OR(A45&lt;A$3,A45&gt;A$7),"",YTD!E42)</f>
        <v/>
      </c>
      <c r="I45" s="310" t="str">
        <f t="shared" si="1"/>
        <v/>
      </c>
      <c r="J45" s="311"/>
      <c r="K45" s="309" t="str">
        <f t="shared" si="2"/>
        <v/>
      </c>
      <c r="L45" s="312" t="str">
        <f t="shared" si="10"/>
        <v/>
      </c>
      <c r="M45" s="366" t="str">
        <f t="shared" si="3"/>
        <v/>
      </c>
      <c r="N45" s="328" t="str">
        <f t="shared" si="4"/>
        <v/>
      </c>
      <c r="O45" s="313" t="str">
        <f t="shared" si="5"/>
        <v/>
      </c>
      <c r="P45" s="307"/>
      <c r="Q45" s="309">
        <f t="shared" si="11"/>
        <v>0.8</v>
      </c>
      <c r="R45" s="307"/>
      <c r="S45" s="314">
        <f t="shared" si="12"/>
        <v>11.2</v>
      </c>
      <c r="T45" s="304" t="str">
        <f t="shared" si="6"/>
        <v/>
      </c>
      <c r="U45" s="304" t="str">
        <f>IF(A45=YTD!B$6,E45,IF(OR(A45&lt;YTD!B$6,A45&gt;YTD!B$10),"",U44+E45))</f>
        <v/>
      </c>
      <c r="V45" s="304" t="str">
        <f t="shared" si="13"/>
        <v/>
      </c>
      <c r="W45" s="315" t="e">
        <f>IF(I45="",#N/A,YTD!G$8-I45)</f>
        <v>#N/A</v>
      </c>
      <c r="X45" s="368">
        <f t="shared" si="7"/>
        <v>0</v>
      </c>
      <c r="Y45" s="368">
        <f t="shared" si="14"/>
        <v>0</v>
      </c>
      <c r="Z45" s="368" t="str">
        <f t="shared" si="8"/>
        <v/>
      </c>
      <c r="AA45" s="368">
        <v>30</v>
      </c>
      <c r="AB45" s="369">
        <f t="array" ref="AB45">SUM(IF(AA45=Z$16:Z$592,A$16:A$592,""))</f>
        <v>0</v>
      </c>
      <c r="AC45" s="370">
        <f t="array" ref="AC45">SUM(IF(AA45=Z$16:Z$592,J$16:J$592,""))</f>
        <v>0</v>
      </c>
      <c r="AD45" s="370">
        <f t="array" ref="AD45">SUM(IF($AA45=$Z$16:$Z$592,L$16:L$592,""))</f>
        <v>0</v>
      </c>
      <c r="AE45" s="370">
        <f t="array" ref="AE45">SUM(IF($AA45=$Z$16:$Z$592,M$16:M$592,""))</f>
        <v>0</v>
      </c>
      <c r="AF45" s="368">
        <f t="array" ref="AF45">SUM(IF($AA45=$Z$16:$Z$592,N$16:N$592,""))</f>
        <v>0</v>
      </c>
      <c r="AG45" s="370">
        <f t="array" ref="AG45">SUM(IF($AA45=$Z$16:$Z$592,O$16:O$592,""))</f>
        <v>0</v>
      </c>
      <c r="AH45" s="2"/>
      <c r="AI45" s="2"/>
      <c r="AJ45" s="2"/>
    </row>
    <row r="46" spans="1:36" x14ac:dyDescent="0.2">
      <c r="A46" s="306">
        <f>Crop!B79</f>
        <v>41670</v>
      </c>
      <c r="B46" s="307"/>
      <c r="C46" s="308"/>
      <c r="D46" s="304" t="str">
        <f>IF(OR($A46&lt;$A$3,$A46&gt;$A$7),"",Crop!$D79)</f>
        <v/>
      </c>
      <c r="E46" s="304" t="str">
        <f t="shared" si="9"/>
        <v/>
      </c>
      <c r="F46" s="304" t="str">
        <f>IF(OR(A46&lt;A$3,A46&gt;A$7),"",Crop!U79)</f>
        <v/>
      </c>
      <c r="G46" s="304" t="str">
        <f t="shared" si="0"/>
        <v/>
      </c>
      <c r="H46" s="309" t="str">
        <f>IF(OR(A46&lt;A$3,A46&gt;A$7),"",YTD!E43)</f>
        <v/>
      </c>
      <c r="I46" s="310" t="str">
        <f t="shared" si="1"/>
        <v/>
      </c>
      <c r="J46" s="311"/>
      <c r="K46" s="309" t="str">
        <f t="shared" si="2"/>
        <v/>
      </c>
      <c r="L46" s="312" t="str">
        <f t="shared" si="10"/>
        <v/>
      </c>
      <c r="M46" s="366" t="str">
        <f t="shared" si="3"/>
        <v/>
      </c>
      <c r="N46" s="328" t="str">
        <f t="shared" si="4"/>
        <v/>
      </c>
      <c r="O46" s="313" t="str">
        <f t="shared" si="5"/>
        <v/>
      </c>
      <c r="P46" s="307"/>
      <c r="Q46" s="309">
        <f t="shared" si="11"/>
        <v>0.8</v>
      </c>
      <c r="R46" s="307"/>
      <c r="S46" s="314">
        <f t="shared" si="12"/>
        <v>11.2</v>
      </c>
      <c r="T46" s="304" t="str">
        <f t="shared" si="6"/>
        <v/>
      </c>
      <c r="U46" s="304" t="str">
        <f>IF(A46=YTD!B$6,E46,IF(OR(A46&lt;YTD!B$6,A46&gt;YTD!B$10),"",U45+E46))</f>
        <v/>
      </c>
      <c r="V46" s="304" t="str">
        <f t="shared" si="13"/>
        <v/>
      </c>
      <c r="W46" s="315" t="e">
        <f>IF(I46="",#N/A,YTD!G$8-I46)</f>
        <v>#N/A</v>
      </c>
      <c r="X46" s="368">
        <f t="shared" si="7"/>
        <v>0</v>
      </c>
      <c r="Y46" s="368">
        <f t="shared" si="14"/>
        <v>0</v>
      </c>
      <c r="Z46" s="368" t="str">
        <f t="shared" si="8"/>
        <v/>
      </c>
      <c r="AA46" s="368">
        <v>31</v>
      </c>
      <c r="AB46" s="369">
        <f t="array" ref="AB46">SUM(IF(AA46=Z$16:Z$592,A$16:A$592,""))</f>
        <v>0</v>
      </c>
      <c r="AC46" s="370">
        <f t="array" ref="AC46">SUM(IF(AA46=Z$16:Z$592,J$16:J$592,""))</f>
        <v>0</v>
      </c>
      <c r="AD46" s="370">
        <f t="array" ref="AD46">SUM(IF($AA46=$Z$16:$Z$592,L$16:L$592,""))</f>
        <v>0</v>
      </c>
      <c r="AE46" s="370">
        <f t="array" ref="AE46">SUM(IF($AA46=$Z$16:$Z$592,M$16:M$592,""))</f>
        <v>0</v>
      </c>
      <c r="AF46" s="368">
        <f t="array" ref="AF46">SUM(IF($AA46=$Z$16:$Z$592,N$16:N$592,""))</f>
        <v>0</v>
      </c>
      <c r="AG46" s="370">
        <f t="array" ref="AG46">SUM(IF($AA46=$Z$16:$Z$592,O$16:O$592,""))</f>
        <v>0</v>
      </c>
      <c r="AH46" s="2"/>
      <c r="AI46" s="2"/>
      <c r="AJ46" s="2"/>
    </row>
    <row r="47" spans="1:36" x14ac:dyDescent="0.2">
      <c r="A47" s="306">
        <f>Crop!B80</f>
        <v>41671</v>
      </c>
      <c r="B47" s="307"/>
      <c r="C47" s="308"/>
      <c r="D47" s="304" t="str">
        <f>IF(OR($A47&lt;$A$3,$A47&gt;$A$7),"",Crop!$D80)</f>
        <v/>
      </c>
      <c r="E47" s="304" t="str">
        <f t="shared" si="9"/>
        <v/>
      </c>
      <c r="F47" s="304" t="str">
        <f>IF(OR(A47&lt;A$3,A47&gt;A$7),"",Crop!U80)</f>
        <v/>
      </c>
      <c r="G47" s="304" t="str">
        <f t="shared" si="0"/>
        <v/>
      </c>
      <c r="H47" s="309" t="str">
        <f>IF(OR(A47&lt;A$3,A47&gt;A$7),"",YTD!E44)</f>
        <v/>
      </c>
      <c r="I47" s="310" t="str">
        <f t="shared" si="1"/>
        <v/>
      </c>
      <c r="J47" s="311"/>
      <c r="K47" s="309" t="str">
        <f t="shared" si="2"/>
        <v/>
      </c>
      <c r="L47" s="312" t="str">
        <f t="shared" si="10"/>
        <v/>
      </c>
      <c r="M47" s="366" t="str">
        <f t="shared" si="3"/>
        <v/>
      </c>
      <c r="N47" s="328" t="str">
        <f t="shared" si="4"/>
        <v/>
      </c>
      <c r="O47" s="313" t="str">
        <f t="shared" si="5"/>
        <v/>
      </c>
      <c r="P47" s="307"/>
      <c r="Q47" s="309">
        <f t="shared" si="11"/>
        <v>0.8</v>
      </c>
      <c r="R47" s="307"/>
      <c r="S47" s="314">
        <f t="shared" si="12"/>
        <v>11.2</v>
      </c>
      <c r="T47" s="304" t="str">
        <f t="shared" si="6"/>
        <v/>
      </c>
      <c r="U47" s="304" t="str">
        <f>IF(A47=YTD!B$6,E47,IF(OR(A47&lt;YTD!B$6,A47&gt;YTD!B$10),"",U46+E47))</f>
        <v/>
      </c>
      <c r="V47" s="304" t="str">
        <f t="shared" si="13"/>
        <v/>
      </c>
      <c r="W47" s="315" t="e">
        <f>IF(I47="",#N/A,YTD!G$8-I47)</f>
        <v>#N/A</v>
      </c>
      <c r="X47" s="368">
        <f t="shared" si="7"/>
        <v>0</v>
      </c>
      <c r="Y47" s="368">
        <f t="shared" si="14"/>
        <v>0</v>
      </c>
      <c r="Z47" s="368" t="str">
        <f t="shared" si="8"/>
        <v/>
      </c>
      <c r="AA47" s="368">
        <v>32</v>
      </c>
      <c r="AB47" s="369">
        <f t="array" ref="AB47">SUM(IF(AA47=Z$16:Z$592,A$16:A$592,""))</f>
        <v>0</v>
      </c>
      <c r="AC47" s="370">
        <f t="array" ref="AC47">SUM(IF(AA47=Z$16:Z$592,J$16:J$592,""))</f>
        <v>0</v>
      </c>
      <c r="AD47" s="370">
        <f t="array" ref="AD47">SUM(IF($AA47=$Z$16:$Z$592,L$16:L$592,""))</f>
        <v>0</v>
      </c>
      <c r="AE47" s="370">
        <f t="array" ref="AE47">SUM(IF($AA47=$Z$16:$Z$592,M$16:M$592,""))</f>
        <v>0</v>
      </c>
      <c r="AF47" s="368">
        <f t="array" ref="AF47">SUM(IF($AA47=$Z$16:$Z$592,N$16:N$592,""))</f>
        <v>0</v>
      </c>
      <c r="AG47" s="370">
        <f t="array" ref="AG47">SUM(IF($AA47=$Z$16:$Z$592,O$16:O$592,""))</f>
        <v>0</v>
      </c>
      <c r="AH47" s="2"/>
      <c r="AI47" s="2"/>
      <c r="AJ47" s="2"/>
    </row>
    <row r="48" spans="1:36" x14ac:dyDescent="0.2">
      <c r="A48" s="306">
        <f>Crop!B81</f>
        <v>41672</v>
      </c>
      <c r="B48" s="307"/>
      <c r="C48" s="308"/>
      <c r="D48" s="304" t="str">
        <f>IF(OR($A48&lt;$A$3,$A48&gt;$A$7),"",Crop!$D81)</f>
        <v/>
      </c>
      <c r="E48" s="304" t="str">
        <f t="shared" si="9"/>
        <v/>
      </c>
      <c r="F48" s="304" t="str">
        <f>IF(OR(A48&lt;A$3,A48&gt;A$7),"",Crop!U81)</f>
        <v/>
      </c>
      <c r="G48" s="304" t="str">
        <f t="shared" si="0"/>
        <v/>
      </c>
      <c r="H48" s="309" t="str">
        <f>IF(OR(A48&lt;A$3,A48&gt;A$7),"",YTD!E45)</f>
        <v/>
      </c>
      <c r="I48" s="310" t="str">
        <f t="shared" si="1"/>
        <v/>
      </c>
      <c r="J48" s="311"/>
      <c r="K48" s="309" t="str">
        <f t="shared" si="2"/>
        <v/>
      </c>
      <c r="L48" s="312" t="str">
        <f t="shared" si="10"/>
        <v/>
      </c>
      <c r="M48" s="366" t="str">
        <f t="shared" si="3"/>
        <v/>
      </c>
      <c r="N48" s="328" t="str">
        <f t="shared" si="4"/>
        <v/>
      </c>
      <c r="O48" s="313" t="str">
        <f t="shared" si="5"/>
        <v/>
      </c>
      <c r="P48" s="307"/>
      <c r="Q48" s="309">
        <f t="shared" si="11"/>
        <v>0.8</v>
      </c>
      <c r="R48" s="307"/>
      <c r="S48" s="314">
        <f t="shared" si="12"/>
        <v>11.2</v>
      </c>
      <c r="T48" s="304" t="str">
        <f t="shared" si="6"/>
        <v/>
      </c>
      <c r="U48" s="304" t="str">
        <f>IF(A48=YTD!B$6,E48,IF(OR(A48&lt;YTD!B$6,A48&gt;YTD!B$10),"",U47+E48))</f>
        <v/>
      </c>
      <c r="V48" s="304" t="str">
        <f t="shared" si="13"/>
        <v/>
      </c>
      <c r="W48" s="315" t="e">
        <f>IF(I48="",#N/A,YTD!G$8-I48)</f>
        <v>#N/A</v>
      </c>
      <c r="X48" s="368">
        <f t="shared" si="7"/>
        <v>0</v>
      </c>
      <c r="Y48" s="368">
        <f t="shared" si="14"/>
        <v>0</v>
      </c>
      <c r="Z48" s="368" t="str">
        <f t="shared" si="8"/>
        <v/>
      </c>
      <c r="AA48" s="368">
        <v>33</v>
      </c>
      <c r="AB48" s="369">
        <f t="array" ref="AB48">SUM(IF(AA48=Z$16:Z$592,A$16:A$592,""))</f>
        <v>0</v>
      </c>
      <c r="AC48" s="370">
        <f t="array" ref="AC48">SUM(IF(AA48=Z$16:Z$592,J$16:J$592,""))</f>
        <v>0</v>
      </c>
      <c r="AD48" s="370">
        <f t="array" ref="AD48">SUM(IF($AA48=$Z$16:$Z$592,L$16:L$592,""))</f>
        <v>0</v>
      </c>
      <c r="AE48" s="370">
        <f t="array" ref="AE48">SUM(IF($AA48=$Z$16:$Z$592,M$16:M$592,""))</f>
        <v>0</v>
      </c>
      <c r="AF48" s="368">
        <f t="array" ref="AF48">SUM(IF($AA48=$Z$16:$Z$592,N$16:N$592,""))</f>
        <v>0</v>
      </c>
      <c r="AG48" s="370">
        <f t="array" ref="AG48">SUM(IF($AA48=$Z$16:$Z$592,O$16:O$592,""))</f>
        <v>0</v>
      </c>
      <c r="AH48" s="2"/>
      <c r="AI48" s="2"/>
      <c r="AJ48" s="2"/>
    </row>
    <row r="49" spans="1:36" x14ac:dyDescent="0.2">
      <c r="A49" s="306">
        <f>Crop!B82</f>
        <v>41673</v>
      </c>
      <c r="B49" s="307"/>
      <c r="C49" s="308"/>
      <c r="D49" s="304" t="str">
        <f>IF(OR($A49&lt;$A$3,$A49&gt;$A$7),"",Crop!$D82)</f>
        <v/>
      </c>
      <c r="E49" s="304" t="str">
        <f t="shared" si="9"/>
        <v/>
      </c>
      <c r="F49" s="304" t="str">
        <f>IF(OR(A49&lt;A$3,A49&gt;A$7),"",Crop!U82)</f>
        <v/>
      </c>
      <c r="G49" s="304" t="str">
        <f t="shared" si="0"/>
        <v/>
      </c>
      <c r="H49" s="309" t="str">
        <f>IF(OR(A49&lt;A$3,A49&gt;A$7),"",YTD!E46)</f>
        <v/>
      </c>
      <c r="I49" s="310" t="str">
        <f t="shared" si="1"/>
        <v/>
      </c>
      <c r="J49" s="311"/>
      <c r="K49" s="309" t="str">
        <f t="shared" si="2"/>
        <v/>
      </c>
      <c r="L49" s="312" t="str">
        <f t="shared" si="10"/>
        <v/>
      </c>
      <c r="M49" s="366" t="str">
        <f t="shared" si="3"/>
        <v/>
      </c>
      <c r="N49" s="328" t="str">
        <f t="shared" si="4"/>
        <v/>
      </c>
      <c r="O49" s="313" t="str">
        <f t="shared" si="5"/>
        <v/>
      </c>
      <c r="P49" s="307"/>
      <c r="Q49" s="309">
        <f t="shared" si="11"/>
        <v>0.8</v>
      </c>
      <c r="R49" s="307"/>
      <c r="S49" s="314">
        <f t="shared" si="12"/>
        <v>11.2</v>
      </c>
      <c r="T49" s="304" t="str">
        <f t="shared" si="6"/>
        <v/>
      </c>
      <c r="U49" s="304" t="str">
        <f>IF(A49=YTD!B$6,E49,IF(OR(A49&lt;YTD!B$6,A49&gt;YTD!B$10),"",U48+E49))</f>
        <v/>
      </c>
      <c r="V49" s="304" t="str">
        <f t="shared" si="13"/>
        <v/>
      </c>
      <c r="W49" s="315" t="e">
        <f>IF(I49="",#N/A,YTD!G$8-I49)</f>
        <v>#N/A</v>
      </c>
      <c r="X49" s="368">
        <f t="shared" si="7"/>
        <v>0</v>
      </c>
      <c r="Y49" s="368">
        <f t="shared" si="14"/>
        <v>0</v>
      </c>
      <c r="Z49" s="368" t="str">
        <f t="shared" si="8"/>
        <v/>
      </c>
      <c r="AA49" s="368">
        <v>34</v>
      </c>
      <c r="AB49" s="369">
        <f t="array" ref="AB49">SUM(IF(AA49=Z$16:Z$592,A$16:A$592,""))</f>
        <v>0</v>
      </c>
      <c r="AC49" s="370">
        <f t="array" ref="AC49">SUM(IF(AA49=Z$16:Z$592,J$16:J$592,""))</f>
        <v>0</v>
      </c>
      <c r="AD49" s="370">
        <f t="array" ref="AD49">SUM(IF($AA49=$Z$16:$Z$592,L$16:L$592,""))</f>
        <v>0</v>
      </c>
      <c r="AE49" s="370">
        <f t="array" ref="AE49">SUM(IF($AA49=$Z$16:$Z$592,M$16:M$592,""))</f>
        <v>0</v>
      </c>
      <c r="AF49" s="368">
        <f t="array" ref="AF49">SUM(IF($AA49=$Z$16:$Z$592,N$16:N$592,""))</f>
        <v>0</v>
      </c>
      <c r="AG49" s="370">
        <f t="array" ref="AG49">SUM(IF($AA49=$Z$16:$Z$592,O$16:O$592,""))</f>
        <v>0</v>
      </c>
      <c r="AH49" s="2"/>
      <c r="AI49" s="2"/>
      <c r="AJ49" s="2"/>
    </row>
    <row r="50" spans="1:36" x14ac:dyDescent="0.2">
      <c r="A50" s="306">
        <f>Crop!B83</f>
        <v>41674</v>
      </c>
      <c r="B50" s="307"/>
      <c r="C50" s="308"/>
      <c r="D50" s="304" t="str">
        <f>IF(OR($A50&lt;$A$3,$A50&gt;$A$7),"",Crop!$D83)</f>
        <v/>
      </c>
      <c r="E50" s="304" t="str">
        <f t="shared" si="9"/>
        <v/>
      </c>
      <c r="F50" s="304" t="str">
        <f>IF(OR(A50&lt;A$3,A50&gt;A$7),"",Crop!U83)</f>
        <v/>
      </c>
      <c r="G50" s="304" t="str">
        <f t="shared" si="0"/>
        <v/>
      </c>
      <c r="H50" s="309" t="str">
        <f>IF(OR(A50&lt;A$3,A50&gt;A$7),"",YTD!E47)</f>
        <v/>
      </c>
      <c r="I50" s="310" t="str">
        <f t="shared" si="1"/>
        <v/>
      </c>
      <c r="J50" s="311"/>
      <c r="K50" s="309" t="str">
        <f t="shared" si="2"/>
        <v/>
      </c>
      <c r="L50" s="312" t="str">
        <f t="shared" si="10"/>
        <v/>
      </c>
      <c r="M50" s="366" t="str">
        <f t="shared" si="3"/>
        <v/>
      </c>
      <c r="N50" s="328" t="str">
        <f t="shared" si="4"/>
        <v/>
      </c>
      <c r="O50" s="313" t="str">
        <f t="shared" si="5"/>
        <v/>
      </c>
      <c r="P50" s="307"/>
      <c r="Q50" s="309">
        <f t="shared" si="11"/>
        <v>0.8</v>
      </c>
      <c r="R50" s="307"/>
      <c r="S50" s="314">
        <f t="shared" si="12"/>
        <v>11.2</v>
      </c>
      <c r="T50" s="304" t="str">
        <f t="shared" si="6"/>
        <v/>
      </c>
      <c r="U50" s="304" t="str">
        <f>IF(A50=YTD!B$6,E50,IF(OR(A50&lt;YTD!B$6,A50&gt;YTD!B$10),"",U49+E50))</f>
        <v/>
      </c>
      <c r="V50" s="304" t="str">
        <f t="shared" si="13"/>
        <v/>
      </c>
      <c r="W50" s="315" t="e">
        <f>IF(I50="",#N/A,YTD!G$8-I50)</f>
        <v>#N/A</v>
      </c>
      <c r="X50" s="368">
        <f t="shared" si="7"/>
        <v>0</v>
      </c>
      <c r="Y50" s="368">
        <f t="shared" si="14"/>
        <v>0</v>
      </c>
      <c r="Z50" s="368" t="str">
        <f t="shared" si="8"/>
        <v/>
      </c>
      <c r="AA50" s="368">
        <v>35</v>
      </c>
      <c r="AB50" s="369">
        <f t="array" ref="AB50">SUM(IF(AA50=Z$16:Z$592,A$16:A$592,""))</f>
        <v>0</v>
      </c>
      <c r="AC50" s="370">
        <f t="array" ref="AC50">SUM(IF(AA50=Z$16:Z$592,J$16:J$592,""))</f>
        <v>0</v>
      </c>
      <c r="AD50" s="370">
        <f t="array" ref="AD50">SUM(IF($AA50=$Z$16:$Z$592,L$16:L$592,""))</f>
        <v>0</v>
      </c>
      <c r="AE50" s="370">
        <f t="array" ref="AE50">SUM(IF($AA50=$Z$16:$Z$592,M$16:M$592,""))</f>
        <v>0</v>
      </c>
      <c r="AF50" s="368">
        <f t="array" ref="AF50">SUM(IF($AA50=$Z$16:$Z$592,N$16:N$592,""))</f>
        <v>0</v>
      </c>
      <c r="AG50" s="370">
        <f t="array" ref="AG50">SUM(IF($AA50=$Z$16:$Z$592,O$16:O$592,""))</f>
        <v>0</v>
      </c>
      <c r="AH50" s="2"/>
      <c r="AI50" s="2"/>
      <c r="AJ50" s="2"/>
    </row>
    <row r="51" spans="1:36" x14ac:dyDescent="0.2">
      <c r="A51" s="306">
        <f>Crop!B84</f>
        <v>41675</v>
      </c>
      <c r="B51" s="307"/>
      <c r="C51" s="308"/>
      <c r="D51" s="304" t="str">
        <f>IF(OR($A51&lt;$A$3,$A51&gt;$A$7),"",Crop!$D84)</f>
        <v/>
      </c>
      <c r="E51" s="304" t="str">
        <f t="shared" si="9"/>
        <v/>
      </c>
      <c r="F51" s="304" t="str">
        <f>IF(OR(A51&lt;A$3,A51&gt;A$7),"",Crop!U84)</f>
        <v/>
      </c>
      <c r="G51" s="304" t="str">
        <f t="shared" si="0"/>
        <v/>
      </c>
      <c r="H51" s="309" t="str">
        <f>IF(OR(A51&lt;A$3,A51&gt;A$7),"",YTD!E48)</f>
        <v/>
      </c>
      <c r="I51" s="310" t="str">
        <f t="shared" si="1"/>
        <v/>
      </c>
      <c r="J51" s="311"/>
      <c r="K51" s="309" t="str">
        <f t="shared" si="2"/>
        <v/>
      </c>
      <c r="L51" s="312" t="str">
        <f t="shared" si="10"/>
        <v/>
      </c>
      <c r="M51" s="366" t="str">
        <f t="shared" si="3"/>
        <v/>
      </c>
      <c r="N51" s="328" t="str">
        <f t="shared" si="4"/>
        <v/>
      </c>
      <c r="O51" s="313" t="str">
        <f t="shared" si="5"/>
        <v/>
      </c>
      <c r="P51" s="307"/>
      <c r="Q51" s="309">
        <f t="shared" si="11"/>
        <v>0.8</v>
      </c>
      <c r="R51" s="307"/>
      <c r="S51" s="314">
        <f t="shared" si="12"/>
        <v>11.2</v>
      </c>
      <c r="T51" s="304" t="str">
        <f t="shared" si="6"/>
        <v/>
      </c>
      <c r="U51" s="304" t="str">
        <f>IF(A51=YTD!B$6,E51,IF(OR(A51&lt;YTD!B$6,A51&gt;YTD!B$10),"",U50+E51))</f>
        <v/>
      </c>
      <c r="V51" s="304" t="str">
        <f t="shared" si="13"/>
        <v/>
      </c>
      <c r="W51" s="315" t="e">
        <f>IF(I51="",#N/A,YTD!G$8-I51)</f>
        <v>#N/A</v>
      </c>
      <c r="X51" s="368">
        <f t="shared" si="7"/>
        <v>0</v>
      </c>
      <c r="Y51" s="368">
        <f t="shared" si="14"/>
        <v>0</v>
      </c>
      <c r="Z51" s="368" t="str">
        <f t="shared" si="8"/>
        <v/>
      </c>
      <c r="AA51" s="368">
        <v>36</v>
      </c>
      <c r="AB51" s="369">
        <f t="array" ref="AB51">SUM(IF(AA51=Z$16:Z$592,A$16:A$592,""))</f>
        <v>0</v>
      </c>
      <c r="AC51" s="370">
        <f t="array" ref="AC51">SUM(IF(AA51=Z$16:Z$592,J$16:J$592,""))</f>
        <v>0</v>
      </c>
      <c r="AD51" s="370">
        <f t="array" ref="AD51">SUM(IF($AA51=$Z$16:$Z$592,L$16:L$592,""))</f>
        <v>0</v>
      </c>
      <c r="AE51" s="370">
        <f t="array" ref="AE51">SUM(IF($AA51=$Z$16:$Z$592,M$16:M$592,""))</f>
        <v>0</v>
      </c>
      <c r="AF51" s="368">
        <f t="array" ref="AF51">SUM(IF($AA51=$Z$16:$Z$592,N$16:N$592,""))</f>
        <v>0</v>
      </c>
      <c r="AG51" s="370">
        <f t="array" ref="AG51">SUM(IF($AA51=$Z$16:$Z$592,O$16:O$592,""))</f>
        <v>0</v>
      </c>
      <c r="AH51" s="2"/>
      <c r="AI51" s="2"/>
      <c r="AJ51" s="2"/>
    </row>
    <row r="52" spans="1:36" x14ac:dyDescent="0.2">
      <c r="A52" s="306">
        <f>Crop!B85</f>
        <v>41676</v>
      </c>
      <c r="B52" s="307"/>
      <c r="C52" s="308"/>
      <c r="D52" s="304" t="str">
        <f>IF(OR($A52&lt;$A$3,$A52&gt;$A$7),"",Crop!$D85)</f>
        <v/>
      </c>
      <c r="E52" s="304" t="str">
        <f t="shared" si="9"/>
        <v/>
      </c>
      <c r="F52" s="304" t="str">
        <f>IF(OR(A52&lt;A$3,A52&gt;A$7),"",Crop!U85)</f>
        <v/>
      </c>
      <c r="G52" s="304" t="str">
        <f t="shared" si="0"/>
        <v/>
      </c>
      <c r="H52" s="309" t="str">
        <f>IF(OR(A52&lt;A$3,A52&gt;A$7),"",YTD!E49)</f>
        <v/>
      </c>
      <c r="I52" s="310" t="str">
        <f t="shared" si="1"/>
        <v/>
      </c>
      <c r="J52" s="311"/>
      <c r="K52" s="309" t="str">
        <f t="shared" si="2"/>
        <v/>
      </c>
      <c r="L52" s="312" t="str">
        <f t="shared" si="10"/>
        <v/>
      </c>
      <c r="M52" s="366" t="str">
        <f t="shared" si="3"/>
        <v/>
      </c>
      <c r="N52" s="328" t="str">
        <f t="shared" si="4"/>
        <v/>
      </c>
      <c r="O52" s="313" t="str">
        <f t="shared" si="5"/>
        <v/>
      </c>
      <c r="P52" s="307"/>
      <c r="Q52" s="309">
        <f t="shared" si="11"/>
        <v>0.8</v>
      </c>
      <c r="R52" s="307"/>
      <c r="S52" s="314">
        <f t="shared" si="12"/>
        <v>11.2</v>
      </c>
      <c r="T52" s="304" t="str">
        <f t="shared" si="6"/>
        <v/>
      </c>
      <c r="U52" s="304" t="str">
        <f>IF(A52=YTD!B$6,E52,IF(OR(A52&lt;YTD!B$6,A52&gt;YTD!B$10),"",U51+E52))</f>
        <v/>
      </c>
      <c r="V52" s="304" t="str">
        <f t="shared" si="13"/>
        <v/>
      </c>
      <c r="W52" s="315" t="e">
        <f>IF(I52="",#N/A,YTD!G$8-I52)</f>
        <v>#N/A</v>
      </c>
      <c r="X52" s="368">
        <f t="shared" si="7"/>
        <v>0</v>
      </c>
      <c r="Y52" s="368">
        <f t="shared" si="14"/>
        <v>0</v>
      </c>
      <c r="Z52" s="368" t="str">
        <f t="shared" si="8"/>
        <v/>
      </c>
      <c r="AA52" s="368">
        <v>37</v>
      </c>
      <c r="AB52" s="369">
        <f t="array" ref="AB52">SUM(IF(AA52=Z$16:Z$592,A$16:A$592,""))</f>
        <v>0</v>
      </c>
      <c r="AC52" s="370">
        <f t="array" ref="AC52">SUM(IF(AA52=Z$16:Z$592,J$16:J$592,""))</f>
        <v>0</v>
      </c>
      <c r="AD52" s="370">
        <f t="array" ref="AD52">SUM(IF($AA52=$Z$16:$Z$592,L$16:L$592,""))</f>
        <v>0</v>
      </c>
      <c r="AE52" s="370">
        <f t="array" ref="AE52">SUM(IF($AA52=$Z$16:$Z$592,M$16:M$592,""))</f>
        <v>0</v>
      </c>
      <c r="AF52" s="368">
        <f t="array" ref="AF52">SUM(IF($AA52=$Z$16:$Z$592,N$16:N$592,""))</f>
        <v>0</v>
      </c>
      <c r="AG52" s="370">
        <f t="array" ref="AG52">SUM(IF($AA52=$Z$16:$Z$592,O$16:O$592,""))</f>
        <v>0</v>
      </c>
      <c r="AH52" s="2"/>
      <c r="AI52" s="2"/>
      <c r="AJ52" s="2"/>
    </row>
    <row r="53" spans="1:36" x14ac:dyDescent="0.2">
      <c r="A53" s="306">
        <f>Crop!B86</f>
        <v>41677</v>
      </c>
      <c r="B53" s="307"/>
      <c r="C53" s="308"/>
      <c r="D53" s="304" t="str">
        <f>IF(OR($A53&lt;$A$3,$A53&gt;$A$7),"",Crop!$D86)</f>
        <v/>
      </c>
      <c r="E53" s="304" t="str">
        <f t="shared" si="9"/>
        <v/>
      </c>
      <c r="F53" s="304" t="str">
        <f>IF(OR(A53&lt;A$3,A53&gt;A$7),"",Crop!U86)</f>
        <v/>
      </c>
      <c r="G53" s="304" t="str">
        <f t="shared" si="0"/>
        <v/>
      </c>
      <c r="H53" s="309" t="str">
        <f>IF(OR(A53&lt;A$3,A53&gt;A$7),"",YTD!E50)</f>
        <v/>
      </c>
      <c r="I53" s="310" t="str">
        <f t="shared" si="1"/>
        <v/>
      </c>
      <c r="J53" s="311"/>
      <c r="K53" s="309" t="str">
        <f t="shared" si="2"/>
        <v/>
      </c>
      <c r="L53" s="312" t="str">
        <f t="shared" si="10"/>
        <v/>
      </c>
      <c r="M53" s="366" t="str">
        <f t="shared" si="3"/>
        <v/>
      </c>
      <c r="N53" s="328" t="str">
        <f t="shared" si="4"/>
        <v/>
      </c>
      <c r="O53" s="313" t="str">
        <f t="shared" si="5"/>
        <v/>
      </c>
      <c r="P53" s="307"/>
      <c r="Q53" s="309">
        <f t="shared" si="11"/>
        <v>0.8</v>
      </c>
      <c r="R53" s="307"/>
      <c r="S53" s="314">
        <f t="shared" si="12"/>
        <v>11.2</v>
      </c>
      <c r="T53" s="304" t="str">
        <f t="shared" si="6"/>
        <v/>
      </c>
      <c r="U53" s="304" t="str">
        <f>IF(A53=YTD!B$6,E53,IF(OR(A53&lt;YTD!B$6,A53&gt;YTD!B$10),"",U52+E53))</f>
        <v/>
      </c>
      <c r="V53" s="304" t="str">
        <f t="shared" si="13"/>
        <v/>
      </c>
      <c r="W53" s="315" t="e">
        <f>IF(I53="",#N/A,YTD!G$8-I53)</f>
        <v>#N/A</v>
      </c>
      <c r="X53" s="368">
        <f t="shared" si="7"/>
        <v>0</v>
      </c>
      <c r="Y53" s="368">
        <f t="shared" si="14"/>
        <v>0</v>
      </c>
      <c r="Z53" s="368" t="str">
        <f t="shared" si="8"/>
        <v/>
      </c>
      <c r="AA53" s="368">
        <v>38</v>
      </c>
      <c r="AB53" s="369">
        <f t="array" ref="AB53">SUM(IF(AA53=Z$16:Z$592,A$16:A$592,""))</f>
        <v>0</v>
      </c>
      <c r="AC53" s="370">
        <f t="array" ref="AC53">SUM(IF(AA53=Z$16:Z$592,J$16:J$592,""))</f>
        <v>0</v>
      </c>
      <c r="AD53" s="370">
        <f t="array" ref="AD53">SUM(IF($AA53=$Z$16:$Z$592,L$16:L$592,""))</f>
        <v>0</v>
      </c>
      <c r="AE53" s="370">
        <f t="array" ref="AE53">SUM(IF($AA53=$Z$16:$Z$592,M$16:M$592,""))</f>
        <v>0</v>
      </c>
      <c r="AF53" s="368">
        <f t="array" ref="AF53">SUM(IF($AA53=$Z$16:$Z$592,N$16:N$592,""))</f>
        <v>0</v>
      </c>
      <c r="AG53" s="370">
        <f t="array" ref="AG53">SUM(IF($AA53=$Z$16:$Z$592,O$16:O$592,""))</f>
        <v>0</v>
      </c>
      <c r="AH53" s="2"/>
      <c r="AI53" s="2"/>
      <c r="AJ53" s="2"/>
    </row>
    <row r="54" spans="1:36" x14ac:dyDescent="0.2">
      <c r="A54" s="306">
        <f>Crop!B87</f>
        <v>41678</v>
      </c>
      <c r="B54" s="307"/>
      <c r="C54" s="308"/>
      <c r="D54" s="304" t="str">
        <f>IF(OR($A54&lt;$A$3,$A54&gt;$A$7),"",Crop!$D87)</f>
        <v/>
      </c>
      <c r="E54" s="304" t="str">
        <f t="shared" si="9"/>
        <v/>
      </c>
      <c r="F54" s="304" t="str">
        <f>IF(OR(A54&lt;A$3,A54&gt;A$7),"",Crop!U87)</f>
        <v/>
      </c>
      <c r="G54" s="304" t="str">
        <f t="shared" si="0"/>
        <v/>
      </c>
      <c r="H54" s="309" t="str">
        <f>IF(OR(A54&lt;A$3,A54&gt;A$7),"",YTD!E51)</f>
        <v/>
      </c>
      <c r="I54" s="310" t="str">
        <f t="shared" si="1"/>
        <v/>
      </c>
      <c r="J54" s="311"/>
      <c r="K54" s="309" t="str">
        <f t="shared" si="2"/>
        <v/>
      </c>
      <c r="L54" s="312" t="str">
        <f t="shared" si="10"/>
        <v/>
      </c>
      <c r="M54" s="366" t="str">
        <f t="shared" si="3"/>
        <v/>
      </c>
      <c r="N54" s="328" t="str">
        <f t="shared" si="4"/>
        <v/>
      </c>
      <c r="O54" s="313" t="str">
        <f t="shared" si="5"/>
        <v/>
      </c>
      <c r="P54" s="307"/>
      <c r="Q54" s="309">
        <f t="shared" si="11"/>
        <v>0.8</v>
      </c>
      <c r="R54" s="307"/>
      <c r="S54" s="314">
        <f t="shared" si="12"/>
        <v>11.2</v>
      </c>
      <c r="T54" s="304" t="str">
        <f t="shared" si="6"/>
        <v/>
      </c>
      <c r="U54" s="304" t="str">
        <f>IF(A54=YTD!B$6,E54,IF(OR(A54&lt;YTD!B$6,A54&gt;YTD!B$10),"",U53+E54))</f>
        <v/>
      </c>
      <c r="V54" s="304" t="str">
        <f t="shared" si="13"/>
        <v/>
      </c>
      <c r="W54" s="315" t="e">
        <f>IF(I54="",#N/A,YTD!G$8-I54)</f>
        <v>#N/A</v>
      </c>
      <c r="X54" s="368">
        <f t="shared" si="7"/>
        <v>0</v>
      </c>
      <c r="Y54" s="368">
        <f t="shared" si="14"/>
        <v>0</v>
      </c>
      <c r="Z54" s="368" t="str">
        <f t="shared" si="8"/>
        <v/>
      </c>
      <c r="AA54" s="368">
        <v>39</v>
      </c>
      <c r="AB54" s="369">
        <f t="array" ref="AB54">SUM(IF(AA54=Z$16:Z$592,A$16:A$592,""))</f>
        <v>0</v>
      </c>
      <c r="AC54" s="370">
        <f t="array" ref="AC54">SUM(IF(AA54=Z$16:Z$592,J$16:J$592,""))</f>
        <v>0</v>
      </c>
      <c r="AD54" s="370">
        <f t="array" ref="AD54">SUM(IF($AA54=$Z$16:$Z$592,L$16:L$592,""))</f>
        <v>0</v>
      </c>
      <c r="AE54" s="370">
        <f t="array" ref="AE54">SUM(IF($AA54=$Z$16:$Z$592,M$16:M$592,""))</f>
        <v>0</v>
      </c>
      <c r="AF54" s="368">
        <f t="array" ref="AF54">SUM(IF($AA54=$Z$16:$Z$592,N$16:N$592,""))</f>
        <v>0</v>
      </c>
      <c r="AG54" s="370">
        <f t="array" ref="AG54">SUM(IF($AA54=$Z$16:$Z$592,O$16:O$592,""))</f>
        <v>0</v>
      </c>
      <c r="AH54" s="2"/>
      <c r="AI54" s="2"/>
      <c r="AJ54" s="2"/>
    </row>
    <row r="55" spans="1:36" x14ac:dyDescent="0.2">
      <c r="A55" s="306">
        <f>Crop!B88</f>
        <v>41679</v>
      </c>
      <c r="B55" s="307"/>
      <c r="C55" s="308"/>
      <c r="D55" s="304" t="str">
        <f>IF(OR($A55&lt;$A$3,$A55&gt;$A$7),"",Crop!$D88)</f>
        <v/>
      </c>
      <c r="E55" s="304" t="str">
        <f t="shared" si="9"/>
        <v/>
      </c>
      <c r="F55" s="304" t="str">
        <f>IF(OR(A55&lt;A$3,A55&gt;A$7),"",Crop!U88)</f>
        <v/>
      </c>
      <c r="G55" s="304" t="str">
        <f t="shared" si="0"/>
        <v/>
      </c>
      <c r="H55" s="309" t="str">
        <f>IF(OR(A55&lt;A$3,A55&gt;A$7),"",YTD!E52)</f>
        <v/>
      </c>
      <c r="I55" s="310" t="str">
        <f t="shared" si="1"/>
        <v/>
      </c>
      <c r="J55" s="311"/>
      <c r="K55" s="309" t="str">
        <f t="shared" si="2"/>
        <v/>
      </c>
      <c r="L55" s="312" t="str">
        <f t="shared" si="10"/>
        <v/>
      </c>
      <c r="M55" s="366" t="str">
        <f t="shared" si="3"/>
        <v/>
      </c>
      <c r="N55" s="328" t="str">
        <f t="shared" si="4"/>
        <v/>
      </c>
      <c r="O55" s="313" t="str">
        <f t="shared" si="5"/>
        <v/>
      </c>
      <c r="P55" s="307"/>
      <c r="Q55" s="309">
        <f t="shared" si="11"/>
        <v>0.8</v>
      </c>
      <c r="R55" s="307"/>
      <c r="S55" s="314">
        <f t="shared" si="12"/>
        <v>11.2</v>
      </c>
      <c r="T55" s="304" t="str">
        <f t="shared" si="6"/>
        <v/>
      </c>
      <c r="U55" s="304" t="str">
        <f>IF(A55=YTD!B$6,E55,IF(OR(A55&lt;YTD!B$6,A55&gt;YTD!B$10),"",U54+E55))</f>
        <v/>
      </c>
      <c r="V55" s="304" t="str">
        <f t="shared" si="13"/>
        <v/>
      </c>
      <c r="W55" s="315" t="e">
        <f>IF(I55="",#N/A,YTD!G$8-I55)</f>
        <v>#N/A</v>
      </c>
      <c r="X55" s="368">
        <f t="shared" si="7"/>
        <v>0</v>
      </c>
      <c r="Y55" s="368">
        <f t="shared" si="14"/>
        <v>0</v>
      </c>
      <c r="Z55" s="368" t="str">
        <f t="shared" si="8"/>
        <v/>
      </c>
      <c r="AA55" s="368">
        <v>40</v>
      </c>
      <c r="AB55" s="369">
        <f t="array" ref="AB55">SUM(IF(AA55=Z$16:Z$592,A$16:A$592,""))</f>
        <v>0</v>
      </c>
      <c r="AC55" s="370">
        <f t="array" ref="AC55">SUM(IF(AA55=Z$16:Z$592,J$16:J$592,""))</f>
        <v>0</v>
      </c>
      <c r="AD55" s="370">
        <f t="array" ref="AD55">SUM(IF($AA55=$Z$16:$Z$592,L$16:L$592,""))</f>
        <v>0</v>
      </c>
      <c r="AE55" s="370">
        <f t="array" ref="AE55">SUM(IF($AA55=$Z$16:$Z$592,M$16:M$592,""))</f>
        <v>0</v>
      </c>
      <c r="AF55" s="368">
        <f t="array" ref="AF55">SUM(IF($AA55=$Z$16:$Z$592,N$16:N$592,""))</f>
        <v>0</v>
      </c>
      <c r="AG55" s="370">
        <f t="array" ref="AG55">SUM(IF($AA55=$Z$16:$Z$592,O$16:O$592,""))</f>
        <v>0</v>
      </c>
      <c r="AH55" s="2"/>
      <c r="AI55" s="2"/>
      <c r="AJ55" s="2"/>
    </row>
    <row r="56" spans="1:36" x14ac:dyDescent="0.2">
      <c r="A56" s="306">
        <f>Crop!B89</f>
        <v>41680</v>
      </c>
      <c r="B56" s="307"/>
      <c r="C56" s="308"/>
      <c r="D56" s="304" t="str">
        <f>IF(OR($A56&lt;$A$3,$A56&gt;$A$7),"",Crop!$D89)</f>
        <v/>
      </c>
      <c r="E56" s="304" t="str">
        <f t="shared" si="9"/>
        <v/>
      </c>
      <c r="F56" s="304" t="str">
        <f>IF(OR(A56&lt;A$3,A56&gt;A$7),"",Crop!U89)</f>
        <v/>
      </c>
      <c r="G56" s="304" t="str">
        <f t="shared" si="0"/>
        <v/>
      </c>
      <c r="H56" s="309" t="str">
        <f>IF(OR(A56&lt;A$3,A56&gt;A$7),"",YTD!E53)</f>
        <v/>
      </c>
      <c r="I56" s="310" t="str">
        <f t="shared" si="1"/>
        <v/>
      </c>
      <c r="J56" s="311"/>
      <c r="K56" s="309" t="str">
        <f t="shared" si="2"/>
        <v/>
      </c>
      <c r="L56" s="312" t="str">
        <f t="shared" si="10"/>
        <v/>
      </c>
      <c r="M56" s="366" t="str">
        <f t="shared" si="3"/>
        <v/>
      </c>
      <c r="N56" s="328" t="str">
        <f t="shared" si="4"/>
        <v/>
      </c>
      <c r="O56" s="313" t="str">
        <f t="shared" si="5"/>
        <v/>
      </c>
      <c r="P56" s="307"/>
      <c r="Q56" s="309">
        <f t="shared" si="11"/>
        <v>0.8</v>
      </c>
      <c r="R56" s="307"/>
      <c r="S56" s="314">
        <f t="shared" si="12"/>
        <v>11.2</v>
      </c>
      <c r="T56" s="304" t="str">
        <f t="shared" si="6"/>
        <v/>
      </c>
      <c r="U56" s="304" t="str">
        <f>IF(A56=YTD!B$6,E56,IF(OR(A56&lt;YTD!B$6,A56&gt;YTD!B$10),"",U55+E56))</f>
        <v/>
      </c>
      <c r="V56" s="304" t="str">
        <f t="shared" si="13"/>
        <v/>
      </c>
      <c r="W56" s="315" t="e">
        <f>IF(I56="",#N/A,YTD!G$8-I56)</f>
        <v>#N/A</v>
      </c>
      <c r="X56" s="368">
        <f t="shared" si="7"/>
        <v>0</v>
      </c>
      <c r="Y56" s="368">
        <f t="shared" si="14"/>
        <v>0</v>
      </c>
      <c r="Z56" s="368" t="str">
        <f t="shared" si="8"/>
        <v/>
      </c>
      <c r="AA56" s="368">
        <v>41</v>
      </c>
      <c r="AB56" s="369">
        <f t="array" ref="AB56">SUM(IF(AA56=Z$16:Z$592,A$16:A$592,""))</f>
        <v>0</v>
      </c>
      <c r="AC56" s="370">
        <f t="array" ref="AC56">SUM(IF(AA56=Z$16:Z$592,J$16:J$592,""))</f>
        <v>0</v>
      </c>
      <c r="AD56" s="370">
        <f t="array" ref="AD56">SUM(IF($AA56=$Z$16:$Z$592,L$16:L$592,""))</f>
        <v>0</v>
      </c>
      <c r="AE56" s="370">
        <f t="array" ref="AE56">SUM(IF($AA56=$Z$16:$Z$592,M$16:M$592,""))</f>
        <v>0</v>
      </c>
      <c r="AF56" s="368">
        <f t="array" ref="AF56">SUM(IF($AA56=$Z$16:$Z$592,N$16:N$592,""))</f>
        <v>0</v>
      </c>
      <c r="AG56" s="370">
        <f t="array" ref="AG56">SUM(IF($AA56=$Z$16:$Z$592,O$16:O$592,""))</f>
        <v>0</v>
      </c>
      <c r="AH56" s="2"/>
      <c r="AI56" s="2"/>
      <c r="AJ56" s="2"/>
    </row>
    <row r="57" spans="1:36" x14ac:dyDescent="0.2">
      <c r="A57" s="306">
        <f>Crop!B90</f>
        <v>41681</v>
      </c>
      <c r="B57" s="307"/>
      <c r="C57" s="308"/>
      <c r="D57" s="304" t="str">
        <f>IF(OR($A57&lt;$A$3,$A57&gt;$A$7),"",Crop!$D90)</f>
        <v/>
      </c>
      <c r="E57" s="304" t="str">
        <f t="shared" si="9"/>
        <v/>
      </c>
      <c r="F57" s="304" t="str">
        <f>IF(OR(A57&lt;A$3,A57&gt;A$7),"",Crop!U90)</f>
        <v/>
      </c>
      <c r="G57" s="304" t="str">
        <f t="shared" si="0"/>
        <v/>
      </c>
      <c r="H57" s="309" t="str">
        <f>IF(OR(A57&lt;A$3,A57&gt;A$7),"",YTD!E54)</f>
        <v/>
      </c>
      <c r="I57" s="310" t="str">
        <f t="shared" si="1"/>
        <v/>
      </c>
      <c r="J57" s="311"/>
      <c r="K57" s="309" t="str">
        <f t="shared" si="2"/>
        <v/>
      </c>
      <c r="L57" s="312" t="str">
        <f t="shared" si="10"/>
        <v/>
      </c>
      <c r="M57" s="366" t="str">
        <f t="shared" si="3"/>
        <v/>
      </c>
      <c r="N57" s="328" t="str">
        <f t="shared" si="4"/>
        <v/>
      </c>
      <c r="O57" s="313" t="str">
        <f t="shared" si="5"/>
        <v/>
      </c>
      <c r="P57" s="307"/>
      <c r="Q57" s="309">
        <f t="shared" si="11"/>
        <v>0.8</v>
      </c>
      <c r="R57" s="307"/>
      <c r="S57" s="314">
        <f t="shared" si="12"/>
        <v>11.2</v>
      </c>
      <c r="T57" s="304" t="str">
        <f t="shared" si="6"/>
        <v/>
      </c>
      <c r="U57" s="304" t="str">
        <f>IF(A57=YTD!B$6,E57,IF(OR(A57&lt;YTD!B$6,A57&gt;YTD!B$10),"",U56+E57))</f>
        <v/>
      </c>
      <c r="V57" s="304" t="str">
        <f t="shared" si="13"/>
        <v/>
      </c>
      <c r="W57" s="315" t="e">
        <f>IF(I57="",#N/A,YTD!G$8-I57)</f>
        <v>#N/A</v>
      </c>
      <c r="X57" s="368">
        <f t="shared" si="7"/>
        <v>0</v>
      </c>
      <c r="Y57" s="368">
        <f t="shared" si="14"/>
        <v>0</v>
      </c>
      <c r="Z57" s="368" t="str">
        <f t="shared" si="8"/>
        <v/>
      </c>
      <c r="AA57" s="368">
        <v>42</v>
      </c>
      <c r="AB57" s="369">
        <f t="array" ref="AB57">SUM(IF(AA57=Z$16:Z$592,A$16:A$592,""))</f>
        <v>0</v>
      </c>
      <c r="AC57" s="370">
        <f t="array" ref="AC57">SUM(IF(AA57=Z$16:Z$592,J$16:J$592,""))</f>
        <v>0</v>
      </c>
      <c r="AD57" s="370">
        <f t="array" ref="AD57">SUM(IF($AA57=$Z$16:$Z$592,L$16:L$592,""))</f>
        <v>0</v>
      </c>
      <c r="AE57" s="370">
        <f t="array" ref="AE57">SUM(IF($AA57=$Z$16:$Z$592,M$16:M$592,""))</f>
        <v>0</v>
      </c>
      <c r="AF57" s="368">
        <f t="array" ref="AF57">SUM(IF($AA57=$Z$16:$Z$592,N$16:N$592,""))</f>
        <v>0</v>
      </c>
      <c r="AG57" s="370">
        <f t="array" ref="AG57">SUM(IF($AA57=$Z$16:$Z$592,O$16:O$592,""))</f>
        <v>0</v>
      </c>
      <c r="AH57" s="2"/>
      <c r="AI57" s="2"/>
      <c r="AJ57" s="2"/>
    </row>
    <row r="58" spans="1:36" x14ac:dyDescent="0.2">
      <c r="A58" s="306">
        <f>Crop!B91</f>
        <v>41682</v>
      </c>
      <c r="B58" s="307"/>
      <c r="C58" s="308"/>
      <c r="D58" s="304" t="str">
        <f>IF(OR($A58&lt;$A$3,$A58&gt;$A$7),"",Crop!$D91)</f>
        <v/>
      </c>
      <c r="E58" s="304" t="str">
        <f t="shared" si="9"/>
        <v/>
      </c>
      <c r="F58" s="304" t="str">
        <f>IF(OR(A58&lt;A$3,A58&gt;A$7),"",Crop!U91)</f>
        <v/>
      </c>
      <c r="G58" s="304" t="str">
        <f t="shared" si="0"/>
        <v/>
      </c>
      <c r="H58" s="309" t="str">
        <f>IF(OR(A58&lt;A$3,A58&gt;A$7),"",YTD!E55)</f>
        <v/>
      </c>
      <c r="I58" s="310" t="str">
        <f t="shared" si="1"/>
        <v/>
      </c>
      <c r="J58" s="311"/>
      <c r="K58" s="309" t="str">
        <f t="shared" si="2"/>
        <v/>
      </c>
      <c r="L58" s="312" t="str">
        <f t="shared" si="10"/>
        <v/>
      </c>
      <c r="M58" s="366" t="str">
        <f t="shared" si="3"/>
        <v/>
      </c>
      <c r="N58" s="328" t="str">
        <f t="shared" si="4"/>
        <v/>
      </c>
      <c r="O58" s="313" t="str">
        <f t="shared" si="5"/>
        <v/>
      </c>
      <c r="P58" s="307"/>
      <c r="Q58" s="309">
        <f t="shared" si="11"/>
        <v>0.8</v>
      </c>
      <c r="R58" s="307"/>
      <c r="S58" s="314">
        <f t="shared" si="12"/>
        <v>11.2</v>
      </c>
      <c r="T58" s="304" t="str">
        <f t="shared" si="6"/>
        <v/>
      </c>
      <c r="U58" s="304" t="str">
        <f>IF(A58=YTD!B$6,E58,IF(OR(A58&lt;YTD!B$6,A58&gt;YTD!B$10),"",U57+E58))</f>
        <v/>
      </c>
      <c r="V58" s="304" t="str">
        <f t="shared" si="13"/>
        <v/>
      </c>
      <c r="W58" s="315" t="e">
        <f>IF(I58="",#N/A,YTD!G$8-I58)</f>
        <v>#N/A</v>
      </c>
      <c r="X58" s="368">
        <f t="shared" si="7"/>
        <v>0</v>
      </c>
      <c r="Y58" s="368">
        <f t="shared" si="14"/>
        <v>0</v>
      </c>
      <c r="Z58" s="368" t="str">
        <f t="shared" si="8"/>
        <v/>
      </c>
      <c r="AA58" s="368">
        <v>43</v>
      </c>
      <c r="AB58" s="369">
        <f t="array" ref="AB58">SUM(IF(AA58=Z$16:Z$592,A$16:A$592,""))</f>
        <v>0</v>
      </c>
      <c r="AC58" s="370">
        <f t="array" ref="AC58">SUM(IF(AA58=Z$16:Z$592,J$16:J$592,""))</f>
        <v>0</v>
      </c>
      <c r="AD58" s="370">
        <f t="array" ref="AD58">SUM(IF($AA58=$Z$16:$Z$592,L$16:L$592,""))</f>
        <v>0</v>
      </c>
      <c r="AE58" s="370">
        <f t="array" ref="AE58">SUM(IF($AA58=$Z$16:$Z$592,M$16:M$592,""))</f>
        <v>0</v>
      </c>
      <c r="AF58" s="368">
        <f t="array" ref="AF58">SUM(IF($AA58=$Z$16:$Z$592,N$16:N$592,""))</f>
        <v>0</v>
      </c>
      <c r="AG58" s="370">
        <f t="array" ref="AG58">SUM(IF($AA58=$Z$16:$Z$592,O$16:O$592,""))</f>
        <v>0</v>
      </c>
      <c r="AH58" s="2"/>
      <c r="AI58" s="2"/>
      <c r="AJ58" s="2"/>
    </row>
    <row r="59" spans="1:36" x14ac:dyDescent="0.2">
      <c r="A59" s="306">
        <f>Crop!B92</f>
        <v>41683</v>
      </c>
      <c r="B59" s="307"/>
      <c r="C59" s="308"/>
      <c r="D59" s="304" t="str">
        <f>IF(OR($A59&lt;$A$3,$A59&gt;$A$7),"",Crop!$D92)</f>
        <v/>
      </c>
      <c r="E59" s="304" t="str">
        <f t="shared" si="9"/>
        <v/>
      </c>
      <c r="F59" s="304" t="str">
        <f>IF(OR(A59&lt;A$3,A59&gt;A$7),"",Crop!U92)</f>
        <v/>
      </c>
      <c r="G59" s="304" t="str">
        <f t="shared" si="0"/>
        <v/>
      </c>
      <c r="H59" s="309" t="str">
        <f>IF(OR(A59&lt;A$3,A59&gt;A$7),"",YTD!E56)</f>
        <v/>
      </c>
      <c r="I59" s="310" t="str">
        <f t="shared" si="1"/>
        <v/>
      </c>
      <c r="J59" s="311"/>
      <c r="K59" s="309" t="str">
        <f t="shared" si="2"/>
        <v/>
      </c>
      <c r="L59" s="312" t="str">
        <f t="shared" si="10"/>
        <v/>
      </c>
      <c r="M59" s="366" t="str">
        <f t="shared" si="3"/>
        <v/>
      </c>
      <c r="N59" s="328" t="str">
        <f t="shared" si="4"/>
        <v/>
      </c>
      <c r="O59" s="313" t="str">
        <f t="shared" si="5"/>
        <v/>
      </c>
      <c r="P59" s="307"/>
      <c r="Q59" s="309">
        <f t="shared" si="11"/>
        <v>0.8</v>
      </c>
      <c r="R59" s="307"/>
      <c r="S59" s="314">
        <f t="shared" si="12"/>
        <v>11.2</v>
      </c>
      <c r="T59" s="304" t="str">
        <f t="shared" si="6"/>
        <v/>
      </c>
      <c r="U59" s="304" t="str">
        <f>IF(A59=YTD!B$6,E59,IF(OR(A59&lt;YTD!B$6,A59&gt;YTD!B$10),"",U58+E59))</f>
        <v/>
      </c>
      <c r="V59" s="304" t="str">
        <f t="shared" si="13"/>
        <v/>
      </c>
      <c r="W59" s="315" t="e">
        <f>IF(I59="",#N/A,YTD!G$8-I59)</f>
        <v>#N/A</v>
      </c>
      <c r="X59" s="368">
        <f t="shared" si="7"/>
        <v>0</v>
      </c>
      <c r="Y59" s="368">
        <f t="shared" si="14"/>
        <v>0</v>
      </c>
      <c r="Z59" s="368" t="str">
        <f t="shared" si="8"/>
        <v/>
      </c>
      <c r="AA59" s="368">
        <v>44</v>
      </c>
      <c r="AB59" s="369">
        <f t="array" ref="AB59">SUM(IF(AA59=Z$16:Z$592,A$16:A$592,""))</f>
        <v>0</v>
      </c>
      <c r="AC59" s="370">
        <f t="array" ref="AC59">SUM(IF(AA59=Z$16:Z$592,J$16:J$592,""))</f>
        <v>0</v>
      </c>
      <c r="AD59" s="370">
        <f t="array" ref="AD59">SUM(IF($AA59=$Z$16:$Z$592,L$16:L$592,""))</f>
        <v>0</v>
      </c>
      <c r="AE59" s="370">
        <f t="array" ref="AE59">SUM(IF($AA59=$Z$16:$Z$592,M$16:M$592,""))</f>
        <v>0</v>
      </c>
      <c r="AF59" s="368">
        <f t="array" ref="AF59">SUM(IF($AA59=$Z$16:$Z$592,N$16:N$592,""))</f>
        <v>0</v>
      </c>
      <c r="AG59" s="370">
        <f t="array" ref="AG59">SUM(IF($AA59=$Z$16:$Z$592,O$16:O$592,""))</f>
        <v>0</v>
      </c>
      <c r="AH59" s="2"/>
      <c r="AI59" s="2"/>
      <c r="AJ59" s="2"/>
    </row>
    <row r="60" spans="1:36" x14ac:dyDescent="0.2">
      <c r="A60" s="306">
        <f>Crop!B93</f>
        <v>41684</v>
      </c>
      <c r="B60" s="307">
        <v>75</v>
      </c>
      <c r="C60" s="308"/>
      <c r="D60" s="304" t="str">
        <f>IF(OR($A60&lt;$A$3,$A60&gt;$A$7),"",Crop!$D93)</f>
        <v/>
      </c>
      <c r="E60" s="304" t="str">
        <f t="shared" si="9"/>
        <v/>
      </c>
      <c r="F60" s="304" t="str">
        <f>IF(OR(A60&lt;A$3,A60&gt;A$7),"",Crop!U93)</f>
        <v/>
      </c>
      <c r="G60" s="304" t="str">
        <f t="shared" si="0"/>
        <v/>
      </c>
      <c r="H60" s="309" t="str">
        <f>IF(OR(A60&lt;A$3,A60&gt;A$7),"",YTD!E57)</f>
        <v/>
      </c>
      <c r="I60" s="310" t="str">
        <f t="shared" si="1"/>
        <v/>
      </c>
      <c r="J60" s="311"/>
      <c r="K60" s="309" t="str">
        <f t="shared" si="2"/>
        <v/>
      </c>
      <c r="L60" s="312" t="str">
        <f t="shared" si="10"/>
        <v/>
      </c>
      <c r="M60" s="366" t="str">
        <f t="shared" si="3"/>
        <v/>
      </c>
      <c r="N60" s="328" t="str">
        <f t="shared" si="4"/>
        <v/>
      </c>
      <c r="O60" s="313" t="str">
        <f t="shared" si="5"/>
        <v/>
      </c>
      <c r="P60" s="307"/>
      <c r="Q60" s="309">
        <f t="shared" si="11"/>
        <v>0.8</v>
      </c>
      <c r="R60" s="307"/>
      <c r="S60" s="314">
        <f t="shared" si="12"/>
        <v>11.2</v>
      </c>
      <c r="T60" s="304" t="str">
        <f t="shared" si="6"/>
        <v/>
      </c>
      <c r="U60" s="304" t="str">
        <f>IF(A60=YTD!B$6,E60,IF(OR(A60&lt;YTD!B$6,A60&gt;YTD!B$10),"",U59+E60))</f>
        <v/>
      </c>
      <c r="V60" s="304" t="str">
        <f t="shared" si="13"/>
        <v/>
      </c>
      <c r="W60" s="315" t="e">
        <f>IF(I60="",#N/A,YTD!G$8-I60)</f>
        <v>#N/A</v>
      </c>
      <c r="X60" s="368">
        <f t="shared" si="7"/>
        <v>0</v>
      </c>
      <c r="Y60" s="368">
        <f t="shared" si="14"/>
        <v>0</v>
      </c>
      <c r="Z60" s="368" t="str">
        <f t="shared" si="8"/>
        <v/>
      </c>
      <c r="AA60" s="368">
        <v>45</v>
      </c>
      <c r="AB60" s="369">
        <f t="array" ref="AB60">SUM(IF(AA60=Z$16:Z$592,A$16:A$592,""))</f>
        <v>0</v>
      </c>
      <c r="AC60" s="370">
        <f t="array" ref="AC60">SUM(IF(AA60=Z$16:Z$592,J$16:J$592,""))</f>
        <v>0</v>
      </c>
      <c r="AD60" s="370">
        <f t="array" ref="AD60">SUM(IF($AA60=$Z$16:$Z$592,L$16:L$592,""))</f>
        <v>0</v>
      </c>
      <c r="AE60" s="370">
        <f t="array" ref="AE60">SUM(IF($AA60=$Z$16:$Z$592,M$16:M$592,""))</f>
        <v>0</v>
      </c>
      <c r="AF60" s="368">
        <f t="array" ref="AF60">SUM(IF($AA60=$Z$16:$Z$592,N$16:N$592,""))</f>
        <v>0</v>
      </c>
      <c r="AG60" s="370">
        <f t="array" ref="AG60">SUM(IF($AA60=$Z$16:$Z$592,O$16:O$592,""))</f>
        <v>0</v>
      </c>
      <c r="AH60" s="2"/>
      <c r="AI60" s="2"/>
      <c r="AJ60" s="2"/>
    </row>
    <row r="61" spans="1:36" x14ac:dyDescent="0.2">
      <c r="A61" s="306">
        <f>Crop!B94</f>
        <v>41685</v>
      </c>
      <c r="B61" s="307"/>
      <c r="C61" s="308"/>
      <c r="D61" s="304" t="str">
        <f>IF(OR($A61&lt;$A$3,$A61&gt;$A$7),"",Crop!$D94)</f>
        <v/>
      </c>
      <c r="E61" s="304" t="str">
        <f t="shared" si="9"/>
        <v/>
      </c>
      <c r="F61" s="304" t="str">
        <f>IF(OR(A61&lt;A$3,A61&gt;A$7),"",Crop!U94)</f>
        <v/>
      </c>
      <c r="G61" s="304" t="str">
        <f t="shared" si="0"/>
        <v/>
      </c>
      <c r="H61" s="309" t="str">
        <f>IF(OR(A61&lt;A$3,A61&gt;A$7),"",YTD!E58)</f>
        <v/>
      </c>
      <c r="I61" s="310" t="str">
        <f t="shared" si="1"/>
        <v/>
      </c>
      <c r="J61" s="311"/>
      <c r="K61" s="309" t="str">
        <f t="shared" si="2"/>
        <v/>
      </c>
      <c r="L61" s="312" t="str">
        <f t="shared" si="10"/>
        <v/>
      </c>
      <c r="M61" s="366" t="str">
        <f t="shared" si="3"/>
        <v/>
      </c>
      <c r="N61" s="328" t="str">
        <f t="shared" si="4"/>
        <v/>
      </c>
      <c r="O61" s="313" t="str">
        <f t="shared" si="5"/>
        <v/>
      </c>
      <c r="P61" s="307"/>
      <c r="Q61" s="309">
        <f t="shared" si="11"/>
        <v>0.8</v>
      </c>
      <c r="R61" s="307"/>
      <c r="S61" s="314">
        <f t="shared" si="12"/>
        <v>11.2</v>
      </c>
      <c r="T61" s="304" t="str">
        <f t="shared" si="6"/>
        <v/>
      </c>
      <c r="U61" s="304" t="str">
        <f>IF(A61=YTD!B$6,E61,IF(OR(A61&lt;YTD!B$6,A61&gt;YTD!B$10),"",U60+E61))</f>
        <v/>
      </c>
      <c r="V61" s="304" t="str">
        <f t="shared" si="13"/>
        <v/>
      </c>
      <c r="W61" s="315" t="e">
        <f>IF(I61="",#N/A,YTD!G$8-I61)</f>
        <v>#N/A</v>
      </c>
      <c r="X61" s="368">
        <f t="shared" si="7"/>
        <v>0</v>
      </c>
      <c r="Y61" s="368">
        <f t="shared" si="14"/>
        <v>0</v>
      </c>
      <c r="Z61" s="368" t="str">
        <f t="shared" si="8"/>
        <v/>
      </c>
      <c r="AA61" s="368">
        <v>46</v>
      </c>
      <c r="AB61" s="369">
        <f t="array" ref="AB61">SUM(IF(AA61=Z$16:Z$592,A$16:A$592,""))</f>
        <v>0</v>
      </c>
      <c r="AC61" s="370">
        <f t="array" ref="AC61">SUM(IF(AA61=Z$16:Z$592,J$16:J$592,""))</f>
        <v>0</v>
      </c>
      <c r="AD61" s="370">
        <f t="array" ref="AD61">SUM(IF($AA61=$Z$16:$Z$592,L$16:L$592,""))</f>
        <v>0</v>
      </c>
      <c r="AE61" s="370">
        <f t="array" ref="AE61">SUM(IF($AA61=$Z$16:$Z$592,M$16:M$592,""))</f>
        <v>0</v>
      </c>
      <c r="AF61" s="368">
        <f t="array" ref="AF61">SUM(IF($AA61=$Z$16:$Z$592,N$16:N$592,""))</f>
        <v>0</v>
      </c>
      <c r="AG61" s="370">
        <f t="array" ref="AG61">SUM(IF($AA61=$Z$16:$Z$592,O$16:O$592,""))</f>
        <v>0</v>
      </c>
      <c r="AH61" s="2"/>
      <c r="AI61" s="2"/>
      <c r="AJ61" s="2"/>
    </row>
    <row r="62" spans="1:36" x14ac:dyDescent="0.2">
      <c r="A62" s="306">
        <f>Crop!B95</f>
        <v>41686</v>
      </c>
      <c r="B62" s="307"/>
      <c r="C62" s="308"/>
      <c r="D62" s="304" t="str">
        <f>IF(OR($A62&lt;$A$3,$A62&gt;$A$7),"",Crop!$D95)</f>
        <v/>
      </c>
      <c r="E62" s="304" t="str">
        <f t="shared" si="9"/>
        <v/>
      </c>
      <c r="F62" s="304" t="str">
        <f>IF(OR(A62&lt;A$3,A62&gt;A$7),"",Crop!U95)</f>
        <v/>
      </c>
      <c r="G62" s="304" t="str">
        <f t="shared" si="0"/>
        <v/>
      </c>
      <c r="H62" s="309" t="str">
        <f>IF(OR(A62&lt;A$3,A62&gt;A$7),"",YTD!E59)</f>
        <v/>
      </c>
      <c r="I62" s="310" t="str">
        <f t="shared" si="1"/>
        <v/>
      </c>
      <c r="J62" s="311"/>
      <c r="K62" s="309" t="str">
        <f t="shared" si="2"/>
        <v/>
      </c>
      <c r="L62" s="312" t="str">
        <f t="shared" si="10"/>
        <v/>
      </c>
      <c r="M62" s="366" t="str">
        <f t="shared" si="3"/>
        <v/>
      </c>
      <c r="N62" s="328" t="str">
        <f t="shared" si="4"/>
        <v/>
      </c>
      <c r="O62" s="313" t="str">
        <f t="shared" si="5"/>
        <v/>
      </c>
      <c r="P62" s="307"/>
      <c r="Q62" s="309">
        <f t="shared" si="11"/>
        <v>0.8</v>
      </c>
      <c r="R62" s="307"/>
      <c r="S62" s="314">
        <f t="shared" si="12"/>
        <v>11.2</v>
      </c>
      <c r="T62" s="304" t="str">
        <f t="shared" si="6"/>
        <v/>
      </c>
      <c r="U62" s="304" t="str">
        <f>IF(A62=YTD!B$6,E62,IF(OR(A62&lt;YTD!B$6,A62&gt;YTD!B$10),"",U61+E62))</f>
        <v/>
      </c>
      <c r="V62" s="304" t="str">
        <f t="shared" si="13"/>
        <v/>
      </c>
      <c r="W62" s="315" t="e">
        <f>IF(I62="",#N/A,YTD!G$8-I62)</f>
        <v>#N/A</v>
      </c>
      <c r="X62" s="368">
        <f t="shared" si="7"/>
        <v>0</v>
      </c>
      <c r="Y62" s="368">
        <f t="shared" si="14"/>
        <v>0</v>
      </c>
      <c r="Z62" s="368" t="str">
        <f t="shared" si="8"/>
        <v/>
      </c>
      <c r="AA62" s="368">
        <v>47</v>
      </c>
      <c r="AB62" s="369">
        <f t="array" ref="AB62">SUM(IF(AA62=Z$16:Z$592,A$16:A$592,""))</f>
        <v>0</v>
      </c>
      <c r="AC62" s="370">
        <f t="array" ref="AC62">SUM(IF(AA62=Z$16:Z$592,J$16:J$592,""))</f>
        <v>0</v>
      </c>
      <c r="AD62" s="370">
        <f t="array" ref="AD62">SUM(IF($AA62=$Z$16:$Z$592,L$16:L$592,""))</f>
        <v>0</v>
      </c>
      <c r="AE62" s="370">
        <f t="array" ref="AE62">SUM(IF($AA62=$Z$16:$Z$592,M$16:M$592,""))</f>
        <v>0</v>
      </c>
      <c r="AF62" s="368">
        <f t="array" ref="AF62">SUM(IF($AA62=$Z$16:$Z$592,N$16:N$592,""))</f>
        <v>0</v>
      </c>
      <c r="AG62" s="370">
        <f t="array" ref="AG62">SUM(IF($AA62=$Z$16:$Z$592,O$16:O$592,""))</f>
        <v>0</v>
      </c>
      <c r="AH62" s="2"/>
      <c r="AI62" s="2"/>
      <c r="AJ62" s="2"/>
    </row>
    <row r="63" spans="1:36" x14ac:dyDescent="0.2">
      <c r="A63" s="306">
        <f>Crop!B96</f>
        <v>41687</v>
      </c>
      <c r="B63" s="307"/>
      <c r="C63" s="308"/>
      <c r="D63" s="304" t="str">
        <f>IF(OR($A63&lt;$A$3,$A63&gt;$A$7),"",Crop!$D96)</f>
        <v/>
      </c>
      <c r="E63" s="304" t="str">
        <f t="shared" si="9"/>
        <v/>
      </c>
      <c r="F63" s="304" t="str">
        <f>IF(OR(A63&lt;A$3,A63&gt;A$7),"",Crop!U96)</f>
        <v/>
      </c>
      <c r="G63" s="304" t="str">
        <f t="shared" si="0"/>
        <v/>
      </c>
      <c r="H63" s="309" t="str">
        <f>IF(OR(A63&lt;A$3,A63&gt;A$7),"",YTD!E60)</f>
        <v/>
      </c>
      <c r="I63" s="310" t="str">
        <f t="shared" si="1"/>
        <v/>
      </c>
      <c r="J63" s="311"/>
      <c r="K63" s="309" t="str">
        <f t="shared" si="2"/>
        <v/>
      </c>
      <c r="L63" s="312" t="str">
        <f t="shared" si="10"/>
        <v/>
      </c>
      <c r="M63" s="366" t="str">
        <f t="shared" si="3"/>
        <v/>
      </c>
      <c r="N63" s="328" t="str">
        <f t="shared" si="4"/>
        <v/>
      </c>
      <c r="O63" s="313" t="str">
        <f t="shared" si="5"/>
        <v/>
      </c>
      <c r="P63" s="307"/>
      <c r="Q63" s="309">
        <f t="shared" si="11"/>
        <v>0.8</v>
      </c>
      <c r="R63" s="307"/>
      <c r="S63" s="314">
        <f t="shared" si="12"/>
        <v>11.2</v>
      </c>
      <c r="T63" s="304" t="str">
        <f t="shared" si="6"/>
        <v/>
      </c>
      <c r="U63" s="304" t="str">
        <f>IF(A63=YTD!B$6,E63,IF(OR(A63&lt;YTD!B$6,A63&gt;YTD!B$10),"",U62+E63))</f>
        <v/>
      </c>
      <c r="V63" s="304" t="str">
        <f t="shared" si="13"/>
        <v/>
      </c>
      <c r="W63" s="315" t="e">
        <f>IF(I63="",#N/A,YTD!G$8-I63)</f>
        <v>#N/A</v>
      </c>
      <c r="X63" s="368">
        <f t="shared" si="7"/>
        <v>0</v>
      </c>
      <c r="Y63" s="368">
        <f t="shared" si="14"/>
        <v>0</v>
      </c>
      <c r="Z63" s="368" t="str">
        <f t="shared" si="8"/>
        <v/>
      </c>
      <c r="AA63" s="368">
        <v>48</v>
      </c>
      <c r="AB63" s="369">
        <f t="array" ref="AB63">SUM(IF(AA63=Z$16:Z$592,A$16:A$592,""))</f>
        <v>0</v>
      </c>
      <c r="AC63" s="370">
        <f t="array" ref="AC63">SUM(IF(AA63=Z$16:Z$592,J$16:J$592,""))</f>
        <v>0</v>
      </c>
      <c r="AD63" s="370">
        <f t="array" ref="AD63">SUM(IF($AA63=$Z$16:$Z$592,L$16:L$592,""))</f>
        <v>0</v>
      </c>
      <c r="AE63" s="370">
        <f t="array" ref="AE63">SUM(IF($AA63=$Z$16:$Z$592,M$16:M$592,""))</f>
        <v>0</v>
      </c>
      <c r="AF63" s="368">
        <f t="array" ref="AF63">SUM(IF($AA63=$Z$16:$Z$592,N$16:N$592,""))</f>
        <v>0</v>
      </c>
      <c r="AG63" s="370">
        <f t="array" ref="AG63">SUM(IF($AA63=$Z$16:$Z$592,O$16:O$592,""))</f>
        <v>0</v>
      </c>
      <c r="AH63" s="2"/>
      <c r="AI63" s="2"/>
      <c r="AJ63" s="2"/>
    </row>
    <row r="64" spans="1:36" x14ac:dyDescent="0.2">
      <c r="A64" s="306">
        <f>Crop!B97</f>
        <v>41688</v>
      </c>
      <c r="B64" s="307"/>
      <c r="C64" s="308"/>
      <c r="D64" s="304" t="str">
        <f>IF(OR($A64&lt;$A$3,$A64&gt;$A$7),"",Crop!$D97)</f>
        <v/>
      </c>
      <c r="E64" s="304" t="str">
        <f t="shared" si="9"/>
        <v/>
      </c>
      <c r="F64" s="304" t="str">
        <f>IF(OR(A64&lt;A$3,A64&gt;A$7),"",Crop!U97)</f>
        <v/>
      </c>
      <c r="G64" s="304" t="str">
        <f t="shared" si="0"/>
        <v/>
      </c>
      <c r="H64" s="309" t="str">
        <f>IF(OR(A64&lt;A$3,A64&gt;A$7),"",YTD!E61)</f>
        <v/>
      </c>
      <c r="I64" s="310" t="str">
        <f t="shared" si="1"/>
        <v/>
      </c>
      <c r="J64" s="311"/>
      <c r="K64" s="309" t="str">
        <f t="shared" si="2"/>
        <v/>
      </c>
      <c r="L64" s="312" t="str">
        <f t="shared" si="10"/>
        <v/>
      </c>
      <c r="M64" s="366" t="str">
        <f t="shared" si="3"/>
        <v/>
      </c>
      <c r="N64" s="328" t="str">
        <f t="shared" si="4"/>
        <v/>
      </c>
      <c r="O64" s="313" t="str">
        <f t="shared" si="5"/>
        <v/>
      </c>
      <c r="P64" s="307"/>
      <c r="Q64" s="309">
        <f t="shared" si="11"/>
        <v>0.8</v>
      </c>
      <c r="R64" s="307"/>
      <c r="S64" s="314">
        <f t="shared" si="12"/>
        <v>11.2</v>
      </c>
      <c r="T64" s="304" t="str">
        <f t="shared" si="6"/>
        <v/>
      </c>
      <c r="U64" s="304" t="str">
        <f>IF(A64=YTD!B$6,E64,IF(OR(A64&lt;YTD!B$6,A64&gt;YTD!B$10),"",U63+E64))</f>
        <v/>
      </c>
      <c r="V64" s="304" t="str">
        <f t="shared" si="13"/>
        <v/>
      </c>
      <c r="W64" s="315" t="e">
        <f>IF(I64="",#N/A,YTD!G$8-I64)</f>
        <v>#N/A</v>
      </c>
      <c r="X64" s="368">
        <f t="shared" si="7"/>
        <v>0</v>
      </c>
      <c r="Y64" s="368">
        <f t="shared" si="14"/>
        <v>0</v>
      </c>
      <c r="Z64" s="368" t="str">
        <f t="shared" si="8"/>
        <v/>
      </c>
      <c r="AA64" s="368">
        <v>49</v>
      </c>
      <c r="AB64" s="369">
        <f t="array" ref="AB64">SUM(IF(AA64=Z$16:Z$592,A$16:A$592,""))</f>
        <v>0</v>
      </c>
      <c r="AC64" s="370">
        <f t="array" ref="AC64">SUM(IF(AA64=Z$16:Z$592,J$16:J$592,""))</f>
        <v>0</v>
      </c>
      <c r="AD64" s="370">
        <f t="array" ref="AD64">SUM(IF($AA64=$Z$16:$Z$592,L$16:L$592,""))</f>
        <v>0</v>
      </c>
      <c r="AE64" s="370">
        <f t="array" ref="AE64">SUM(IF($AA64=$Z$16:$Z$592,M$16:M$592,""))</f>
        <v>0</v>
      </c>
      <c r="AF64" s="368">
        <f t="array" ref="AF64">SUM(IF($AA64=$Z$16:$Z$592,N$16:N$592,""))</f>
        <v>0</v>
      </c>
      <c r="AG64" s="370">
        <f t="array" ref="AG64">SUM(IF($AA64=$Z$16:$Z$592,O$16:O$592,""))</f>
        <v>0</v>
      </c>
      <c r="AH64" s="2"/>
      <c r="AI64" s="2"/>
      <c r="AJ64" s="2"/>
    </row>
    <row r="65" spans="1:36" x14ac:dyDescent="0.2">
      <c r="A65" s="306">
        <f>Crop!B98</f>
        <v>41689</v>
      </c>
      <c r="B65" s="307"/>
      <c r="C65" s="308"/>
      <c r="D65" s="304" t="str">
        <f>IF(OR($A65&lt;$A$3,$A65&gt;$A$7),"",Crop!$D98)</f>
        <v/>
      </c>
      <c r="E65" s="304" t="str">
        <f t="shared" si="9"/>
        <v/>
      </c>
      <c r="F65" s="304" t="str">
        <f>IF(OR(A65&lt;A$3,A65&gt;A$7),"",Crop!U98)</f>
        <v/>
      </c>
      <c r="G65" s="304" t="str">
        <f t="shared" si="0"/>
        <v/>
      </c>
      <c r="H65" s="309" t="str">
        <f>IF(OR(A65&lt;A$3,A65&gt;A$7),"",YTD!E62)</f>
        <v/>
      </c>
      <c r="I65" s="310" t="str">
        <f t="shared" si="1"/>
        <v/>
      </c>
      <c r="J65" s="311"/>
      <c r="K65" s="309" t="str">
        <f t="shared" si="2"/>
        <v/>
      </c>
      <c r="L65" s="312" t="str">
        <f t="shared" si="10"/>
        <v/>
      </c>
      <c r="M65" s="366" t="str">
        <f t="shared" si="3"/>
        <v/>
      </c>
      <c r="N65" s="328" t="str">
        <f t="shared" si="4"/>
        <v/>
      </c>
      <c r="O65" s="313" t="str">
        <f t="shared" si="5"/>
        <v/>
      </c>
      <c r="P65" s="307"/>
      <c r="Q65" s="309">
        <f t="shared" si="11"/>
        <v>0.8</v>
      </c>
      <c r="R65" s="307"/>
      <c r="S65" s="314">
        <f t="shared" si="12"/>
        <v>11.2</v>
      </c>
      <c r="T65" s="304" t="str">
        <f t="shared" si="6"/>
        <v/>
      </c>
      <c r="U65" s="304" t="str">
        <f>IF(A65=YTD!B$6,E65,IF(OR(A65&lt;YTD!B$6,A65&gt;YTD!B$10),"",U64+E65))</f>
        <v/>
      </c>
      <c r="V65" s="304" t="str">
        <f t="shared" si="13"/>
        <v/>
      </c>
      <c r="W65" s="315" t="e">
        <f>IF(I65="",#N/A,YTD!G$8-I65)</f>
        <v>#N/A</v>
      </c>
      <c r="X65" s="368">
        <f t="shared" si="7"/>
        <v>0</v>
      </c>
      <c r="Y65" s="368">
        <f t="shared" si="14"/>
        <v>0</v>
      </c>
      <c r="Z65" s="368" t="str">
        <f t="shared" si="8"/>
        <v/>
      </c>
      <c r="AA65" s="368">
        <v>50</v>
      </c>
      <c r="AB65" s="369">
        <f t="array" ref="AB65">SUM(IF(AA65=Z$16:Z$592,A$16:A$592,""))</f>
        <v>0</v>
      </c>
      <c r="AC65" s="370">
        <f t="array" ref="AC65">SUM(IF(AA65=Z$16:Z$592,J$16:J$592,""))</f>
        <v>0</v>
      </c>
      <c r="AD65" s="370">
        <f t="array" ref="AD65">SUM(IF($AA65=$Z$16:$Z$592,L$16:L$592,""))</f>
        <v>0</v>
      </c>
      <c r="AE65" s="370">
        <f t="array" ref="AE65">SUM(IF($AA65=$Z$16:$Z$592,M$16:M$592,""))</f>
        <v>0</v>
      </c>
      <c r="AF65" s="368">
        <f t="array" ref="AF65">SUM(IF($AA65=$Z$16:$Z$592,N$16:N$592,""))</f>
        <v>0</v>
      </c>
      <c r="AG65" s="370">
        <f t="array" ref="AG65">SUM(IF($AA65=$Z$16:$Z$592,O$16:O$592,""))</f>
        <v>0</v>
      </c>
      <c r="AH65" s="2"/>
      <c r="AI65" s="2"/>
      <c r="AJ65" s="2"/>
    </row>
    <row r="66" spans="1:36" x14ac:dyDescent="0.2">
      <c r="A66" s="306">
        <f>Crop!B99</f>
        <v>41690</v>
      </c>
      <c r="B66" s="307"/>
      <c r="C66" s="308"/>
      <c r="D66" s="304" t="str">
        <f>IF(OR($A66&lt;$A$3,$A66&gt;$A$7),"",Crop!$D99)</f>
        <v/>
      </c>
      <c r="E66" s="304" t="str">
        <f t="shared" si="9"/>
        <v/>
      </c>
      <c r="F66" s="304" t="str">
        <f>IF(OR(A66&lt;A$3,A66&gt;A$7),"",Crop!U99)</f>
        <v/>
      </c>
      <c r="G66" s="304" t="str">
        <f t="shared" si="0"/>
        <v/>
      </c>
      <c r="H66" s="309" t="str">
        <f>IF(OR(A66&lt;A$3,A66&gt;A$7),"",YTD!E63)</f>
        <v/>
      </c>
      <c r="I66" s="310" t="str">
        <f t="shared" si="1"/>
        <v/>
      </c>
      <c r="J66" s="311"/>
      <c r="K66" s="309" t="str">
        <f t="shared" si="2"/>
        <v/>
      </c>
      <c r="L66" s="312" t="str">
        <f t="shared" si="10"/>
        <v/>
      </c>
      <c r="M66" s="366" t="str">
        <f t="shared" si="3"/>
        <v/>
      </c>
      <c r="N66" s="328" t="str">
        <f t="shared" si="4"/>
        <v/>
      </c>
      <c r="O66" s="313" t="str">
        <f t="shared" si="5"/>
        <v/>
      </c>
      <c r="P66" s="307"/>
      <c r="Q66" s="309">
        <f t="shared" si="11"/>
        <v>0.8</v>
      </c>
      <c r="R66" s="307"/>
      <c r="S66" s="314">
        <f t="shared" si="12"/>
        <v>11.2</v>
      </c>
      <c r="T66" s="304" t="str">
        <f t="shared" si="6"/>
        <v/>
      </c>
      <c r="U66" s="304" t="str">
        <f>IF(A66=YTD!B$6,E66,IF(OR(A66&lt;YTD!B$6,A66&gt;YTD!B$10),"",U65+E66))</f>
        <v/>
      </c>
      <c r="V66" s="304" t="str">
        <f t="shared" si="13"/>
        <v/>
      </c>
      <c r="W66" s="315" t="e">
        <f>IF(I66="",#N/A,YTD!G$8-I66)</f>
        <v>#N/A</v>
      </c>
      <c r="X66" s="368">
        <f t="shared" si="7"/>
        <v>0</v>
      </c>
      <c r="Y66" s="368">
        <f t="shared" si="14"/>
        <v>0</v>
      </c>
      <c r="Z66" s="368" t="str">
        <f t="shared" si="8"/>
        <v/>
      </c>
      <c r="AA66" s="368">
        <v>51</v>
      </c>
      <c r="AB66" s="369">
        <f t="array" ref="AB66">SUM(IF(AA66=Z$16:Z$592,A$16:A$592,""))</f>
        <v>0</v>
      </c>
      <c r="AC66" s="370">
        <f t="array" ref="AC66">SUM(IF(AA66=Z$16:Z$592,J$16:J$592,""))</f>
        <v>0</v>
      </c>
      <c r="AD66" s="370">
        <f t="array" ref="AD66">SUM(IF($AA66=$Z$16:$Z$592,L$16:L$592,""))</f>
        <v>0</v>
      </c>
      <c r="AE66" s="370">
        <f t="array" ref="AE66">SUM(IF($AA66=$Z$16:$Z$592,M$16:M$592,""))</f>
        <v>0</v>
      </c>
      <c r="AF66" s="368">
        <f t="array" ref="AF66">SUM(IF($AA66=$Z$16:$Z$592,N$16:N$592,""))</f>
        <v>0</v>
      </c>
      <c r="AG66" s="370">
        <f t="array" ref="AG66">SUM(IF($AA66=$Z$16:$Z$592,O$16:O$592,""))</f>
        <v>0</v>
      </c>
      <c r="AH66" s="2"/>
      <c r="AI66" s="2"/>
      <c r="AJ66" s="2"/>
    </row>
    <row r="67" spans="1:36" x14ac:dyDescent="0.2">
      <c r="A67" s="306">
        <f>Crop!B100</f>
        <v>41691</v>
      </c>
      <c r="B67" s="307"/>
      <c r="C67" s="308"/>
      <c r="D67" s="304" t="str">
        <f>IF(OR($A67&lt;$A$3,$A67&gt;$A$7),"",Crop!$D100)</f>
        <v/>
      </c>
      <c r="E67" s="304" t="str">
        <f t="shared" si="9"/>
        <v/>
      </c>
      <c r="F67" s="304" t="str">
        <f>IF(OR(A67&lt;A$3,A67&gt;A$7),"",Crop!U100)</f>
        <v/>
      </c>
      <c r="G67" s="304" t="str">
        <f t="shared" si="0"/>
        <v/>
      </c>
      <c r="H67" s="309" t="str">
        <f>IF(OR(A67&lt;A$3,A67&gt;A$7),"",YTD!E64)</f>
        <v/>
      </c>
      <c r="I67" s="310" t="str">
        <f t="shared" si="1"/>
        <v/>
      </c>
      <c r="J67" s="311"/>
      <c r="K67" s="309" t="str">
        <f t="shared" si="2"/>
        <v/>
      </c>
      <c r="L67" s="312" t="str">
        <f t="shared" si="10"/>
        <v/>
      </c>
      <c r="M67" s="366" t="str">
        <f t="shared" si="3"/>
        <v/>
      </c>
      <c r="N67" s="328" t="str">
        <f t="shared" si="4"/>
        <v/>
      </c>
      <c r="O67" s="313" t="str">
        <f t="shared" si="5"/>
        <v/>
      </c>
      <c r="P67" s="307"/>
      <c r="Q67" s="309">
        <f t="shared" si="11"/>
        <v>0.8</v>
      </c>
      <c r="R67" s="307"/>
      <c r="S67" s="314">
        <f t="shared" si="12"/>
        <v>11.2</v>
      </c>
      <c r="T67" s="304" t="str">
        <f t="shared" si="6"/>
        <v/>
      </c>
      <c r="U67" s="304" t="str">
        <f>IF(A67=YTD!B$6,E67,IF(OR(A67&lt;YTD!B$6,A67&gt;YTD!B$10),"",U66+E67))</f>
        <v/>
      </c>
      <c r="V67" s="304" t="str">
        <f t="shared" si="13"/>
        <v/>
      </c>
      <c r="W67" s="315" t="e">
        <f>IF(I67="",#N/A,YTD!G$8-I67)</f>
        <v>#N/A</v>
      </c>
      <c r="X67" s="368">
        <f t="shared" si="7"/>
        <v>0</v>
      </c>
      <c r="Y67" s="368">
        <f t="shared" si="14"/>
        <v>0</v>
      </c>
      <c r="Z67" s="368" t="str">
        <f t="shared" si="8"/>
        <v/>
      </c>
      <c r="AA67" s="368">
        <v>52</v>
      </c>
      <c r="AB67" s="369">
        <f t="array" ref="AB67">SUM(IF(AA67=Z$16:Z$592,A$16:A$592,""))</f>
        <v>0</v>
      </c>
      <c r="AC67" s="370">
        <f t="array" ref="AC67">SUM(IF(AA67=Z$16:Z$592,J$16:J$592,""))</f>
        <v>0</v>
      </c>
      <c r="AD67" s="370">
        <f t="array" ref="AD67">SUM(IF($AA67=$Z$16:$Z$592,L$16:L$592,""))</f>
        <v>0</v>
      </c>
      <c r="AE67" s="370">
        <f t="array" ref="AE67">SUM(IF($AA67=$Z$16:$Z$592,M$16:M$592,""))</f>
        <v>0</v>
      </c>
      <c r="AF67" s="368">
        <f t="array" ref="AF67">SUM(IF($AA67=$Z$16:$Z$592,N$16:N$592,""))</f>
        <v>0</v>
      </c>
      <c r="AG67" s="370">
        <f t="array" ref="AG67">SUM(IF($AA67=$Z$16:$Z$592,O$16:O$592,""))</f>
        <v>0</v>
      </c>
      <c r="AH67" s="2"/>
      <c r="AI67" s="2"/>
      <c r="AJ67" s="2"/>
    </row>
    <row r="68" spans="1:36" x14ac:dyDescent="0.2">
      <c r="A68" s="306">
        <f>Crop!B101</f>
        <v>41692</v>
      </c>
      <c r="B68" s="307"/>
      <c r="C68" s="308"/>
      <c r="D68" s="304" t="str">
        <f>IF(OR($A68&lt;$A$3,$A68&gt;$A$7),"",Crop!$D101)</f>
        <v/>
      </c>
      <c r="E68" s="304" t="str">
        <f t="shared" si="9"/>
        <v/>
      </c>
      <c r="F68" s="304" t="str">
        <f>IF(OR(A68&lt;A$3,A68&gt;A$7),"",Crop!U101)</f>
        <v/>
      </c>
      <c r="G68" s="304" t="str">
        <f t="shared" si="0"/>
        <v/>
      </c>
      <c r="H68" s="309" t="str">
        <f>IF(OR(A68&lt;A$3,A68&gt;A$7),"",YTD!E65)</f>
        <v/>
      </c>
      <c r="I68" s="310" t="str">
        <f t="shared" si="1"/>
        <v/>
      </c>
      <c r="J68" s="311"/>
      <c r="K68" s="309" t="str">
        <f t="shared" si="2"/>
        <v/>
      </c>
      <c r="L68" s="312" t="str">
        <f t="shared" si="10"/>
        <v/>
      </c>
      <c r="M68" s="366" t="str">
        <f t="shared" si="3"/>
        <v/>
      </c>
      <c r="N68" s="328" t="str">
        <f t="shared" si="4"/>
        <v/>
      </c>
      <c r="O68" s="313" t="str">
        <f t="shared" si="5"/>
        <v/>
      </c>
      <c r="P68" s="307"/>
      <c r="Q68" s="309">
        <f t="shared" si="11"/>
        <v>0.8</v>
      </c>
      <c r="R68" s="307"/>
      <c r="S68" s="314">
        <f t="shared" si="12"/>
        <v>11.2</v>
      </c>
      <c r="T68" s="304" t="str">
        <f t="shared" si="6"/>
        <v/>
      </c>
      <c r="U68" s="304" t="str">
        <f>IF(A68=YTD!B$6,E68,IF(OR(A68&lt;YTD!B$6,A68&gt;YTD!B$10),"",U67+E68))</f>
        <v/>
      </c>
      <c r="V68" s="304" t="str">
        <f t="shared" si="13"/>
        <v/>
      </c>
      <c r="W68" s="315" t="e">
        <f>IF(I68="",#N/A,YTD!G$8-I68)</f>
        <v>#N/A</v>
      </c>
      <c r="X68" s="368">
        <f t="shared" si="7"/>
        <v>0</v>
      </c>
      <c r="Y68" s="368">
        <f t="shared" si="14"/>
        <v>0</v>
      </c>
      <c r="Z68" s="368" t="str">
        <f t="shared" si="8"/>
        <v/>
      </c>
      <c r="AA68" s="368">
        <v>53</v>
      </c>
      <c r="AB68" s="369">
        <f t="array" ref="AB68">SUM(IF(AA68=Z$16:Z$592,A$16:A$592,""))</f>
        <v>0</v>
      </c>
      <c r="AC68" s="370">
        <f t="array" ref="AC68">SUM(IF(AA68=Z$16:Z$592,J$16:J$592,""))</f>
        <v>0</v>
      </c>
      <c r="AD68" s="370">
        <f t="array" ref="AD68">SUM(IF($AA68=$Z$16:$Z$592,L$16:L$592,""))</f>
        <v>0</v>
      </c>
      <c r="AE68" s="370">
        <f t="array" ref="AE68">SUM(IF($AA68=$Z$16:$Z$592,M$16:M$592,""))</f>
        <v>0</v>
      </c>
      <c r="AF68" s="368">
        <f t="array" ref="AF68">SUM(IF($AA68=$Z$16:$Z$592,N$16:N$592,""))</f>
        <v>0</v>
      </c>
      <c r="AG68" s="370">
        <f t="array" ref="AG68">SUM(IF($AA68=$Z$16:$Z$592,O$16:O$592,""))</f>
        <v>0</v>
      </c>
      <c r="AH68" s="2"/>
      <c r="AI68" s="2"/>
      <c r="AJ68" s="2"/>
    </row>
    <row r="69" spans="1:36" x14ac:dyDescent="0.2">
      <c r="A69" s="306">
        <f>Crop!B102</f>
        <v>41693</v>
      </c>
      <c r="B69" s="307"/>
      <c r="C69" s="308"/>
      <c r="D69" s="304" t="str">
        <f>IF(OR($A69&lt;$A$3,$A69&gt;$A$7),"",Crop!$D102)</f>
        <v/>
      </c>
      <c r="E69" s="304" t="str">
        <f t="shared" si="9"/>
        <v/>
      </c>
      <c r="F69" s="304" t="str">
        <f>IF(OR(A69&lt;A$3,A69&gt;A$7),"",Crop!U102)</f>
        <v/>
      </c>
      <c r="G69" s="304" t="str">
        <f t="shared" si="0"/>
        <v/>
      </c>
      <c r="H69" s="309" t="str">
        <f>IF(OR(A69&lt;A$3,A69&gt;A$7),"",YTD!E66)</f>
        <v/>
      </c>
      <c r="I69" s="310" t="str">
        <f t="shared" si="1"/>
        <v/>
      </c>
      <c r="J69" s="311"/>
      <c r="K69" s="309" t="str">
        <f t="shared" si="2"/>
        <v/>
      </c>
      <c r="L69" s="312" t="str">
        <f t="shared" si="10"/>
        <v/>
      </c>
      <c r="M69" s="366" t="str">
        <f t="shared" si="3"/>
        <v/>
      </c>
      <c r="N69" s="328" t="str">
        <f t="shared" si="4"/>
        <v/>
      </c>
      <c r="O69" s="313" t="str">
        <f t="shared" si="5"/>
        <v/>
      </c>
      <c r="P69" s="307"/>
      <c r="Q69" s="309">
        <f t="shared" si="11"/>
        <v>0.8</v>
      </c>
      <c r="R69" s="307"/>
      <c r="S69" s="314">
        <f t="shared" si="12"/>
        <v>11.2</v>
      </c>
      <c r="T69" s="304" t="str">
        <f t="shared" si="6"/>
        <v/>
      </c>
      <c r="U69" s="304" t="str">
        <f>IF(A69=YTD!B$6,E69,IF(OR(A69&lt;YTD!B$6,A69&gt;YTD!B$10),"",U68+E69))</f>
        <v/>
      </c>
      <c r="V69" s="304" t="str">
        <f t="shared" si="13"/>
        <v/>
      </c>
      <c r="W69" s="315" t="e">
        <f>IF(I69="",#N/A,YTD!G$8-I69)</f>
        <v>#N/A</v>
      </c>
      <c r="X69" s="368">
        <f t="shared" si="7"/>
        <v>0</v>
      </c>
      <c r="Y69" s="368">
        <f t="shared" si="14"/>
        <v>0</v>
      </c>
      <c r="Z69" s="368" t="str">
        <f t="shared" si="8"/>
        <v/>
      </c>
      <c r="AA69" s="368">
        <v>54</v>
      </c>
      <c r="AB69" s="369">
        <f t="array" ref="AB69">SUM(IF(AA69=Z$16:Z$592,A$16:A$592,""))</f>
        <v>0</v>
      </c>
      <c r="AC69" s="370">
        <f t="array" ref="AC69">SUM(IF(AA69=Z$16:Z$592,J$16:J$592,""))</f>
        <v>0</v>
      </c>
      <c r="AD69" s="370">
        <f t="array" ref="AD69">SUM(IF($AA69=$Z$16:$Z$592,L$16:L$592,""))</f>
        <v>0</v>
      </c>
      <c r="AE69" s="370">
        <f t="array" ref="AE69">SUM(IF($AA69=$Z$16:$Z$592,M$16:M$592,""))</f>
        <v>0</v>
      </c>
      <c r="AF69" s="368">
        <f t="array" ref="AF69">SUM(IF($AA69=$Z$16:$Z$592,N$16:N$592,""))</f>
        <v>0</v>
      </c>
      <c r="AG69" s="370">
        <f t="array" ref="AG69">SUM(IF($AA69=$Z$16:$Z$592,O$16:O$592,""))</f>
        <v>0</v>
      </c>
      <c r="AH69" s="2"/>
      <c r="AI69" s="2"/>
      <c r="AJ69" s="2"/>
    </row>
    <row r="70" spans="1:36" x14ac:dyDescent="0.2">
      <c r="A70" s="306">
        <f>Crop!B103</f>
        <v>41694</v>
      </c>
      <c r="B70" s="307"/>
      <c r="C70" s="308"/>
      <c r="D70" s="304" t="str">
        <f>IF(OR($A70&lt;$A$3,$A70&gt;$A$7),"",Crop!$D103)</f>
        <v/>
      </c>
      <c r="E70" s="304" t="str">
        <f t="shared" si="9"/>
        <v/>
      </c>
      <c r="F70" s="304" t="str">
        <f>IF(OR(A70&lt;A$3,A70&gt;A$7),"",Crop!U103)</f>
        <v/>
      </c>
      <c r="G70" s="304" t="str">
        <f t="shared" si="0"/>
        <v/>
      </c>
      <c r="H70" s="309" t="str">
        <f>IF(OR(A70&lt;A$3,A70&gt;A$7),"",YTD!E67)</f>
        <v/>
      </c>
      <c r="I70" s="310" t="str">
        <f t="shared" si="1"/>
        <v/>
      </c>
      <c r="J70" s="311"/>
      <c r="K70" s="309" t="str">
        <f t="shared" si="2"/>
        <v/>
      </c>
      <c r="L70" s="312" t="str">
        <f t="shared" si="10"/>
        <v/>
      </c>
      <c r="M70" s="366" t="str">
        <f t="shared" si="3"/>
        <v/>
      </c>
      <c r="N70" s="328" t="str">
        <f t="shared" si="4"/>
        <v/>
      </c>
      <c r="O70" s="313" t="str">
        <f t="shared" si="5"/>
        <v/>
      </c>
      <c r="P70" s="307"/>
      <c r="Q70" s="309">
        <f t="shared" si="11"/>
        <v>0.8</v>
      </c>
      <c r="R70" s="307"/>
      <c r="S70" s="314">
        <f t="shared" si="12"/>
        <v>11.2</v>
      </c>
      <c r="T70" s="304" t="str">
        <f t="shared" si="6"/>
        <v/>
      </c>
      <c r="U70" s="304" t="str">
        <f>IF(A70=YTD!B$6,E70,IF(OR(A70&lt;YTD!B$6,A70&gt;YTD!B$10),"",U69+E70))</f>
        <v/>
      </c>
      <c r="V70" s="304" t="str">
        <f t="shared" si="13"/>
        <v/>
      </c>
      <c r="W70" s="315" t="e">
        <f>IF(I70="",#N/A,YTD!G$8-I70)</f>
        <v>#N/A</v>
      </c>
      <c r="X70" s="368">
        <f t="shared" si="7"/>
        <v>0</v>
      </c>
      <c r="Y70" s="368">
        <f t="shared" si="14"/>
        <v>0</v>
      </c>
      <c r="Z70" s="368" t="str">
        <f t="shared" si="8"/>
        <v/>
      </c>
      <c r="AA70" s="368">
        <v>55</v>
      </c>
      <c r="AB70" s="369">
        <f t="array" ref="AB70">SUM(IF(AA70=Z$16:Z$592,A$16:A$592,""))</f>
        <v>0</v>
      </c>
      <c r="AC70" s="370">
        <f t="array" ref="AC70">SUM(IF(AA70=Z$16:Z$592,J$16:J$592,""))</f>
        <v>0</v>
      </c>
      <c r="AD70" s="370">
        <f t="array" ref="AD70">SUM(IF($AA70=$Z$16:$Z$592,L$16:L$592,""))</f>
        <v>0</v>
      </c>
      <c r="AE70" s="370">
        <f t="array" ref="AE70">SUM(IF($AA70=$Z$16:$Z$592,M$16:M$592,""))</f>
        <v>0</v>
      </c>
      <c r="AF70" s="368">
        <f t="array" ref="AF70">SUM(IF($AA70=$Z$16:$Z$592,N$16:N$592,""))</f>
        <v>0</v>
      </c>
      <c r="AG70" s="370">
        <f t="array" ref="AG70">SUM(IF($AA70=$Z$16:$Z$592,O$16:O$592,""))</f>
        <v>0</v>
      </c>
      <c r="AH70" s="2"/>
      <c r="AI70" s="2"/>
      <c r="AJ70" s="2"/>
    </row>
    <row r="71" spans="1:36" x14ac:dyDescent="0.2">
      <c r="A71" s="306">
        <f>Crop!B104</f>
        <v>41695</v>
      </c>
      <c r="B71" s="307"/>
      <c r="C71" s="308"/>
      <c r="D71" s="304" t="str">
        <f>IF(OR($A71&lt;$A$3,$A71&gt;$A$7),"",Crop!$D104)</f>
        <v/>
      </c>
      <c r="E71" s="304" t="str">
        <f t="shared" si="9"/>
        <v/>
      </c>
      <c r="F71" s="304" t="str">
        <f>IF(OR(A71&lt;A$3,A71&gt;A$7),"",Crop!U104)</f>
        <v/>
      </c>
      <c r="G71" s="304" t="str">
        <f t="shared" si="0"/>
        <v/>
      </c>
      <c r="H71" s="309" t="str">
        <f>IF(OR(A71&lt;A$3,A71&gt;A$7),"",YTD!E68)</f>
        <v/>
      </c>
      <c r="I71" s="310" t="str">
        <f t="shared" si="1"/>
        <v/>
      </c>
      <c r="J71" s="311"/>
      <c r="K71" s="309" t="str">
        <f t="shared" si="2"/>
        <v/>
      </c>
      <c r="L71" s="312" t="str">
        <f t="shared" si="10"/>
        <v/>
      </c>
      <c r="M71" s="366" t="str">
        <f t="shared" si="3"/>
        <v/>
      </c>
      <c r="N71" s="328" t="str">
        <f t="shared" si="4"/>
        <v/>
      </c>
      <c r="O71" s="313" t="str">
        <f t="shared" si="5"/>
        <v/>
      </c>
      <c r="P71" s="307"/>
      <c r="Q71" s="309">
        <f t="shared" si="11"/>
        <v>0.8</v>
      </c>
      <c r="R71" s="307"/>
      <c r="S71" s="314">
        <f t="shared" si="12"/>
        <v>11.2</v>
      </c>
      <c r="T71" s="304" t="str">
        <f t="shared" si="6"/>
        <v/>
      </c>
      <c r="U71" s="304" t="str">
        <f>IF(A71=YTD!B$6,E71,IF(OR(A71&lt;YTD!B$6,A71&gt;YTD!B$10),"",U70+E71))</f>
        <v/>
      </c>
      <c r="V71" s="304" t="str">
        <f t="shared" si="13"/>
        <v/>
      </c>
      <c r="W71" s="315" t="e">
        <f>IF(I71="",#N/A,YTD!G$8-I71)</f>
        <v>#N/A</v>
      </c>
      <c r="X71" s="368">
        <f t="shared" si="7"/>
        <v>0</v>
      </c>
      <c r="Y71" s="368">
        <f t="shared" si="14"/>
        <v>0</v>
      </c>
      <c r="Z71" s="368" t="str">
        <f t="shared" si="8"/>
        <v/>
      </c>
      <c r="AA71" s="368">
        <v>56</v>
      </c>
      <c r="AB71" s="369">
        <f t="array" ref="AB71">SUM(IF(AA71=Z$16:Z$592,A$16:A$592,""))</f>
        <v>0</v>
      </c>
      <c r="AC71" s="370">
        <f t="array" ref="AC71">SUM(IF(AA71=Z$16:Z$592,J$16:J$592,""))</f>
        <v>0</v>
      </c>
      <c r="AD71" s="370">
        <f t="array" ref="AD71">SUM(IF($AA71=$Z$16:$Z$592,L$16:L$592,""))</f>
        <v>0</v>
      </c>
      <c r="AE71" s="370">
        <f t="array" ref="AE71">SUM(IF($AA71=$Z$16:$Z$592,M$16:M$592,""))</f>
        <v>0</v>
      </c>
      <c r="AF71" s="368">
        <f t="array" ref="AF71">SUM(IF($AA71=$Z$16:$Z$592,N$16:N$592,""))</f>
        <v>0</v>
      </c>
      <c r="AG71" s="370">
        <f t="array" ref="AG71">SUM(IF($AA71=$Z$16:$Z$592,O$16:O$592,""))</f>
        <v>0</v>
      </c>
      <c r="AH71" s="2"/>
      <c r="AI71" s="2"/>
      <c r="AJ71" s="2"/>
    </row>
    <row r="72" spans="1:36" x14ac:dyDescent="0.2">
      <c r="A72" s="306">
        <f>Crop!B105</f>
        <v>41696</v>
      </c>
      <c r="B72" s="307"/>
      <c r="C72" s="308"/>
      <c r="D72" s="304" t="str">
        <f>IF(OR($A72&lt;$A$3,$A72&gt;$A$7),"",Crop!$D105)</f>
        <v/>
      </c>
      <c r="E72" s="304" t="str">
        <f t="shared" si="9"/>
        <v/>
      </c>
      <c r="F72" s="304" t="str">
        <f>IF(OR(A72&lt;A$3,A72&gt;A$7),"",Crop!U105)</f>
        <v/>
      </c>
      <c r="G72" s="304" t="str">
        <f t="shared" si="0"/>
        <v/>
      </c>
      <c r="H72" s="309" t="str">
        <f>IF(OR(A72&lt;A$3,A72&gt;A$7),"",YTD!E69)</f>
        <v/>
      </c>
      <c r="I72" s="310" t="str">
        <f t="shared" si="1"/>
        <v/>
      </c>
      <c r="J72" s="311"/>
      <c r="K72" s="309" t="str">
        <f t="shared" si="2"/>
        <v/>
      </c>
      <c r="L72" s="312" t="str">
        <f t="shared" si="10"/>
        <v/>
      </c>
      <c r="M72" s="366" t="str">
        <f t="shared" si="3"/>
        <v/>
      </c>
      <c r="N72" s="328" t="str">
        <f t="shared" si="4"/>
        <v/>
      </c>
      <c r="O72" s="313" t="str">
        <f t="shared" si="5"/>
        <v/>
      </c>
      <c r="P72" s="307"/>
      <c r="Q72" s="309">
        <f t="shared" si="11"/>
        <v>0.8</v>
      </c>
      <c r="R72" s="307"/>
      <c r="S72" s="314">
        <f t="shared" si="12"/>
        <v>11.2</v>
      </c>
      <c r="T72" s="304" t="str">
        <f t="shared" si="6"/>
        <v/>
      </c>
      <c r="U72" s="304" t="str">
        <f>IF(A72=YTD!B$6,E72,IF(OR(A72&lt;YTD!B$6,A72&gt;YTD!B$10),"",U71+E72))</f>
        <v/>
      </c>
      <c r="V72" s="304" t="str">
        <f t="shared" si="13"/>
        <v/>
      </c>
      <c r="W72" s="315" t="e">
        <f>IF(I72="",#N/A,YTD!G$8-I72)</f>
        <v>#N/A</v>
      </c>
      <c r="X72" s="368">
        <f t="shared" si="7"/>
        <v>0</v>
      </c>
      <c r="Y72" s="368">
        <f t="shared" si="14"/>
        <v>0</v>
      </c>
      <c r="Z72" s="368" t="str">
        <f t="shared" si="8"/>
        <v/>
      </c>
      <c r="AA72" s="368">
        <v>57</v>
      </c>
      <c r="AB72" s="369">
        <f t="array" ref="AB72">SUM(IF(AA72=Z$16:Z$592,A$16:A$592,""))</f>
        <v>0</v>
      </c>
      <c r="AC72" s="370">
        <f t="array" ref="AC72">SUM(IF(AA72=Z$16:Z$592,J$16:J$592,""))</f>
        <v>0</v>
      </c>
      <c r="AD72" s="370">
        <f t="array" ref="AD72">SUM(IF($AA72=$Z$16:$Z$592,L$16:L$592,""))</f>
        <v>0</v>
      </c>
      <c r="AE72" s="370">
        <f t="array" ref="AE72">SUM(IF($AA72=$Z$16:$Z$592,M$16:M$592,""))</f>
        <v>0</v>
      </c>
      <c r="AF72" s="368">
        <f t="array" ref="AF72">SUM(IF($AA72=$Z$16:$Z$592,N$16:N$592,""))</f>
        <v>0</v>
      </c>
      <c r="AG72" s="370">
        <f t="array" ref="AG72">SUM(IF($AA72=$Z$16:$Z$592,O$16:O$592,""))</f>
        <v>0</v>
      </c>
      <c r="AH72" s="2"/>
      <c r="AI72" s="2"/>
      <c r="AJ72" s="2"/>
    </row>
    <row r="73" spans="1:36" x14ac:dyDescent="0.2">
      <c r="A73" s="306">
        <f>Crop!B106</f>
        <v>41697</v>
      </c>
      <c r="B73" s="307">
        <v>20</v>
      </c>
      <c r="C73" s="308"/>
      <c r="D73" s="304" t="str">
        <f>IF(OR($A73&lt;$A$3,$A73&gt;$A$7),"",Crop!$D106)</f>
        <v/>
      </c>
      <c r="E73" s="304" t="str">
        <f t="shared" si="9"/>
        <v/>
      </c>
      <c r="F73" s="304" t="str">
        <f>IF(OR(A73&lt;A$3,A73&gt;A$7),"",Crop!U106)</f>
        <v/>
      </c>
      <c r="G73" s="304" t="str">
        <f t="shared" si="0"/>
        <v/>
      </c>
      <c r="H73" s="309" t="str">
        <f>IF(OR(A73&lt;A$3,A73&gt;A$7),"",YTD!E70)</f>
        <v/>
      </c>
      <c r="I73" s="310" t="str">
        <f t="shared" si="1"/>
        <v/>
      </c>
      <c r="J73" s="311"/>
      <c r="K73" s="309" t="str">
        <f t="shared" si="2"/>
        <v/>
      </c>
      <c r="L73" s="312" t="str">
        <f t="shared" si="10"/>
        <v/>
      </c>
      <c r="M73" s="366" t="str">
        <f t="shared" si="3"/>
        <v/>
      </c>
      <c r="N73" s="328" t="str">
        <f t="shared" si="4"/>
        <v/>
      </c>
      <c r="O73" s="313" t="str">
        <f t="shared" si="5"/>
        <v/>
      </c>
      <c r="P73" s="307"/>
      <c r="Q73" s="309">
        <f t="shared" si="11"/>
        <v>0.8</v>
      </c>
      <c r="R73" s="307"/>
      <c r="S73" s="314">
        <f t="shared" si="12"/>
        <v>11.2</v>
      </c>
      <c r="T73" s="304" t="str">
        <f t="shared" si="6"/>
        <v/>
      </c>
      <c r="U73" s="304" t="str">
        <f>IF(A73=YTD!B$6,E73,IF(OR(A73&lt;YTD!B$6,A73&gt;YTD!B$10),"",U72+E73))</f>
        <v/>
      </c>
      <c r="V73" s="304" t="str">
        <f t="shared" si="13"/>
        <v/>
      </c>
      <c r="W73" s="315" t="e">
        <f>IF(I73="",#N/A,YTD!G$8-I73)</f>
        <v>#N/A</v>
      </c>
      <c r="X73" s="368">
        <f t="shared" si="7"/>
        <v>0</v>
      </c>
      <c r="Y73" s="368">
        <f t="shared" si="14"/>
        <v>0</v>
      </c>
      <c r="Z73" s="368" t="str">
        <f t="shared" si="8"/>
        <v/>
      </c>
      <c r="AA73" s="368">
        <v>58</v>
      </c>
      <c r="AB73" s="369">
        <f t="array" ref="AB73">SUM(IF(AA73=Z$16:Z$592,A$16:A$592,""))</f>
        <v>0</v>
      </c>
      <c r="AC73" s="370">
        <f t="array" ref="AC73">SUM(IF(AA73=Z$16:Z$592,J$16:J$592,""))</f>
        <v>0</v>
      </c>
      <c r="AD73" s="370">
        <f t="array" ref="AD73">SUM(IF($AA73=$Z$16:$Z$592,L$16:L$592,""))</f>
        <v>0</v>
      </c>
      <c r="AE73" s="370">
        <f t="array" ref="AE73">SUM(IF($AA73=$Z$16:$Z$592,M$16:M$592,""))</f>
        <v>0</v>
      </c>
      <c r="AF73" s="368">
        <f t="array" ref="AF73">SUM(IF($AA73=$Z$16:$Z$592,N$16:N$592,""))</f>
        <v>0</v>
      </c>
      <c r="AG73" s="370">
        <f t="array" ref="AG73">SUM(IF($AA73=$Z$16:$Z$592,O$16:O$592,""))</f>
        <v>0</v>
      </c>
      <c r="AH73" s="2"/>
      <c r="AI73" s="2"/>
      <c r="AJ73" s="2"/>
    </row>
    <row r="74" spans="1:36" x14ac:dyDescent="0.2">
      <c r="A74" s="306">
        <f>Crop!B107</f>
        <v>41698</v>
      </c>
      <c r="B74" s="307"/>
      <c r="C74" s="308"/>
      <c r="D74" s="304" t="str">
        <f>IF(OR($A74&lt;$A$3,$A74&gt;$A$7),"",Crop!$D107)</f>
        <v/>
      </c>
      <c r="E74" s="304" t="str">
        <f t="shared" si="9"/>
        <v/>
      </c>
      <c r="F74" s="304" t="str">
        <f>IF(OR(A74&lt;A$3,A74&gt;A$7),"",Crop!U107)</f>
        <v/>
      </c>
      <c r="G74" s="304" t="str">
        <f t="shared" si="0"/>
        <v/>
      </c>
      <c r="H74" s="309" t="str">
        <f>IF(OR(A74&lt;A$3,A74&gt;A$7),"",YTD!E71)</f>
        <v/>
      </c>
      <c r="I74" s="310">
        <f t="shared" si="1"/>
        <v>0</v>
      </c>
      <c r="J74" s="311"/>
      <c r="K74" s="309" t="str">
        <f t="shared" si="2"/>
        <v/>
      </c>
      <c r="L74" s="312" t="str">
        <f t="shared" si="10"/>
        <v/>
      </c>
      <c r="M74" s="366" t="str">
        <f t="shared" si="3"/>
        <v/>
      </c>
      <c r="N74" s="328" t="str">
        <f t="shared" si="4"/>
        <v/>
      </c>
      <c r="O74" s="313" t="str">
        <f t="shared" si="5"/>
        <v/>
      </c>
      <c r="P74" s="307"/>
      <c r="Q74" s="309">
        <f t="shared" si="11"/>
        <v>0.8</v>
      </c>
      <c r="R74" s="307"/>
      <c r="S74" s="314">
        <f t="shared" si="12"/>
        <v>11.2</v>
      </c>
      <c r="T74" s="304" t="str">
        <f t="shared" si="6"/>
        <v/>
      </c>
      <c r="U74" s="304" t="str">
        <f>IF(A74=YTD!B$6,E74,IF(OR(A74&lt;YTD!B$6,A74&gt;YTD!B$10),"",U73+E74))</f>
        <v/>
      </c>
      <c r="V74" s="304" t="str">
        <f t="shared" si="13"/>
        <v/>
      </c>
      <c r="W74" s="315">
        <f>IF(I74="",#N/A,YTD!G$8-I74)</f>
        <v>270</v>
      </c>
      <c r="X74" s="368">
        <f t="shared" si="7"/>
        <v>0</v>
      </c>
      <c r="Y74" s="368">
        <f t="shared" si="14"/>
        <v>0</v>
      </c>
      <c r="Z74" s="368" t="str">
        <f t="shared" si="8"/>
        <v/>
      </c>
      <c r="AA74" s="368">
        <v>59</v>
      </c>
      <c r="AB74" s="369">
        <f t="array" ref="AB74">SUM(IF(AA74=Z$16:Z$592,A$16:A$592,""))</f>
        <v>0</v>
      </c>
      <c r="AC74" s="370">
        <f t="array" ref="AC74">SUM(IF(AA74=Z$16:Z$592,J$16:J$592,""))</f>
        <v>0</v>
      </c>
      <c r="AD74" s="370">
        <f t="array" ref="AD74">SUM(IF($AA74=$Z$16:$Z$592,L$16:L$592,""))</f>
        <v>0</v>
      </c>
      <c r="AE74" s="370">
        <f t="array" ref="AE74">SUM(IF($AA74=$Z$16:$Z$592,M$16:M$592,""))</f>
        <v>0</v>
      </c>
      <c r="AF74" s="368">
        <f t="array" ref="AF74">SUM(IF($AA74=$Z$16:$Z$592,N$16:N$592,""))</f>
        <v>0</v>
      </c>
      <c r="AG74" s="370">
        <f t="array" ref="AG74">SUM(IF($AA74=$Z$16:$Z$592,O$16:O$592,""))</f>
        <v>0</v>
      </c>
      <c r="AH74" s="2"/>
      <c r="AI74" s="2"/>
      <c r="AJ74" s="2"/>
    </row>
    <row r="75" spans="1:36" x14ac:dyDescent="0.2">
      <c r="A75" s="306">
        <f>Crop!B108</f>
        <v>41699</v>
      </c>
      <c r="B75" s="307"/>
      <c r="C75" s="308"/>
      <c r="D75" s="304">
        <f>IF(OR($A75&lt;$A$3,$A75&gt;$A$7),"",Crop!$D108)</f>
        <v>2.1040492212610551</v>
      </c>
      <c r="E75" s="304">
        <f t="shared" si="9"/>
        <v>2.1040492212610551</v>
      </c>
      <c r="F75" s="304">
        <f>IF(OR(A75&lt;A$3,A75&gt;A$7),"",Crop!U108)</f>
        <v>1.2</v>
      </c>
      <c r="G75" s="304">
        <f t="shared" si="0"/>
        <v>2.5248590655132661</v>
      </c>
      <c r="H75" s="309">
        <f>IF(OR(A75&lt;A$3,A75&gt;A$7),"",YTD!E72)</f>
        <v>135</v>
      </c>
      <c r="I75" s="310">
        <f t="shared" si="1"/>
        <v>2.5248590655132661</v>
      </c>
      <c r="J75" s="311"/>
      <c r="K75" s="309">
        <f t="shared" si="2"/>
        <v>0</v>
      </c>
      <c r="L75" s="312" t="str">
        <f t="shared" si="10"/>
        <v/>
      </c>
      <c r="M75" s="366" t="str">
        <f t="shared" si="3"/>
        <v/>
      </c>
      <c r="N75" s="328" t="str">
        <f t="shared" si="4"/>
        <v/>
      </c>
      <c r="O75" s="313" t="str">
        <f t="shared" si="5"/>
        <v/>
      </c>
      <c r="P75" s="307"/>
      <c r="Q75" s="309">
        <f t="shared" si="11"/>
        <v>0.8</v>
      </c>
      <c r="R75" s="307"/>
      <c r="S75" s="314">
        <f t="shared" si="12"/>
        <v>11.2</v>
      </c>
      <c r="T75" s="304" t="str">
        <f t="shared" si="6"/>
        <v>A</v>
      </c>
      <c r="U75" s="304">
        <f>IF(A75=YTD!B$6,E75,IF(OR(A75&lt;YTD!B$6,A75&gt;YTD!B$10),"",U74+E75))</f>
        <v>2.1040492212610551</v>
      </c>
      <c r="V75" s="304">
        <f t="shared" si="13"/>
        <v>2.5248590655132661</v>
      </c>
      <c r="W75" s="315">
        <f>IF(I75="",#N/A,YTD!G$8-I75)</f>
        <v>267.47514093448672</v>
      </c>
      <c r="X75" s="368">
        <f t="shared" si="7"/>
        <v>0</v>
      </c>
      <c r="Y75" s="368">
        <f t="shared" si="14"/>
        <v>0</v>
      </c>
      <c r="Z75" s="368" t="str">
        <f t="shared" si="8"/>
        <v/>
      </c>
      <c r="AA75" s="368">
        <v>60</v>
      </c>
      <c r="AB75" s="369">
        <f t="array" ref="AB75">SUM(IF(AA75=Z$16:Z$592,A$16:A$592,""))</f>
        <v>0</v>
      </c>
      <c r="AC75" s="370">
        <f t="array" ref="AC75">SUM(IF(AA75=Z$16:Z$592,J$16:J$592,""))</f>
        <v>0</v>
      </c>
      <c r="AD75" s="370">
        <f t="array" ref="AD75">SUM(IF($AA75=$Z$16:$Z$592,L$16:L$592,""))</f>
        <v>0</v>
      </c>
      <c r="AE75" s="370">
        <f t="array" ref="AE75">SUM(IF($AA75=$Z$16:$Z$592,M$16:M$592,""))</f>
        <v>0</v>
      </c>
      <c r="AF75" s="368">
        <f t="array" ref="AF75">SUM(IF($AA75=$Z$16:$Z$592,N$16:N$592,""))</f>
        <v>0</v>
      </c>
      <c r="AG75" s="370">
        <f t="array" ref="AG75">SUM(IF($AA75=$Z$16:$Z$592,O$16:O$592,""))</f>
        <v>0</v>
      </c>
      <c r="AH75" s="2"/>
      <c r="AI75" s="2"/>
      <c r="AJ75" s="2"/>
    </row>
    <row r="76" spans="1:36" x14ac:dyDescent="0.2">
      <c r="A76" s="306">
        <f>Crop!B109</f>
        <v>41700</v>
      </c>
      <c r="B76" s="307"/>
      <c r="C76" s="308"/>
      <c r="D76" s="304">
        <f>IF(OR($A76&lt;$A$3,$A76&gt;$A$7),"",Crop!$D109)</f>
        <v>2.1367417020239401</v>
      </c>
      <c r="E76" s="304">
        <f t="shared" si="9"/>
        <v>2.1367417020239401</v>
      </c>
      <c r="F76" s="304">
        <f>IF(OR(A76&lt;A$3,A76&gt;A$7),"",Crop!U109)</f>
        <v>1.2</v>
      </c>
      <c r="G76" s="304">
        <f t="shared" si="0"/>
        <v>2.5640900424287278</v>
      </c>
      <c r="H76" s="309">
        <f>IF(OR(A76&lt;A$3,A76&gt;A$7),"",YTD!E73)</f>
        <v>135</v>
      </c>
      <c r="I76" s="310">
        <f t="shared" si="1"/>
        <v>5.0889491079419944</v>
      </c>
      <c r="J76" s="311"/>
      <c r="K76" s="309">
        <f t="shared" si="2"/>
        <v>0</v>
      </c>
      <c r="L76" s="312" t="str">
        <f t="shared" si="10"/>
        <v/>
      </c>
      <c r="M76" s="366" t="str">
        <f t="shared" si="3"/>
        <v/>
      </c>
      <c r="N76" s="328" t="str">
        <f t="shared" si="4"/>
        <v/>
      </c>
      <c r="O76" s="313" t="str">
        <f t="shared" si="5"/>
        <v/>
      </c>
      <c r="P76" s="307"/>
      <c r="Q76" s="309">
        <f t="shared" si="11"/>
        <v>0.8</v>
      </c>
      <c r="R76" s="307"/>
      <c r="S76" s="314">
        <f t="shared" si="12"/>
        <v>11.2</v>
      </c>
      <c r="T76" s="304" t="str">
        <f t="shared" si="6"/>
        <v/>
      </c>
      <c r="U76" s="304">
        <f>IF(A76=YTD!B$6,E76,IF(OR(A76&lt;YTD!B$6,A76&gt;YTD!B$10),"",U75+E76))</f>
        <v>4.2407909232849956</v>
      </c>
      <c r="V76" s="304">
        <f t="shared" si="13"/>
        <v>5.0889491079419944</v>
      </c>
      <c r="W76" s="315">
        <f>IF(I76="",#N/A,YTD!G$8-I76)</f>
        <v>264.91105089205803</v>
      </c>
      <c r="X76" s="368">
        <f t="shared" si="7"/>
        <v>0</v>
      </c>
      <c r="Y76" s="368">
        <f t="shared" si="14"/>
        <v>0</v>
      </c>
      <c r="Z76" s="368" t="str">
        <f t="shared" si="8"/>
        <v/>
      </c>
      <c r="AA76" s="368">
        <v>61</v>
      </c>
      <c r="AB76" s="369">
        <f t="array" ref="AB76">SUM(IF(AA76=Z$16:Z$592,A$16:A$592,""))</f>
        <v>0</v>
      </c>
      <c r="AC76" s="370">
        <f t="array" ref="AC76">SUM(IF(AA76=Z$16:Z$592,J$16:J$592,""))</f>
        <v>0</v>
      </c>
      <c r="AD76" s="370">
        <f t="array" ref="AD76">SUM(IF($AA76=$Z$16:$Z$592,L$16:L$592,""))</f>
        <v>0</v>
      </c>
      <c r="AE76" s="370">
        <f t="array" ref="AE76">SUM(IF($AA76=$Z$16:$Z$592,M$16:M$592,""))</f>
        <v>0</v>
      </c>
      <c r="AF76" s="368">
        <f t="array" ref="AF76">SUM(IF($AA76=$Z$16:$Z$592,N$16:N$592,""))</f>
        <v>0</v>
      </c>
      <c r="AG76" s="370">
        <f t="array" ref="AG76">SUM(IF($AA76=$Z$16:$Z$592,O$16:O$592,""))</f>
        <v>0</v>
      </c>
      <c r="AH76" s="2"/>
      <c r="AI76" s="2"/>
      <c r="AJ76" s="2"/>
    </row>
    <row r="77" spans="1:36" x14ac:dyDescent="0.2">
      <c r="A77" s="306">
        <f>Crop!B110</f>
        <v>41701</v>
      </c>
      <c r="B77" s="307"/>
      <c r="C77" s="308"/>
      <c r="D77" s="304">
        <f>IF(OR($A77&lt;$A$3,$A77&gt;$A$7),"",Crop!$D110)</f>
        <v>2.1700947443086385</v>
      </c>
      <c r="E77" s="304">
        <f t="shared" si="9"/>
        <v>2.1700947443086385</v>
      </c>
      <c r="F77" s="304">
        <f>IF(OR(A77&lt;A$3,A77&gt;A$7),"",Crop!U110)</f>
        <v>1.2</v>
      </c>
      <c r="G77" s="304">
        <f t="shared" si="0"/>
        <v>2.6041136931703659</v>
      </c>
      <c r="H77" s="309">
        <f>IF(OR(A77&lt;A$3,A77&gt;A$7),"",YTD!E74)</f>
        <v>135</v>
      </c>
      <c r="I77" s="310">
        <f t="shared" si="1"/>
        <v>7.6930628011123598</v>
      </c>
      <c r="J77" s="311"/>
      <c r="K77" s="309">
        <f t="shared" si="2"/>
        <v>0</v>
      </c>
      <c r="L77" s="312" t="str">
        <f t="shared" si="10"/>
        <v/>
      </c>
      <c r="M77" s="366" t="str">
        <f t="shared" si="3"/>
        <v/>
      </c>
      <c r="N77" s="328" t="str">
        <f t="shared" si="4"/>
        <v/>
      </c>
      <c r="O77" s="313" t="str">
        <f t="shared" si="5"/>
        <v/>
      </c>
      <c r="P77" s="307"/>
      <c r="Q77" s="309">
        <f t="shared" si="11"/>
        <v>0.8</v>
      </c>
      <c r="R77" s="307"/>
      <c r="S77" s="314">
        <f t="shared" si="12"/>
        <v>11.2</v>
      </c>
      <c r="T77" s="304" t="str">
        <f t="shared" si="6"/>
        <v/>
      </c>
      <c r="U77" s="304">
        <f>IF(A77=YTD!B$6,E77,IF(OR(A77&lt;YTD!B$6,A77&gt;YTD!B$10),"",U76+E77))</f>
        <v>6.4108856675936341</v>
      </c>
      <c r="V77" s="304">
        <f t="shared" si="13"/>
        <v>7.6930628011123598</v>
      </c>
      <c r="W77" s="315">
        <f>IF(I77="",#N/A,YTD!G$8-I77)</f>
        <v>262.30693719888762</v>
      </c>
      <c r="X77" s="368">
        <f t="shared" si="7"/>
        <v>0</v>
      </c>
      <c r="Y77" s="368">
        <f t="shared" si="14"/>
        <v>0</v>
      </c>
      <c r="Z77" s="368" t="str">
        <f t="shared" si="8"/>
        <v/>
      </c>
      <c r="AA77" s="368">
        <v>62</v>
      </c>
      <c r="AB77" s="369">
        <f t="array" ref="AB77">SUM(IF(AA77=Z$16:Z$592,A$16:A$592,""))</f>
        <v>0</v>
      </c>
      <c r="AC77" s="370">
        <f t="array" ref="AC77">SUM(IF(AA77=Z$16:Z$592,J$16:J$592,""))</f>
        <v>0</v>
      </c>
      <c r="AD77" s="370">
        <f t="array" ref="AD77">SUM(IF($AA77=$Z$16:$Z$592,L$16:L$592,""))</f>
        <v>0</v>
      </c>
      <c r="AE77" s="370">
        <f t="array" ref="AE77">SUM(IF($AA77=$Z$16:$Z$592,M$16:M$592,""))</f>
        <v>0</v>
      </c>
      <c r="AF77" s="368">
        <f t="array" ref="AF77">SUM(IF($AA77=$Z$16:$Z$592,N$16:N$592,""))</f>
        <v>0</v>
      </c>
      <c r="AG77" s="370">
        <f t="array" ref="AG77">SUM(IF($AA77=$Z$16:$Z$592,O$16:O$592,""))</f>
        <v>0</v>
      </c>
      <c r="AH77" s="2"/>
      <c r="AI77" s="2"/>
      <c r="AJ77" s="2"/>
    </row>
    <row r="78" spans="1:36" x14ac:dyDescent="0.2">
      <c r="A78" s="306">
        <f>Crop!B111</f>
        <v>41702</v>
      </c>
      <c r="B78" s="307"/>
      <c r="C78" s="308"/>
      <c r="D78" s="304">
        <f>IF(OR($A78&lt;$A$3,$A78&gt;$A$7),"",Crop!$D111)</f>
        <v>2.2041470652434585</v>
      </c>
      <c r="E78" s="304">
        <f t="shared" si="9"/>
        <v>2.2041470652434585</v>
      </c>
      <c r="F78" s="304">
        <f>IF(OR(A78&lt;A$3,A78&gt;A$7),"",Crop!U111)</f>
        <v>1.2</v>
      </c>
      <c r="G78" s="304">
        <f t="shared" si="0"/>
        <v>2.6449764782921501</v>
      </c>
      <c r="H78" s="309">
        <f>IF(OR(A78&lt;A$3,A78&gt;A$7),"",YTD!E75)</f>
        <v>135</v>
      </c>
      <c r="I78" s="310">
        <f t="shared" si="1"/>
        <v>10.33803927940451</v>
      </c>
      <c r="J78" s="311"/>
      <c r="K78" s="309">
        <f t="shared" si="2"/>
        <v>0</v>
      </c>
      <c r="L78" s="312" t="str">
        <f t="shared" si="10"/>
        <v/>
      </c>
      <c r="M78" s="366" t="str">
        <f t="shared" si="3"/>
        <v/>
      </c>
      <c r="N78" s="328" t="str">
        <f t="shared" si="4"/>
        <v/>
      </c>
      <c r="O78" s="313" t="str">
        <f t="shared" si="5"/>
        <v/>
      </c>
      <c r="P78" s="307"/>
      <c r="Q78" s="309">
        <f t="shared" si="11"/>
        <v>0.8</v>
      </c>
      <c r="R78" s="307"/>
      <c r="S78" s="314">
        <f t="shared" si="12"/>
        <v>11.2</v>
      </c>
      <c r="T78" s="304" t="str">
        <f t="shared" si="6"/>
        <v/>
      </c>
      <c r="U78" s="304">
        <f>IF(A78=YTD!B$6,E78,IF(OR(A78&lt;YTD!B$6,A78&gt;YTD!B$10),"",U77+E78))</f>
        <v>8.6150327328370935</v>
      </c>
      <c r="V78" s="304">
        <f t="shared" si="13"/>
        <v>10.33803927940451</v>
      </c>
      <c r="W78" s="315">
        <f>IF(I78="",#N/A,YTD!G$8-I78)</f>
        <v>259.66196072059552</v>
      </c>
      <c r="X78" s="368">
        <f t="shared" si="7"/>
        <v>0</v>
      </c>
      <c r="Y78" s="368">
        <f t="shared" si="14"/>
        <v>0</v>
      </c>
      <c r="Z78" s="368" t="str">
        <f t="shared" si="8"/>
        <v/>
      </c>
      <c r="AA78" s="368">
        <v>63</v>
      </c>
      <c r="AB78" s="369">
        <f t="array" ref="AB78">SUM(IF(AA78=Z$16:Z$592,A$16:A$592,""))</f>
        <v>0</v>
      </c>
      <c r="AC78" s="370">
        <f t="array" ref="AC78">SUM(IF(AA78=Z$16:Z$592,J$16:J$592,""))</f>
        <v>0</v>
      </c>
      <c r="AD78" s="370">
        <f t="array" ref="AD78">SUM(IF($AA78=$Z$16:$Z$592,L$16:L$592,""))</f>
        <v>0</v>
      </c>
      <c r="AE78" s="370">
        <f t="array" ref="AE78">SUM(IF($AA78=$Z$16:$Z$592,M$16:M$592,""))</f>
        <v>0</v>
      </c>
      <c r="AF78" s="368">
        <f t="array" ref="AF78">SUM(IF($AA78=$Z$16:$Z$592,N$16:N$592,""))</f>
        <v>0</v>
      </c>
      <c r="AG78" s="370">
        <f t="array" ref="AG78">SUM(IF($AA78=$Z$16:$Z$592,O$16:O$592,""))</f>
        <v>0</v>
      </c>
      <c r="AH78" s="2"/>
      <c r="AI78" s="2"/>
      <c r="AJ78" s="2"/>
    </row>
    <row r="79" spans="1:36" x14ac:dyDescent="0.2">
      <c r="A79" s="306">
        <f>Crop!B112</f>
        <v>41703</v>
      </c>
      <c r="B79" s="307"/>
      <c r="C79" s="308"/>
      <c r="D79" s="304">
        <f>IF(OR($A79&lt;$A$3,$A79&gt;$A$7),"",Crop!$D112)</f>
        <v>2.2389373819567133</v>
      </c>
      <c r="E79" s="304">
        <f t="shared" si="9"/>
        <v>2.2389373819567133</v>
      </c>
      <c r="F79" s="304">
        <f>IF(OR(A79&lt;A$3,A79&gt;A$7),"",Crop!U112)</f>
        <v>1.2</v>
      </c>
      <c r="G79" s="304">
        <f t="shared" si="0"/>
        <v>2.6867248583480561</v>
      </c>
      <c r="H79" s="309">
        <f>IF(OR(A79&lt;A$3,A79&gt;A$7),"",YTD!E76)</f>
        <v>135</v>
      </c>
      <c r="I79" s="310">
        <f t="shared" si="1"/>
        <v>13.024764137752566</v>
      </c>
      <c r="J79" s="311"/>
      <c r="K79" s="309">
        <f t="shared" si="2"/>
        <v>0</v>
      </c>
      <c r="L79" s="312" t="str">
        <f t="shared" si="10"/>
        <v/>
      </c>
      <c r="M79" s="366" t="str">
        <f t="shared" si="3"/>
        <v/>
      </c>
      <c r="N79" s="328" t="str">
        <f t="shared" si="4"/>
        <v/>
      </c>
      <c r="O79" s="313" t="str">
        <f t="shared" si="5"/>
        <v/>
      </c>
      <c r="P79" s="307"/>
      <c r="Q79" s="309">
        <f t="shared" si="11"/>
        <v>0.8</v>
      </c>
      <c r="R79" s="307"/>
      <c r="S79" s="314">
        <f t="shared" si="12"/>
        <v>11.2</v>
      </c>
      <c r="T79" s="304" t="str">
        <f t="shared" si="6"/>
        <v/>
      </c>
      <c r="U79" s="304">
        <f>IF(A79=YTD!B$6,E79,IF(OR(A79&lt;YTD!B$6,A79&gt;YTD!B$10),"",U78+E79))</f>
        <v>10.853970114793807</v>
      </c>
      <c r="V79" s="304">
        <f t="shared" si="13"/>
        <v>13.024764137752566</v>
      </c>
      <c r="W79" s="315">
        <f>IF(I79="",#N/A,YTD!G$8-I79)</f>
        <v>256.97523586224742</v>
      </c>
      <c r="X79" s="368">
        <f t="shared" si="7"/>
        <v>0</v>
      </c>
      <c r="Y79" s="368">
        <f t="shared" si="14"/>
        <v>0</v>
      </c>
      <c r="Z79" s="368" t="str">
        <f t="shared" si="8"/>
        <v/>
      </c>
      <c r="AA79" s="368">
        <v>64</v>
      </c>
      <c r="AB79" s="369">
        <f t="array" ref="AB79">SUM(IF(AA79=Z$16:Z$592,A$16:A$592,""))</f>
        <v>0</v>
      </c>
      <c r="AC79" s="370">
        <f t="array" ref="AC79">SUM(IF(AA79=Z$16:Z$592,J$16:J$592,""))</f>
        <v>0</v>
      </c>
      <c r="AD79" s="370">
        <f t="array" ref="AD79">SUM(IF($AA79=$Z$16:$Z$592,L$16:L$592,""))</f>
        <v>0</v>
      </c>
      <c r="AE79" s="370">
        <f t="array" ref="AE79">SUM(IF($AA79=$Z$16:$Z$592,M$16:M$592,""))</f>
        <v>0</v>
      </c>
      <c r="AF79" s="368">
        <f t="array" ref="AF79">SUM(IF($AA79=$Z$16:$Z$592,N$16:N$592,""))</f>
        <v>0</v>
      </c>
      <c r="AG79" s="370">
        <f t="array" ref="AG79">SUM(IF($AA79=$Z$16:$Z$592,O$16:O$592,""))</f>
        <v>0</v>
      </c>
      <c r="AH79" s="2"/>
      <c r="AI79" s="2"/>
      <c r="AJ79" s="2"/>
    </row>
    <row r="80" spans="1:36" x14ac:dyDescent="0.2">
      <c r="A80" s="306">
        <f>Crop!B113</f>
        <v>41704</v>
      </c>
      <c r="B80" s="307"/>
      <c r="C80" s="308"/>
      <c r="D80" s="304">
        <f>IF(OR($A80&lt;$A$3,$A80&gt;$A$7),"",Crop!$D113)</f>
        <v>2.2745044115767117</v>
      </c>
      <c r="E80" s="304">
        <f t="shared" ref="E80:E143" si="15">IF(C80="",D80,C80)</f>
        <v>2.2745044115767117</v>
      </c>
      <c r="F80" s="304">
        <f>IF(OR(A80&lt;A$3,A80&gt;A$7),"",Crop!U113)</f>
        <v>1.2</v>
      </c>
      <c r="G80" s="304">
        <f t="shared" ref="G80:G143" si="16">IF(OR(A80&lt;A$3,A80&gt;A$7),"",E80*F80)</f>
        <v>2.7294052938920541</v>
      </c>
      <c r="H80" s="309">
        <f>IF(OR(A80&lt;A$3,A80&gt;A$7),"",YTD!E77)</f>
        <v>135</v>
      </c>
      <c r="I80" s="310">
        <f t="shared" ref="I80:I143" si="17">IF(A80=A$3-1,I$13,IF(OR(A80&lt;A$3,A80&gt;A$7),"",IF(T80="A",I79+G80-K80-J80,IF(J80&gt;0,I79+G80-K80-J80,I79+G80-K80))))</f>
        <v>15.75416943164462</v>
      </c>
      <c r="J80" s="311"/>
      <c r="K80" s="309">
        <f t="shared" ref="K80:K143" si="18">IF(U80="","",IF(AND(E80="",B80=""),"",IF(B80="",0,IF(B80&gt;I79+G80,I79+G80,B80))))</f>
        <v>0</v>
      </c>
      <c r="L80" s="312" t="str">
        <f t="shared" si="10"/>
        <v/>
      </c>
      <c r="M80" s="366" t="str">
        <f t="shared" ref="M80:M143" si="19">IF(L80="","",L80/(1-$I$8))</f>
        <v/>
      </c>
      <c r="N80" s="328" t="str">
        <f t="shared" ref="N80:N143" si="20">IF(L80="","",INT(M80/S80))</f>
        <v/>
      </c>
      <c r="O80" s="313" t="str">
        <f t="shared" ref="O80:O143" si="21">IF(N80="","",MOD(M80/S80,N80)*60)</f>
        <v/>
      </c>
      <c r="P80" s="307"/>
      <c r="Q80" s="309">
        <f t="shared" si="11"/>
        <v>0.8</v>
      </c>
      <c r="R80" s="307"/>
      <c r="S80" s="314">
        <f t="shared" si="12"/>
        <v>11.2</v>
      </c>
      <c r="T80" s="304" t="str">
        <f t="shared" ref="T80:T143" si="22">IF(A80=A$3,"A",IF(A80=A$4,"B",IF(A80=A$5,"C",IF(A80=A$6,"D",IF(A80=A$7,"E","")))))</f>
        <v/>
      </c>
      <c r="U80" s="304">
        <f>IF(A80=YTD!B$6,E80,IF(OR(A80&lt;YTD!B$6,A80&gt;YTD!B$10),"",U79+E80))</f>
        <v>13.128474526370518</v>
      </c>
      <c r="V80" s="304">
        <f t="shared" si="13"/>
        <v>15.75416943164462</v>
      </c>
      <c r="W80" s="315">
        <f>IF(I80="",#N/A,YTD!G$8-I80)</f>
        <v>254.24583056835539</v>
      </c>
      <c r="X80" s="368">
        <f t="shared" ref="X80:X143" si="23">IF(J80="",0,1)</f>
        <v>0</v>
      </c>
      <c r="Y80" s="368">
        <f t="shared" si="14"/>
        <v>0</v>
      </c>
      <c r="Z80" s="368" t="str">
        <f t="shared" ref="Z80:Z143" si="24">IF(X80=1,Y80,"")</f>
        <v/>
      </c>
      <c r="AA80" s="368">
        <v>65</v>
      </c>
      <c r="AB80" s="369">
        <f t="array" ref="AB80">SUM(IF(AA80=Z$16:Z$592,A$16:A$592,""))</f>
        <v>0</v>
      </c>
      <c r="AC80" s="370">
        <f t="array" ref="AC80">SUM(IF(AA80=Z$16:Z$592,J$16:J$592,""))</f>
        <v>0</v>
      </c>
      <c r="AD80" s="370">
        <f t="array" ref="AD80">SUM(IF($AA80=$Z$16:$Z$592,L$16:L$592,""))</f>
        <v>0</v>
      </c>
      <c r="AE80" s="370">
        <f t="array" ref="AE80">SUM(IF($AA80=$Z$16:$Z$592,M$16:M$592,""))</f>
        <v>0</v>
      </c>
      <c r="AF80" s="368">
        <f t="array" ref="AF80">SUM(IF($AA80=$Z$16:$Z$592,N$16:N$592,""))</f>
        <v>0</v>
      </c>
      <c r="AG80" s="370">
        <f t="array" ref="AG80">SUM(IF($AA80=$Z$16:$Z$592,O$16:O$592,""))</f>
        <v>0</v>
      </c>
      <c r="AH80" s="2"/>
      <c r="AI80" s="2"/>
      <c r="AJ80" s="2"/>
    </row>
    <row r="81" spans="1:36" x14ac:dyDescent="0.2">
      <c r="A81" s="306">
        <f>Crop!B114</f>
        <v>41705</v>
      </c>
      <c r="B81" s="307"/>
      <c r="C81" s="308"/>
      <c r="D81" s="304">
        <f>IF(OR($A81&lt;$A$3,$A81&gt;$A$7),"",Crop!$D114)</f>
        <v>2.3108868712317641</v>
      </c>
      <c r="E81" s="304">
        <f t="shared" si="15"/>
        <v>2.3108868712317641</v>
      </c>
      <c r="F81" s="304">
        <f>IF(OR(A81&lt;A$3,A81&gt;A$7),"",Crop!U114)</f>
        <v>1.1980671592289918</v>
      </c>
      <c r="G81" s="304">
        <f t="shared" si="16"/>
        <v>2.7685976691162124</v>
      </c>
      <c r="H81" s="309">
        <f>IF(OR(A81&lt;A$3,A81&gt;A$7),"",YTD!E78)</f>
        <v>135</v>
      </c>
      <c r="I81" s="310">
        <f t="shared" si="17"/>
        <v>18.522767100760831</v>
      </c>
      <c r="J81" s="311"/>
      <c r="K81" s="309">
        <f t="shared" si="18"/>
        <v>0</v>
      </c>
      <c r="L81" s="312" t="str">
        <f t="shared" ref="L81:L144" si="25">IF(J81="","",J81/Q81)</f>
        <v/>
      </c>
      <c r="M81" s="366" t="str">
        <f t="shared" si="19"/>
        <v/>
      </c>
      <c r="N81" s="328" t="str">
        <f t="shared" si="20"/>
        <v/>
      </c>
      <c r="O81" s="313" t="str">
        <f t="shared" si="21"/>
        <v/>
      </c>
      <c r="P81" s="307"/>
      <c r="Q81" s="309">
        <f t="shared" ref="Q81:Q144" si="26">IF(P81="",Q80,P81)</f>
        <v>0.8</v>
      </c>
      <c r="R81" s="307"/>
      <c r="S81" s="314">
        <f t="shared" ref="S81:S144" si="27">IF(R81="",S80,R81)</f>
        <v>11.2</v>
      </c>
      <c r="T81" s="304" t="str">
        <f t="shared" si="22"/>
        <v/>
      </c>
      <c r="U81" s="304">
        <f>IF(A81=YTD!B$6,E81,IF(OR(A81&lt;YTD!B$6,A81&gt;YTD!B$10),"",U80+E81))</f>
        <v>15.439361397602282</v>
      </c>
      <c r="V81" s="304">
        <f t="shared" ref="V81:V144" si="28">IF(G81="","",IF(G80="",G81,V80+G81))</f>
        <v>18.522767100760831</v>
      </c>
      <c r="W81" s="315">
        <f>IF(I81="",#N/A,YTD!G$8-I81)</f>
        <v>251.47723289923917</v>
      </c>
      <c r="X81" s="368">
        <f t="shared" si="23"/>
        <v>0</v>
      </c>
      <c r="Y81" s="368">
        <f t="shared" si="14"/>
        <v>0</v>
      </c>
      <c r="Z81" s="368" t="str">
        <f t="shared" si="24"/>
        <v/>
      </c>
      <c r="AA81" s="368">
        <v>66</v>
      </c>
      <c r="AB81" s="369">
        <f t="array" ref="AB81">SUM(IF(AA81=Z$16:Z$592,A$16:A$592,""))</f>
        <v>0</v>
      </c>
      <c r="AC81" s="370">
        <f t="array" ref="AC81">SUM(IF(AA81=Z$16:Z$592,J$16:J$592,""))</f>
        <v>0</v>
      </c>
      <c r="AD81" s="370">
        <f t="array" ref="AD81">SUM(IF($AA81=$Z$16:$Z$592,L$16:L$592,""))</f>
        <v>0</v>
      </c>
      <c r="AE81" s="370">
        <f t="array" ref="AE81">SUM(IF($AA81=$Z$16:$Z$592,M$16:M$592,""))</f>
        <v>0</v>
      </c>
      <c r="AF81" s="368">
        <f t="array" ref="AF81">SUM(IF($AA81=$Z$16:$Z$592,N$16:N$592,""))</f>
        <v>0</v>
      </c>
      <c r="AG81" s="370">
        <f t="array" ref="AG81">SUM(IF($AA81=$Z$16:$Z$592,O$16:O$592,""))</f>
        <v>0</v>
      </c>
      <c r="AH81" s="2"/>
      <c r="AI81" s="2"/>
      <c r="AJ81" s="2"/>
    </row>
    <row r="82" spans="1:36" x14ac:dyDescent="0.2">
      <c r="A82" s="306">
        <f>Crop!B115</f>
        <v>41706</v>
      </c>
      <c r="B82" s="307"/>
      <c r="C82" s="308"/>
      <c r="D82" s="304">
        <f>IF(OR($A82&lt;$A$3,$A82&gt;$A$7),"",Crop!$D115)</f>
        <v>2.3481234780501814</v>
      </c>
      <c r="E82" s="304">
        <f t="shared" si="15"/>
        <v>2.3481234780501814</v>
      </c>
      <c r="F82" s="304">
        <f>IF(OR(A82&lt;A$3,A82&gt;A$7),"",Crop!U115)</f>
        <v>1.1849168156870986</v>
      </c>
      <c r="G82" s="304">
        <f t="shared" si="16"/>
        <v>2.7823309944513359</v>
      </c>
      <c r="H82" s="309">
        <f>IF(OR(A82&lt;A$3,A82&gt;A$7),"",YTD!E79)</f>
        <v>135</v>
      </c>
      <c r="I82" s="310">
        <f t="shared" si="17"/>
        <v>21.305098095212166</v>
      </c>
      <c r="J82" s="311"/>
      <c r="K82" s="309">
        <f t="shared" si="18"/>
        <v>0</v>
      </c>
      <c r="L82" s="312" t="str">
        <f t="shared" si="25"/>
        <v/>
      </c>
      <c r="M82" s="366" t="str">
        <f t="shared" si="19"/>
        <v/>
      </c>
      <c r="N82" s="328" t="str">
        <f t="shared" si="20"/>
        <v/>
      </c>
      <c r="O82" s="313" t="str">
        <f t="shared" si="21"/>
        <v/>
      </c>
      <c r="P82" s="307"/>
      <c r="Q82" s="309">
        <f t="shared" si="26"/>
        <v>0.8</v>
      </c>
      <c r="R82" s="307"/>
      <c r="S82" s="314">
        <f t="shared" si="27"/>
        <v>11.2</v>
      </c>
      <c r="T82" s="304" t="str">
        <f t="shared" si="22"/>
        <v/>
      </c>
      <c r="U82" s="304">
        <f>IF(A82=YTD!B$6,E82,IF(OR(A82&lt;YTD!B$6,A82&gt;YTD!B$10),"",U81+E82))</f>
        <v>17.787484875652464</v>
      </c>
      <c r="V82" s="304">
        <f t="shared" si="28"/>
        <v>21.305098095212166</v>
      </c>
      <c r="W82" s="315">
        <f>IF(I82="",#N/A,YTD!G$8-I82)</f>
        <v>248.69490190478783</v>
      </c>
      <c r="X82" s="368">
        <f t="shared" si="23"/>
        <v>0</v>
      </c>
      <c r="Y82" s="368">
        <f t="shared" ref="Y82:Y145" si="29">Y81+X82</f>
        <v>0</v>
      </c>
      <c r="Z82" s="368" t="str">
        <f t="shared" si="24"/>
        <v/>
      </c>
      <c r="AA82" s="368">
        <v>67</v>
      </c>
      <c r="AB82" s="369">
        <f t="array" ref="AB82">SUM(IF(AA82=Z$16:Z$592,A$16:A$592,""))</f>
        <v>0</v>
      </c>
      <c r="AC82" s="370">
        <f t="array" ref="AC82">SUM(IF(AA82=Z$16:Z$592,J$16:J$592,""))</f>
        <v>0</v>
      </c>
      <c r="AD82" s="370">
        <f t="array" ref="AD82">SUM(IF($AA82=$Z$16:$Z$592,L$16:L$592,""))</f>
        <v>0</v>
      </c>
      <c r="AE82" s="370">
        <f t="array" ref="AE82">SUM(IF($AA82=$Z$16:$Z$592,M$16:M$592,""))</f>
        <v>0</v>
      </c>
      <c r="AF82" s="368">
        <f t="array" ref="AF82">SUM(IF($AA82=$Z$16:$Z$592,N$16:N$592,""))</f>
        <v>0</v>
      </c>
      <c r="AG82" s="370">
        <f t="array" ref="AG82">SUM(IF($AA82=$Z$16:$Z$592,O$16:O$592,""))</f>
        <v>0</v>
      </c>
      <c r="AH82" s="2"/>
      <c r="AI82" s="2"/>
      <c r="AJ82" s="2"/>
    </row>
    <row r="83" spans="1:36" x14ac:dyDescent="0.2">
      <c r="A83" s="306">
        <f>Crop!B116</f>
        <v>41707</v>
      </c>
      <c r="B83" s="307"/>
      <c r="C83" s="308"/>
      <c r="D83" s="304">
        <f>IF(OR($A83&lt;$A$3,$A83&gt;$A$7),"",Crop!$D116)</f>
        <v>2.3862529491602733</v>
      </c>
      <c r="E83" s="304">
        <f t="shared" si="15"/>
        <v>2.3862529491602733</v>
      </c>
      <c r="F83" s="304">
        <f>IF(OR(A83&lt;A$3,A83&gt;A$7),"",Crop!U116)</f>
        <v>1.170358714517038</v>
      </c>
      <c r="G83" s="304">
        <f t="shared" si="16"/>
        <v>2.7927719340917081</v>
      </c>
      <c r="H83" s="309">
        <f>IF(OR(A83&lt;A$3,A83&gt;A$7),"",YTD!E80)</f>
        <v>135</v>
      </c>
      <c r="I83" s="310">
        <f t="shared" si="17"/>
        <v>24.097870029303873</v>
      </c>
      <c r="J83" s="311"/>
      <c r="K83" s="309">
        <f t="shared" si="18"/>
        <v>0</v>
      </c>
      <c r="L83" s="312" t="str">
        <f t="shared" si="25"/>
        <v/>
      </c>
      <c r="M83" s="366" t="str">
        <f t="shared" si="19"/>
        <v/>
      </c>
      <c r="N83" s="328" t="str">
        <f t="shared" si="20"/>
        <v/>
      </c>
      <c r="O83" s="313" t="str">
        <f t="shared" si="21"/>
        <v/>
      </c>
      <c r="P83" s="307"/>
      <c r="Q83" s="309">
        <f t="shared" si="26"/>
        <v>0.8</v>
      </c>
      <c r="R83" s="307"/>
      <c r="S83" s="314">
        <f t="shared" si="27"/>
        <v>11.2</v>
      </c>
      <c r="T83" s="304" t="str">
        <f t="shared" si="22"/>
        <v/>
      </c>
      <c r="U83" s="304">
        <f>IF(A83=YTD!B$6,E83,IF(OR(A83&lt;YTD!B$6,A83&gt;YTD!B$10),"",U82+E83))</f>
        <v>20.173737824812736</v>
      </c>
      <c r="V83" s="304">
        <f t="shared" si="28"/>
        <v>24.097870029303873</v>
      </c>
      <c r="W83" s="315">
        <f>IF(I83="",#N/A,YTD!G$8-I83)</f>
        <v>245.90212997069614</v>
      </c>
      <c r="X83" s="368">
        <f t="shared" si="23"/>
        <v>0</v>
      </c>
      <c r="Y83" s="368">
        <f t="shared" si="29"/>
        <v>0</v>
      </c>
      <c r="Z83" s="368" t="str">
        <f t="shared" si="24"/>
        <v/>
      </c>
      <c r="AA83" s="368">
        <v>68</v>
      </c>
      <c r="AB83" s="369">
        <f t="array" ref="AB83">SUM(IF(AA83=Z$16:Z$592,A$16:A$592,""))</f>
        <v>0</v>
      </c>
      <c r="AC83" s="370">
        <f t="array" ref="AC83">SUM(IF(AA83=Z$16:Z$592,J$16:J$592,""))</f>
        <v>0</v>
      </c>
      <c r="AD83" s="370">
        <f t="array" ref="AD83">SUM(IF($AA83=$Z$16:$Z$592,L$16:L$592,""))</f>
        <v>0</v>
      </c>
      <c r="AE83" s="370">
        <f t="array" ref="AE83">SUM(IF($AA83=$Z$16:$Z$592,M$16:M$592,""))</f>
        <v>0</v>
      </c>
      <c r="AF83" s="368">
        <f t="array" ref="AF83">SUM(IF($AA83=$Z$16:$Z$592,N$16:N$592,""))</f>
        <v>0</v>
      </c>
      <c r="AG83" s="370">
        <f t="array" ref="AG83">SUM(IF($AA83=$Z$16:$Z$592,O$16:O$592,""))</f>
        <v>0</v>
      </c>
      <c r="AH83" s="2"/>
      <c r="AI83" s="2"/>
      <c r="AJ83" s="2"/>
    </row>
    <row r="84" spans="1:36" x14ac:dyDescent="0.2">
      <c r="A84" s="306">
        <f>Crop!B117</f>
        <v>41708</v>
      </c>
      <c r="B84" s="307">
        <v>25</v>
      </c>
      <c r="C84" s="308"/>
      <c r="D84" s="304">
        <f>IF(OR($A84&lt;$A$3,$A84&gt;$A$7),"",Crop!$D117)</f>
        <v>2.4253140016903516</v>
      </c>
      <c r="E84" s="304">
        <f t="shared" si="15"/>
        <v>2.4253140016903516</v>
      </c>
      <c r="F84" s="304">
        <f>IF(OR(A84&lt;A$3,A84&gt;A$7),"",Crop!U117)</f>
        <v>1.1544463888606531</v>
      </c>
      <c r="G84" s="304">
        <f t="shared" si="16"/>
        <v>2.7998949911046065</v>
      </c>
      <c r="H84" s="309">
        <f>IF(OR(A84&lt;A$3,A84&gt;A$7),"",YTD!E81)</f>
        <v>135</v>
      </c>
      <c r="I84" s="310">
        <f t="shared" si="17"/>
        <v>1.8977650204084782</v>
      </c>
      <c r="J84" s="311"/>
      <c r="K84" s="309">
        <f t="shared" si="18"/>
        <v>25</v>
      </c>
      <c r="L84" s="312" t="str">
        <f t="shared" si="25"/>
        <v/>
      </c>
      <c r="M84" s="366" t="str">
        <f t="shared" si="19"/>
        <v/>
      </c>
      <c r="N84" s="328" t="str">
        <f t="shared" si="20"/>
        <v/>
      </c>
      <c r="O84" s="313" t="str">
        <f t="shared" si="21"/>
        <v/>
      </c>
      <c r="P84" s="307"/>
      <c r="Q84" s="309">
        <f t="shared" si="26"/>
        <v>0.8</v>
      </c>
      <c r="R84" s="307"/>
      <c r="S84" s="314">
        <f t="shared" si="27"/>
        <v>11.2</v>
      </c>
      <c r="T84" s="304" t="str">
        <f t="shared" si="22"/>
        <v/>
      </c>
      <c r="U84" s="304">
        <f>IF(A84=YTD!B$6,E84,IF(OR(A84&lt;YTD!B$6,A84&gt;YTD!B$10),"",U83+E84))</f>
        <v>22.599051826503089</v>
      </c>
      <c r="V84" s="304">
        <f t="shared" si="28"/>
        <v>26.897765020408478</v>
      </c>
      <c r="W84" s="315">
        <f>IF(I84="",#N/A,YTD!G$8-I84)</f>
        <v>268.10223497959151</v>
      </c>
      <c r="X84" s="368">
        <f t="shared" si="23"/>
        <v>0</v>
      </c>
      <c r="Y84" s="368">
        <f t="shared" si="29"/>
        <v>0</v>
      </c>
      <c r="Z84" s="368" t="str">
        <f t="shared" si="24"/>
        <v/>
      </c>
      <c r="AA84" s="368">
        <v>69</v>
      </c>
      <c r="AB84" s="369">
        <f t="array" ref="AB84">SUM(IF(AA84=Z$16:Z$592,A$16:A$592,""))</f>
        <v>0</v>
      </c>
      <c r="AC84" s="370">
        <f t="array" ref="AC84">SUM(IF(AA84=Z$16:Z$592,J$16:J$592,""))</f>
        <v>0</v>
      </c>
      <c r="AD84" s="370">
        <f t="array" ref="AD84">SUM(IF($AA84=$Z$16:$Z$592,L$16:L$592,""))</f>
        <v>0</v>
      </c>
      <c r="AE84" s="370">
        <f t="array" ref="AE84">SUM(IF($AA84=$Z$16:$Z$592,M$16:M$592,""))</f>
        <v>0</v>
      </c>
      <c r="AF84" s="368">
        <f t="array" ref="AF84">SUM(IF($AA84=$Z$16:$Z$592,N$16:N$592,""))</f>
        <v>0</v>
      </c>
      <c r="AG84" s="370">
        <f t="array" ref="AG84">SUM(IF($AA84=$Z$16:$Z$592,O$16:O$592,""))</f>
        <v>0</v>
      </c>
      <c r="AH84" s="2"/>
      <c r="AI84" s="2"/>
      <c r="AJ84" s="2"/>
    </row>
    <row r="85" spans="1:36" x14ac:dyDescent="0.2">
      <c r="A85" s="306">
        <f>Crop!B118</f>
        <v>41709</v>
      </c>
      <c r="B85" s="307"/>
      <c r="C85" s="308"/>
      <c r="D85" s="304">
        <f>IF(OR($A85&lt;$A$3,$A85&gt;$A$7),"",Crop!$D118)</f>
        <v>2.4653453527687246</v>
      </c>
      <c r="E85" s="304">
        <f t="shared" si="15"/>
        <v>2.4653453527687246</v>
      </c>
      <c r="F85" s="304">
        <f>IF(OR(A85&lt;A$3,A85&gt;A$7),"",Crop!U118)</f>
        <v>1.1372649867384628</v>
      </c>
      <c r="G85" s="304">
        <f t="shared" si="16"/>
        <v>2.8037509499222542</v>
      </c>
      <c r="H85" s="309">
        <f>IF(OR(A85&lt;A$3,A85&gt;A$7),"",YTD!E82)</f>
        <v>135</v>
      </c>
      <c r="I85" s="310">
        <f t="shared" si="17"/>
        <v>4.7015159703307319</v>
      </c>
      <c r="J85" s="311"/>
      <c r="K85" s="309">
        <f t="shared" si="18"/>
        <v>0</v>
      </c>
      <c r="L85" s="312" t="str">
        <f t="shared" si="25"/>
        <v/>
      </c>
      <c r="M85" s="366" t="str">
        <f t="shared" si="19"/>
        <v/>
      </c>
      <c r="N85" s="328" t="str">
        <f t="shared" si="20"/>
        <v/>
      </c>
      <c r="O85" s="313" t="str">
        <f t="shared" si="21"/>
        <v/>
      </c>
      <c r="P85" s="307"/>
      <c r="Q85" s="309">
        <f t="shared" si="26"/>
        <v>0.8</v>
      </c>
      <c r="R85" s="307"/>
      <c r="S85" s="314">
        <f t="shared" si="27"/>
        <v>11.2</v>
      </c>
      <c r="T85" s="304" t="str">
        <f t="shared" si="22"/>
        <v/>
      </c>
      <c r="U85" s="304">
        <f>IF(A85=YTD!B$6,E85,IF(OR(A85&lt;YTD!B$6,A85&gt;YTD!B$10),"",U84+E85))</f>
        <v>25.064397179271815</v>
      </c>
      <c r="V85" s="304">
        <f t="shared" si="28"/>
        <v>29.701515970330732</v>
      </c>
      <c r="W85" s="315">
        <f>IF(I85="",#N/A,YTD!G$8-I85)</f>
        <v>265.29848402966928</v>
      </c>
      <c r="X85" s="368">
        <f t="shared" si="23"/>
        <v>0</v>
      </c>
      <c r="Y85" s="368">
        <f t="shared" si="29"/>
        <v>0</v>
      </c>
      <c r="Z85" s="368" t="str">
        <f t="shared" si="24"/>
        <v/>
      </c>
      <c r="AA85" s="368">
        <v>70</v>
      </c>
      <c r="AB85" s="369">
        <f t="array" ref="AB85">SUM(IF(AA85=Z$16:Z$592,A$16:A$592,""))</f>
        <v>0</v>
      </c>
      <c r="AC85" s="370">
        <f t="array" ref="AC85">SUM(IF(AA85=Z$16:Z$592,J$16:J$592,""))</f>
        <v>0</v>
      </c>
      <c r="AD85" s="370">
        <f t="array" ref="AD85">SUM(IF($AA85=$Z$16:$Z$592,L$16:L$592,""))</f>
        <v>0</v>
      </c>
      <c r="AE85" s="370">
        <f t="array" ref="AE85">SUM(IF($AA85=$Z$16:$Z$592,M$16:M$592,""))</f>
        <v>0</v>
      </c>
      <c r="AF85" s="368">
        <f t="array" ref="AF85">SUM(IF($AA85=$Z$16:$Z$592,N$16:N$592,""))</f>
        <v>0</v>
      </c>
      <c r="AG85" s="370">
        <f t="array" ref="AG85">SUM(IF($AA85=$Z$16:$Z$592,O$16:O$592,""))</f>
        <v>0</v>
      </c>
      <c r="AH85" s="2"/>
      <c r="AI85" s="2"/>
      <c r="AJ85" s="2"/>
    </row>
    <row r="86" spans="1:36" x14ac:dyDescent="0.2">
      <c r="A86" s="306">
        <f>Crop!B119</f>
        <v>41710</v>
      </c>
      <c r="B86" s="307"/>
      <c r="C86" s="308"/>
      <c r="D86" s="304">
        <f>IF(OR($A86&lt;$A$3,$A86&gt;$A$7),"",Crop!$D119)</f>
        <v>2.506385719523704</v>
      </c>
      <c r="E86" s="304">
        <f t="shared" si="15"/>
        <v>2.506385719523704</v>
      </c>
      <c r="F86" s="304">
        <f>IF(OR(A86&lt;A$3,A86&gt;A$7),"",Crop!U119)</f>
        <v>1.1189278768804654</v>
      </c>
      <c r="G86" s="304">
        <f t="shared" si="16"/>
        <v>2.8044648517901756</v>
      </c>
      <c r="H86" s="309">
        <f>IF(OR(A86&lt;A$3,A86&gt;A$7),"",YTD!E83)</f>
        <v>135</v>
      </c>
      <c r="I86" s="310">
        <f t="shared" si="17"/>
        <v>7.5059808221209074</v>
      </c>
      <c r="J86" s="311"/>
      <c r="K86" s="309">
        <f t="shared" si="18"/>
        <v>0</v>
      </c>
      <c r="L86" s="312" t="str">
        <f t="shared" si="25"/>
        <v/>
      </c>
      <c r="M86" s="366" t="str">
        <f t="shared" si="19"/>
        <v/>
      </c>
      <c r="N86" s="328" t="str">
        <f t="shared" si="20"/>
        <v/>
      </c>
      <c r="O86" s="313" t="str">
        <f t="shared" si="21"/>
        <v/>
      </c>
      <c r="P86" s="307"/>
      <c r="Q86" s="309">
        <f t="shared" si="26"/>
        <v>0.8</v>
      </c>
      <c r="R86" s="307"/>
      <c r="S86" s="314">
        <f t="shared" si="27"/>
        <v>11.2</v>
      </c>
      <c r="T86" s="304" t="str">
        <f t="shared" si="22"/>
        <v/>
      </c>
      <c r="U86" s="304">
        <f>IF(A86=YTD!B$6,E86,IF(OR(A86&lt;YTD!B$6,A86&gt;YTD!B$10),"",U85+E86))</f>
        <v>27.570782898795517</v>
      </c>
      <c r="V86" s="304">
        <f t="shared" si="28"/>
        <v>32.505980822120904</v>
      </c>
      <c r="W86" s="315">
        <f>IF(I86="",#N/A,YTD!G$8-I86)</f>
        <v>262.49401917787907</v>
      </c>
      <c r="X86" s="368">
        <f t="shared" si="23"/>
        <v>0</v>
      </c>
      <c r="Y86" s="368">
        <f t="shared" si="29"/>
        <v>0</v>
      </c>
      <c r="Z86" s="368" t="str">
        <f t="shared" si="24"/>
        <v/>
      </c>
      <c r="AA86" s="368">
        <v>71</v>
      </c>
      <c r="AB86" s="369">
        <f t="array" ref="AB86">SUM(IF(AA86=Z$16:Z$592,A$16:A$592,""))</f>
        <v>0</v>
      </c>
      <c r="AC86" s="370">
        <f t="array" ref="AC86">SUM(IF(AA86=Z$16:Z$592,J$16:J$592,""))</f>
        <v>0</v>
      </c>
      <c r="AD86" s="370">
        <f t="array" ref="AD86">SUM(IF($AA86=$Z$16:$Z$592,L$16:L$592,""))</f>
        <v>0</v>
      </c>
      <c r="AE86" s="370">
        <f t="array" ref="AE86">SUM(IF($AA86=$Z$16:$Z$592,M$16:M$592,""))</f>
        <v>0</v>
      </c>
      <c r="AF86" s="368">
        <f t="array" ref="AF86">SUM(IF($AA86=$Z$16:$Z$592,N$16:N$592,""))</f>
        <v>0</v>
      </c>
      <c r="AG86" s="370">
        <f t="array" ref="AG86">SUM(IF($AA86=$Z$16:$Z$592,O$16:O$592,""))</f>
        <v>0</v>
      </c>
      <c r="AH86" s="2"/>
      <c r="AI86" s="2"/>
      <c r="AJ86" s="2"/>
    </row>
    <row r="87" spans="1:36" x14ac:dyDescent="0.2">
      <c r="A87" s="306">
        <f>Crop!B120</f>
        <v>41711</v>
      </c>
      <c r="B87" s="307"/>
      <c r="C87" s="308"/>
      <c r="D87" s="304">
        <f>IF(OR($A87&lt;$A$3,$A87&gt;$A$7),"",Crop!$D120)</f>
        <v>2.5484738190836005</v>
      </c>
      <c r="E87" s="304">
        <f t="shared" si="15"/>
        <v>2.5484738190836005</v>
      </c>
      <c r="F87" s="304">
        <f>IF(OR(A87&lt;A$3,A87&gt;A$7),"",Crop!U120)</f>
        <v>1.0995718534162116</v>
      </c>
      <c r="G87" s="304">
        <f t="shared" si="16"/>
        <v>2.8022300806324454</v>
      </c>
      <c r="H87" s="309">
        <f>IF(OR(A87&lt;A$3,A87&gt;A$7),"",YTD!E84)</f>
        <v>135</v>
      </c>
      <c r="I87" s="310">
        <f t="shared" si="17"/>
        <v>10.308210902753352</v>
      </c>
      <c r="J87" s="311"/>
      <c r="K87" s="309">
        <f t="shared" si="18"/>
        <v>0</v>
      </c>
      <c r="L87" s="312" t="str">
        <f t="shared" si="25"/>
        <v/>
      </c>
      <c r="M87" s="366" t="str">
        <f t="shared" si="19"/>
        <v/>
      </c>
      <c r="N87" s="328" t="str">
        <f t="shared" si="20"/>
        <v/>
      </c>
      <c r="O87" s="313" t="str">
        <f t="shared" si="21"/>
        <v/>
      </c>
      <c r="P87" s="307"/>
      <c r="Q87" s="309">
        <f t="shared" si="26"/>
        <v>0.8</v>
      </c>
      <c r="R87" s="307"/>
      <c r="S87" s="314">
        <f t="shared" si="27"/>
        <v>11.2</v>
      </c>
      <c r="T87" s="304" t="str">
        <f t="shared" si="22"/>
        <v/>
      </c>
      <c r="U87" s="304">
        <f>IF(A87=YTD!B$6,E87,IF(OR(A87&lt;YTD!B$6,A87&gt;YTD!B$10),"",U86+E87))</f>
        <v>30.119256717879118</v>
      </c>
      <c r="V87" s="304">
        <f t="shared" si="28"/>
        <v>35.308210902753352</v>
      </c>
      <c r="W87" s="315">
        <f>IF(I87="",#N/A,YTD!G$8-I87)</f>
        <v>259.69178909724667</v>
      </c>
      <c r="X87" s="368">
        <f t="shared" si="23"/>
        <v>0</v>
      </c>
      <c r="Y87" s="368">
        <f t="shared" si="29"/>
        <v>0</v>
      </c>
      <c r="Z87" s="368" t="str">
        <f t="shared" si="24"/>
        <v/>
      </c>
      <c r="AA87" s="368">
        <v>72</v>
      </c>
      <c r="AB87" s="369">
        <f t="array" ref="AB87">SUM(IF(AA87=Z$16:Z$592,A$16:A$592,""))</f>
        <v>0</v>
      </c>
      <c r="AC87" s="370">
        <f t="array" ref="AC87">SUM(IF(AA87=Z$16:Z$592,J$16:J$592,""))</f>
        <v>0</v>
      </c>
      <c r="AD87" s="370">
        <f t="array" ref="AD87">SUM(IF($AA87=$Z$16:$Z$592,L$16:L$592,""))</f>
        <v>0</v>
      </c>
      <c r="AE87" s="370">
        <f t="array" ref="AE87">SUM(IF($AA87=$Z$16:$Z$592,M$16:M$592,""))</f>
        <v>0</v>
      </c>
      <c r="AF87" s="368">
        <f t="array" ref="AF87">SUM(IF($AA87=$Z$16:$Z$592,N$16:N$592,""))</f>
        <v>0</v>
      </c>
      <c r="AG87" s="370">
        <f t="array" ref="AG87">SUM(IF($AA87=$Z$16:$Z$592,O$16:O$592,""))</f>
        <v>0</v>
      </c>
      <c r="AH87" s="2"/>
      <c r="AI87" s="2"/>
      <c r="AJ87" s="2"/>
    </row>
    <row r="88" spans="1:36" x14ac:dyDescent="0.2">
      <c r="A88" s="306">
        <f>Crop!B121</f>
        <v>41712</v>
      </c>
      <c r="B88" s="307"/>
      <c r="C88" s="308"/>
      <c r="D88" s="304">
        <f>IF(OR($A88&lt;$A$3,$A88&gt;$A$7),"",Crop!$D121)</f>
        <v>2.5916483685767231</v>
      </c>
      <c r="E88" s="304">
        <f t="shared" si="15"/>
        <v>2.5916483685767231</v>
      </c>
      <c r="F88" s="304">
        <f>IF(OR(A88&lt;A$3,A88&gt;A$7),"",Crop!U121)</f>
        <v>1.0793513378652331</v>
      </c>
      <c r="G88" s="304">
        <f t="shared" si="16"/>
        <v>2.7972991338995348</v>
      </c>
      <c r="H88" s="309">
        <f>IF(OR(A88&lt;A$3,A88&gt;A$7),"",YTD!E85)</f>
        <v>135</v>
      </c>
      <c r="I88" s="310">
        <f t="shared" si="17"/>
        <v>13.105510036652888</v>
      </c>
      <c r="J88" s="311"/>
      <c r="K88" s="309">
        <f t="shared" si="18"/>
        <v>0</v>
      </c>
      <c r="L88" s="312" t="str">
        <f t="shared" si="25"/>
        <v/>
      </c>
      <c r="M88" s="366" t="str">
        <f t="shared" si="19"/>
        <v/>
      </c>
      <c r="N88" s="328" t="str">
        <f t="shared" si="20"/>
        <v/>
      </c>
      <c r="O88" s="313" t="str">
        <f t="shared" si="21"/>
        <v/>
      </c>
      <c r="P88" s="307"/>
      <c r="Q88" s="309">
        <f t="shared" si="26"/>
        <v>0.8</v>
      </c>
      <c r="R88" s="307"/>
      <c r="S88" s="314">
        <f t="shared" si="27"/>
        <v>11.2</v>
      </c>
      <c r="T88" s="304" t="str">
        <f t="shared" si="22"/>
        <v/>
      </c>
      <c r="U88" s="304">
        <f>IF(A88=YTD!B$6,E88,IF(OR(A88&lt;YTD!B$6,A88&gt;YTD!B$10),"",U87+E88))</f>
        <v>32.710905086455838</v>
      </c>
      <c r="V88" s="304">
        <f t="shared" si="28"/>
        <v>38.105510036652888</v>
      </c>
      <c r="W88" s="315">
        <f>IF(I88="",#N/A,YTD!G$8-I88)</f>
        <v>256.8944899633471</v>
      </c>
      <c r="X88" s="368">
        <f t="shared" si="23"/>
        <v>0</v>
      </c>
      <c r="Y88" s="368">
        <f t="shared" si="29"/>
        <v>0</v>
      </c>
      <c r="Z88" s="368" t="str">
        <f t="shared" si="24"/>
        <v/>
      </c>
      <c r="AA88" s="368">
        <v>73</v>
      </c>
      <c r="AB88" s="369">
        <f t="array" ref="AB88">SUM(IF(AA88=Z$16:Z$592,A$16:A$592,""))</f>
        <v>0</v>
      </c>
      <c r="AC88" s="370">
        <f t="array" ref="AC88">SUM(IF(AA88=Z$16:Z$592,J$16:J$592,""))</f>
        <v>0</v>
      </c>
      <c r="AD88" s="370">
        <f t="array" ref="AD88">SUM(IF($AA88=$Z$16:$Z$592,L$16:L$592,""))</f>
        <v>0</v>
      </c>
      <c r="AE88" s="370">
        <f t="array" ref="AE88">SUM(IF($AA88=$Z$16:$Z$592,M$16:M$592,""))</f>
        <v>0</v>
      </c>
      <c r="AF88" s="368">
        <f t="array" ref="AF88">SUM(IF($AA88=$Z$16:$Z$592,N$16:N$592,""))</f>
        <v>0</v>
      </c>
      <c r="AG88" s="370">
        <f t="array" ref="AG88">SUM(IF($AA88=$Z$16:$Z$592,O$16:O$592,""))</f>
        <v>0</v>
      </c>
      <c r="AH88" s="2"/>
      <c r="AI88" s="2"/>
      <c r="AJ88" s="2"/>
    </row>
    <row r="89" spans="1:36" x14ac:dyDescent="0.2">
      <c r="A89" s="306">
        <f>Crop!B122</f>
        <v>41713</v>
      </c>
      <c r="B89" s="307"/>
      <c r="C89" s="308"/>
      <c r="D89" s="304">
        <f>IF(OR($A89&lt;$A$3,$A89&gt;$A$7),"",Crop!$D122)</f>
        <v>2.6359480851313828</v>
      </c>
      <c r="E89" s="304">
        <f t="shared" si="15"/>
        <v>2.6359480851313828</v>
      </c>
      <c r="F89" s="304">
        <f>IF(OR(A89&lt;A$3,A89&gt;A$7),"",Crop!U122)</f>
        <v>1.0584320573598891</v>
      </c>
      <c r="G89" s="304">
        <f t="shared" si="16"/>
        <v>2.7899719548394697</v>
      </c>
      <c r="H89" s="309">
        <f>IF(OR(A89&lt;A$3,A89&gt;A$7),"",YTD!E86)</f>
        <v>135</v>
      </c>
      <c r="I89" s="310">
        <f t="shared" si="17"/>
        <v>15.895481991492357</v>
      </c>
      <c r="J89" s="311"/>
      <c r="K89" s="309">
        <f t="shared" si="18"/>
        <v>0</v>
      </c>
      <c r="L89" s="312" t="str">
        <f t="shared" si="25"/>
        <v/>
      </c>
      <c r="M89" s="366" t="str">
        <f t="shared" si="19"/>
        <v/>
      </c>
      <c r="N89" s="328" t="str">
        <f t="shared" si="20"/>
        <v/>
      </c>
      <c r="O89" s="313" t="str">
        <f t="shared" si="21"/>
        <v/>
      </c>
      <c r="P89" s="307"/>
      <c r="Q89" s="309">
        <f t="shared" si="26"/>
        <v>0.8</v>
      </c>
      <c r="R89" s="307"/>
      <c r="S89" s="314">
        <f t="shared" si="27"/>
        <v>11.2</v>
      </c>
      <c r="T89" s="304" t="str">
        <f t="shared" si="22"/>
        <v/>
      </c>
      <c r="U89" s="304">
        <f>IF(A89=YTD!B$6,E89,IF(OR(A89&lt;YTD!B$6,A89&gt;YTD!B$10),"",U88+E89))</f>
        <v>35.34685317158722</v>
      </c>
      <c r="V89" s="304">
        <f t="shared" si="28"/>
        <v>40.89548199149236</v>
      </c>
      <c r="W89" s="315">
        <f>IF(I89="",#N/A,YTD!G$8-I89)</f>
        <v>254.10451800850765</v>
      </c>
      <c r="X89" s="368">
        <f t="shared" si="23"/>
        <v>0</v>
      </c>
      <c r="Y89" s="368">
        <f t="shared" si="29"/>
        <v>0</v>
      </c>
      <c r="Z89" s="368" t="str">
        <f t="shared" si="24"/>
        <v/>
      </c>
      <c r="AA89" s="368">
        <v>74</v>
      </c>
      <c r="AB89" s="369">
        <f t="array" ref="AB89">SUM(IF(AA89=Z$16:Z$592,A$16:A$592,""))</f>
        <v>0</v>
      </c>
      <c r="AC89" s="370">
        <f t="array" ref="AC89">SUM(IF(AA89=Z$16:Z$592,J$16:J$592,""))</f>
        <v>0</v>
      </c>
      <c r="AD89" s="370">
        <f t="array" ref="AD89">SUM(IF($AA89=$Z$16:$Z$592,L$16:L$592,""))</f>
        <v>0</v>
      </c>
      <c r="AE89" s="370">
        <f t="array" ref="AE89">SUM(IF($AA89=$Z$16:$Z$592,M$16:M$592,""))</f>
        <v>0</v>
      </c>
      <c r="AF89" s="368">
        <f t="array" ref="AF89">SUM(IF($AA89=$Z$16:$Z$592,N$16:N$592,""))</f>
        <v>0</v>
      </c>
      <c r="AG89" s="370">
        <f t="array" ref="AG89">SUM(IF($AA89=$Z$16:$Z$592,O$16:O$592,""))</f>
        <v>0</v>
      </c>
      <c r="AH89" s="2"/>
      <c r="AI89" s="2"/>
      <c r="AJ89" s="2"/>
    </row>
    <row r="90" spans="1:36" x14ac:dyDescent="0.2">
      <c r="A90" s="306">
        <f>Crop!B123</f>
        <v>41714</v>
      </c>
      <c r="B90" s="307"/>
      <c r="C90" s="308"/>
      <c r="D90" s="304">
        <f>IF(OR($A90&lt;$A$3,$A90&gt;$A$7),"",Crop!$D123)</f>
        <v>2.6814116858758905</v>
      </c>
      <c r="E90" s="304">
        <f t="shared" si="15"/>
        <v>2.6814116858758905</v>
      </c>
      <c r="F90" s="304">
        <f>IF(OR(A90&lt;A$3,A90&gt;A$7),"",Crop!U123)</f>
        <v>1.0369846912948071</v>
      </c>
      <c r="G90" s="304">
        <f t="shared" si="16"/>
        <v>2.7805828693122985</v>
      </c>
      <c r="H90" s="309">
        <f>IF(OR(A90&lt;A$3,A90&gt;A$7),"",YTD!E87)</f>
        <v>135</v>
      </c>
      <c r="I90" s="310">
        <f t="shared" si="17"/>
        <v>18.676064860804654</v>
      </c>
      <c r="J90" s="311"/>
      <c r="K90" s="309">
        <f t="shared" si="18"/>
        <v>0</v>
      </c>
      <c r="L90" s="312" t="str">
        <f t="shared" si="25"/>
        <v/>
      </c>
      <c r="M90" s="366" t="str">
        <f t="shared" si="19"/>
        <v/>
      </c>
      <c r="N90" s="328" t="str">
        <f t="shared" si="20"/>
        <v/>
      </c>
      <c r="O90" s="313" t="str">
        <f t="shared" si="21"/>
        <v/>
      </c>
      <c r="P90" s="307"/>
      <c r="Q90" s="309">
        <f t="shared" si="26"/>
        <v>0.8</v>
      </c>
      <c r="R90" s="307"/>
      <c r="S90" s="314">
        <f t="shared" si="27"/>
        <v>11.2</v>
      </c>
      <c r="T90" s="304" t="str">
        <f t="shared" si="22"/>
        <v/>
      </c>
      <c r="U90" s="304">
        <f>IF(A90=YTD!B$6,E90,IF(OR(A90&lt;YTD!B$6,A90&gt;YTD!B$10),"",U89+E90))</f>
        <v>38.028264857463114</v>
      </c>
      <c r="V90" s="304">
        <f t="shared" si="28"/>
        <v>43.676064860804658</v>
      </c>
      <c r="W90" s="315">
        <f>IF(I90="",#N/A,YTD!G$8-I90)</f>
        <v>251.32393513919536</v>
      </c>
      <c r="X90" s="368">
        <f t="shared" si="23"/>
        <v>0</v>
      </c>
      <c r="Y90" s="368">
        <f t="shared" si="29"/>
        <v>0</v>
      </c>
      <c r="Z90" s="368" t="str">
        <f t="shared" si="24"/>
        <v/>
      </c>
      <c r="AA90" s="368">
        <v>75</v>
      </c>
      <c r="AB90" s="369">
        <f t="array" ref="AB90">SUM(IF(AA90=Z$16:Z$592,A$16:A$592,""))</f>
        <v>0</v>
      </c>
      <c r="AC90" s="370">
        <f t="array" ref="AC90">SUM(IF(AA90=Z$16:Z$592,J$16:J$592,""))</f>
        <v>0</v>
      </c>
      <c r="AD90" s="370">
        <f t="array" ref="AD90">SUM(IF($AA90=$Z$16:$Z$592,L$16:L$592,""))</f>
        <v>0</v>
      </c>
      <c r="AE90" s="370">
        <f t="array" ref="AE90">SUM(IF($AA90=$Z$16:$Z$592,M$16:M$592,""))</f>
        <v>0</v>
      </c>
      <c r="AF90" s="368">
        <f t="array" ref="AF90">SUM(IF($AA90=$Z$16:$Z$592,N$16:N$592,""))</f>
        <v>0</v>
      </c>
      <c r="AG90" s="370">
        <f t="array" ref="AG90">SUM(IF($AA90=$Z$16:$Z$592,O$16:O$592,""))</f>
        <v>0</v>
      </c>
      <c r="AH90" s="2"/>
      <c r="AI90" s="2"/>
      <c r="AJ90" s="2"/>
    </row>
    <row r="91" spans="1:36" x14ac:dyDescent="0.2">
      <c r="A91" s="306">
        <f>Crop!B124</f>
        <v>41715</v>
      </c>
      <c r="B91" s="307"/>
      <c r="C91" s="308"/>
      <c r="D91" s="304">
        <f>IF(OR($A91&lt;$A$3,$A91&gt;$A$7),"",Crop!$D124)</f>
        <v>2.7280778879385563</v>
      </c>
      <c r="E91" s="304">
        <f t="shared" si="15"/>
        <v>2.7280778879385563</v>
      </c>
      <c r="F91" s="304">
        <f>IF(OR(A91&lt;A$3,A91&gt;A$7),"",Crop!U124)</f>
        <v>1.0151789293201885</v>
      </c>
      <c r="G91" s="304">
        <f t="shared" si="16"/>
        <v>2.7694871893795447</v>
      </c>
      <c r="H91" s="309">
        <f>IF(OR(A91&lt;A$3,A91&gt;A$7),"",YTD!E88)</f>
        <v>135</v>
      </c>
      <c r="I91" s="310">
        <f t="shared" si="17"/>
        <v>21.445552050184197</v>
      </c>
      <c r="J91" s="311"/>
      <c r="K91" s="309">
        <f t="shared" si="18"/>
        <v>0</v>
      </c>
      <c r="L91" s="312" t="str">
        <f t="shared" si="25"/>
        <v/>
      </c>
      <c r="M91" s="366" t="str">
        <f t="shared" si="19"/>
        <v/>
      </c>
      <c r="N91" s="328" t="str">
        <f t="shared" si="20"/>
        <v/>
      </c>
      <c r="O91" s="313" t="str">
        <f t="shared" si="21"/>
        <v/>
      </c>
      <c r="P91" s="307"/>
      <c r="Q91" s="309">
        <f t="shared" si="26"/>
        <v>0.8</v>
      </c>
      <c r="R91" s="307"/>
      <c r="S91" s="314">
        <f t="shared" si="27"/>
        <v>11.2</v>
      </c>
      <c r="T91" s="304" t="str">
        <f t="shared" si="22"/>
        <v/>
      </c>
      <c r="U91" s="304">
        <f>IF(A91=YTD!B$6,E91,IF(OR(A91&lt;YTD!B$6,A91&gt;YTD!B$10),"",U90+E91))</f>
        <v>40.756342745401668</v>
      </c>
      <c r="V91" s="304">
        <f t="shared" si="28"/>
        <v>46.445552050184205</v>
      </c>
      <c r="W91" s="315">
        <f>IF(I91="",#N/A,YTD!G$8-I91)</f>
        <v>248.5544479498158</v>
      </c>
      <c r="X91" s="368">
        <f t="shared" si="23"/>
        <v>0</v>
      </c>
      <c r="Y91" s="368">
        <f t="shared" si="29"/>
        <v>0</v>
      </c>
      <c r="Z91" s="368" t="str">
        <f t="shared" si="24"/>
        <v/>
      </c>
      <c r="AA91" s="368">
        <v>76</v>
      </c>
      <c r="AB91" s="369">
        <f t="array" ref="AB91">SUM(IF(AA91=Z$16:Z$592,A$16:A$592,""))</f>
        <v>0</v>
      </c>
      <c r="AC91" s="370">
        <f t="array" ref="AC91">SUM(IF(AA91=Z$16:Z$592,J$16:J$592,""))</f>
        <v>0</v>
      </c>
      <c r="AD91" s="370">
        <f t="array" ref="AD91">SUM(IF($AA91=$Z$16:$Z$592,L$16:L$592,""))</f>
        <v>0</v>
      </c>
      <c r="AE91" s="370">
        <f t="array" ref="AE91">SUM(IF($AA91=$Z$16:$Z$592,M$16:M$592,""))</f>
        <v>0</v>
      </c>
      <c r="AF91" s="368">
        <f t="array" ref="AF91">SUM(IF($AA91=$Z$16:$Z$592,N$16:N$592,""))</f>
        <v>0</v>
      </c>
      <c r="AG91" s="370">
        <f t="array" ref="AG91">SUM(IF($AA91=$Z$16:$Z$592,O$16:O$592,""))</f>
        <v>0</v>
      </c>
      <c r="AH91" s="2"/>
      <c r="AI91" s="2"/>
      <c r="AJ91" s="2"/>
    </row>
    <row r="92" spans="1:36" x14ac:dyDescent="0.2">
      <c r="A92" s="306">
        <f>Crop!B125</f>
        <v>41716</v>
      </c>
      <c r="B92" s="307"/>
      <c r="C92" s="308"/>
      <c r="D92" s="304">
        <f>IF(OR($A92&lt;$A$3,$A92&gt;$A$7),"",Crop!$D125)</f>
        <v>2.7759654219725172</v>
      </c>
      <c r="E92" s="304">
        <f t="shared" si="15"/>
        <v>2.7759654219725172</v>
      </c>
      <c r="F92" s="304">
        <f>IF(OR(A92&lt;A$3,A92&gt;A$7),"",Crop!U125)</f>
        <v>0.99320793368996529</v>
      </c>
      <c r="G92" s="304">
        <f t="shared" si="16"/>
        <v>2.7571108807521165</v>
      </c>
      <c r="H92" s="309">
        <f>IF(OR(A92&lt;A$3,A92&gt;A$7),"",YTD!E89)</f>
        <v>135</v>
      </c>
      <c r="I92" s="310">
        <f t="shared" si="17"/>
        <v>24.202662930936313</v>
      </c>
      <c r="J92" s="311"/>
      <c r="K92" s="309">
        <f t="shared" si="18"/>
        <v>0</v>
      </c>
      <c r="L92" s="312" t="str">
        <f t="shared" si="25"/>
        <v/>
      </c>
      <c r="M92" s="366" t="str">
        <f t="shared" si="19"/>
        <v/>
      </c>
      <c r="N92" s="328" t="str">
        <f t="shared" si="20"/>
        <v/>
      </c>
      <c r="O92" s="313" t="str">
        <f t="shared" si="21"/>
        <v/>
      </c>
      <c r="P92" s="307"/>
      <c r="Q92" s="309">
        <f t="shared" si="26"/>
        <v>0.8</v>
      </c>
      <c r="R92" s="307"/>
      <c r="S92" s="314">
        <f t="shared" si="27"/>
        <v>11.2</v>
      </c>
      <c r="T92" s="304" t="str">
        <f t="shared" si="22"/>
        <v/>
      </c>
      <c r="U92" s="304">
        <f>IF(A92=YTD!B$6,E92,IF(OR(A92&lt;YTD!B$6,A92&gt;YTD!B$10),"",U91+E92))</f>
        <v>43.532308167374183</v>
      </c>
      <c r="V92" s="304">
        <f t="shared" si="28"/>
        <v>49.20266293093632</v>
      </c>
      <c r="W92" s="315">
        <f>IF(I92="",#N/A,YTD!G$8-I92)</f>
        <v>245.7973370690637</v>
      </c>
      <c r="X92" s="368">
        <f t="shared" si="23"/>
        <v>0</v>
      </c>
      <c r="Y92" s="368">
        <f t="shared" si="29"/>
        <v>0</v>
      </c>
      <c r="Z92" s="368" t="str">
        <f t="shared" si="24"/>
        <v/>
      </c>
      <c r="AA92" s="368">
        <v>77</v>
      </c>
      <c r="AB92" s="369">
        <f t="array" ref="AB92">SUM(IF(AA92=Z$16:Z$592,A$16:A$592,""))</f>
        <v>0</v>
      </c>
      <c r="AC92" s="370">
        <f t="array" ref="AC92">SUM(IF(AA92=Z$16:Z$592,J$16:J$592,""))</f>
        <v>0</v>
      </c>
      <c r="AD92" s="370">
        <f t="array" ref="AD92">SUM(IF($AA92=$Z$16:$Z$592,L$16:L$592,""))</f>
        <v>0</v>
      </c>
      <c r="AE92" s="370">
        <f t="array" ref="AE92">SUM(IF($AA92=$Z$16:$Z$592,M$16:M$592,""))</f>
        <v>0</v>
      </c>
      <c r="AF92" s="368">
        <f t="array" ref="AF92">SUM(IF($AA92=$Z$16:$Z$592,N$16:N$592,""))</f>
        <v>0</v>
      </c>
      <c r="AG92" s="370">
        <f t="array" ref="AG92">SUM(IF($AA92=$Z$16:$Z$592,O$16:O$592,""))</f>
        <v>0</v>
      </c>
      <c r="AH92" s="2"/>
      <c r="AI92" s="2"/>
      <c r="AJ92" s="2"/>
    </row>
    <row r="93" spans="1:36" x14ac:dyDescent="0.2">
      <c r="A93" s="306">
        <f>Crop!B126</f>
        <v>41717</v>
      </c>
      <c r="B93" s="307"/>
      <c r="C93" s="308"/>
      <c r="D93" s="304">
        <f>IF(OR($A93&lt;$A$3,$A93&gt;$A$7),"",Crop!$D126)</f>
        <v>2.8250130727302176</v>
      </c>
      <c r="E93" s="304">
        <f t="shared" si="15"/>
        <v>2.8250130727302176</v>
      </c>
      <c r="F93" s="304">
        <f>IF(OR(A93&lt;A$3,A93&gt;A$7),"",Crop!U126)</f>
        <v>0.99432314410480294</v>
      </c>
      <c r="G93" s="304">
        <f t="shared" si="16"/>
        <v>2.8089758806142804</v>
      </c>
      <c r="H93" s="309">
        <f>IF(OR(A93&lt;A$3,A93&gt;A$7),"",YTD!E90)</f>
        <v>135</v>
      </c>
      <c r="I93" s="310">
        <f t="shared" si="17"/>
        <v>27.011638811550593</v>
      </c>
      <c r="J93" s="311"/>
      <c r="K93" s="309">
        <f t="shared" si="18"/>
        <v>0</v>
      </c>
      <c r="L93" s="312" t="str">
        <f t="shared" si="25"/>
        <v/>
      </c>
      <c r="M93" s="366" t="str">
        <f t="shared" si="19"/>
        <v/>
      </c>
      <c r="N93" s="328" t="str">
        <f t="shared" si="20"/>
        <v/>
      </c>
      <c r="O93" s="313" t="str">
        <f t="shared" si="21"/>
        <v/>
      </c>
      <c r="P93" s="307"/>
      <c r="Q93" s="309">
        <f t="shared" si="26"/>
        <v>0.8</v>
      </c>
      <c r="R93" s="307"/>
      <c r="S93" s="314">
        <f t="shared" si="27"/>
        <v>11.2</v>
      </c>
      <c r="T93" s="304" t="str">
        <f t="shared" si="22"/>
        <v/>
      </c>
      <c r="U93" s="304">
        <f>IF(A93=YTD!B$6,E93,IF(OR(A93&lt;YTD!B$6,A93&gt;YTD!B$10),"",U92+E93))</f>
        <v>46.357321240104397</v>
      </c>
      <c r="V93" s="304">
        <f t="shared" si="28"/>
        <v>52.011638811550597</v>
      </c>
      <c r="W93" s="315">
        <f>IF(I93="",#N/A,YTD!G$8-I93)</f>
        <v>242.9883611884494</v>
      </c>
      <c r="X93" s="368">
        <f t="shared" si="23"/>
        <v>0</v>
      </c>
      <c r="Y93" s="368">
        <f t="shared" si="29"/>
        <v>0</v>
      </c>
      <c r="Z93" s="368" t="str">
        <f t="shared" si="24"/>
        <v/>
      </c>
      <c r="AA93" s="368">
        <v>78</v>
      </c>
      <c r="AB93" s="369">
        <f t="array" ref="AB93">SUM(IF(AA93=Z$16:Z$592,A$16:A$592,""))</f>
        <v>0</v>
      </c>
      <c r="AC93" s="370">
        <f t="array" ref="AC93">SUM(IF(AA93=Z$16:Z$592,J$16:J$592,""))</f>
        <v>0</v>
      </c>
      <c r="AD93" s="370">
        <f t="array" ref="AD93">SUM(IF($AA93=$Z$16:$Z$592,L$16:L$592,""))</f>
        <v>0</v>
      </c>
      <c r="AE93" s="370">
        <f t="array" ref="AE93">SUM(IF($AA93=$Z$16:$Z$592,M$16:M$592,""))</f>
        <v>0</v>
      </c>
      <c r="AF93" s="368">
        <f t="array" ref="AF93">SUM(IF($AA93=$Z$16:$Z$592,N$16:N$592,""))</f>
        <v>0</v>
      </c>
      <c r="AG93" s="370">
        <f t="array" ref="AG93">SUM(IF($AA93=$Z$16:$Z$592,O$16:O$592,""))</f>
        <v>0</v>
      </c>
      <c r="AH93" s="2"/>
      <c r="AI93" s="2"/>
      <c r="AJ93" s="2"/>
    </row>
    <row r="94" spans="1:36" x14ac:dyDescent="0.2">
      <c r="A94" s="306">
        <f>Crop!B127</f>
        <v>41718</v>
      </c>
      <c r="B94" s="307"/>
      <c r="C94" s="308"/>
      <c r="D94" s="304">
        <f>IF(OR($A94&lt;$A$3,$A94&gt;$A$7),"",Crop!$D127)</f>
        <v>2.8751396384889283</v>
      </c>
      <c r="E94" s="304">
        <f t="shared" si="15"/>
        <v>2.8751396384889283</v>
      </c>
      <c r="F94" s="304">
        <f>IF(OR(A94&lt;A$3,A94&gt;A$7),"",Crop!U127)</f>
        <v>0.99956331877729199</v>
      </c>
      <c r="G94" s="304">
        <f t="shared" si="16"/>
        <v>2.8738841189961368</v>
      </c>
      <c r="H94" s="309">
        <f>IF(OR(A94&lt;A$3,A94&gt;A$7),"",YTD!E91)</f>
        <v>135</v>
      </c>
      <c r="I94" s="310">
        <f t="shared" si="17"/>
        <v>29.885522930546731</v>
      </c>
      <c r="J94" s="311"/>
      <c r="K94" s="309">
        <f t="shared" si="18"/>
        <v>0</v>
      </c>
      <c r="L94" s="312" t="str">
        <f t="shared" si="25"/>
        <v/>
      </c>
      <c r="M94" s="366" t="str">
        <f t="shared" si="19"/>
        <v/>
      </c>
      <c r="N94" s="328" t="str">
        <f t="shared" si="20"/>
        <v/>
      </c>
      <c r="O94" s="313" t="str">
        <f t="shared" si="21"/>
        <v/>
      </c>
      <c r="P94" s="307"/>
      <c r="Q94" s="309">
        <f t="shared" si="26"/>
        <v>0.8</v>
      </c>
      <c r="R94" s="307"/>
      <c r="S94" s="314">
        <f t="shared" si="27"/>
        <v>11.2</v>
      </c>
      <c r="T94" s="304" t="str">
        <f t="shared" si="22"/>
        <v/>
      </c>
      <c r="U94" s="304">
        <f>IF(A94=YTD!B$6,E94,IF(OR(A94&lt;YTD!B$6,A94&gt;YTD!B$10),"",U93+E94))</f>
        <v>49.232460878593329</v>
      </c>
      <c r="V94" s="304">
        <f t="shared" si="28"/>
        <v>54.885522930546735</v>
      </c>
      <c r="W94" s="315">
        <f>IF(I94="",#N/A,YTD!G$8-I94)</f>
        <v>240.11447706945327</v>
      </c>
      <c r="X94" s="368">
        <f t="shared" si="23"/>
        <v>0</v>
      </c>
      <c r="Y94" s="368">
        <f t="shared" si="29"/>
        <v>0</v>
      </c>
      <c r="Z94" s="368" t="str">
        <f t="shared" si="24"/>
        <v/>
      </c>
      <c r="AA94" s="368">
        <v>79</v>
      </c>
      <c r="AB94" s="369">
        <f t="array" ref="AB94">SUM(IF(AA94=Z$16:Z$592,A$16:A$592,""))</f>
        <v>0</v>
      </c>
      <c r="AC94" s="370">
        <f t="array" ref="AC94">SUM(IF(AA94=Z$16:Z$592,J$16:J$592,""))</f>
        <v>0</v>
      </c>
      <c r="AD94" s="370">
        <f t="array" ref="AD94">SUM(IF($AA94=$Z$16:$Z$592,L$16:L$592,""))</f>
        <v>0</v>
      </c>
      <c r="AE94" s="370">
        <f t="array" ref="AE94">SUM(IF($AA94=$Z$16:$Z$592,M$16:M$592,""))</f>
        <v>0</v>
      </c>
      <c r="AF94" s="368">
        <f t="array" ref="AF94">SUM(IF($AA94=$Z$16:$Z$592,N$16:N$592,""))</f>
        <v>0</v>
      </c>
      <c r="AG94" s="370">
        <f t="array" ref="AG94">SUM(IF($AA94=$Z$16:$Z$592,O$16:O$592,""))</f>
        <v>0</v>
      </c>
      <c r="AH94" s="2"/>
      <c r="AI94" s="2"/>
      <c r="AJ94" s="2"/>
    </row>
    <row r="95" spans="1:36" x14ac:dyDescent="0.2">
      <c r="A95" s="306">
        <f>Crop!B128</f>
        <v>41719</v>
      </c>
      <c r="B95" s="307"/>
      <c r="C95" s="308"/>
      <c r="D95" s="304">
        <f>IF(OR($A95&lt;$A$3,$A95&gt;$A$7),"",Crop!$D128)</f>
        <v>2.9262639175259211</v>
      </c>
      <c r="E95" s="304">
        <f t="shared" si="15"/>
        <v>2.9262639175259211</v>
      </c>
      <c r="F95" s="304">
        <f>IF(OR(A95&lt;A$3,A95&gt;A$7),"",Crop!U128)</f>
        <v>1.0048034934497809</v>
      </c>
      <c r="G95" s="304">
        <f t="shared" si="16"/>
        <v>2.9403202070860872</v>
      </c>
      <c r="H95" s="309">
        <f>IF(OR(A95&lt;A$3,A95&gt;A$7),"",YTD!E92)</f>
        <v>135</v>
      </c>
      <c r="I95" s="310">
        <f t="shared" si="17"/>
        <v>32.825843137632816</v>
      </c>
      <c r="J95" s="311"/>
      <c r="K95" s="309">
        <f t="shared" si="18"/>
        <v>0</v>
      </c>
      <c r="L95" s="312" t="str">
        <f t="shared" si="25"/>
        <v/>
      </c>
      <c r="M95" s="366" t="str">
        <f t="shared" si="19"/>
        <v/>
      </c>
      <c r="N95" s="328" t="str">
        <f t="shared" si="20"/>
        <v/>
      </c>
      <c r="O95" s="313" t="str">
        <f t="shared" si="21"/>
        <v/>
      </c>
      <c r="P95" s="307"/>
      <c r="Q95" s="309">
        <f t="shared" si="26"/>
        <v>0.8</v>
      </c>
      <c r="R95" s="307"/>
      <c r="S95" s="314">
        <f t="shared" si="27"/>
        <v>11.2</v>
      </c>
      <c r="T95" s="304" t="str">
        <f t="shared" si="22"/>
        <v/>
      </c>
      <c r="U95" s="304">
        <f>IF(A95=YTD!B$6,E95,IF(OR(A95&lt;YTD!B$6,A95&gt;YTD!B$10),"",U94+E95))</f>
        <v>52.158724796119252</v>
      </c>
      <c r="V95" s="304">
        <f t="shared" si="28"/>
        <v>57.825843137632823</v>
      </c>
      <c r="W95" s="315">
        <f>IF(I95="",#N/A,YTD!G$8-I95)</f>
        <v>237.17415686236717</v>
      </c>
      <c r="X95" s="368">
        <f t="shared" si="23"/>
        <v>0</v>
      </c>
      <c r="Y95" s="368">
        <f t="shared" si="29"/>
        <v>0</v>
      </c>
      <c r="Z95" s="368" t="str">
        <f t="shared" si="24"/>
        <v/>
      </c>
      <c r="AA95" s="368">
        <v>80</v>
      </c>
      <c r="AB95" s="369">
        <f t="array" ref="AB95">SUM(IF(AA95=Z$16:Z$592,A$16:A$592,""))</f>
        <v>0</v>
      </c>
      <c r="AC95" s="370">
        <f t="array" ref="AC95">SUM(IF(AA95=Z$16:Z$592,J$16:J$592,""))</f>
        <v>0</v>
      </c>
      <c r="AD95" s="370">
        <f t="array" ref="AD95">SUM(IF($AA95=$Z$16:$Z$592,L$16:L$592,""))</f>
        <v>0</v>
      </c>
      <c r="AE95" s="370">
        <f t="array" ref="AE95">SUM(IF($AA95=$Z$16:$Z$592,M$16:M$592,""))</f>
        <v>0</v>
      </c>
      <c r="AF95" s="368">
        <f t="array" ref="AF95">SUM(IF($AA95=$Z$16:$Z$592,N$16:N$592,""))</f>
        <v>0</v>
      </c>
      <c r="AG95" s="370">
        <f t="array" ref="AG95">SUM(IF($AA95=$Z$16:$Z$592,O$16:O$592,""))</f>
        <v>0</v>
      </c>
      <c r="AH95" s="2"/>
      <c r="AI95" s="2"/>
      <c r="AJ95" s="2"/>
    </row>
    <row r="96" spans="1:36" x14ac:dyDescent="0.2">
      <c r="A96" s="306">
        <f>Crop!B129</f>
        <v>41720</v>
      </c>
      <c r="B96" s="307"/>
      <c r="C96" s="308"/>
      <c r="D96" s="304">
        <f>IF(OR($A96&lt;$A$3,$A96&gt;$A$7),"",Crop!$D129)</f>
        <v>2.978304708118467</v>
      </c>
      <c r="E96" s="304">
        <f t="shared" si="15"/>
        <v>2.978304708118467</v>
      </c>
      <c r="F96" s="304">
        <f>IF(OR(A96&lt;A$3,A96&gt;A$7),"",Crop!U129)</f>
        <v>1.01004366812227</v>
      </c>
      <c r="G96" s="304">
        <f t="shared" si="16"/>
        <v>3.008217812173803</v>
      </c>
      <c r="H96" s="309">
        <f>IF(OR(A96&lt;A$3,A96&gt;A$7),"",YTD!E93)</f>
        <v>135</v>
      </c>
      <c r="I96" s="310">
        <f t="shared" si="17"/>
        <v>35.83406094980662</v>
      </c>
      <c r="J96" s="311"/>
      <c r="K96" s="309">
        <f t="shared" si="18"/>
        <v>0</v>
      </c>
      <c r="L96" s="312" t="str">
        <f t="shared" si="25"/>
        <v/>
      </c>
      <c r="M96" s="366" t="str">
        <f t="shared" si="19"/>
        <v/>
      </c>
      <c r="N96" s="328" t="str">
        <f t="shared" si="20"/>
        <v/>
      </c>
      <c r="O96" s="313" t="str">
        <f t="shared" si="21"/>
        <v/>
      </c>
      <c r="P96" s="307"/>
      <c r="Q96" s="309">
        <f t="shared" si="26"/>
        <v>0.8</v>
      </c>
      <c r="R96" s="307"/>
      <c r="S96" s="314">
        <f t="shared" si="27"/>
        <v>11.2</v>
      </c>
      <c r="T96" s="304" t="str">
        <f t="shared" si="22"/>
        <v/>
      </c>
      <c r="U96" s="304">
        <f>IF(A96=YTD!B$6,E96,IF(OR(A96&lt;YTD!B$6,A96&gt;YTD!B$10),"",U95+E96))</f>
        <v>55.137029504237717</v>
      </c>
      <c r="V96" s="304">
        <f t="shared" si="28"/>
        <v>60.834060949806627</v>
      </c>
      <c r="W96" s="315">
        <f>IF(I96="",#N/A,YTD!G$8-I96)</f>
        <v>234.16593905019337</v>
      </c>
      <c r="X96" s="368">
        <f t="shared" si="23"/>
        <v>0</v>
      </c>
      <c r="Y96" s="368">
        <f t="shared" si="29"/>
        <v>0</v>
      </c>
      <c r="Z96" s="368" t="str">
        <f t="shared" si="24"/>
        <v/>
      </c>
      <c r="AA96" s="368">
        <v>81</v>
      </c>
      <c r="AB96" s="369">
        <f t="array" ref="AB96">SUM(IF(AA96=Z$16:Z$592,A$16:A$592,""))</f>
        <v>0</v>
      </c>
      <c r="AC96" s="370">
        <f t="array" ref="AC96">SUM(IF(AA96=Z$16:Z$592,J$16:J$592,""))</f>
        <v>0</v>
      </c>
      <c r="AD96" s="370">
        <f t="array" ref="AD96">SUM(IF($AA96=$Z$16:$Z$592,L$16:L$592,""))</f>
        <v>0</v>
      </c>
      <c r="AE96" s="370">
        <f t="array" ref="AE96">SUM(IF($AA96=$Z$16:$Z$592,M$16:M$592,""))</f>
        <v>0</v>
      </c>
      <c r="AF96" s="368">
        <f t="array" ref="AF96">SUM(IF($AA96=$Z$16:$Z$592,N$16:N$592,""))</f>
        <v>0</v>
      </c>
      <c r="AG96" s="370">
        <f t="array" ref="AG96">SUM(IF($AA96=$Z$16:$Z$592,O$16:O$592,""))</f>
        <v>0</v>
      </c>
      <c r="AH96" s="2"/>
      <c r="AI96" s="2"/>
      <c r="AJ96" s="2"/>
    </row>
    <row r="97" spans="1:36" x14ac:dyDescent="0.2">
      <c r="A97" s="306">
        <f>Crop!B130</f>
        <v>41721</v>
      </c>
      <c r="B97" s="307"/>
      <c r="C97" s="308"/>
      <c r="D97" s="304">
        <f>IF(OR($A97&lt;$A$3,$A97&gt;$A$7),"",Crop!$D130)</f>
        <v>3.0311808085438354</v>
      </c>
      <c r="E97" s="304">
        <f t="shared" si="15"/>
        <v>3.0311808085438354</v>
      </c>
      <c r="F97" s="304">
        <f>IF(OR(A97&lt;A$3,A97&gt;A$7),"",Crop!U130)</f>
        <v>1.015283842794759</v>
      </c>
      <c r="G97" s="304">
        <f t="shared" si="16"/>
        <v>3.0775088995041098</v>
      </c>
      <c r="H97" s="309">
        <f>IF(OR(A97&lt;A$3,A97&gt;A$7),"",YTD!E94)</f>
        <v>135</v>
      </c>
      <c r="I97" s="310">
        <f t="shared" si="17"/>
        <v>38.91156984931073</v>
      </c>
      <c r="J97" s="311"/>
      <c r="K97" s="309">
        <f t="shared" si="18"/>
        <v>0</v>
      </c>
      <c r="L97" s="312" t="str">
        <f t="shared" si="25"/>
        <v/>
      </c>
      <c r="M97" s="366" t="str">
        <f t="shared" si="19"/>
        <v/>
      </c>
      <c r="N97" s="328" t="str">
        <f t="shared" si="20"/>
        <v/>
      </c>
      <c r="O97" s="313" t="str">
        <f t="shared" si="21"/>
        <v/>
      </c>
      <c r="P97" s="307"/>
      <c r="Q97" s="309">
        <f t="shared" si="26"/>
        <v>0.8</v>
      </c>
      <c r="R97" s="307"/>
      <c r="S97" s="314">
        <f t="shared" si="27"/>
        <v>11.2</v>
      </c>
      <c r="T97" s="304" t="str">
        <f t="shared" si="22"/>
        <v/>
      </c>
      <c r="U97" s="304">
        <f>IF(A97=YTD!B$6,E97,IF(OR(A97&lt;YTD!B$6,A97&gt;YTD!B$10),"",U96+E97))</f>
        <v>58.168210312781554</v>
      </c>
      <c r="V97" s="304">
        <f t="shared" si="28"/>
        <v>63.911569849310737</v>
      </c>
      <c r="W97" s="315">
        <f>IF(I97="",#N/A,YTD!G$8-I97)</f>
        <v>231.08843015068928</v>
      </c>
      <c r="X97" s="368">
        <f t="shared" si="23"/>
        <v>0</v>
      </c>
      <c r="Y97" s="368">
        <f t="shared" si="29"/>
        <v>0</v>
      </c>
      <c r="Z97" s="368" t="str">
        <f t="shared" si="24"/>
        <v/>
      </c>
      <c r="AA97" s="368">
        <v>82</v>
      </c>
      <c r="AB97" s="369">
        <f t="array" ref="AB97">SUM(IF(AA97=Z$16:Z$592,A$16:A$592,""))</f>
        <v>0</v>
      </c>
      <c r="AC97" s="370">
        <f t="array" ref="AC97">SUM(IF(AA97=Z$16:Z$592,J$16:J$592,""))</f>
        <v>0</v>
      </c>
      <c r="AD97" s="370">
        <f t="array" ref="AD97">SUM(IF($AA97=$Z$16:$Z$592,L$16:L$592,""))</f>
        <v>0</v>
      </c>
      <c r="AE97" s="370">
        <f t="array" ref="AE97">SUM(IF($AA97=$Z$16:$Z$592,M$16:M$592,""))</f>
        <v>0</v>
      </c>
      <c r="AF97" s="368">
        <f t="array" ref="AF97">SUM(IF($AA97=$Z$16:$Z$592,N$16:N$592,""))</f>
        <v>0</v>
      </c>
      <c r="AG97" s="370">
        <f t="array" ref="AG97">SUM(IF($AA97=$Z$16:$Z$592,O$16:O$592,""))</f>
        <v>0</v>
      </c>
      <c r="AH97" s="2"/>
      <c r="AI97" s="2"/>
      <c r="AJ97" s="2"/>
    </row>
    <row r="98" spans="1:36" x14ac:dyDescent="0.2">
      <c r="A98" s="306">
        <f>Crop!B131</f>
        <v>41722</v>
      </c>
      <c r="B98" s="307"/>
      <c r="C98" s="308"/>
      <c r="D98" s="304">
        <f>IF(OR($A98&lt;$A$3,$A98&gt;$A$7),"",Crop!$D131)</f>
        <v>3.0848110170792999</v>
      </c>
      <c r="E98" s="304">
        <f t="shared" si="15"/>
        <v>3.0848110170792999</v>
      </c>
      <c r="F98" s="304">
        <f>IF(OR(A98&lt;A$3,A98&gt;A$7),"",Crop!U131)</f>
        <v>1.0205240174672481</v>
      </c>
      <c r="G98" s="304">
        <f t="shared" si="16"/>
        <v>3.1481237322769946</v>
      </c>
      <c r="H98" s="309">
        <f>IF(OR(A98&lt;A$3,A98&gt;A$7),"",YTD!E95)</f>
        <v>135</v>
      </c>
      <c r="I98" s="310">
        <f t="shared" si="17"/>
        <v>42.059693581587723</v>
      </c>
      <c r="J98" s="311"/>
      <c r="K98" s="309">
        <f t="shared" si="18"/>
        <v>0</v>
      </c>
      <c r="L98" s="312" t="str">
        <f t="shared" si="25"/>
        <v/>
      </c>
      <c r="M98" s="366" t="str">
        <f t="shared" si="19"/>
        <v/>
      </c>
      <c r="N98" s="328" t="str">
        <f t="shared" si="20"/>
        <v/>
      </c>
      <c r="O98" s="313" t="str">
        <f t="shared" si="21"/>
        <v/>
      </c>
      <c r="P98" s="307"/>
      <c r="Q98" s="309">
        <f t="shared" si="26"/>
        <v>0.8</v>
      </c>
      <c r="R98" s="307"/>
      <c r="S98" s="314">
        <f t="shared" si="27"/>
        <v>11.2</v>
      </c>
      <c r="T98" s="304" t="str">
        <f t="shared" si="22"/>
        <v/>
      </c>
      <c r="U98" s="304">
        <f>IF(A98=YTD!B$6,E98,IF(OR(A98&lt;YTD!B$6,A98&gt;YTD!B$10),"",U97+E98))</f>
        <v>61.253021329860857</v>
      </c>
      <c r="V98" s="304">
        <f t="shared" si="28"/>
        <v>67.059693581587737</v>
      </c>
      <c r="W98" s="315">
        <f>IF(I98="",#N/A,YTD!G$8-I98)</f>
        <v>227.94030641841226</v>
      </c>
      <c r="X98" s="368">
        <f t="shared" si="23"/>
        <v>0</v>
      </c>
      <c r="Y98" s="368">
        <f t="shared" si="29"/>
        <v>0</v>
      </c>
      <c r="Z98" s="368" t="str">
        <f t="shared" si="24"/>
        <v/>
      </c>
      <c r="AA98" s="368">
        <v>83</v>
      </c>
      <c r="AB98" s="369">
        <f t="array" ref="AB98">SUM(IF(AA98=Z$16:Z$592,A$16:A$592,""))</f>
        <v>0</v>
      </c>
      <c r="AC98" s="370">
        <f t="array" ref="AC98">SUM(IF(AA98=Z$16:Z$592,J$16:J$592,""))</f>
        <v>0</v>
      </c>
      <c r="AD98" s="370">
        <f t="array" ref="AD98">SUM(IF($AA98=$Z$16:$Z$592,L$16:L$592,""))</f>
        <v>0</v>
      </c>
      <c r="AE98" s="370">
        <f t="array" ref="AE98">SUM(IF($AA98=$Z$16:$Z$592,M$16:M$592,""))</f>
        <v>0</v>
      </c>
      <c r="AF98" s="368">
        <f t="array" ref="AF98">SUM(IF($AA98=$Z$16:$Z$592,N$16:N$592,""))</f>
        <v>0</v>
      </c>
      <c r="AG98" s="370">
        <f t="array" ref="AG98">SUM(IF($AA98=$Z$16:$Z$592,O$16:O$592,""))</f>
        <v>0</v>
      </c>
      <c r="AH98" s="2"/>
      <c r="AI98" s="2"/>
      <c r="AJ98" s="2"/>
    </row>
    <row r="99" spans="1:36" x14ac:dyDescent="0.2">
      <c r="A99" s="306">
        <f>Crop!B132</f>
        <v>41723</v>
      </c>
      <c r="B99" s="307"/>
      <c r="C99" s="308"/>
      <c r="D99" s="304">
        <f>IF(OR($A99&lt;$A$3,$A99&gt;$A$7),"",Crop!$D132)</f>
        <v>3.1391141320021307</v>
      </c>
      <c r="E99" s="304">
        <f t="shared" si="15"/>
        <v>3.1391141320021307</v>
      </c>
      <c r="F99" s="304">
        <f>IF(OR(A99&lt;A$3,A99&gt;A$7),"",Crop!U132)</f>
        <v>1.0257641921397371</v>
      </c>
      <c r="G99" s="304">
        <f t="shared" si="16"/>
        <v>3.2199908716475978</v>
      </c>
      <c r="H99" s="309">
        <f>IF(OR(A99&lt;A$3,A99&gt;A$7),"",YTD!E96)</f>
        <v>135</v>
      </c>
      <c r="I99" s="310">
        <f t="shared" si="17"/>
        <v>45.279684453235319</v>
      </c>
      <c r="J99" s="311"/>
      <c r="K99" s="309">
        <f t="shared" si="18"/>
        <v>0</v>
      </c>
      <c r="L99" s="312" t="str">
        <f t="shared" si="25"/>
        <v/>
      </c>
      <c r="M99" s="366" t="str">
        <f t="shared" si="19"/>
        <v/>
      </c>
      <c r="N99" s="328" t="str">
        <f t="shared" si="20"/>
        <v/>
      </c>
      <c r="O99" s="313" t="str">
        <f t="shared" si="21"/>
        <v/>
      </c>
      <c r="P99" s="307"/>
      <c r="Q99" s="309">
        <f t="shared" si="26"/>
        <v>0.8</v>
      </c>
      <c r="R99" s="307"/>
      <c r="S99" s="314">
        <f t="shared" si="27"/>
        <v>11.2</v>
      </c>
      <c r="T99" s="304" t="str">
        <f t="shared" si="22"/>
        <v/>
      </c>
      <c r="U99" s="304">
        <f>IF(A99=YTD!B$6,E99,IF(OR(A99&lt;YTD!B$6,A99&gt;YTD!B$10),"",U98+E99))</f>
        <v>64.392135461862992</v>
      </c>
      <c r="V99" s="304">
        <f t="shared" si="28"/>
        <v>70.279684453235333</v>
      </c>
      <c r="W99" s="315">
        <f>IF(I99="",#N/A,YTD!G$8-I99)</f>
        <v>224.72031554676468</v>
      </c>
      <c r="X99" s="368">
        <f t="shared" si="23"/>
        <v>0</v>
      </c>
      <c r="Y99" s="368">
        <f t="shared" si="29"/>
        <v>0</v>
      </c>
      <c r="Z99" s="368" t="str">
        <f t="shared" si="24"/>
        <v/>
      </c>
      <c r="AA99" s="368">
        <v>84</v>
      </c>
      <c r="AB99" s="369">
        <f t="array" ref="AB99">SUM(IF(AA99=Z$16:Z$592,A$16:A$592,""))</f>
        <v>0</v>
      </c>
      <c r="AC99" s="370">
        <f t="array" ref="AC99">SUM(IF(AA99=Z$16:Z$592,J$16:J$592,""))</f>
        <v>0</v>
      </c>
      <c r="AD99" s="370">
        <f t="array" ref="AD99">SUM(IF($AA99=$Z$16:$Z$592,L$16:L$592,""))</f>
        <v>0</v>
      </c>
      <c r="AE99" s="370">
        <f t="array" ref="AE99">SUM(IF($AA99=$Z$16:$Z$592,M$16:M$592,""))</f>
        <v>0</v>
      </c>
      <c r="AF99" s="368">
        <f t="array" ref="AF99">SUM(IF($AA99=$Z$16:$Z$592,N$16:N$592,""))</f>
        <v>0</v>
      </c>
      <c r="AG99" s="370">
        <f t="array" ref="AG99">SUM(IF($AA99=$Z$16:$Z$592,O$16:O$592,""))</f>
        <v>0</v>
      </c>
      <c r="AH99" s="2"/>
      <c r="AI99" s="2"/>
      <c r="AJ99" s="2"/>
    </row>
    <row r="100" spans="1:36" x14ac:dyDescent="0.2">
      <c r="A100" s="306">
        <f>Crop!B133</f>
        <v>41724</v>
      </c>
      <c r="B100" s="307"/>
      <c r="C100" s="308"/>
      <c r="D100" s="304">
        <f>IF(OR($A100&lt;$A$3,$A100&gt;$A$7),"",Crop!$D133)</f>
        <v>3.1940089515895989</v>
      </c>
      <c r="E100" s="304">
        <f t="shared" si="15"/>
        <v>3.1940089515895989</v>
      </c>
      <c r="F100" s="304">
        <f>IF(OR(A100&lt;A$3,A100&gt;A$7),"",Crop!U133)</f>
        <v>1.0310043668122262</v>
      </c>
      <c r="G100" s="304">
        <f t="shared" si="16"/>
        <v>3.2930371767262168</v>
      </c>
      <c r="H100" s="309">
        <f>IF(OR(A100&lt;A$3,A100&gt;A$7),"",YTD!E97)</f>
        <v>135</v>
      </c>
      <c r="I100" s="310">
        <f t="shared" si="17"/>
        <v>48.572721629961535</v>
      </c>
      <c r="J100" s="311"/>
      <c r="K100" s="309">
        <f t="shared" si="18"/>
        <v>0</v>
      </c>
      <c r="L100" s="312" t="str">
        <f t="shared" si="25"/>
        <v/>
      </c>
      <c r="M100" s="366" t="str">
        <f t="shared" si="19"/>
        <v/>
      </c>
      <c r="N100" s="328" t="str">
        <f t="shared" si="20"/>
        <v/>
      </c>
      <c r="O100" s="313" t="str">
        <f t="shared" si="21"/>
        <v/>
      </c>
      <c r="P100" s="307"/>
      <c r="Q100" s="309">
        <f t="shared" si="26"/>
        <v>0.8</v>
      </c>
      <c r="R100" s="307"/>
      <c r="S100" s="314">
        <f t="shared" si="27"/>
        <v>11.2</v>
      </c>
      <c r="T100" s="304" t="str">
        <f t="shared" si="22"/>
        <v/>
      </c>
      <c r="U100" s="304">
        <f>IF(A100=YTD!B$6,E100,IF(OR(A100&lt;YTD!B$6,A100&gt;YTD!B$10),"",U99+E100))</f>
        <v>67.586144413452587</v>
      </c>
      <c r="V100" s="304">
        <f t="shared" si="28"/>
        <v>73.572721629961549</v>
      </c>
      <c r="W100" s="315">
        <f>IF(I100="",#N/A,YTD!G$8-I100)</f>
        <v>221.42727837003847</v>
      </c>
      <c r="X100" s="368">
        <f t="shared" si="23"/>
        <v>0</v>
      </c>
      <c r="Y100" s="368">
        <f t="shared" si="29"/>
        <v>0</v>
      </c>
      <c r="Z100" s="368" t="str">
        <f t="shared" si="24"/>
        <v/>
      </c>
      <c r="AA100" s="368">
        <v>85</v>
      </c>
      <c r="AB100" s="369">
        <f t="array" ref="AB100">SUM(IF(AA100=Z$16:Z$592,A$16:A$592,""))</f>
        <v>0</v>
      </c>
      <c r="AC100" s="370">
        <f t="array" ref="AC100">SUM(IF(AA100=Z$16:Z$592,J$16:J$592,""))</f>
        <v>0</v>
      </c>
      <c r="AD100" s="370">
        <f t="array" ref="AD100">SUM(IF($AA100=$Z$16:$Z$592,L$16:L$592,""))</f>
        <v>0</v>
      </c>
      <c r="AE100" s="370">
        <f t="array" ref="AE100">SUM(IF($AA100=$Z$16:$Z$592,M$16:M$592,""))</f>
        <v>0</v>
      </c>
      <c r="AF100" s="368">
        <f t="array" ref="AF100">SUM(IF($AA100=$Z$16:$Z$592,N$16:N$592,""))</f>
        <v>0</v>
      </c>
      <c r="AG100" s="370">
        <f t="array" ref="AG100">SUM(IF($AA100=$Z$16:$Z$592,O$16:O$592,""))</f>
        <v>0</v>
      </c>
      <c r="AH100" s="2"/>
      <c r="AI100" s="2"/>
      <c r="AJ100" s="2"/>
    </row>
    <row r="101" spans="1:36" x14ac:dyDescent="0.2">
      <c r="A101" s="306">
        <f>Crop!B134</f>
        <v>41725</v>
      </c>
      <c r="B101" s="307"/>
      <c r="C101" s="308"/>
      <c r="D101" s="304">
        <f>IF(OR($A101&lt;$A$3,$A101&gt;$A$7),"",Crop!$D134)</f>
        <v>3.2494142741189744</v>
      </c>
      <c r="E101" s="304">
        <f t="shared" si="15"/>
        <v>3.2494142741189744</v>
      </c>
      <c r="F101" s="304">
        <f>IF(OR(A101&lt;A$3,A101&gt;A$7),"",Crop!U134)</f>
        <v>1.0362445414847152</v>
      </c>
      <c r="G101" s="304">
        <f t="shared" si="16"/>
        <v>3.3671878045783052</v>
      </c>
      <c r="H101" s="309">
        <f>IF(OR(A101&lt;A$3,A101&gt;A$7),"",YTD!E98)</f>
        <v>135</v>
      </c>
      <c r="I101" s="310">
        <f t="shared" si="17"/>
        <v>51.939909434539842</v>
      </c>
      <c r="J101" s="311"/>
      <c r="K101" s="309">
        <f t="shared" si="18"/>
        <v>0</v>
      </c>
      <c r="L101" s="312" t="str">
        <f t="shared" si="25"/>
        <v/>
      </c>
      <c r="M101" s="366" t="str">
        <f t="shared" si="19"/>
        <v/>
      </c>
      <c r="N101" s="328" t="str">
        <f t="shared" si="20"/>
        <v/>
      </c>
      <c r="O101" s="313" t="str">
        <f t="shared" si="21"/>
        <v/>
      </c>
      <c r="P101" s="307"/>
      <c r="Q101" s="309">
        <f t="shared" si="26"/>
        <v>0.8</v>
      </c>
      <c r="R101" s="307"/>
      <c r="S101" s="314">
        <f t="shared" si="27"/>
        <v>11.2</v>
      </c>
      <c r="T101" s="304" t="str">
        <f t="shared" si="22"/>
        <v/>
      </c>
      <c r="U101" s="304">
        <f>IF(A101=YTD!B$6,E101,IF(OR(A101&lt;YTD!B$6,A101&gt;YTD!B$10),"",U100+E101))</f>
        <v>70.835558687571563</v>
      </c>
      <c r="V101" s="304">
        <f t="shared" si="28"/>
        <v>76.939909434539857</v>
      </c>
      <c r="W101" s="315">
        <f>IF(I101="",#N/A,YTD!G$8-I101)</f>
        <v>218.06009056546014</v>
      </c>
      <c r="X101" s="368">
        <f t="shared" si="23"/>
        <v>0</v>
      </c>
      <c r="Y101" s="368">
        <f t="shared" si="29"/>
        <v>0</v>
      </c>
      <c r="Z101" s="368" t="str">
        <f t="shared" si="24"/>
        <v/>
      </c>
      <c r="AA101" s="368">
        <v>86</v>
      </c>
      <c r="AB101" s="369">
        <f t="array" ref="AB101">SUM(IF(AA101=Z$16:Z$592,A$16:A$592,""))</f>
        <v>0</v>
      </c>
      <c r="AC101" s="370">
        <f t="array" ref="AC101">SUM(IF(AA101=Z$16:Z$592,J$16:J$592,""))</f>
        <v>0</v>
      </c>
      <c r="AD101" s="370">
        <f t="array" ref="AD101">SUM(IF($AA101=$Z$16:$Z$592,L$16:L$592,""))</f>
        <v>0</v>
      </c>
      <c r="AE101" s="370">
        <f t="array" ref="AE101">SUM(IF($AA101=$Z$16:$Z$592,M$16:M$592,""))</f>
        <v>0</v>
      </c>
      <c r="AF101" s="368">
        <f t="array" ref="AF101">SUM(IF($AA101=$Z$16:$Z$592,N$16:N$592,""))</f>
        <v>0</v>
      </c>
      <c r="AG101" s="370">
        <f t="array" ref="AG101">SUM(IF($AA101=$Z$16:$Z$592,O$16:O$592,""))</f>
        <v>0</v>
      </c>
      <c r="AH101" s="2"/>
      <c r="AI101" s="2"/>
      <c r="AJ101" s="2"/>
    </row>
    <row r="102" spans="1:36" x14ac:dyDescent="0.2">
      <c r="A102" s="306">
        <f>Crop!B135</f>
        <v>41726</v>
      </c>
      <c r="B102" s="307"/>
      <c r="C102" s="308"/>
      <c r="D102" s="304">
        <f>IF(OR($A102&lt;$A$3,$A102&gt;$A$7),"",Crop!$D135)</f>
        <v>3.3052488978675303</v>
      </c>
      <c r="E102" s="304">
        <f t="shared" si="15"/>
        <v>3.3052488978675303</v>
      </c>
      <c r="F102" s="304">
        <f>IF(OR(A102&lt;A$3,A102&gt;A$7),"",Crop!U135)</f>
        <v>1.0414847161572043</v>
      </c>
      <c r="G102" s="304">
        <f t="shared" si="16"/>
        <v>3.4423662102244772</v>
      </c>
      <c r="H102" s="309">
        <f>IF(OR(A102&lt;A$3,A102&gt;A$7),"",YTD!E99)</f>
        <v>135</v>
      </c>
      <c r="I102" s="310">
        <f t="shared" si="17"/>
        <v>55.38227564476432</v>
      </c>
      <c r="J102" s="311"/>
      <c r="K102" s="309">
        <f t="shared" si="18"/>
        <v>0</v>
      </c>
      <c r="L102" s="312" t="str">
        <f t="shared" si="25"/>
        <v/>
      </c>
      <c r="M102" s="366" t="str">
        <f t="shared" si="19"/>
        <v/>
      </c>
      <c r="N102" s="328" t="str">
        <f t="shared" si="20"/>
        <v/>
      </c>
      <c r="O102" s="313" t="str">
        <f t="shared" si="21"/>
        <v/>
      </c>
      <c r="P102" s="307"/>
      <c r="Q102" s="309">
        <f t="shared" si="26"/>
        <v>0.8</v>
      </c>
      <c r="R102" s="307"/>
      <c r="S102" s="314">
        <f t="shared" si="27"/>
        <v>11.2</v>
      </c>
      <c r="T102" s="304" t="str">
        <f t="shared" si="22"/>
        <v/>
      </c>
      <c r="U102" s="304">
        <f>IF(A102=YTD!B$6,E102,IF(OR(A102&lt;YTD!B$6,A102&gt;YTD!B$10),"",U101+E102))</f>
        <v>74.140807585439092</v>
      </c>
      <c r="V102" s="304">
        <f t="shared" si="28"/>
        <v>80.382275644764334</v>
      </c>
      <c r="W102" s="315">
        <f>IF(I102="",#N/A,YTD!G$8-I102)</f>
        <v>214.61772435523568</v>
      </c>
      <c r="X102" s="368">
        <f t="shared" si="23"/>
        <v>0</v>
      </c>
      <c r="Y102" s="368">
        <f t="shared" si="29"/>
        <v>0</v>
      </c>
      <c r="Z102" s="368" t="str">
        <f t="shared" si="24"/>
        <v/>
      </c>
      <c r="AA102" s="368">
        <v>87</v>
      </c>
      <c r="AB102" s="369">
        <f t="array" ref="AB102">SUM(IF(AA102=Z$16:Z$592,A$16:A$592,""))</f>
        <v>0</v>
      </c>
      <c r="AC102" s="370">
        <f t="array" ref="AC102">SUM(IF(AA102=Z$16:Z$592,J$16:J$592,""))</f>
        <v>0</v>
      </c>
      <c r="AD102" s="370">
        <f t="array" ref="AD102">SUM(IF($AA102=$Z$16:$Z$592,L$16:L$592,""))</f>
        <v>0</v>
      </c>
      <c r="AE102" s="370">
        <f t="array" ref="AE102">SUM(IF($AA102=$Z$16:$Z$592,M$16:M$592,""))</f>
        <v>0</v>
      </c>
      <c r="AF102" s="368">
        <f t="array" ref="AF102">SUM(IF($AA102=$Z$16:$Z$592,N$16:N$592,""))</f>
        <v>0</v>
      </c>
      <c r="AG102" s="370">
        <f t="array" ref="AG102">SUM(IF($AA102=$Z$16:$Z$592,O$16:O$592,""))</f>
        <v>0</v>
      </c>
      <c r="AH102" s="2"/>
      <c r="AI102" s="2"/>
      <c r="AJ102" s="2"/>
    </row>
    <row r="103" spans="1:36" x14ac:dyDescent="0.2">
      <c r="A103" s="306">
        <f>Crop!B136</f>
        <v>41727</v>
      </c>
      <c r="B103" s="307"/>
      <c r="C103" s="308"/>
      <c r="D103" s="304">
        <f>IF(OR($A103&lt;$A$3,$A103&gt;$A$7),"",Crop!$D136)</f>
        <v>3.3614316211125357</v>
      </c>
      <c r="E103" s="304">
        <f t="shared" si="15"/>
        <v>3.3614316211125357</v>
      </c>
      <c r="F103" s="304">
        <f>IF(OR(A103&lt;A$3,A103&gt;A$7),"",Crop!U136)</f>
        <v>1.0467248908296933</v>
      </c>
      <c r="G103" s="304">
        <f t="shared" si="16"/>
        <v>3.518494146640498</v>
      </c>
      <c r="H103" s="309">
        <f>IF(OR(A103&lt;A$3,A103&gt;A$7),"",YTD!E100)</f>
        <v>135</v>
      </c>
      <c r="I103" s="310">
        <f t="shared" si="17"/>
        <v>58.900769791404819</v>
      </c>
      <c r="J103" s="311"/>
      <c r="K103" s="309">
        <f t="shared" si="18"/>
        <v>0</v>
      </c>
      <c r="L103" s="312" t="str">
        <f t="shared" si="25"/>
        <v/>
      </c>
      <c r="M103" s="366" t="str">
        <f t="shared" si="19"/>
        <v/>
      </c>
      <c r="N103" s="328" t="str">
        <f t="shared" si="20"/>
        <v/>
      </c>
      <c r="O103" s="313" t="str">
        <f t="shared" si="21"/>
        <v/>
      </c>
      <c r="P103" s="307"/>
      <c r="Q103" s="309">
        <f t="shared" si="26"/>
        <v>0.8</v>
      </c>
      <c r="R103" s="307"/>
      <c r="S103" s="314">
        <f t="shared" si="27"/>
        <v>11.2</v>
      </c>
      <c r="T103" s="304" t="str">
        <f t="shared" si="22"/>
        <v/>
      </c>
      <c r="U103" s="304">
        <f>IF(A103=YTD!B$6,E103,IF(OR(A103&lt;YTD!B$6,A103&gt;YTD!B$10),"",U102+E103))</f>
        <v>77.502239206551621</v>
      </c>
      <c r="V103" s="304">
        <f t="shared" si="28"/>
        <v>83.900769791404826</v>
      </c>
      <c r="W103" s="315">
        <f>IF(I103="",#N/A,YTD!G$8-I103)</f>
        <v>211.09923020859517</v>
      </c>
      <c r="X103" s="368">
        <f t="shared" si="23"/>
        <v>0</v>
      </c>
      <c r="Y103" s="368">
        <f t="shared" si="29"/>
        <v>0</v>
      </c>
      <c r="Z103" s="368" t="str">
        <f t="shared" si="24"/>
        <v/>
      </c>
      <c r="AA103" s="368">
        <v>88</v>
      </c>
      <c r="AB103" s="369">
        <f t="array" ref="AB103">SUM(IF(AA103=Z$16:Z$592,A$16:A$592,""))</f>
        <v>0</v>
      </c>
      <c r="AC103" s="370">
        <f t="array" ref="AC103">SUM(IF(AA103=Z$16:Z$592,J$16:J$592,""))</f>
        <v>0</v>
      </c>
      <c r="AD103" s="370">
        <f t="array" ref="AD103">SUM(IF($AA103=$Z$16:$Z$592,L$16:L$592,""))</f>
        <v>0</v>
      </c>
      <c r="AE103" s="370">
        <f t="array" ref="AE103">SUM(IF($AA103=$Z$16:$Z$592,M$16:M$592,""))</f>
        <v>0</v>
      </c>
      <c r="AF103" s="368">
        <f t="array" ref="AF103">SUM(IF($AA103=$Z$16:$Z$592,N$16:N$592,""))</f>
        <v>0</v>
      </c>
      <c r="AG103" s="370">
        <f t="array" ref="AG103">SUM(IF($AA103=$Z$16:$Z$592,O$16:O$592,""))</f>
        <v>0</v>
      </c>
      <c r="AH103" s="2"/>
      <c r="AI103" s="2"/>
      <c r="AJ103" s="2"/>
    </row>
    <row r="104" spans="1:36" x14ac:dyDescent="0.2">
      <c r="A104" s="306">
        <f>Crop!B137</f>
        <v>41728</v>
      </c>
      <c r="B104" s="307"/>
      <c r="C104" s="308"/>
      <c r="D104" s="304">
        <f>IF(OR($A104&lt;$A$3,$A104&gt;$A$7),"",Crop!$D137)</f>
        <v>3.4178812421312639</v>
      </c>
      <c r="E104" s="304">
        <f t="shared" si="15"/>
        <v>3.4178812421312639</v>
      </c>
      <c r="F104" s="304">
        <f>IF(OR(A104&lt;A$3,A104&gt;A$7),"",Crop!U137)</f>
        <v>1.0519650655021824</v>
      </c>
      <c r="G104" s="304">
        <f t="shared" si="16"/>
        <v>3.5954916647572954</v>
      </c>
      <c r="H104" s="309">
        <f>IF(OR(A104&lt;A$3,A104&gt;A$7),"",YTD!E101)</f>
        <v>135</v>
      </c>
      <c r="I104" s="310">
        <f t="shared" si="17"/>
        <v>62.496261456162117</v>
      </c>
      <c r="J104" s="311"/>
      <c r="K104" s="309">
        <f t="shared" si="18"/>
        <v>0</v>
      </c>
      <c r="L104" s="312" t="str">
        <f t="shared" si="25"/>
        <v/>
      </c>
      <c r="M104" s="366" t="str">
        <f t="shared" si="19"/>
        <v/>
      </c>
      <c r="N104" s="328" t="str">
        <f t="shared" si="20"/>
        <v/>
      </c>
      <c r="O104" s="313" t="str">
        <f t="shared" si="21"/>
        <v/>
      </c>
      <c r="P104" s="307"/>
      <c r="Q104" s="309">
        <f t="shared" si="26"/>
        <v>0.8</v>
      </c>
      <c r="R104" s="307"/>
      <c r="S104" s="314">
        <f t="shared" si="27"/>
        <v>11.2</v>
      </c>
      <c r="T104" s="304" t="str">
        <f t="shared" si="22"/>
        <v/>
      </c>
      <c r="U104" s="304">
        <f>IF(A104=YTD!B$6,E104,IF(OR(A104&lt;YTD!B$6,A104&gt;YTD!B$10),"",U103+E104))</f>
        <v>80.92012044868288</v>
      </c>
      <c r="V104" s="304">
        <f t="shared" si="28"/>
        <v>87.496261456162117</v>
      </c>
      <c r="W104" s="315">
        <f>IF(I104="",#N/A,YTD!G$8-I104)</f>
        <v>207.50373854383787</v>
      </c>
      <c r="X104" s="368">
        <f t="shared" si="23"/>
        <v>0</v>
      </c>
      <c r="Y104" s="368">
        <f t="shared" si="29"/>
        <v>0</v>
      </c>
      <c r="Z104" s="368" t="str">
        <f t="shared" si="24"/>
        <v/>
      </c>
      <c r="AA104" s="368">
        <v>89</v>
      </c>
      <c r="AB104" s="369">
        <f t="array" ref="AB104">SUM(IF(AA104=Z$16:Z$592,A$16:A$592,""))</f>
        <v>0</v>
      </c>
      <c r="AC104" s="370">
        <f t="array" ref="AC104">SUM(IF(AA104=Z$16:Z$592,J$16:J$592,""))</f>
        <v>0</v>
      </c>
      <c r="AD104" s="370">
        <f t="array" ref="AD104">SUM(IF($AA104=$Z$16:$Z$592,L$16:L$592,""))</f>
        <v>0</v>
      </c>
      <c r="AE104" s="370">
        <f t="array" ref="AE104">SUM(IF($AA104=$Z$16:$Z$592,M$16:M$592,""))</f>
        <v>0</v>
      </c>
      <c r="AF104" s="368">
        <f t="array" ref="AF104">SUM(IF($AA104=$Z$16:$Z$592,N$16:N$592,""))</f>
        <v>0</v>
      </c>
      <c r="AG104" s="370">
        <f t="array" ref="AG104">SUM(IF($AA104=$Z$16:$Z$592,O$16:O$592,""))</f>
        <v>0</v>
      </c>
      <c r="AH104" s="2"/>
      <c r="AI104" s="2"/>
      <c r="AJ104" s="2"/>
    </row>
    <row r="105" spans="1:36" x14ac:dyDescent="0.2">
      <c r="A105" s="306">
        <f>Crop!B138</f>
        <v>41729</v>
      </c>
      <c r="B105" s="307"/>
      <c r="C105" s="308"/>
      <c r="D105" s="304">
        <f>IF(OR($A105&lt;$A$3,$A105&gt;$A$7),"",Crop!$D138)</f>
        <v>3.4745165592009837</v>
      </c>
      <c r="E105" s="304">
        <f t="shared" si="15"/>
        <v>3.4745165592009837</v>
      </c>
      <c r="F105" s="304">
        <f>IF(OR(A105&lt;A$3,A105&gt;A$7),"",Crop!U138)</f>
        <v>1.0572052401746714</v>
      </c>
      <c r="G105" s="304">
        <f t="shared" si="16"/>
        <v>3.6732771134609488</v>
      </c>
      <c r="H105" s="309">
        <f>IF(OR(A105&lt;A$3,A105&gt;A$7),"",YTD!E102)</f>
        <v>135</v>
      </c>
      <c r="I105" s="310">
        <f t="shared" si="17"/>
        <v>66.169538569623072</v>
      </c>
      <c r="J105" s="311"/>
      <c r="K105" s="309">
        <f t="shared" si="18"/>
        <v>0</v>
      </c>
      <c r="L105" s="312" t="str">
        <f t="shared" si="25"/>
        <v/>
      </c>
      <c r="M105" s="366" t="str">
        <f t="shared" si="19"/>
        <v/>
      </c>
      <c r="N105" s="328" t="str">
        <f t="shared" si="20"/>
        <v/>
      </c>
      <c r="O105" s="313" t="str">
        <f t="shared" si="21"/>
        <v/>
      </c>
      <c r="P105" s="307"/>
      <c r="Q105" s="309">
        <f t="shared" si="26"/>
        <v>0.8</v>
      </c>
      <c r="R105" s="307"/>
      <c r="S105" s="314">
        <f t="shared" si="27"/>
        <v>11.2</v>
      </c>
      <c r="T105" s="304" t="str">
        <f t="shared" si="22"/>
        <v/>
      </c>
      <c r="U105" s="304">
        <f>IF(A105=YTD!B$6,E105,IF(OR(A105&lt;YTD!B$6,A105&gt;YTD!B$10),"",U104+E105))</f>
        <v>84.394637007883858</v>
      </c>
      <c r="V105" s="304">
        <f t="shared" si="28"/>
        <v>91.169538569623072</v>
      </c>
      <c r="W105" s="315">
        <f>IF(I105="",#N/A,YTD!G$8-I105)</f>
        <v>203.83046143037694</v>
      </c>
      <c r="X105" s="368">
        <f t="shared" si="23"/>
        <v>0</v>
      </c>
      <c r="Y105" s="368">
        <f t="shared" si="29"/>
        <v>0</v>
      </c>
      <c r="Z105" s="368" t="str">
        <f t="shared" si="24"/>
        <v/>
      </c>
      <c r="AA105" s="368">
        <v>90</v>
      </c>
      <c r="AB105" s="369">
        <f t="array" ref="AB105">SUM(IF(AA105=Z$16:Z$592,A$16:A$592,""))</f>
        <v>0</v>
      </c>
      <c r="AC105" s="370">
        <f t="array" ref="AC105">SUM(IF(AA105=Z$16:Z$592,J$16:J$592,""))</f>
        <v>0</v>
      </c>
      <c r="AD105" s="370">
        <f t="array" ref="AD105">SUM(IF($AA105=$Z$16:$Z$592,L$16:L$592,""))</f>
        <v>0</v>
      </c>
      <c r="AE105" s="370">
        <f t="array" ref="AE105">SUM(IF($AA105=$Z$16:$Z$592,M$16:M$592,""))</f>
        <v>0</v>
      </c>
      <c r="AF105" s="368">
        <f t="array" ref="AF105">SUM(IF($AA105=$Z$16:$Z$592,N$16:N$592,""))</f>
        <v>0</v>
      </c>
      <c r="AG105" s="370">
        <f t="array" ref="AG105">SUM(IF($AA105=$Z$16:$Z$592,O$16:O$592,""))</f>
        <v>0</v>
      </c>
      <c r="AH105" s="2"/>
      <c r="AI105" s="2"/>
      <c r="AJ105" s="2"/>
    </row>
    <row r="106" spans="1:36" x14ac:dyDescent="0.2">
      <c r="A106" s="306">
        <f>Crop!B139</f>
        <v>41730</v>
      </c>
      <c r="B106" s="307">
        <v>45</v>
      </c>
      <c r="C106" s="308"/>
      <c r="D106" s="304">
        <f>IF(OR($A106&lt;$A$3,$A106&gt;$A$7),"",Crop!$D139)</f>
        <v>3.5312563705989684</v>
      </c>
      <c r="E106" s="304">
        <f t="shared" si="15"/>
        <v>3.5312563705989684</v>
      </c>
      <c r="F106" s="304">
        <f>IF(OR(A106&lt;A$3,A106&gt;A$7),"",Crop!U139)</f>
        <v>1.0624454148471605</v>
      </c>
      <c r="G106" s="304">
        <f t="shared" si="16"/>
        <v>3.7517671395926993</v>
      </c>
      <c r="H106" s="309">
        <f>IF(OR(A106&lt;A$3,A106&gt;A$7),"",YTD!E103)</f>
        <v>135</v>
      </c>
      <c r="I106" s="310">
        <f t="shared" si="17"/>
        <v>24.921305709215773</v>
      </c>
      <c r="J106" s="311"/>
      <c r="K106" s="309">
        <f t="shared" si="18"/>
        <v>45</v>
      </c>
      <c r="L106" s="312" t="str">
        <f t="shared" si="25"/>
        <v/>
      </c>
      <c r="M106" s="366" t="str">
        <f t="shared" si="19"/>
        <v/>
      </c>
      <c r="N106" s="328" t="str">
        <f t="shared" si="20"/>
        <v/>
      </c>
      <c r="O106" s="313" t="str">
        <f t="shared" si="21"/>
        <v/>
      </c>
      <c r="P106" s="307"/>
      <c r="Q106" s="309">
        <f t="shared" si="26"/>
        <v>0.8</v>
      </c>
      <c r="R106" s="307"/>
      <c r="S106" s="314">
        <f t="shared" si="27"/>
        <v>11.2</v>
      </c>
      <c r="T106" s="304" t="str">
        <f t="shared" si="22"/>
        <v/>
      </c>
      <c r="U106" s="304">
        <f>IF(A106=YTD!B$6,E106,IF(OR(A106&lt;YTD!B$6,A106&gt;YTD!B$10),"",U105+E106))</f>
        <v>87.925893378482826</v>
      </c>
      <c r="V106" s="304">
        <f t="shared" si="28"/>
        <v>94.921305709215773</v>
      </c>
      <c r="W106" s="315">
        <f>IF(I106="",#N/A,YTD!G$8-I106)</f>
        <v>245.07869429078423</v>
      </c>
      <c r="X106" s="368">
        <f t="shared" si="23"/>
        <v>0</v>
      </c>
      <c r="Y106" s="368">
        <f t="shared" si="29"/>
        <v>0</v>
      </c>
      <c r="Z106" s="368" t="str">
        <f t="shared" si="24"/>
        <v/>
      </c>
      <c r="AA106" s="368">
        <v>91</v>
      </c>
      <c r="AB106" s="369">
        <f t="array" ref="AB106">SUM(IF(AA106=Z$16:Z$592,A$16:A$592,""))</f>
        <v>0</v>
      </c>
      <c r="AC106" s="370">
        <f t="array" ref="AC106">SUM(IF(AA106=Z$16:Z$592,J$16:J$592,""))</f>
        <v>0</v>
      </c>
      <c r="AD106" s="370">
        <f t="array" ref="AD106">SUM(IF($AA106=$Z$16:$Z$592,L$16:L$592,""))</f>
        <v>0</v>
      </c>
      <c r="AE106" s="370">
        <f t="array" ref="AE106">SUM(IF($AA106=$Z$16:$Z$592,M$16:M$592,""))</f>
        <v>0</v>
      </c>
      <c r="AF106" s="368">
        <f t="array" ref="AF106">SUM(IF($AA106=$Z$16:$Z$592,N$16:N$592,""))</f>
        <v>0</v>
      </c>
      <c r="AG106" s="370">
        <f t="array" ref="AG106">SUM(IF($AA106=$Z$16:$Z$592,O$16:O$592,""))</f>
        <v>0</v>
      </c>
      <c r="AH106" s="2"/>
      <c r="AI106" s="2"/>
      <c r="AJ106" s="2"/>
    </row>
    <row r="107" spans="1:36" x14ac:dyDescent="0.2">
      <c r="A107" s="306">
        <f>Crop!B140</f>
        <v>41731</v>
      </c>
      <c r="B107" s="307"/>
      <c r="C107" s="308"/>
      <c r="D107" s="304">
        <f>IF(OR($A107&lt;$A$3,$A107&gt;$A$7),"",Crop!$D140)</f>
        <v>3.5880194746024872</v>
      </c>
      <c r="E107" s="304">
        <f t="shared" si="15"/>
        <v>3.5880194746024872</v>
      </c>
      <c r="F107" s="304">
        <f>IF(OR(A107&lt;A$3,A107&gt;A$7),"",Crop!U140)</f>
        <v>1.0676855895196495</v>
      </c>
      <c r="G107" s="304">
        <f t="shared" si="16"/>
        <v>3.8308766879489395</v>
      </c>
      <c r="H107" s="309">
        <f>IF(OR(A107&lt;A$3,A107&gt;A$7),"",YTD!E104)</f>
        <v>135</v>
      </c>
      <c r="I107" s="310">
        <f t="shared" si="17"/>
        <v>28.752182397164713</v>
      </c>
      <c r="J107" s="311"/>
      <c r="K107" s="309">
        <f t="shared" si="18"/>
        <v>0</v>
      </c>
      <c r="L107" s="312" t="str">
        <f t="shared" si="25"/>
        <v/>
      </c>
      <c r="M107" s="366" t="str">
        <f t="shared" si="19"/>
        <v/>
      </c>
      <c r="N107" s="328" t="str">
        <f t="shared" si="20"/>
        <v/>
      </c>
      <c r="O107" s="313" t="str">
        <f t="shared" si="21"/>
        <v/>
      </c>
      <c r="P107" s="307"/>
      <c r="Q107" s="309">
        <f t="shared" si="26"/>
        <v>0.8</v>
      </c>
      <c r="R107" s="307"/>
      <c r="S107" s="314">
        <f t="shared" si="27"/>
        <v>11.2</v>
      </c>
      <c r="T107" s="304" t="str">
        <f t="shared" si="22"/>
        <v/>
      </c>
      <c r="U107" s="304">
        <f>IF(A107=YTD!B$6,E107,IF(OR(A107&lt;YTD!B$6,A107&gt;YTD!B$10),"",U106+E107))</f>
        <v>91.513912853085316</v>
      </c>
      <c r="V107" s="304">
        <f t="shared" si="28"/>
        <v>98.752182397164717</v>
      </c>
      <c r="W107" s="315">
        <f>IF(I107="",#N/A,YTD!G$8-I107)</f>
        <v>241.24781760283528</v>
      </c>
      <c r="X107" s="368">
        <f t="shared" si="23"/>
        <v>0</v>
      </c>
      <c r="Y107" s="368">
        <f t="shared" si="29"/>
        <v>0</v>
      </c>
      <c r="Z107" s="368" t="str">
        <f t="shared" si="24"/>
        <v/>
      </c>
      <c r="AA107" s="368">
        <v>92</v>
      </c>
      <c r="AB107" s="369">
        <f t="array" ref="AB107">SUM(IF(AA107=Z$16:Z$592,A$16:A$592,""))</f>
        <v>0</v>
      </c>
      <c r="AC107" s="370">
        <f t="array" ref="AC107">SUM(IF(AA107=Z$16:Z$592,J$16:J$592,""))</f>
        <v>0</v>
      </c>
      <c r="AD107" s="370">
        <f t="array" ref="AD107">SUM(IF($AA107=$Z$16:$Z$592,L$16:L$592,""))</f>
        <v>0</v>
      </c>
      <c r="AE107" s="370">
        <f t="array" ref="AE107">SUM(IF($AA107=$Z$16:$Z$592,M$16:M$592,""))</f>
        <v>0</v>
      </c>
      <c r="AF107" s="368">
        <f t="array" ref="AF107">SUM(IF($AA107=$Z$16:$Z$592,N$16:N$592,""))</f>
        <v>0</v>
      </c>
      <c r="AG107" s="370">
        <f t="array" ref="AG107">SUM(IF($AA107=$Z$16:$Z$592,O$16:O$592,""))</f>
        <v>0</v>
      </c>
      <c r="AH107" s="2"/>
      <c r="AI107" s="2"/>
      <c r="AJ107" s="2"/>
    </row>
    <row r="108" spans="1:36" x14ac:dyDescent="0.2">
      <c r="A108" s="306">
        <f>Crop!B141</f>
        <v>41732</v>
      </c>
      <c r="B108" s="307"/>
      <c r="C108" s="308"/>
      <c r="D108" s="304">
        <f>IF(OR($A108&lt;$A$3,$A108&gt;$A$7),"",Crop!$D141)</f>
        <v>3.6447246694888125</v>
      </c>
      <c r="E108" s="304">
        <f t="shared" si="15"/>
        <v>3.6447246694888125</v>
      </c>
      <c r="F108" s="304">
        <f>IF(OR(A108&lt;A$3,A108&gt;A$7),"",Crop!U141)</f>
        <v>1.0729257641921386</v>
      </c>
      <c r="G108" s="304">
        <f t="shared" si="16"/>
        <v>3.9105190012812239</v>
      </c>
      <c r="H108" s="309">
        <f>IF(OR(A108&lt;A$3,A108&gt;A$7),"",YTD!E105)</f>
        <v>135</v>
      </c>
      <c r="I108" s="310">
        <f t="shared" si="17"/>
        <v>32.66270139844594</v>
      </c>
      <c r="J108" s="311"/>
      <c r="K108" s="309">
        <f t="shared" si="18"/>
        <v>0</v>
      </c>
      <c r="L108" s="312" t="str">
        <f t="shared" si="25"/>
        <v/>
      </c>
      <c r="M108" s="366" t="str">
        <f t="shared" si="19"/>
        <v/>
      </c>
      <c r="N108" s="328" t="str">
        <f t="shared" si="20"/>
        <v/>
      </c>
      <c r="O108" s="313" t="str">
        <f t="shared" si="21"/>
        <v/>
      </c>
      <c r="P108" s="307"/>
      <c r="Q108" s="309">
        <f t="shared" si="26"/>
        <v>0.8</v>
      </c>
      <c r="R108" s="307"/>
      <c r="S108" s="314">
        <f t="shared" si="27"/>
        <v>11.2</v>
      </c>
      <c r="T108" s="304" t="str">
        <f t="shared" si="22"/>
        <v/>
      </c>
      <c r="U108" s="304">
        <f>IF(A108=YTD!B$6,E108,IF(OR(A108&lt;YTD!B$6,A108&gt;YTD!B$10),"",U107+E108))</f>
        <v>95.158637522574125</v>
      </c>
      <c r="V108" s="304">
        <f t="shared" si="28"/>
        <v>102.66270139844595</v>
      </c>
      <c r="W108" s="315">
        <f>IF(I108="",#N/A,YTD!G$8-I108)</f>
        <v>237.33729860155407</v>
      </c>
      <c r="X108" s="368">
        <f t="shared" si="23"/>
        <v>0</v>
      </c>
      <c r="Y108" s="368">
        <f t="shared" si="29"/>
        <v>0</v>
      </c>
      <c r="Z108" s="368" t="str">
        <f t="shared" si="24"/>
        <v/>
      </c>
      <c r="AA108" s="368">
        <v>93</v>
      </c>
      <c r="AB108" s="369">
        <f t="array" ref="AB108">SUM(IF(AA108=Z$16:Z$592,A$16:A$592,""))</f>
        <v>0</v>
      </c>
      <c r="AC108" s="370">
        <f t="array" ref="AC108">SUM(IF(AA108=Z$16:Z$592,J$16:J$592,""))</f>
        <v>0</v>
      </c>
      <c r="AD108" s="370">
        <f t="array" ref="AD108">SUM(IF($AA108=$Z$16:$Z$592,L$16:L$592,""))</f>
        <v>0</v>
      </c>
      <c r="AE108" s="370">
        <f t="array" ref="AE108">SUM(IF($AA108=$Z$16:$Z$592,M$16:M$592,""))</f>
        <v>0</v>
      </c>
      <c r="AF108" s="368">
        <f t="array" ref="AF108">SUM(IF($AA108=$Z$16:$Z$592,N$16:N$592,""))</f>
        <v>0</v>
      </c>
      <c r="AG108" s="370">
        <f t="array" ref="AG108">SUM(IF($AA108=$Z$16:$Z$592,O$16:O$592,""))</f>
        <v>0</v>
      </c>
      <c r="AH108" s="2"/>
      <c r="AI108" s="2"/>
      <c r="AJ108" s="2"/>
    </row>
    <row r="109" spans="1:36" x14ac:dyDescent="0.2">
      <c r="A109" s="306">
        <f>Crop!B142</f>
        <v>41733</v>
      </c>
      <c r="B109" s="307"/>
      <c r="C109" s="308"/>
      <c r="D109" s="304">
        <f>IF(OR($A109&lt;$A$3,$A109&gt;$A$7),"",Crop!$D142)</f>
        <v>3.7012907535352157</v>
      </c>
      <c r="E109" s="304">
        <f t="shared" si="15"/>
        <v>3.7012907535352157</v>
      </c>
      <c r="F109" s="304">
        <f>IF(OR(A109&lt;A$3,A109&gt;A$7),"",Crop!U142)</f>
        <v>1.0781659388646276</v>
      </c>
      <c r="G109" s="304">
        <f t="shared" si="16"/>
        <v>3.990605620296261</v>
      </c>
      <c r="H109" s="309">
        <f>IF(OR(A109&lt;A$3,A109&gt;A$7),"",YTD!E106)</f>
        <v>135</v>
      </c>
      <c r="I109" s="310">
        <f t="shared" si="17"/>
        <v>36.653307018742197</v>
      </c>
      <c r="J109" s="311"/>
      <c r="K109" s="309">
        <f t="shared" si="18"/>
        <v>0</v>
      </c>
      <c r="L109" s="312" t="str">
        <f t="shared" si="25"/>
        <v/>
      </c>
      <c r="M109" s="366" t="str">
        <f t="shared" si="19"/>
        <v/>
      </c>
      <c r="N109" s="328" t="str">
        <f t="shared" si="20"/>
        <v/>
      </c>
      <c r="O109" s="313" t="str">
        <f t="shared" si="21"/>
        <v/>
      </c>
      <c r="P109" s="307"/>
      <c r="Q109" s="309">
        <f t="shared" si="26"/>
        <v>0.8</v>
      </c>
      <c r="R109" s="307"/>
      <c r="S109" s="314">
        <f t="shared" si="27"/>
        <v>11.2</v>
      </c>
      <c r="T109" s="304" t="str">
        <f t="shared" si="22"/>
        <v/>
      </c>
      <c r="U109" s="304">
        <f>IF(A109=YTD!B$6,E109,IF(OR(A109&lt;YTD!B$6,A109&gt;YTD!B$10),"",U108+E109))</f>
        <v>98.859928276109343</v>
      </c>
      <c r="V109" s="304">
        <f t="shared" si="28"/>
        <v>106.65330701874221</v>
      </c>
      <c r="W109" s="315">
        <f>IF(I109="",#N/A,YTD!G$8-I109)</f>
        <v>233.3466929812578</v>
      </c>
      <c r="X109" s="368">
        <f t="shared" si="23"/>
        <v>0</v>
      </c>
      <c r="Y109" s="368">
        <f t="shared" si="29"/>
        <v>0</v>
      </c>
      <c r="Z109" s="368" t="str">
        <f t="shared" si="24"/>
        <v/>
      </c>
      <c r="AA109" s="368">
        <v>94</v>
      </c>
      <c r="AB109" s="369">
        <f t="array" ref="AB109">SUM(IF(AA109=Z$16:Z$592,A$16:A$592,""))</f>
        <v>0</v>
      </c>
      <c r="AC109" s="370">
        <f t="array" ref="AC109">SUM(IF(AA109=Z$16:Z$592,J$16:J$592,""))</f>
        <v>0</v>
      </c>
      <c r="AD109" s="370">
        <f t="array" ref="AD109">SUM(IF($AA109=$Z$16:$Z$592,L$16:L$592,""))</f>
        <v>0</v>
      </c>
      <c r="AE109" s="370">
        <f t="array" ref="AE109">SUM(IF($AA109=$Z$16:$Z$592,M$16:M$592,""))</f>
        <v>0</v>
      </c>
      <c r="AF109" s="368">
        <f t="array" ref="AF109">SUM(IF($AA109=$Z$16:$Z$592,N$16:N$592,""))</f>
        <v>0</v>
      </c>
      <c r="AG109" s="370">
        <f t="array" ref="AG109">SUM(IF($AA109=$Z$16:$Z$592,O$16:O$592,""))</f>
        <v>0</v>
      </c>
      <c r="AH109" s="2"/>
      <c r="AI109" s="2"/>
      <c r="AJ109" s="2"/>
    </row>
    <row r="110" spans="1:36" x14ac:dyDescent="0.2">
      <c r="A110" s="306">
        <f>Crop!B143</f>
        <v>41734</v>
      </c>
      <c r="B110" s="307"/>
      <c r="C110" s="308"/>
      <c r="D110" s="304">
        <f>IF(OR($A110&lt;$A$3,$A110&gt;$A$7),"",Crop!$D143)</f>
        <v>3.7576365250189658</v>
      </c>
      <c r="E110" s="304">
        <f t="shared" si="15"/>
        <v>3.7576365250189658</v>
      </c>
      <c r="F110" s="304">
        <f>IF(OR(A110&lt;A$3,A110&gt;A$7),"",Crop!U143)</f>
        <v>1.0834061135371167</v>
      </c>
      <c r="G110" s="304">
        <f t="shared" si="16"/>
        <v>4.0710463836559141</v>
      </c>
      <c r="H110" s="309">
        <f>IF(OR(A110&lt;A$3,A110&gt;A$7),"",YTD!E107)</f>
        <v>135</v>
      </c>
      <c r="I110" s="310">
        <f t="shared" si="17"/>
        <v>40.724353402398108</v>
      </c>
      <c r="J110" s="311"/>
      <c r="K110" s="309">
        <f t="shared" si="18"/>
        <v>0</v>
      </c>
      <c r="L110" s="312" t="str">
        <f t="shared" si="25"/>
        <v/>
      </c>
      <c r="M110" s="366" t="str">
        <f t="shared" si="19"/>
        <v/>
      </c>
      <c r="N110" s="328" t="str">
        <f t="shared" si="20"/>
        <v/>
      </c>
      <c r="O110" s="313" t="str">
        <f t="shared" si="21"/>
        <v/>
      </c>
      <c r="P110" s="307"/>
      <c r="Q110" s="309">
        <f t="shared" si="26"/>
        <v>0.8</v>
      </c>
      <c r="R110" s="307"/>
      <c r="S110" s="314">
        <f t="shared" si="27"/>
        <v>11.2</v>
      </c>
      <c r="T110" s="304" t="str">
        <f t="shared" si="22"/>
        <v/>
      </c>
      <c r="U110" s="304">
        <f>IF(A110=YTD!B$6,E110,IF(OR(A110&lt;YTD!B$6,A110&gt;YTD!B$10),"",U109+E110))</f>
        <v>102.61756480112831</v>
      </c>
      <c r="V110" s="304">
        <f t="shared" si="28"/>
        <v>110.72435340239812</v>
      </c>
      <c r="W110" s="315">
        <f>IF(I110="",#N/A,YTD!G$8-I110)</f>
        <v>229.27564659760191</v>
      </c>
      <c r="X110" s="368">
        <f t="shared" si="23"/>
        <v>0</v>
      </c>
      <c r="Y110" s="368">
        <f t="shared" si="29"/>
        <v>0</v>
      </c>
      <c r="Z110" s="368" t="str">
        <f t="shared" si="24"/>
        <v/>
      </c>
      <c r="AA110" s="368">
        <v>95</v>
      </c>
      <c r="AB110" s="369">
        <f t="array" ref="AB110">SUM(IF(AA110=Z$16:Z$592,A$16:A$592,""))</f>
        <v>0</v>
      </c>
      <c r="AC110" s="370">
        <f t="array" ref="AC110">SUM(IF(AA110=Z$16:Z$592,J$16:J$592,""))</f>
        <v>0</v>
      </c>
      <c r="AD110" s="370">
        <f t="array" ref="AD110">SUM(IF($AA110=$Z$16:$Z$592,L$16:L$592,""))</f>
        <v>0</v>
      </c>
      <c r="AE110" s="370">
        <f t="array" ref="AE110">SUM(IF($AA110=$Z$16:$Z$592,M$16:M$592,""))</f>
        <v>0</v>
      </c>
      <c r="AF110" s="368">
        <f t="array" ref="AF110">SUM(IF($AA110=$Z$16:$Z$592,N$16:N$592,""))</f>
        <v>0</v>
      </c>
      <c r="AG110" s="370">
        <f t="array" ref="AG110">SUM(IF($AA110=$Z$16:$Z$592,O$16:O$592,""))</f>
        <v>0</v>
      </c>
      <c r="AH110" s="2"/>
      <c r="AI110" s="2"/>
      <c r="AJ110" s="2"/>
    </row>
    <row r="111" spans="1:36" x14ac:dyDescent="0.2">
      <c r="A111" s="306">
        <f>Crop!B144</f>
        <v>41735</v>
      </c>
      <c r="B111" s="307"/>
      <c r="C111" s="308"/>
      <c r="D111" s="304">
        <f>IF(OR($A111&lt;$A$3,$A111&gt;$A$7),"",Crop!$D144)</f>
        <v>3.813680782217336</v>
      </c>
      <c r="E111" s="304">
        <f t="shared" si="15"/>
        <v>3.813680782217336</v>
      </c>
      <c r="F111" s="304">
        <f>IF(OR(A111&lt;A$3,A111&gt;A$7),"",Crop!U144)</f>
        <v>1.0886462882096057</v>
      </c>
      <c r="G111" s="304">
        <f t="shared" si="16"/>
        <v>4.1517494279772089</v>
      </c>
      <c r="H111" s="309">
        <f>IF(OR(A111&lt;A$3,A111&gt;A$7),"",YTD!E108)</f>
        <v>135</v>
      </c>
      <c r="I111" s="310">
        <f t="shared" si="17"/>
        <v>44.876102830375316</v>
      </c>
      <c r="J111" s="311"/>
      <c r="K111" s="309">
        <f t="shared" si="18"/>
        <v>0</v>
      </c>
      <c r="L111" s="312" t="str">
        <f t="shared" si="25"/>
        <v/>
      </c>
      <c r="M111" s="366" t="str">
        <f t="shared" si="19"/>
        <v/>
      </c>
      <c r="N111" s="328" t="str">
        <f t="shared" si="20"/>
        <v/>
      </c>
      <c r="O111" s="313" t="str">
        <f t="shared" si="21"/>
        <v/>
      </c>
      <c r="P111" s="307"/>
      <c r="Q111" s="309">
        <f t="shared" si="26"/>
        <v>0.8</v>
      </c>
      <c r="R111" s="307"/>
      <c r="S111" s="314">
        <f t="shared" si="27"/>
        <v>11.2</v>
      </c>
      <c r="T111" s="304" t="str">
        <f t="shared" si="22"/>
        <v/>
      </c>
      <c r="U111" s="304">
        <f>IF(A111=YTD!B$6,E111,IF(OR(A111&lt;YTD!B$6,A111&gt;YTD!B$10),"",U110+E111))</f>
        <v>106.43124558334564</v>
      </c>
      <c r="V111" s="304">
        <f t="shared" si="28"/>
        <v>114.87610283037533</v>
      </c>
      <c r="W111" s="315">
        <f>IF(I111="",#N/A,YTD!G$8-I111)</f>
        <v>225.12389716962468</v>
      </c>
      <c r="X111" s="368">
        <f t="shared" si="23"/>
        <v>0</v>
      </c>
      <c r="Y111" s="368">
        <f t="shared" si="29"/>
        <v>0</v>
      </c>
      <c r="Z111" s="368" t="str">
        <f t="shared" si="24"/>
        <v/>
      </c>
      <c r="AA111" s="368">
        <v>96</v>
      </c>
      <c r="AB111" s="369">
        <f t="array" ref="AB111">SUM(IF(AA111=Z$16:Z$592,A$16:A$592,""))</f>
        <v>0</v>
      </c>
      <c r="AC111" s="370">
        <f t="array" ref="AC111">SUM(IF(AA111=Z$16:Z$592,J$16:J$592,""))</f>
        <v>0</v>
      </c>
      <c r="AD111" s="370">
        <f t="array" ref="AD111">SUM(IF($AA111=$Z$16:$Z$592,L$16:L$592,""))</f>
        <v>0</v>
      </c>
      <c r="AE111" s="370">
        <f t="array" ref="AE111">SUM(IF($AA111=$Z$16:$Z$592,M$16:M$592,""))</f>
        <v>0</v>
      </c>
      <c r="AF111" s="368">
        <f t="array" ref="AF111">SUM(IF($AA111=$Z$16:$Z$592,N$16:N$592,""))</f>
        <v>0</v>
      </c>
      <c r="AG111" s="370">
        <f t="array" ref="AG111">SUM(IF($AA111=$Z$16:$Z$592,O$16:O$592,""))</f>
        <v>0</v>
      </c>
      <c r="AH111" s="2"/>
      <c r="AI111" s="2"/>
      <c r="AJ111" s="2"/>
    </row>
    <row r="112" spans="1:36" x14ac:dyDescent="0.2">
      <c r="A112" s="306">
        <f>Crop!B145</f>
        <v>41736</v>
      </c>
      <c r="B112" s="307"/>
      <c r="C112" s="308"/>
      <c r="D112" s="304">
        <f>IF(OR($A112&lt;$A$3,$A112&gt;$A$7),"",Crop!$D145)</f>
        <v>3.8693423234075963</v>
      </c>
      <c r="E112" s="304">
        <f t="shared" si="15"/>
        <v>3.8693423234075963</v>
      </c>
      <c r="F112" s="304">
        <f>IF(OR(A112&lt;A$3,A112&gt;A$7),"",Crop!U145)</f>
        <v>1.0938864628820948</v>
      </c>
      <c r="G112" s="304">
        <f t="shared" si="16"/>
        <v>4.2326211878323221</v>
      </c>
      <c r="H112" s="309">
        <f>IF(OR(A112&lt;A$3,A112&gt;A$7),"",YTD!E109)</f>
        <v>135</v>
      </c>
      <c r="I112" s="310">
        <f t="shared" si="17"/>
        <v>49.108724018207639</v>
      </c>
      <c r="J112" s="311"/>
      <c r="K112" s="309">
        <f t="shared" si="18"/>
        <v>0</v>
      </c>
      <c r="L112" s="312" t="str">
        <f t="shared" si="25"/>
        <v/>
      </c>
      <c r="M112" s="366" t="str">
        <f t="shared" si="19"/>
        <v/>
      </c>
      <c r="N112" s="328" t="str">
        <f t="shared" si="20"/>
        <v/>
      </c>
      <c r="O112" s="313" t="str">
        <f t="shared" si="21"/>
        <v/>
      </c>
      <c r="P112" s="307"/>
      <c r="Q112" s="309">
        <f t="shared" si="26"/>
        <v>0.8</v>
      </c>
      <c r="R112" s="307"/>
      <c r="S112" s="314">
        <f t="shared" si="27"/>
        <v>11.2</v>
      </c>
      <c r="T112" s="304" t="str">
        <f t="shared" si="22"/>
        <v/>
      </c>
      <c r="U112" s="304">
        <f>IF(A112=YTD!B$6,E112,IF(OR(A112&lt;YTD!B$6,A112&gt;YTD!B$10),"",U111+E112))</f>
        <v>110.30058790675324</v>
      </c>
      <c r="V112" s="304">
        <f t="shared" si="28"/>
        <v>119.10872401820765</v>
      </c>
      <c r="W112" s="315">
        <f>IF(I112="",#N/A,YTD!G$8-I112)</f>
        <v>220.89127598179238</v>
      </c>
      <c r="X112" s="368">
        <f t="shared" si="23"/>
        <v>0</v>
      </c>
      <c r="Y112" s="368">
        <f t="shared" si="29"/>
        <v>0</v>
      </c>
      <c r="Z112" s="368" t="str">
        <f t="shared" si="24"/>
        <v/>
      </c>
      <c r="AA112" s="368">
        <v>97</v>
      </c>
      <c r="AB112" s="369">
        <f t="array" ref="AB112">SUM(IF(AA112=Z$16:Z$592,A$16:A$592,""))</f>
        <v>0</v>
      </c>
      <c r="AC112" s="370">
        <f t="array" ref="AC112">SUM(IF(AA112=Z$16:Z$592,J$16:J$592,""))</f>
        <v>0</v>
      </c>
      <c r="AD112" s="370">
        <f t="array" ref="AD112">SUM(IF($AA112=$Z$16:$Z$592,L$16:L$592,""))</f>
        <v>0</v>
      </c>
      <c r="AE112" s="370">
        <f t="array" ref="AE112">SUM(IF($AA112=$Z$16:$Z$592,M$16:M$592,""))</f>
        <v>0</v>
      </c>
      <c r="AF112" s="368">
        <f t="array" ref="AF112">SUM(IF($AA112=$Z$16:$Z$592,N$16:N$592,""))</f>
        <v>0</v>
      </c>
      <c r="AG112" s="370">
        <f t="array" ref="AG112">SUM(IF($AA112=$Z$16:$Z$592,O$16:O$592,""))</f>
        <v>0</v>
      </c>
      <c r="AH112" s="2"/>
      <c r="AI112" s="2"/>
      <c r="AJ112" s="2"/>
    </row>
    <row r="113" spans="1:36" x14ac:dyDescent="0.2">
      <c r="A113" s="306">
        <f>Crop!B146</f>
        <v>41737</v>
      </c>
      <c r="B113" s="307"/>
      <c r="C113" s="308"/>
      <c r="D113" s="304">
        <f>IF(OR($A113&lt;$A$3,$A113&gt;$A$7),"",Crop!$D146)</f>
        <v>3.9245399468670183</v>
      </c>
      <c r="E113" s="304">
        <f t="shared" si="15"/>
        <v>3.9245399468670183</v>
      </c>
      <c r="F113" s="304">
        <f>IF(OR(A113&lt;A$3,A113&gt;A$7),"",Crop!U146)</f>
        <v>1.0991266375545838</v>
      </c>
      <c r="G113" s="304">
        <f t="shared" si="16"/>
        <v>4.313566395748591</v>
      </c>
      <c r="H113" s="309">
        <f>IF(OR(A113&lt;A$3,A113&gt;A$7),"",YTD!E110)</f>
        <v>135</v>
      </c>
      <c r="I113" s="310">
        <f t="shared" si="17"/>
        <v>53.422290413956233</v>
      </c>
      <c r="J113" s="311"/>
      <c r="K113" s="309">
        <f t="shared" si="18"/>
        <v>0</v>
      </c>
      <c r="L113" s="312" t="str">
        <f t="shared" si="25"/>
        <v/>
      </c>
      <c r="M113" s="366" t="str">
        <f t="shared" si="19"/>
        <v/>
      </c>
      <c r="N113" s="328" t="str">
        <f t="shared" si="20"/>
        <v/>
      </c>
      <c r="O113" s="313" t="str">
        <f t="shared" si="21"/>
        <v/>
      </c>
      <c r="P113" s="307"/>
      <c r="Q113" s="309">
        <f t="shared" si="26"/>
        <v>0.8</v>
      </c>
      <c r="R113" s="307"/>
      <c r="S113" s="314">
        <f t="shared" si="27"/>
        <v>11.2</v>
      </c>
      <c r="T113" s="304" t="str">
        <f t="shared" si="22"/>
        <v/>
      </c>
      <c r="U113" s="304">
        <f>IF(A113=YTD!B$6,E113,IF(OR(A113&lt;YTD!B$6,A113&gt;YTD!B$10),"",U112+E113))</f>
        <v>114.22512785362025</v>
      </c>
      <c r="V113" s="304">
        <f t="shared" si="28"/>
        <v>123.42229041395625</v>
      </c>
      <c r="W113" s="315">
        <f>IF(I113="",#N/A,YTD!G$8-I113)</f>
        <v>216.57770958604377</v>
      </c>
      <c r="X113" s="368">
        <f t="shared" si="23"/>
        <v>0</v>
      </c>
      <c r="Y113" s="368">
        <f t="shared" si="29"/>
        <v>0</v>
      </c>
      <c r="Z113" s="368" t="str">
        <f t="shared" si="24"/>
        <v/>
      </c>
      <c r="AA113" s="368">
        <v>98</v>
      </c>
      <c r="AB113" s="369">
        <f t="array" ref="AB113">SUM(IF(AA113=Z$16:Z$592,A$16:A$592,""))</f>
        <v>0</v>
      </c>
      <c r="AC113" s="370">
        <f t="array" ref="AC113">SUM(IF(AA113=Z$16:Z$592,J$16:J$592,""))</f>
        <v>0</v>
      </c>
      <c r="AD113" s="370">
        <f t="array" ref="AD113">SUM(IF($AA113=$Z$16:$Z$592,L$16:L$592,""))</f>
        <v>0</v>
      </c>
      <c r="AE113" s="370">
        <f t="array" ref="AE113">SUM(IF($AA113=$Z$16:$Z$592,M$16:M$592,""))</f>
        <v>0</v>
      </c>
      <c r="AF113" s="368">
        <f t="array" ref="AF113">SUM(IF($AA113=$Z$16:$Z$592,N$16:N$592,""))</f>
        <v>0</v>
      </c>
      <c r="AG113" s="370">
        <f t="array" ref="AG113">SUM(IF($AA113=$Z$16:$Z$592,O$16:O$592,""))</f>
        <v>0</v>
      </c>
      <c r="AH113" s="2"/>
      <c r="AI113" s="2"/>
      <c r="AJ113" s="2"/>
    </row>
    <row r="114" spans="1:36" x14ac:dyDescent="0.2">
      <c r="A114" s="306">
        <f>Crop!B147</f>
        <v>41738</v>
      </c>
      <c r="B114" s="307"/>
      <c r="C114" s="308"/>
      <c r="D114" s="304">
        <f>IF(OR($A114&lt;$A$3,$A114&gt;$A$7),"",Crop!$D147)</f>
        <v>3.9791924508728735</v>
      </c>
      <c r="E114" s="304">
        <f t="shared" si="15"/>
        <v>3.9791924508728735</v>
      </c>
      <c r="F114" s="304">
        <f>IF(OR(A114&lt;A$3,A114&gt;A$7),"",Crop!U147)</f>
        <v>1.1043668122270729</v>
      </c>
      <c r="G114" s="304">
        <f t="shared" si="16"/>
        <v>4.3944880822085084</v>
      </c>
      <c r="H114" s="309">
        <f>IF(OR(A114&lt;A$3,A114&gt;A$7),"",YTD!E111)</f>
        <v>135</v>
      </c>
      <c r="I114" s="310">
        <f t="shared" si="17"/>
        <v>57.816778496164744</v>
      </c>
      <c r="J114" s="311"/>
      <c r="K114" s="309">
        <f t="shared" si="18"/>
        <v>0</v>
      </c>
      <c r="L114" s="312" t="str">
        <f t="shared" si="25"/>
        <v/>
      </c>
      <c r="M114" s="366" t="str">
        <f t="shared" si="19"/>
        <v/>
      </c>
      <c r="N114" s="328" t="str">
        <f t="shared" si="20"/>
        <v/>
      </c>
      <c r="O114" s="313" t="str">
        <f t="shared" si="21"/>
        <v/>
      </c>
      <c r="P114" s="307"/>
      <c r="Q114" s="309">
        <f t="shared" si="26"/>
        <v>0.8</v>
      </c>
      <c r="R114" s="307"/>
      <c r="S114" s="314">
        <f t="shared" si="27"/>
        <v>11.2</v>
      </c>
      <c r="T114" s="304" t="str">
        <f t="shared" si="22"/>
        <v/>
      </c>
      <c r="U114" s="304">
        <f>IF(A114=YTD!B$6,E114,IF(OR(A114&lt;YTD!B$6,A114&gt;YTD!B$10),"",U113+E114))</f>
        <v>118.20432030449312</v>
      </c>
      <c r="V114" s="304">
        <f t="shared" si="28"/>
        <v>127.81677849616476</v>
      </c>
      <c r="W114" s="315">
        <f>IF(I114="",#N/A,YTD!G$8-I114)</f>
        <v>212.18322150383526</v>
      </c>
      <c r="X114" s="368">
        <f t="shared" si="23"/>
        <v>0</v>
      </c>
      <c r="Y114" s="368">
        <f t="shared" si="29"/>
        <v>0</v>
      </c>
      <c r="Z114" s="368" t="str">
        <f t="shared" si="24"/>
        <v/>
      </c>
      <c r="AA114" s="368">
        <v>99</v>
      </c>
      <c r="AB114" s="369">
        <f t="array" ref="AB114">SUM(IF(AA114=Z$16:Z$592,A$16:A$592,""))</f>
        <v>0</v>
      </c>
      <c r="AC114" s="370">
        <f t="array" ref="AC114">SUM(IF(AA114=Z$16:Z$592,J$16:J$592,""))</f>
        <v>0</v>
      </c>
      <c r="AD114" s="370">
        <f t="array" ref="AD114">SUM(IF($AA114=$Z$16:$Z$592,L$16:L$592,""))</f>
        <v>0</v>
      </c>
      <c r="AE114" s="370">
        <f t="array" ref="AE114">SUM(IF($AA114=$Z$16:$Z$592,M$16:M$592,""))</f>
        <v>0</v>
      </c>
      <c r="AF114" s="368">
        <f t="array" ref="AF114">SUM(IF($AA114=$Z$16:$Z$592,N$16:N$592,""))</f>
        <v>0</v>
      </c>
      <c r="AG114" s="370">
        <f t="array" ref="AG114">SUM(IF($AA114=$Z$16:$Z$592,O$16:O$592,""))</f>
        <v>0</v>
      </c>
      <c r="AH114" s="2"/>
      <c r="AI114" s="2"/>
      <c r="AJ114" s="2"/>
    </row>
    <row r="115" spans="1:36" x14ac:dyDescent="0.2">
      <c r="A115" s="306">
        <f>Crop!B148</f>
        <v>41739</v>
      </c>
      <c r="B115" s="307"/>
      <c r="C115" s="308"/>
      <c r="D115" s="304">
        <f>IF(OR($A115&lt;$A$3,$A115&gt;$A$7),"",Crop!$D148)</f>
        <v>4.0332186337024316</v>
      </c>
      <c r="E115" s="304">
        <f t="shared" si="15"/>
        <v>4.0332186337024316</v>
      </c>
      <c r="F115" s="304">
        <f>IF(OR(A115&lt;A$3,A115&gt;A$7),"",Crop!U148)</f>
        <v>1.1096069868995619</v>
      </c>
      <c r="G115" s="304">
        <f t="shared" si="16"/>
        <v>4.4752875756497232</v>
      </c>
      <c r="H115" s="309">
        <f>IF(OR(A115&lt;A$3,A115&gt;A$7),"",YTD!E112)</f>
        <v>135</v>
      </c>
      <c r="I115" s="310">
        <f t="shared" si="17"/>
        <v>62.292066071814467</v>
      </c>
      <c r="J115" s="311"/>
      <c r="K115" s="309">
        <f t="shared" si="18"/>
        <v>0</v>
      </c>
      <c r="L115" s="312" t="str">
        <f t="shared" si="25"/>
        <v/>
      </c>
      <c r="M115" s="366" t="str">
        <f t="shared" si="19"/>
        <v/>
      </c>
      <c r="N115" s="328" t="str">
        <f t="shared" si="20"/>
        <v/>
      </c>
      <c r="O115" s="313" t="str">
        <f t="shared" si="21"/>
        <v/>
      </c>
      <c r="P115" s="307"/>
      <c r="Q115" s="309">
        <f t="shared" si="26"/>
        <v>0.8</v>
      </c>
      <c r="R115" s="307"/>
      <c r="S115" s="314">
        <f t="shared" si="27"/>
        <v>11.2</v>
      </c>
      <c r="T115" s="304" t="str">
        <f t="shared" si="22"/>
        <v/>
      </c>
      <c r="U115" s="304">
        <f>IF(A115=YTD!B$6,E115,IF(OR(A115&lt;YTD!B$6,A115&gt;YTD!B$10),"",U114+E115))</f>
        <v>122.23753893819556</v>
      </c>
      <c r="V115" s="304">
        <f t="shared" si="28"/>
        <v>132.29206607181447</v>
      </c>
      <c r="W115" s="315">
        <f>IF(I115="",#N/A,YTD!G$8-I115)</f>
        <v>207.70793392818553</v>
      </c>
      <c r="X115" s="368">
        <f t="shared" si="23"/>
        <v>0</v>
      </c>
      <c r="Y115" s="368">
        <f t="shared" si="29"/>
        <v>0</v>
      </c>
      <c r="Z115" s="368" t="str">
        <f t="shared" si="24"/>
        <v/>
      </c>
      <c r="AA115" s="368">
        <v>100</v>
      </c>
      <c r="AB115" s="369">
        <f t="array" ref="AB115">SUM(IF(AA115=Z$16:Z$592,A$16:A$592,""))</f>
        <v>0</v>
      </c>
      <c r="AC115" s="370">
        <f t="array" ref="AC115">SUM(IF(AA115=Z$16:Z$592,J$16:J$592,""))</f>
        <v>0</v>
      </c>
      <c r="AD115" s="370">
        <f t="array" ref="AD115">SUM(IF($AA115=$Z$16:$Z$592,L$16:L$592,""))</f>
        <v>0</v>
      </c>
      <c r="AE115" s="370">
        <f t="array" ref="AE115">SUM(IF($AA115=$Z$16:$Z$592,M$16:M$592,""))</f>
        <v>0</v>
      </c>
      <c r="AF115" s="368">
        <f t="array" ref="AF115">SUM(IF($AA115=$Z$16:$Z$592,N$16:N$592,""))</f>
        <v>0</v>
      </c>
      <c r="AG115" s="370">
        <f t="array" ref="AG115">SUM(IF($AA115=$Z$16:$Z$592,O$16:O$592,""))</f>
        <v>0</v>
      </c>
      <c r="AH115" s="2"/>
      <c r="AI115" s="2"/>
      <c r="AJ115" s="2"/>
    </row>
    <row r="116" spans="1:36" x14ac:dyDescent="0.2">
      <c r="A116" s="306">
        <f>Crop!B149</f>
        <v>41740</v>
      </c>
      <c r="B116" s="307"/>
      <c r="C116" s="308"/>
      <c r="D116" s="304">
        <f>IF(OR($A116&lt;$A$3,$A116&gt;$A$7),"",Crop!$D149)</f>
        <v>4.0865372936329658</v>
      </c>
      <c r="E116" s="304">
        <f t="shared" si="15"/>
        <v>4.0865372936329658</v>
      </c>
      <c r="F116" s="304">
        <f>IF(OR(A116&lt;A$3,A116&gt;A$7),"",Crop!U149)</f>
        <v>1.114847161572051</v>
      </c>
      <c r="G116" s="304">
        <f t="shared" si="16"/>
        <v>4.5558645024650426</v>
      </c>
      <c r="H116" s="309">
        <f>IF(OR(A116&lt;A$3,A116&gt;A$7),"",YTD!E113)</f>
        <v>135</v>
      </c>
      <c r="I116" s="310">
        <f t="shared" si="17"/>
        <v>66.847930574279516</v>
      </c>
      <c r="J116" s="311"/>
      <c r="K116" s="309">
        <f t="shared" si="18"/>
        <v>0</v>
      </c>
      <c r="L116" s="312" t="str">
        <f t="shared" si="25"/>
        <v/>
      </c>
      <c r="M116" s="366" t="str">
        <f t="shared" si="19"/>
        <v/>
      </c>
      <c r="N116" s="328" t="str">
        <f t="shared" si="20"/>
        <v/>
      </c>
      <c r="O116" s="313" t="str">
        <f t="shared" si="21"/>
        <v/>
      </c>
      <c r="P116" s="307"/>
      <c r="Q116" s="309">
        <f t="shared" si="26"/>
        <v>0.8</v>
      </c>
      <c r="R116" s="307"/>
      <c r="S116" s="314">
        <f t="shared" si="27"/>
        <v>11.2</v>
      </c>
      <c r="T116" s="304" t="str">
        <f t="shared" si="22"/>
        <v/>
      </c>
      <c r="U116" s="304">
        <f>IF(A116=YTD!B$6,E116,IF(OR(A116&lt;YTD!B$6,A116&gt;YTD!B$10),"",U115+E116))</f>
        <v>126.32407623182853</v>
      </c>
      <c r="V116" s="304">
        <f t="shared" si="28"/>
        <v>136.84793057427953</v>
      </c>
      <c r="W116" s="315">
        <f>IF(I116="",#N/A,YTD!G$8-I116)</f>
        <v>203.15206942572047</v>
      </c>
      <c r="X116" s="368">
        <f t="shared" si="23"/>
        <v>0</v>
      </c>
      <c r="Y116" s="368">
        <f t="shared" si="29"/>
        <v>0</v>
      </c>
      <c r="Z116" s="368" t="str">
        <f t="shared" si="24"/>
        <v/>
      </c>
      <c r="AA116" s="368">
        <v>101</v>
      </c>
      <c r="AB116" s="369">
        <f t="array" ref="AB116">SUM(IF(AA116=Z$16:Z$592,A$16:A$592,""))</f>
        <v>0</v>
      </c>
      <c r="AC116" s="370">
        <f t="array" ref="AC116">SUM(IF(AA116=Z$16:Z$592,J$16:J$592,""))</f>
        <v>0</v>
      </c>
      <c r="AD116" s="370">
        <f t="array" ref="AD116">SUM(IF($AA116=$Z$16:$Z$592,L$16:L$592,""))</f>
        <v>0</v>
      </c>
      <c r="AE116" s="370">
        <f t="array" ref="AE116">SUM(IF($AA116=$Z$16:$Z$592,M$16:M$592,""))</f>
        <v>0</v>
      </c>
      <c r="AF116" s="368">
        <f t="array" ref="AF116">SUM(IF($AA116=$Z$16:$Z$592,N$16:N$592,""))</f>
        <v>0</v>
      </c>
      <c r="AG116" s="370">
        <f t="array" ref="AG116">SUM(IF($AA116=$Z$16:$Z$592,O$16:O$592,""))</f>
        <v>0</v>
      </c>
      <c r="AH116" s="2"/>
      <c r="AI116" s="2"/>
      <c r="AJ116" s="2"/>
    </row>
    <row r="117" spans="1:36" x14ac:dyDescent="0.2">
      <c r="A117" s="306">
        <f>Crop!B150</f>
        <v>41741</v>
      </c>
      <c r="B117" s="307"/>
      <c r="C117" s="308"/>
      <c r="D117" s="304">
        <f>IF(OR($A117&lt;$A$3,$A117&gt;$A$7),"",Crop!$D150)</f>
        <v>4.1390672289417454</v>
      </c>
      <c r="E117" s="304">
        <f t="shared" si="15"/>
        <v>4.1390672289417454</v>
      </c>
      <c r="F117" s="304">
        <f>IF(OR(A117&lt;A$3,A117&gt;A$7),"",Crop!U150)</f>
        <v>1.12008733624454</v>
      </c>
      <c r="G117" s="304">
        <f t="shared" si="16"/>
        <v>4.6361167870024298</v>
      </c>
      <c r="H117" s="309">
        <f>IF(OR(A117&lt;A$3,A117&gt;A$7),"",YTD!E114)</f>
        <v>135</v>
      </c>
      <c r="I117" s="310">
        <f t="shared" si="17"/>
        <v>71.484047361281952</v>
      </c>
      <c r="J117" s="311"/>
      <c r="K117" s="309">
        <f t="shared" si="18"/>
        <v>0</v>
      </c>
      <c r="L117" s="312" t="str">
        <f t="shared" si="25"/>
        <v/>
      </c>
      <c r="M117" s="366" t="str">
        <f t="shared" si="19"/>
        <v/>
      </c>
      <c r="N117" s="328" t="str">
        <f t="shared" si="20"/>
        <v/>
      </c>
      <c r="O117" s="313" t="str">
        <f t="shared" si="21"/>
        <v/>
      </c>
      <c r="P117" s="307"/>
      <c r="Q117" s="309">
        <f t="shared" si="26"/>
        <v>0.8</v>
      </c>
      <c r="R117" s="307"/>
      <c r="S117" s="314">
        <f t="shared" si="27"/>
        <v>11.2</v>
      </c>
      <c r="T117" s="304" t="str">
        <f t="shared" si="22"/>
        <v/>
      </c>
      <c r="U117" s="304">
        <f>IF(A117=YTD!B$6,E117,IF(OR(A117&lt;YTD!B$6,A117&gt;YTD!B$10),"",U116+E117))</f>
        <v>130.46314346077028</v>
      </c>
      <c r="V117" s="304">
        <f t="shared" si="28"/>
        <v>141.48404736128197</v>
      </c>
      <c r="W117" s="315">
        <f>IF(I117="",#N/A,YTD!G$8-I117)</f>
        <v>198.51595263871803</v>
      </c>
      <c r="X117" s="368">
        <f t="shared" si="23"/>
        <v>0</v>
      </c>
      <c r="Y117" s="368">
        <f t="shared" si="29"/>
        <v>0</v>
      </c>
      <c r="Z117" s="368" t="str">
        <f t="shared" si="24"/>
        <v/>
      </c>
      <c r="AA117" s="368">
        <v>102</v>
      </c>
      <c r="AB117" s="369">
        <f t="array" ref="AB117">SUM(IF(AA117=Z$16:Z$592,A$16:A$592,""))</f>
        <v>0</v>
      </c>
      <c r="AC117" s="370">
        <f t="array" ref="AC117">SUM(IF(AA117=Z$16:Z$592,J$16:J$592,""))</f>
        <v>0</v>
      </c>
      <c r="AD117" s="370">
        <f t="array" ref="AD117">SUM(IF($AA117=$Z$16:$Z$592,L$16:L$592,""))</f>
        <v>0</v>
      </c>
      <c r="AE117" s="370">
        <f t="array" ref="AE117">SUM(IF($AA117=$Z$16:$Z$592,M$16:M$592,""))</f>
        <v>0</v>
      </c>
      <c r="AF117" s="368">
        <f t="array" ref="AF117">SUM(IF($AA117=$Z$16:$Z$592,N$16:N$592,""))</f>
        <v>0</v>
      </c>
      <c r="AG117" s="370">
        <f t="array" ref="AG117">SUM(IF($AA117=$Z$16:$Z$592,O$16:O$592,""))</f>
        <v>0</v>
      </c>
      <c r="AH117" s="2"/>
      <c r="AI117" s="2"/>
      <c r="AJ117" s="2"/>
    </row>
    <row r="118" spans="1:36" x14ac:dyDescent="0.2">
      <c r="A118" s="306">
        <f>Crop!B151</f>
        <v>41742</v>
      </c>
      <c r="B118" s="307"/>
      <c r="C118" s="308"/>
      <c r="D118" s="304">
        <f>IF(OR($A118&lt;$A$3,$A118&gt;$A$7),"",Crop!$D151)</f>
        <v>4.1907272379060423</v>
      </c>
      <c r="E118" s="304">
        <f t="shared" si="15"/>
        <v>4.1907272379060423</v>
      </c>
      <c r="F118" s="304">
        <f>IF(OR(A118&lt;A$3,A118&gt;A$7),"",Crop!U151)</f>
        <v>1.1253275109170291</v>
      </c>
      <c r="G118" s="304">
        <f t="shared" si="16"/>
        <v>4.7159406515650026</v>
      </c>
      <c r="H118" s="309">
        <f>IF(OR(A118&lt;A$3,A118&gt;A$7),"",YTD!E115)</f>
        <v>135</v>
      </c>
      <c r="I118" s="310">
        <f t="shared" si="17"/>
        <v>76.199988012846958</v>
      </c>
      <c r="J118" s="311"/>
      <c r="K118" s="309">
        <f t="shared" si="18"/>
        <v>0</v>
      </c>
      <c r="L118" s="312" t="str">
        <f t="shared" si="25"/>
        <v/>
      </c>
      <c r="M118" s="366" t="str">
        <f t="shared" si="19"/>
        <v/>
      </c>
      <c r="N118" s="328" t="str">
        <f t="shared" si="20"/>
        <v/>
      </c>
      <c r="O118" s="313" t="str">
        <f t="shared" si="21"/>
        <v/>
      </c>
      <c r="P118" s="307"/>
      <c r="Q118" s="309">
        <f t="shared" si="26"/>
        <v>0.8</v>
      </c>
      <c r="R118" s="307"/>
      <c r="S118" s="314">
        <f t="shared" si="27"/>
        <v>11.2</v>
      </c>
      <c r="T118" s="304" t="str">
        <f t="shared" si="22"/>
        <v/>
      </c>
      <c r="U118" s="304">
        <f>IF(A118=YTD!B$6,E118,IF(OR(A118&lt;YTD!B$6,A118&gt;YTD!B$10),"",U117+E118))</f>
        <v>134.65387069867631</v>
      </c>
      <c r="V118" s="304">
        <f t="shared" si="28"/>
        <v>146.19998801284697</v>
      </c>
      <c r="W118" s="315">
        <f>IF(I118="",#N/A,YTD!G$8-I118)</f>
        <v>193.80001198715303</v>
      </c>
      <c r="X118" s="368">
        <f t="shared" si="23"/>
        <v>0</v>
      </c>
      <c r="Y118" s="368">
        <f t="shared" si="29"/>
        <v>0</v>
      </c>
      <c r="Z118" s="368" t="str">
        <f t="shared" si="24"/>
        <v/>
      </c>
      <c r="AA118" s="368">
        <v>103</v>
      </c>
      <c r="AB118" s="369">
        <f t="array" ref="AB118">SUM(IF(AA118=Z$16:Z$592,A$16:A$592,""))</f>
        <v>0</v>
      </c>
      <c r="AC118" s="370">
        <f t="array" ref="AC118">SUM(IF(AA118=Z$16:Z$592,J$16:J$592,""))</f>
        <v>0</v>
      </c>
      <c r="AD118" s="370">
        <f t="array" ref="AD118">SUM(IF($AA118=$Z$16:$Z$592,L$16:L$592,""))</f>
        <v>0</v>
      </c>
      <c r="AE118" s="370">
        <f t="array" ref="AE118">SUM(IF($AA118=$Z$16:$Z$592,M$16:M$592,""))</f>
        <v>0</v>
      </c>
      <c r="AF118" s="368">
        <f t="array" ref="AF118">SUM(IF($AA118=$Z$16:$Z$592,N$16:N$592,""))</f>
        <v>0</v>
      </c>
      <c r="AG118" s="370">
        <f t="array" ref="AG118">SUM(IF($AA118=$Z$16:$Z$592,O$16:O$592,""))</f>
        <v>0</v>
      </c>
      <c r="AH118" s="2"/>
      <c r="AI118" s="2"/>
      <c r="AJ118" s="2"/>
    </row>
    <row r="119" spans="1:36" x14ac:dyDescent="0.2">
      <c r="A119" s="306">
        <f>Crop!B152</f>
        <v>41743</v>
      </c>
      <c r="B119" s="307"/>
      <c r="C119" s="308"/>
      <c r="D119" s="304">
        <f>IF(OR($A119&lt;$A$3,$A119&gt;$A$7),"",Crop!$D152)</f>
        <v>4.2414361188031267</v>
      </c>
      <c r="E119" s="304">
        <f t="shared" si="15"/>
        <v>4.2414361188031267</v>
      </c>
      <c r="F119" s="304">
        <f>IF(OR(A119&lt;A$3,A119&gt;A$7),"",Crop!U152)</f>
        <v>1.1305676855895181</v>
      </c>
      <c r="G119" s="304">
        <f t="shared" si="16"/>
        <v>4.7952306164110396</v>
      </c>
      <c r="H119" s="309">
        <f>IF(OR(A119&lt;A$3,A119&gt;A$7),"",YTD!E116)</f>
        <v>135</v>
      </c>
      <c r="I119" s="310">
        <f t="shared" si="17"/>
        <v>80.995218629258005</v>
      </c>
      <c r="J119" s="311"/>
      <c r="K119" s="309">
        <f t="shared" si="18"/>
        <v>0</v>
      </c>
      <c r="L119" s="312" t="str">
        <f t="shared" si="25"/>
        <v/>
      </c>
      <c r="M119" s="366" t="str">
        <f t="shared" si="19"/>
        <v/>
      </c>
      <c r="N119" s="328" t="str">
        <f t="shared" si="20"/>
        <v/>
      </c>
      <c r="O119" s="313" t="str">
        <f t="shared" si="21"/>
        <v/>
      </c>
      <c r="P119" s="307"/>
      <c r="Q119" s="309">
        <f t="shared" si="26"/>
        <v>0.8</v>
      </c>
      <c r="R119" s="307"/>
      <c r="S119" s="314">
        <f t="shared" si="27"/>
        <v>11.2</v>
      </c>
      <c r="T119" s="304" t="str">
        <f t="shared" si="22"/>
        <v/>
      </c>
      <c r="U119" s="304">
        <f>IF(A119=YTD!B$6,E119,IF(OR(A119&lt;YTD!B$6,A119&gt;YTD!B$10),"",U118+E119))</f>
        <v>138.89530681747945</v>
      </c>
      <c r="V119" s="304">
        <f t="shared" si="28"/>
        <v>150.99521862925801</v>
      </c>
      <c r="W119" s="315">
        <f>IF(I119="",#N/A,YTD!G$8-I119)</f>
        <v>189.00478137074199</v>
      </c>
      <c r="X119" s="368">
        <f t="shared" si="23"/>
        <v>0</v>
      </c>
      <c r="Y119" s="368">
        <f t="shared" si="29"/>
        <v>0</v>
      </c>
      <c r="Z119" s="368" t="str">
        <f t="shared" si="24"/>
        <v/>
      </c>
      <c r="AA119" s="368">
        <v>104</v>
      </c>
      <c r="AB119" s="369">
        <f t="array" ref="AB119">SUM(IF(AA119=Z$16:Z$592,A$16:A$592,""))</f>
        <v>0</v>
      </c>
      <c r="AC119" s="370">
        <f t="array" ref="AC119">SUM(IF(AA119=Z$16:Z$592,J$16:J$592,""))</f>
        <v>0</v>
      </c>
      <c r="AD119" s="370">
        <f t="array" ref="AD119">SUM(IF($AA119=$Z$16:$Z$592,L$16:L$592,""))</f>
        <v>0</v>
      </c>
      <c r="AE119" s="370">
        <f t="array" ref="AE119">SUM(IF($AA119=$Z$16:$Z$592,M$16:M$592,""))</f>
        <v>0</v>
      </c>
      <c r="AF119" s="368">
        <f t="array" ref="AF119">SUM(IF($AA119=$Z$16:$Z$592,N$16:N$592,""))</f>
        <v>0</v>
      </c>
      <c r="AG119" s="370">
        <f t="array" ref="AG119">SUM(IF($AA119=$Z$16:$Z$592,O$16:O$592,""))</f>
        <v>0</v>
      </c>
      <c r="AH119" s="2"/>
      <c r="AI119" s="2"/>
      <c r="AJ119" s="2"/>
    </row>
    <row r="120" spans="1:36" x14ac:dyDescent="0.2">
      <c r="A120" s="306">
        <f>Crop!B153</f>
        <v>41744</v>
      </c>
      <c r="B120" s="307"/>
      <c r="C120" s="308"/>
      <c r="D120" s="304">
        <f>IF(OR($A120&lt;$A$3,$A120&gt;$A$7),"",Crop!$D153)</f>
        <v>4.2911126699102713</v>
      </c>
      <c r="E120" s="304">
        <f t="shared" si="15"/>
        <v>4.2911126699102713</v>
      </c>
      <c r="F120" s="304">
        <f>IF(OR(A120&lt;A$3,A120&gt;A$7),"",Crop!U153)</f>
        <v>1.1358078602620072</v>
      </c>
      <c r="G120" s="304">
        <f t="shared" si="16"/>
        <v>4.8738794997539738</v>
      </c>
      <c r="H120" s="309">
        <f>IF(OR(A120&lt;A$3,A120&gt;A$7),"",YTD!E117)</f>
        <v>135</v>
      </c>
      <c r="I120" s="310">
        <f t="shared" si="17"/>
        <v>85.869098129011974</v>
      </c>
      <c r="J120" s="311"/>
      <c r="K120" s="309">
        <f t="shared" si="18"/>
        <v>0</v>
      </c>
      <c r="L120" s="312" t="str">
        <f t="shared" si="25"/>
        <v/>
      </c>
      <c r="M120" s="366" t="str">
        <f t="shared" si="19"/>
        <v/>
      </c>
      <c r="N120" s="328" t="str">
        <f t="shared" si="20"/>
        <v/>
      </c>
      <c r="O120" s="313" t="str">
        <f t="shared" si="21"/>
        <v/>
      </c>
      <c r="P120" s="307"/>
      <c r="Q120" s="309">
        <f t="shared" si="26"/>
        <v>0.8</v>
      </c>
      <c r="R120" s="307"/>
      <c r="S120" s="314">
        <f t="shared" si="27"/>
        <v>11.2</v>
      </c>
      <c r="T120" s="304" t="str">
        <f t="shared" si="22"/>
        <v/>
      </c>
      <c r="U120" s="304">
        <f>IF(A120=YTD!B$6,E120,IF(OR(A120&lt;YTD!B$6,A120&gt;YTD!B$10),"",U119+E120))</f>
        <v>143.18641948738971</v>
      </c>
      <c r="V120" s="304">
        <f t="shared" si="28"/>
        <v>155.86909812901197</v>
      </c>
      <c r="W120" s="315">
        <f>IF(I120="",#N/A,YTD!G$8-I120)</f>
        <v>184.13090187098803</v>
      </c>
      <c r="X120" s="368">
        <f t="shared" si="23"/>
        <v>0</v>
      </c>
      <c r="Y120" s="368">
        <f t="shared" si="29"/>
        <v>0</v>
      </c>
      <c r="Z120" s="368" t="str">
        <f t="shared" si="24"/>
        <v/>
      </c>
      <c r="AA120" s="368">
        <v>105</v>
      </c>
      <c r="AB120" s="369">
        <f t="array" ref="AB120">SUM(IF(AA120=Z$16:Z$592,A$16:A$592,""))</f>
        <v>0</v>
      </c>
      <c r="AC120" s="370">
        <f t="array" ref="AC120">SUM(IF(AA120=Z$16:Z$592,J$16:J$592,""))</f>
        <v>0</v>
      </c>
      <c r="AD120" s="370">
        <f t="array" ref="AD120">SUM(IF($AA120=$Z$16:$Z$592,L$16:L$592,""))</f>
        <v>0</v>
      </c>
      <c r="AE120" s="370">
        <f t="array" ref="AE120">SUM(IF($AA120=$Z$16:$Z$592,M$16:M$592,""))</f>
        <v>0</v>
      </c>
      <c r="AF120" s="368">
        <f t="array" ref="AF120">SUM(IF($AA120=$Z$16:$Z$592,N$16:N$592,""))</f>
        <v>0</v>
      </c>
      <c r="AG120" s="370">
        <f t="array" ref="AG120">SUM(IF($AA120=$Z$16:$Z$592,O$16:O$592,""))</f>
        <v>0</v>
      </c>
      <c r="AH120" s="2"/>
      <c r="AI120" s="2"/>
      <c r="AJ120" s="2"/>
    </row>
    <row r="121" spans="1:36" x14ac:dyDescent="0.2">
      <c r="A121" s="306">
        <f>Crop!B154</f>
        <v>41745</v>
      </c>
      <c r="B121" s="307"/>
      <c r="C121" s="308"/>
      <c r="D121" s="304">
        <f>IF(OR($A121&lt;$A$3,$A121&gt;$A$7),"",Crop!$D154)</f>
        <v>4.3396756895047464</v>
      </c>
      <c r="E121" s="304">
        <f t="shared" si="15"/>
        <v>4.3396756895047464</v>
      </c>
      <c r="F121" s="304">
        <f>IF(OR(A121&lt;A$3,A121&gt;A$7),"",Crop!U154)</f>
        <v>1.1410480349344962</v>
      </c>
      <c r="G121" s="304">
        <f t="shared" si="16"/>
        <v>4.9517784177623962</v>
      </c>
      <c r="H121" s="309">
        <f>IF(OR(A121&lt;A$3,A121&gt;A$7),"",YTD!E118)</f>
        <v>135</v>
      </c>
      <c r="I121" s="310">
        <f t="shared" si="17"/>
        <v>90.820876546774372</v>
      </c>
      <c r="J121" s="311"/>
      <c r="K121" s="309">
        <f t="shared" si="18"/>
        <v>0</v>
      </c>
      <c r="L121" s="312" t="str">
        <f t="shared" si="25"/>
        <v/>
      </c>
      <c r="M121" s="366" t="str">
        <f t="shared" si="19"/>
        <v/>
      </c>
      <c r="N121" s="328" t="str">
        <f t="shared" si="20"/>
        <v/>
      </c>
      <c r="O121" s="313" t="str">
        <f t="shared" si="21"/>
        <v/>
      </c>
      <c r="P121" s="307"/>
      <c r="Q121" s="309">
        <f t="shared" si="26"/>
        <v>0.8</v>
      </c>
      <c r="R121" s="307"/>
      <c r="S121" s="314">
        <f t="shared" si="27"/>
        <v>11.2</v>
      </c>
      <c r="T121" s="304" t="str">
        <f t="shared" si="22"/>
        <v/>
      </c>
      <c r="U121" s="304">
        <f>IF(A121=YTD!B$6,E121,IF(OR(A121&lt;YTD!B$6,A121&gt;YTD!B$10),"",U120+E121))</f>
        <v>147.52609517689447</v>
      </c>
      <c r="V121" s="304">
        <f t="shared" si="28"/>
        <v>160.82087654677437</v>
      </c>
      <c r="W121" s="315">
        <f>IF(I121="",#N/A,YTD!G$8-I121)</f>
        <v>179.17912345322563</v>
      </c>
      <c r="X121" s="368">
        <f t="shared" si="23"/>
        <v>0</v>
      </c>
      <c r="Y121" s="368">
        <f t="shared" si="29"/>
        <v>0</v>
      </c>
      <c r="Z121" s="368" t="str">
        <f t="shared" si="24"/>
        <v/>
      </c>
      <c r="AA121" s="368">
        <v>106</v>
      </c>
      <c r="AB121" s="369">
        <f t="array" ref="AB121">SUM(IF(AA121=Z$16:Z$592,A$16:A$592,""))</f>
        <v>0</v>
      </c>
      <c r="AC121" s="370">
        <f t="array" ref="AC121">SUM(IF(AA121=Z$16:Z$592,J$16:J$592,""))</f>
        <v>0</v>
      </c>
      <c r="AD121" s="370">
        <f t="array" ref="AD121">SUM(IF($AA121=$Z$16:$Z$592,L$16:L$592,""))</f>
        <v>0</v>
      </c>
      <c r="AE121" s="370">
        <f t="array" ref="AE121">SUM(IF($AA121=$Z$16:$Z$592,M$16:M$592,""))</f>
        <v>0</v>
      </c>
      <c r="AF121" s="368">
        <f t="array" ref="AF121">SUM(IF($AA121=$Z$16:$Z$592,N$16:N$592,""))</f>
        <v>0</v>
      </c>
      <c r="AG121" s="370">
        <f t="array" ref="AG121">SUM(IF($AA121=$Z$16:$Z$592,O$16:O$592,""))</f>
        <v>0</v>
      </c>
      <c r="AH121" s="2"/>
      <c r="AI121" s="2"/>
      <c r="AJ121" s="2"/>
    </row>
    <row r="122" spans="1:36" x14ac:dyDescent="0.2">
      <c r="A122" s="306">
        <f>Crop!B155</f>
        <v>41746</v>
      </c>
      <c r="B122" s="307"/>
      <c r="C122" s="308"/>
      <c r="D122" s="304">
        <f>IF(OR($A122&lt;$A$3,$A122&gt;$A$7),"",Crop!$D155)</f>
        <v>4.387043975863822</v>
      </c>
      <c r="E122" s="304">
        <f t="shared" si="15"/>
        <v>4.387043975863822</v>
      </c>
      <c r="F122" s="304">
        <f>IF(OR(A122&lt;A$3,A122&gt;A$7),"",Crop!U155)</f>
        <v>1.1462882096069853</v>
      </c>
      <c r="G122" s="304">
        <f t="shared" si="16"/>
        <v>5.0288167845600507</v>
      </c>
      <c r="H122" s="309">
        <f>IF(OR(A122&lt;A$3,A122&gt;A$7),"",YTD!E119)</f>
        <v>135</v>
      </c>
      <c r="I122" s="310">
        <f t="shared" si="17"/>
        <v>95.849693331334421</v>
      </c>
      <c r="J122" s="311"/>
      <c r="K122" s="309">
        <f t="shared" si="18"/>
        <v>0</v>
      </c>
      <c r="L122" s="312" t="str">
        <f t="shared" si="25"/>
        <v/>
      </c>
      <c r="M122" s="366" t="str">
        <f t="shared" si="19"/>
        <v/>
      </c>
      <c r="N122" s="328" t="str">
        <f t="shared" si="20"/>
        <v/>
      </c>
      <c r="O122" s="313" t="str">
        <f t="shared" si="21"/>
        <v/>
      </c>
      <c r="P122" s="307"/>
      <c r="Q122" s="309">
        <f t="shared" si="26"/>
        <v>0.8</v>
      </c>
      <c r="R122" s="307"/>
      <c r="S122" s="314">
        <f t="shared" si="27"/>
        <v>11.2</v>
      </c>
      <c r="T122" s="304" t="str">
        <f t="shared" si="22"/>
        <v/>
      </c>
      <c r="U122" s="304">
        <f>IF(A122=YTD!B$6,E122,IF(OR(A122&lt;YTD!B$6,A122&gt;YTD!B$10),"",U121+E122))</f>
        <v>151.9131391527583</v>
      </c>
      <c r="V122" s="304">
        <f t="shared" si="28"/>
        <v>165.84969333133444</v>
      </c>
      <c r="W122" s="315">
        <f>IF(I122="",#N/A,YTD!G$8-I122)</f>
        <v>174.15030666866556</v>
      </c>
      <c r="X122" s="368">
        <f t="shared" si="23"/>
        <v>0</v>
      </c>
      <c r="Y122" s="368">
        <f t="shared" si="29"/>
        <v>0</v>
      </c>
      <c r="Z122" s="368" t="str">
        <f t="shared" si="24"/>
        <v/>
      </c>
      <c r="AA122" s="368">
        <v>107</v>
      </c>
      <c r="AB122" s="369">
        <f t="array" ref="AB122">SUM(IF(AA122=Z$16:Z$592,A$16:A$592,""))</f>
        <v>0</v>
      </c>
      <c r="AC122" s="370">
        <f t="array" ref="AC122">SUM(IF(AA122=Z$16:Z$592,J$16:J$592,""))</f>
        <v>0</v>
      </c>
      <c r="AD122" s="370">
        <f t="array" ref="AD122">SUM(IF($AA122=$Z$16:$Z$592,L$16:L$592,""))</f>
        <v>0</v>
      </c>
      <c r="AE122" s="370">
        <f t="array" ref="AE122">SUM(IF($AA122=$Z$16:$Z$592,M$16:M$592,""))</f>
        <v>0</v>
      </c>
      <c r="AF122" s="368">
        <f t="array" ref="AF122">SUM(IF($AA122=$Z$16:$Z$592,N$16:N$592,""))</f>
        <v>0</v>
      </c>
      <c r="AG122" s="370">
        <f t="array" ref="AG122">SUM(IF($AA122=$Z$16:$Z$592,O$16:O$592,""))</f>
        <v>0</v>
      </c>
      <c r="AH122" s="2"/>
      <c r="AI122" s="2"/>
      <c r="AJ122" s="2"/>
    </row>
    <row r="123" spans="1:36" x14ac:dyDescent="0.2">
      <c r="A123" s="306">
        <f>Crop!B156</f>
        <v>41747</v>
      </c>
      <c r="B123" s="307"/>
      <c r="C123" s="308"/>
      <c r="D123" s="304">
        <f>IF(OR($A123&lt;$A$3,$A123&gt;$A$7),"",Crop!$D156)</f>
        <v>4.4331614375984358</v>
      </c>
      <c r="E123" s="304">
        <f t="shared" si="15"/>
        <v>4.4331614375984358</v>
      </c>
      <c r="F123" s="304">
        <f>IF(OR(A123&lt;A$3,A123&gt;A$7),"",Crop!U156)</f>
        <v>1.1515283842794743</v>
      </c>
      <c r="G123" s="304">
        <f t="shared" si="16"/>
        <v>5.1049112274877988</v>
      </c>
      <c r="H123" s="309">
        <f>IF(OR(A123&lt;A$3,A123&gt;A$7),"",YTD!E120)</f>
        <v>135</v>
      </c>
      <c r="I123" s="310">
        <f t="shared" si="17"/>
        <v>100.95460455882223</v>
      </c>
      <c r="J123" s="311"/>
      <c r="K123" s="309">
        <f t="shared" si="18"/>
        <v>0</v>
      </c>
      <c r="L123" s="312" t="str">
        <f t="shared" si="25"/>
        <v/>
      </c>
      <c r="M123" s="366" t="str">
        <f t="shared" si="19"/>
        <v/>
      </c>
      <c r="N123" s="328" t="str">
        <f t="shared" si="20"/>
        <v/>
      </c>
      <c r="O123" s="313" t="str">
        <f t="shared" si="21"/>
        <v/>
      </c>
      <c r="P123" s="307"/>
      <c r="Q123" s="309">
        <f t="shared" si="26"/>
        <v>0.8</v>
      </c>
      <c r="R123" s="307"/>
      <c r="S123" s="314">
        <f t="shared" si="27"/>
        <v>11.2</v>
      </c>
      <c r="T123" s="304" t="str">
        <f t="shared" si="22"/>
        <v/>
      </c>
      <c r="U123" s="304">
        <f>IF(A123=YTD!B$6,E123,IF(OR(A123&lt;YTD!B$6,A123&gt;YTD!B$10),"",U122+E123))</f>
        <v>156.34630059035675</v>
      </c>
      <c r="V123" s="304">
        <f t="shared" si="28"/>
        <v>170.95460455882224</v>
      </c>
      <c r="W123" s="315">
        <f>IF(I123="",#N/A,YTD!G$8-I123)</f>
        <v>169.04539544117779</v>
      </c>
      <c r="X123" s="368">
        <f t="shared" si="23"/>
        <v>0</v>
      </c>
      <c r="Y123" s="368">
        <f t="shared" si="29"/>
        <v>0</v>
      </c>
      <c r="Z123" s="368" t="str">
        <f t="shared" si="24"/>
        <v/>
      </c>
      <c r="AA123" s="368">
        <v>108</v>
      </c>
      <c r="AB123" s="369">
        <f t="array" ref="AB123">SUM(IF(AA123=Z$16:Z$592,A$16:A$592,""))</f>
        <v>0</v>
      </c>
      <c r="AC123" s="370">
        <f t="array" ref="AC123">SUM(IF(AA123=Z$16:Z$592,J$16:J$592,""))</f>
        <v>0</v>
      </c>
      <c r="AD123" s="370">
        <f t="array" ref="AD123">SUM(IF($AA123=$Z$16:$Z$592,L$16:L$592,""))</f>
        <v>0</v>
      </c>
      <c r="AE123" s="370">
        <f t="array" ref="AE123">SUM(IF($AA123=$Z$16:$Z$592,M$16:M$592,""))</f>
        <v>0</v>
      </c>
      <c r="AF123" s="368">
        <f t="array" ref="AF123">SUM(IF($AA123=$Z$16:$Z$592,N$16:N$592,""))</f>
        <v>0</v>
      </c>
      <c r="AG123" s="370">
        <f t="array" ref="AG123">SUM(IF($AA123=$Z$16:$Z$592,O$16:O$592,""))</f>
        <v>0</v>
      </c>
      <c r="AH123" s="2"/>
      <c r="AI123" s="2"/>
      <c r="AJ123" s="2"/>
    </row>
    <row r="124" spans="1:36" x14ac:dyDescent="0.2">
      <c r="A124" s="306">
        <f>Crop!B157</f>
        <v>41748</v>
      </c>
      <c r="B124" s="307"/>
      <c r="C124" s="308"/>
      <c r="D124" s="304">
        <f>IF(OR($A124&lt;$A$3,$A124&gt;$A$7),"",Crop!$D157)</f>
        <v>4.4780724246541812</v>
      </c>
      <c r="E124" s="304">
        <f t="shared" si="15"/>
        <v>4.4780724246541812</v>
      </c>
      <c r="F124" s="304">
        <f>IF(OR(A124&lt;A$3,A124&gt;A$7),"",Crop!U157)</f>
        <v>1.1567685589519634</v>
      </c>
      <c r="G124" s="304">
        <f t="shared" si="16"/>
        <v>5.1800933855497417</v>
      </c>
      <c r="H124" s="309">
        <f>IF(OR(A124&lt;A$3,A124&gt;A$7),"",YTD!E121)</f>
        <v>135</v>
      </c>
      <c r="I124" s="310">
        <f t="shared" si="17"/>
        <v>106.13469794437196</v>
      </c>
      <c r="J124" s="311"/>
      <c r="K124" s="309">
        <f t="shared" si="18"/>
        <v>0</v>
      </c>
      <c r="L124" s="312" t="str">
        <f t="shared" si="25"/>
        <v/>
      </c>
      <c r="M124" s="366" t="str">
        <f t="shared" si="19"/>
        <v/>
      </c>
      <c r="N124" s="328" t="str">
        <f t="shared" si="20"/>
        <v/>
      </c>
      <c r="O124" s="313" t="str">
        <f t="shared" si="21"/>
        <v/>
      </c>
      <c r="P124" s="307"/>
      <c r="Q124" s="309">
        <f t="shared" si="26"/>
        <v>0.8</v>
      </c>
      <c r="R124" s="307"/>
      <c r="S124" s="314">
        <f t="shared" si="27"/>
        <v>11.2</v>
      </c>
      <c r="T124" s="304" t="str">
        <f t="shared" si="22"/>
        <v/>
      </c>
      <c r="U124" s="304">
        <f>IF(A124=YTD!B$6,E124,IF(OR(A124&lt;YTD!B$6,A124&gt;YTD!B$10),"",U123+E124))</f>
        <v>160.82437301501093</v>
      </c>
      <c r="V124" s="304">
        <f t="shared" si="28"/>
        <v>176.13469794437199</v>
      </c>
      <c r="W124" s="315">
        <f>IF(I124="",#N/A,YTD!G$8-I124)</f>
        <v>163.86530205562804</v>
      </c>
      <c r="X124" s="368">
        <f t="shared" si="23"/>
        <v>0</v>
      </c>
      <c r="Y124" s="368">
        <f t="shared" si="29"/>
        <v>0</v>
      </c>
      <c r="Z124" s="368" t="str">
        <f t="shared" si="24"/>
        <v/>
      </c>
      <c r="AA124" s="368">
        <v>109</v>
      </c>
      <c r="AB124" s="369">
        <f t="array" ref="AB124">SUM(IF(AA124=Z$16:Z$592,A$16:A$592,""))</f>
        <v>0</v>
      </c>
      <c r="AC124" s="370">
        <f t="array" ref="AC124">SUM(IF(AA124=Z$16:Z$592,J$16:J$592,""))</f>
        <v>0</v>
      </c>
      <c r="AD124" s="370">
        <f t="array" ref="AD124">SUM(IF($AA124=$Z$16:$Z$592,L$16:L$592,""))</f>
        <v>0</v>
      </c>
      <c r="AE124" s="370">
        <f t="array" ref="AE124">SUM(IF($AA124=$Z$16:$Z$592,M$16:M$592,""))</f>
        <v>0</v>
      </c>
      <c r="AF124" s="368">
        <f t="array" ref="AF124">SUM(IF($AA124=$Z$16:$Z$592,N$16:N$592,""))</f>
        <v>0</v>
      </c>
      <c r="AG124" s="370">
        <f t="array" ref="AG124">SUM(IF($AA124=$Z$16:$Z$592,O$16:O$592,""))</f>
        <v>0</v>
      </c>
      <c r="AH124" s="2"/>
      <c r="AI124" s="2"/>
      <c r="AJ124" s="2"/>
    </row>
    <row r="125" spans="1:36" x14ac:dyDescent="0.2">
      <c r="A125" s="306">
        <f>Crop!B158</f>
        <v>41749</v>
      </c>
      <c r="B125" s="307"/>
      <c r="C125" s="308"/>
      <c r="D125" s="304">
        <f>IF(OR($A125&lt;$A$3,$A125&gt;$A$7),"",Crop!$D158)</f>
        <v>4.5218463973103189</v>
      </c>
      <c r="E125" s="304">
        <f t="shared" si="15"/>
        <v>4.5218463973103189</v>
      </c>
      <c r="F125" s="304">
        <f>IF(OR(A125&lt;A$3,A125&gt;A$7),"",Crop!U158)</f>
        <v>1.1620087336244525</v>
      </c>
      <c r="G125" s="304">
        <f t="shared" si="16"/>
        <v>5.2544250057828563</v>
      </c>
      <c r="H125" s="309">
        <f>IF(OR(A125&lt;A$3,A125&gt;A$7),"",YTD!E122)</f>
        <v>135</v>
      </c>
      <c r="I125" s="310">
        <f t="shared" si="17"/>
        <v>111.38912295015481</v>
      </c>
      <c r="J125" s="311"/>
      <c r="K125" s="309">
        <f t="shared" si="18"/>
        <v>0</v>
      </c>
      <c r="L125" s="312" t="str">
        <f t="shared" si="25"/>
        <v/>
      </c>
      <c r="M125" s="366" t="str">
        <f t="shared" si="19"/>
        <v/>
      </c>
      <c r="N125" s="328" t="str">
        <f t="shared" si="20"/>
        <v/>
      </c>
      <c r="O125" s="313" t="str">
        <f t="shared" si="21"/>
        <v/>
      </c>
      <c r="P125" s="307"/>
      <c r="Q125" s="309">
        <f t="shared" si="26"/>
        <v>0.8</v>
      </c>
      <c r="R125" s="307"/>
      <c r="S125" s="314">
        <f t="shared" si="27"/>
        <v>11.2</v>
      </c>
      <c r="T125" s="304" t="str">
        <f t="shared" si="22"/>
        <v/>
      </c>
      <c r="U125" s="304">
        <f>IF(A125=YTD!B$6,E125,IF(OR(A125&lt;YTD!B$6,A125&gt;YTD!B$10),"",U124+E125))</f>
        <v>165.34621941232126</v>
      </c>
      <c r="V125" s="304">
        <f t="shared" si="28"/>
        <v>181.38912295015484</v>
      </c>
      <c r="W125" s="315">
        <f>IF(I125="",#N/A,YTD!G$8-I125)</f>
        <v>158.61087704984519</v>
      </c>
      <c r="X125" s="368">
        <f t="shared" si="23"/>
        <v>0</v>
      </c>
      <c r="Y125" s="368">
        <f t="shared" si="29"/>
        <v>0</v>
      </c>
      <c r="Z125" s="368" t="str">
        <f t="shared" si="24"/>
        <v/>
      </c>
      <c r="AA125" s="368">
        <v>110</v>
      </c>
      <c r="AB125" s="369">
        <f t="array" ref="AB125">SUM(IF(AA125=Z$16:Z$592,A$16:A$592,""))</f>
        <v>0</v>
      </c>
      <c r="AC125" s="370">
        <f t="array" ref="AC125">SUM(IF(AA125=Z$16:Z$592,J$16:J$592,""))</f>
        <v>0</v>
      </c>
      <c r="AD125" s="370">
        <f t="array" ref="AD125">SUM(IF($AA125=$Z$16:$Z$592,L$16:L$592,""))</f>
        <v>0</v>
      </c>
      <c r="AE125" s="370">
        <f t="array" ref="AE125">SUM(IF($AA125=$Z$16:$Z$592,M$16:M$592,""))</f>
        <v>0</v>
      </c>
      <c r="AF125" s="368">
        <f t="array" ref="AF125">SUM(IF($AA125=$Z$16:$Z$592,N$16:N$592,""))</f>
        <v>0</v>
      </c>
      <c r="AG125" s="370">
        <f t="array" ref="AG125">SUM(IF($AA125=$Z$16:$Z$592,O$16:O$592,""))</f>
        <v>0</v>
      </c>
      <c r="AH125" s="2"/>
      <c r="AI125" s="2"/>
      <c r="AJ125" s="2"/>
    </row>
    <row r="126" spans="1:36" x14ac:dyDescent="0.2">
      <c r="A126" s="306">
        <f>Crop!B159</f>
        <v>41750</v>
      </c>
      <c r="B126" s="307"/>
      <c r="C126" s="308"/>
      <c r="D126" s="304">
        <f>IF(OR($A126&lt;$A$3,$A126&gt;$A$7),"",Crop!$D159)</f>
        <v>4.5645528158461053</v>
      </c>
      <c r="E126" s="304">
        <f t="shared" si="15"/>
        <v>4.5645528158461053</v>
      </c>
      <c r="F126" s="304">
        <f>IF(OR(A126&lt;A$3,A126&gt;A$7),"",Crop!U159)</f>
        <v>1.1672489082969415</v>
      </c>
      <c r="G126" s="304">
        <f t="shared" si="16"/>
        <v>5.3279692911600964</v>
      </c>
      <c r="H126" s="309">
        <f>IF(OR(A126&lt;A$3,A126&gt;A$7),"",YTD!E123)</f>
        <v>135</v>
      </c>
      <c r="I126" s="310">
        <f t="shared" si="17"/>
        <v>116.71709224131492</v>
      </c>
      <c r="J126" s="311"/>
      <c r="K126" s="309">
        <f t="shared" si="18"/>
        <v>0</v>
      </c>
      <c r="L126" s="312" t="str">
        <f t="shared" si="25"/>
        <v/>
      </c>
      <c r="M126" s="366" t="str">
        <f t="shared" si="19"/>
        <v/>
      </c>
      <c r="N126" s="328" t="str">
        <f t="shared" si="20"/>
        <v/>
      </c>
      <c r="O126" s="313" t="str">
        <f t="shared" si="21"/>
        <v/>
      </c>
      <c r="P126" s="307"/>
      <c r="Q126" s="309">
        <f t="shared" si="26"/>
        <v>0.8</v>
      </c>
      <c r="R126" s="307"/>
      <c r="S126" s="314">
        <f t="shared" si="27"/>
        <v>11.2</v>
      </c>
      <c r="T126" s="304" t="str">
        <f t="shared" si="22"/>
        <v/>
      </c>
      <c r="U126" s="304">
        <f>IF(A126=YTD!B$6,E126,IF(OR(A126&lt;YTD!B$6,A126&gt;YTD!B$10),"",U125+E126))</f>
        <v>169.91077222816736</v>
      </c>
      <c r="V126" s="304">
        <f t="shared" si="28"/>
        <v>186.71709224131493</v>
      </c>
      <c r="W126" s="315">
        <f>IF(I126="",#N/A,YTD!G$8-I126)</f>
        <v>153.2829077586851</v>
      </c>
      <c r="X126" s="368">
        <f t="shared" si="23"/>
        <v>0</v>
      </c>
      <c r="Y126" s="368">
        <f t="shared" si="29"/>
        <v>0</v>
      </c>
      <c r="Z126" s="368" t="str">
        <f t="shared" si="24"/>
        <v/>
      </c>
      <c r="AA126" s="368">
        <v>111</v>
      </c>
      <c r="AB126" s="369">
        <f t="array" ref="AB126">SUM(IF(AA126=Z$16:Z$592,A$16:A$592,""))</f>
        <v>0</v>
      </c>
      <c r="AC126" s="370">
        <f t="array" ref="AC126">SUM(IF(AA126=Z$16:Z$592,J$16:J$592,""))</f>
        <v>0</v>
      </c>
      <c r="AD126" s="370">
        <f t="array" ref="AD126">SUM(IF($AA126=$Z$16:$Z$592,L$16:L$592,""))</f>
        <v>0</v>
      </c>
      <c r="AE126" s="370">
        <f t="array" ref="AE126">SUM(IF($AA126=$Z$16:$Z$592,M$16:M$592,""))</f>
        <v>0</v>
      </c>
      <c r="AF126" s="368">
        <f t="array" ref="AF126">SUM(IF($AA126=$Z$16:$Z$592,N$16:N$592,""))</f>
        <v>0</v>
      </c>
      <c r="AG126" s="370">
        <f t="array" ref="AG126">SUM(IF($AA126=$Z$16:$Z$592,O$16:O$592,""))</f>
        <v>0</v>
      </c>
      <c r="AH126" s="2"/>
      <c r="AI126" s="2"/>
      <c r="AJ126" s="2"/>
    </row>
    <row r="127" spans="1:36" x14ac:dyDescent="0.2">
      <c r="A127" s="306">
        <f>Crop!B160</f>
        <v>41751</v>
      </c>
      <c r="B127" s="307"/>
      <c r="C127" s="308"/>
      <c r="D127" s="304">
        <f>IF(OR($A127&lt;$A$3,$A127&gt;$A$7),"",Crop!$D160)</f>
        <v>4.6062611405408038</v>
      </c>
      <c r="E127" s="304">
        <f t="shared" si="15"/>
        <v>4.6062611405408038</v>
      </c>
      <c r="F127" s="304">
        <f>IF(OR(A127&lt;A$3,A127&gt;A$7),"",Crop!U160)</f>
        <v>1.1724890829694306</v>
      </c>
      <c r="G127" s="304">
        <f t="shared" si="16"/>
        <v>5.40079090059041</v>
      </c>
      <c r="H127" s="309">
        <f>IF(OR(A127&lt;A$3,A127&gt;A$7),"",YTD!E124)</f>
        <v>135</v>
      </c>
      <c r="I127" s="310">
        <f t="shared" si="17"/>
        <v>122.11788314190532</v>
      </c>
      <c r="J127" s="311"/>
      <c r="K127" s="309">
        <f t="shared" si="18"/>
        <v>0</v>
      </c>
      <c r="L127" s="312" t="str">
        <f t="shared" si="25"/>
        <v/>
      </c>
      <c r="M127" s="366" t="str">
        <f t="shared" si="19"/>
        <v/>
      </c>
      <c r="N127" s="328" t="str">
        <f t="shared" si="20"/>
        <v/>
      </c>
      <c r="O127" s="313" t="str">
        <f t="shared" si="21"/>
        <v/>
      </c>
      <c r="P127" s="307"/>
      <c r="Q127" s="309">
        <f t="shared" si="26"/>
        <v>0.8</v>
      </c>
      <c r="R127" s="307"/>
      <c r="S127" s="314">
        <f t="shared" si="27"/>
        <v>11.2</v>
      </c>
      <c r="T127" s="304" t="str">
        <f t="shared" si="22"/>
        <v/>
      </c>
      <c r="U127" s="304">
        <f>IF(A127=YTD!B$6,E127,IF(OR(A127&lt;YTD!B$6,A127&gt;YTD!B$10),"",U126+E127))</f>
        <v>174.51703336870816</v>
      </c>
      <c r="V127" s="304">
        <f t="shared" si="28"/>
        <v>192.11788314190534</v>
      </c>
      <c r="W127" s="315">
        <f>IF(I127="",#N/A,YTD!G$8-I127)</f>
        <v>147.88211685809466</v>
      </c>
      <c r="X127" s="368">
        <f t="shared" si="23"/>
        <v>0</v>
      </c>
      <c r="Y127" s="368">
        <f t="shared" si="29"/>
        <v>0</v>
      </c>
      <c r="Z127" s="368" t="str">
        <f t="shared" si="24"/>
        <v/>
      </c>
      <c r="AA127" s="368">
        <v>112</v>
      </c>
      <c r="AB127" s="369">
        <f t="array" ref="AB127">SUM(IF(AA127=Z$16:Z$592,A$16:A$592,""))</f>
        <v>0</v>
      </c>
      <c r="AC127" s="370">
        <f t="array" ref="AC127">SUM(IF(AA127=Z$16:Z$592,J$16:J$592,""))</f>
        <v>0</v>
      </c>
      <c r="AD127" s="370">
        <f t="array" ref="AD127">SUM(IF($AA127=$Z$16:$Z$592,L$16:L$592,""))</f>
        <v>0</v>
      </c>
      <c r="AE127" s="370">
        <f t="array" ref="AE127">SUM(IF($AA127=$Z$16:$Z$592,M$16:M$592,""))</f>
        <v>0</v>
      </c>
      <c r="AF127" s="368">
        <f t="array" ref="AF127">SUM(IF($AA127=$Z$16:$Z$592,N$16:N$592,""))</f>
        <v>0</v>
      </c>
      <c r="AG127" s="370">
        <f t="array" ref="AG127">SUM(IF($AA127=$Z$16:$Z$592,O$16:O$592,""))</f>
        <v>0</v>
      </c>
      <c r="AH127" s="2"/>
      <c r="AI127" s="2"/>
      <c r="AJ127" s="2"/>
    </row>
    <row r="128" spans="1:36" x14ac:dyDescent="0.2">
      <c r="A128" s="306">
        <f>Crop!B161</f>
        <v>41752</v>
      </c>
      <c r="B128" s="307"/>
      <c r="C128" s="308"/>
      <c r="D128" s="304">
        <f>IF(OR($A128&lt;$A$3,$A128&gt;$A$7),"",Crop!$D161)</f>
        <v>4.64704083167367</v>
      </c>
      <c r="E128" s="304">
        <f t="shared" si="15"/>
        <v>4.64704083167367</v>
      </c>
      <c r="F128" s="304">
        <f>IF(OR(A128&lt;A$3,A128&gt;A$7),"",Crop!U161)</f>
        <v>1.1777292576419196</v>
      </c>
      <c r="G128" s="304">
        <f t="shared" si="16"/>
        <v>5.4729559489187203</v>
      </c>
      <c r="H128" s="309">
        <f>IF(OR(A128&lt;A$3,A128&gt;A$7),"",YTD!E125)</f>
        <v>135</v>
      </c>
      <c r="I128" s="310">
        <f t="shared" si="17"/>
        <v>127.59083909082405</v>
      </c>
      <c r="J128" s="311"/>
      <c r="K128" s="309">
        <f t="shared" si="18"/>
        <v>0</v>
      </c>
      <c r="L128" s="312" t="str">
        <f t="shared" si="25"/>
        <v/>
      </c>
      <c r="M128" s="366" t="str">
        <f t="shared" si="19"/>
        <v/>
      </c>
      <c r="N128" s="328" t="str">
        <f t="shared" si="20"/>
        <v/>
      </c>
      <c r="O128" s="313" t="str">
        <f t="shared" si="21"/>
        <v/>
      </c>
      <c r="P128" s="307"/>
      <c r="Q128" s="309">
        <f t="shared" si="26"/>
        <v>0.8</v>
      </c>
      <c r="R128" s="307"/>
      <c r="S128" s="314">
        <f t="shared" si="27"/>
        <v>11.2</v>
      </c>
      <c r="T128" s="304" t="str">
        <f t="shared" si="22"/>
        <v/>
      </c>
      <c r="U128" s="304">
        <f>IF(A128=YTD!B$6,E128,IF(OR(A128&lt;YTD!B$6,A128&gt;YTD!B$10),"",U127+E128))</f>
        <v>179.16407420038183</v>
      </c>
      <c r="V128" s="304">
        <f t="shared" si="28"/>
        <v>197.59083909082406</v>
      </c>
      <c r="W128" s="315">
        <f>IF(I128="",#N/A,YTD!G$8-I128)</f>
        <v>142.40916090917597</v>
      </c>
      <c r="X128" s="368">
        <f t="shared" si="23"/>
        <v>0</v>
      </c>
      <c r="Y128" s="368">
        <f t="shared" si="29"/>
        <v>0</v>
      </c>
      <c r="Z128" s="368" t="str">
        <f t="shared" si="24"/>
        <v/>
      </c>
      <c r="AA128" s="368">
        <v>113</v>
      </c>
      <c r="AB128" s="369">
        <f t="array" ref="AB128">SUM(IF(AA128=Z$16:Z$592,A$16:A$592,""))</f>
        <v>0</v>
      </c>
      <c r="AC128" s="370">
        <f t="array" ref="AC128">SUM(IF(AA128=Z$16:Z$592,J$16:J$592,""))</f>
        <v>0</v>
      </c>
      <c r="AD128" s="370">
        <f t="array" ref="AD128">SUM(IF($AA128=$Z$16:$Z$592,L$16:L$592,""))</f>
        <v>0</v>
      </c>
      <c r="AE128" s="370">
        <f t="array" ref="AE128">SUM(IF($AA128=$Z$16:$Z$592,M$16:M$592,""))</f>
        <v>0</v>
      </c>
      <c r="AF128" s="368">
        <f t="array" ref="AF128">SUM(IF($AA128=$Z$16:$Z$592,N$16:N$592,""))</f>
        <v>0</v>
      </c>
      <c r="AG128" s="370">
        <f t="array" ref="AG128">SUM(IF($AA128=$Z$16:$Z$592,O$16:O$592,""))</f>
        <v>0</v>
      </c>
      <c r="AH128" s="2"/>
      <c r="AI128" s="2"/>
      <c r="AJ128" s="2"/>
    </row>
    <row r="129" spans="1:36" x14ac:dyDescent="0.2">
      <c r="A129" s="306">
        <f>Crop!B162</f>
        <v>41753</v>
      </c>
      <c r="B129" s="307"/>
      <c r="C129" s="308"/>
      <c r="D129" s="304">
        <f>IF(OR($A129&lt;$A$3,$A129&gt;$A$7),"",Crop!$D162)</f>
        <v>4.6869613495239664</v>
      </c>
      <c r="E129" s="304">
        <f t="shared" si="15"/>
        <v>4.6869613495239664</v>
      </c>
      <c r="F129" s="304">
        <f>IF(OR(A129&lt;A$3,A129&gt;A$7),"",Crop!U162)</f>
        <v>1.1829694323144087</v>
      </c>
      <c r="G129" s="304">
        <f t="shared" si="16"/>
        <v>5.5445320069259409</v>
      </c>
      <c r="H129" s="309">
        <f>IF(OR(A129&lt;A$3,A129&gt;A$7),"",YTD!E126)</f>
        <v>135</v>
      </c>
      <c r="I129" s="310">
        <f t="shared" si="17"/>
        <v>133.13537109774998</v>
      </c>
      <c r="J129" s="311"/>
      <c r="K129" s="309">
        <f t="shared" si="18"/>
        <v>0</v>
      </c>
      <c r="L129" s="312" t="str">
        <f t="shared" si="25"/>
        <v/>
      </c>
      <c r="M129" s="366" t="str">
        <f t="shared" si="19"/>
        <v/>
      </c>
      <c r="N129" s="328" t="str">
        <f t="shared" si="20"/>
        <v/>
      </c>
      <c r="O129" s="313" t="str">
        <f t="shared" si="21"/>
        <v/>
      </c>
      <c r="P129" s="307"/>
      <c r="Q129" s="309">
        <f t="shared" si="26"/>
        <v>0.8</v>
      </c>
      <c r="R129" s="307"/>
      <c r="S129" s="314">
        <f t="shared" si="27"/>
        <v>11.2</v>
      </c>
      <c r="T129" s="304" t="str">
        <f t="shared" si="22"/>
        <v/>
      </c>
      <c r="U129" s="304">
        <f>IF(A129=YTD!B$6,E129,IF(OR(A129&lt;YTD!B$6,A129&gt;YTD!B$10),"",U128+E129))</f>
        <v>183.85103554990579</v>
      </c>
      <c r="V129" s="304">
        <f t="shared" si="28"/>
        <v>203.13537109775001</v>
      </c>
      <c r="W129" s="315">
        <f>IF(I129="",#N/A,YTD!G$8-I129)</f>
        <v>136.86462890225002</v>
      </c>
      <c r="X129" s="368">
        <f t="shared" si="23"/>
        <v>0</v>
      </c>
      <c r="Y129" s="368">
        <f t="shared" si="29"/>
        <v>0</v>
      </c>
      <c r="Z129" s="368" t="str">
        <f t="shared" si="24"/>
        <v/>
      </c>
      <c r="AA129" s="368">
        <v>114</v>
      </c>
      <c r="AB129" s="369">
        <f t="array" ref="AB129">SUM(IF(AA129=Z$16:Z$592,A$16:A$592,""))</f>
        <v>0</v>
      </c>
      <c r="AC129" s="370">
        <f t="array" ref="AC129">SUM(IF(AA129=Z$16:Z$592,J$16:J$592,""))</f>
        <v>0</v>
      </c>
      <c r="AD129" s="370">
        <f t="array" ref="AD129">SUM(IF($AA129=$Z$16:$Z$592,L$16:L$592,""))</f>
        <v>0</v>
      </c>
      <c r="AE129" s="370">
        <f t="array" ref="AE129">SUM(IF($AA129=$Z$16:$Z$592,M$16:M$592,""))</f>
        <v>0</v>
      </c>
      <c r="AF129" s="368">
        <f t="array" ref="AF129">SUM(IF($AA129=$Z$16:$Z$592,N$16:N$592,""))</f>
        <v>0</v>
      </c>
      <c r="AG129" s="370">
        <f t="array" ref="AG129">SUM(IF($AA129=$Z$16:$Z$592,O$16:O$592,""))</f>
        <v>0</v>
      </c>
      <c r="AH129" s="2"/>
      <c r="AI129" s="2"/>
      <c r="AJ129" s="2"/>
    </row>
    <row r="130" spans="1:36" x14ac:dyDescent="0.2">
      <c r="A130" s="306">
        <f>Crop!B163</f>
        <v>41754</v>
      </c>
      <c r="B130" s="307"/>
      <c r="C130" s="308"/>
      <c r="D130" s="304">
        <f>IF(OR($A130&lt;$A$3,$A130&gt;$A$7),"",Crop!$D163)</f>
        <v>4.7260921543709484</v>
      </c>
      <c r="E130" s="304">
        <f t="shared" si="15"/>
        <v>4.7260921543709484</v>
      </c>
      <c r="F130" s="304">
        <f>IF(OR(A130&lt;A$3,A130&gt;A$7),"",Crop!U163)</f>
        <v>1.1882096069868977</v>
      </c>
      <c r="G130" s="304">
        <f t="shared" si="16"/>
        <v>5.6155881013289655</v>
      </c>
      <c r="H130" s="309">
        <f>IF(OR(A130&lt;A$3,A130&gt;A$7),"",YTD!E127)</f>
        <v>135</v>
      </c>
      <c r="I130" s="310">
        <f t="shared" si="17"/>
        <v>138.75095919907895</v>
      </c>
      <c r="J130" s="311"/>
      <c r="K130" s="309">
        <f t="shared" si="18"/>
        <v>0</v>
      </c>
      <c r="L130" s="312" t="str">
        <f t="shared" si="25"/>
        <v/>
      </c>
      <c r="M130" s="366" t="str">
        <f t="shared" si="19"/>
        <v/>
      </c>
      <c r="N130" s="328" t="str">
        <f t="shared" si="20"/>
        <v/>
      </c>
      <c r="O130" s="313" t="str">
        <f t="shared" si="21"/>
        <v/>
      </c>
      <c r="P130" s="307"/>
      <c r="Q130" s="309">
        <f t="shared" si="26"/>
        <v>0.8</v>
      </c>
      <c r="R130" s="307"/>
      <c r="S130" s="314">
        <f t="shared" si="27"/>
        <v>11.2</v>
      </c>
      <c r="T130" s="304" t="str">
        <f t="shared" si="22"/>
        <v/>
      </c>
      <c r="U130" s="304">
        <f>IF(A130=YTD!B$6,E130,IF(OR(A130&lt;YTD!B$6,A130&gt;YTD!B$10),"",U129+E130))</f>
        <v>188.57712770427673</v>
      </c>
      <c r="V130" s="304">
        <f t="shared" si="28"/>
        <v>208.75095919907898</v>
      </c>
      <c r="W130" s="315">
        <f>IF(I130="",#N/A,YTD!G$8-I130)</f>
        <v>131.24904080092105</v>
      </c>
      <c r="X130" s="368">
        <f t="shared" si="23"/>
        <v>0</v>
      </c>
      <c r="Y130" s="368">
        <f t="shared" si="29"/>
        <v>0</v>
      </c>
      <c r="Z130" s="368" t="str">
        <f t="shared" si="24"/>
        <v/>
      </c>
      <c r="AA130" s="368">
        <v>115</v>
      </c>
      <c r="AB130" s="369">
        <f t="array" ref="AB130">SUM(IF(AA130=Z$16:Z$592,A$16:A$592,""))</f>
        <v>0</v>
      </c>
      <c r="AC130" s="370">
        <f t="array" ref="AC130">SUM(IF(AA130=Z$16:Z$592,J$16:J$592,""))</f>
        <v>0</v>
      </c>
      <c r="AD130" s="370">
        <f t="array" ref="AD130">SUM(IF($AA130=$Z$16:$Z$592,L$16:L$592,""))</f>
        <v>0</v>
      </c>
      <c r="AE130" s="370">
        <f t="array" ref="AE130">SUM(IF($AA130=$Z$16:$Z$592,M$16:M$592,""))</f>
        <v>0</v>
      </c>
      <c r="AF130" s="368">
        <f t="array" ref="AF130">SUM(IF($AA130=$Z$16:$Z$592,N$16:N$592,""))</f>
        <v>0</v>
      </c>
      <c r="AG130" s="370">
        <f t="array" ref="AG130">SUM(IF($AA130=$Z$16:$Z$592,O$16:O$592,""))</f>
        <v>0</v>
      </c>
      <c r="AH130" s="2"/>
      <c r="AI130" s="2"/>
      <c r="AJ130" s="2"/>
    </row>
    <row r="131" spans="1:36" x14ac:dyDescent="0.2">
      <c r="A131" s="306">
        <f>Crop!B164</f>
        <v>41755</v>
      </c>
      <c r="B131" s="307"/>
      <c r="C131" s="308"/>
      <c r="D131" s="304">
        <f>IF(OR($A131&lt;$A$3,$A131&gt;$A$7),"",Crop!$D164)</f>
        <v>4.7645027064938796</v>
      </c>
      <c r="E131" s="304">
        <f t="shared" si="15"/>
        <v>4.7645027064938796</v>
      </c>
      <c r="F131" s="304">
        <f>IF(OR(A131&lt;A$3,A131&gt;A$7),"",Crop!U164)</f>
        <v>1.1934497816593868</v>
      </c>
      <c r="G131" s="304">
        <f t="shared" si="16"/>
        <v>5.6861947147806777</v>
      </c>
      <c r="H131" s="309">
        <f>IF(OR(A131&lt;A$3,A131&gt;A$7),"",YTD!E128)</f>
        <v>135</v>
      </c>
      <c r="I131" s="310">
        <f t="shared" si="17"/>
        <v>144.43715391385962</v>
      </c>
      <c r="J131" s="311"/>
      <c r="K131" s="309">
        <f t="shared" si="18"/>
        <v>0</v>
      </c>
      <c r="L131" s="312" t="str">
        <f t="shared" si="25"/>
        <v/>
      </c>
      <c r="M131" s="366" t="str">
        <f t="shared" si="19"/>
        <v/>
      </c>
      <c r="N131" s="328" t="str">
        <f t="shared" si="20"/>
        <v/>
      </c>
      <c r="O131" s="313" t="str">
        <f t="shared" si="21"/>
        <v/>
      </c>
      <c r="P131" s="307"/>
      <c r="Q131" s="309">
        <f t="shared" si="26"/>
        <v>0.8</v>
      </c>
      <c r="R131" s="307"/>
      <c r="S131" s="314">
        <f t="shared" si="27"/>
        <v>11.2</v>
      </c>
      <c r="T131" s="304" t="str">
        <f t="shared" si="22"/>
        <v/>
      </c>
      <c r="U131" s="304">
        <f>IF(A131=YTD!B$6,E131,IF(OR(A131&lt;YTD!B$6,A131&gt;YTD!B$10),"",U130+E131))</f>
        <v>193.34163041077062</v>
      </c>
      <c r="V131" s="304">
        <f t="shared" si="28"/>
        <v>214.43715391385965</v>
      </c>
      <c r="W131" s="315">
        <f>IF(I131="",#N/A,YTD!G$8-I131)</f>
        <v>125.56284608614038</v>
      </c>
      <c r="X131" s="368">
        <f t="shared" si="23"/>
        <v>0</v>
      </c>
      <c r="Y131" s="368">
        <f t="shared" si="29"/>
        <v>0</v>
      </c>
      <c r="Z131" s="368" t="str">
        <f t="shared" si="24"/>
        <v/>
      </c>
      <c r="AA131" s="368">
        <v>116</v>
      </c>
      <c r="AB131" s="369">
        <f t="array" ref="AB131">SUM(IF(AA131=Z$16:Z$592,A$16:A$592,""))</f>
        <v>0</v>
      </c>
      <c r="AC131" s="370">
        <f t="array" ref="AC131">SUM(IF(AA131=Z$16:Z$592,J$16:J$592,""))</f>
        <v>0</v>
      </c>
      <c r="AD131" s="370">
        <f t="array" ref="AD131">SUM(IF($AA131=$Z$16:$Z$592,L$16:L$592,""))</f>
        <v>0</v>
      </c>
      <c r="AE131" s="370">
        <f t="array" ref="AE131">SUM(IF($AA131=$Z$16:$Z$592,M$16:M$592,""))</f>
        <v>0</v>
      </c>
      <c r="AF131" s="368">
        <f t="array" ref="AF131">SUM(IF($AA131=$Z$16:$Z$592,N$16:N$592,""))</f>
        <v>0</v>
      </c>
      <c r="AG131" s="370">
        <f t="array" ref="AG131">SUM(IF($AA131=$Z$16:$Z$592,O$16:O$592,""))</f>
        <v>0</v>
      </c>
      <c r="AH131" s="2"/>
      <c r="AI131" s="2"/>
      <c r="AJ131" s="2"/>
    </row>
    <row r="132" spans="1:36" x14ac:dyDescent="0.2">
      <c r="A132" s="306">
        <f>Crop!B165</f>
        <v>41756</v>
      </c>
      <c r="B132" s="307"/>
      <c r="C132" s="308"/>
      <c r="D132" s="304">
        <f>IF(OR($A132&lt;$A$3,$A132&gt;$A$7),"",Crop!$D165)</f>
        <v>4.8022624661720164</v>
      </c>
      <c r="E132" s="304">
        <f t="shared" si="15"/>
        <v>4.8022624661720164</v>
      </c>
      <c r="F132" s="304">
        <f>IF(OR(A132&lt;A$3,A132&gt;A$7),"",Crop!U165)</f>
        <v>1.1986899563318758</v>
      </c>
      <c r="G132" s="304">
        <f t="shared" si="16"/>
        <v>5.7564237858699405</v>
      </c>
      <c r="H132" s="309">
        <f>IF(OR(A132&lt;A$3,A132&gt;A$7),"",YTD!E129)</f>
        <v>135</v>
      </c>
      <c r="I132" s="310">
        <f t="shared" si="17"/>
        <v>150.19357769972956</v>
      </c>
      <c r="J132" s="311"/>
      <c r="K132" s="309">
        <f t="shared" si="18"/>
        <v>0</v>
      </c>
      <c r="L132" s="312" t="str">
        <f t="shared" si="25"/>
        <v/>
      </c>
      <c r="M132" s="366" t="str">
        <f t="shared" si="19"/>
        <v/>
      </c>
      <c r="N132" s="328" t="str">
        <f t="shared" si="20"/>
        <v/>
      </c>
      <c r="O132" s="313" t="str">
        <f t="shared" si="21"/>
        <v/>
      </c>
      <c r="P132" s="307"/>
      <c r="Q132" s="309">
        <f t="shared" si="26"/>
        <v>0.8</v>
      </c>
      <c r="R132" s="307"/>
      <c r="S132" s="314">
        <f t="shared" si="27"/>
        <v>11.2</v>
      </c>
      <c r="T132" s="304" t="str">
        <f t="shared" si="22"/>
        <v/>
      </c>
      <c r="U132" s="304">
        <f>IF(A132=YTD!B$6,E132,IF(OR(A132&lt;YTD!B$6,A132&gt;YTD!B$10),"",U131+E132))</f>
        <v>198.14389287694263</v>
      </c>
      <c r="V132" s="304">
        <f t="shared" si="28"/>
        <v>220.19357769972959</v>
      </c>
      <c r="W132" s="315">
        <f>IF(I132="",#N/A,YTD!G$8-I132)</f>
        <v>119.80642230027044</v>
      </c>
      <c r="X132" s="368">
        <f t="shared" si="23"/>
        <v>0</v>
      </c>
      <c r="Y132" s="368">
        <f t="shared" si="29"/>
        <v>0</v>
      </c>
      <c r="Z132" s="368" t="str">
        <f t="shared" si="24"/>
        <v/>
      </c>
      <c r="AA132" s="368">
        <v>117</v>
      </c>
      <c r="AB132" s="369">
        <f t="array" ref="AB132">SUM(IF(AA132=Z$16:Z$592,A$16:A$592,""))</f>
        <v>0</v>
      </c>
      <c r="AC132" s="370">
        <f t="array" ref="AC132">SUM(IF(AA132=Z$16:Z$592,J$16:J$592,""))</f>
        <v>0</v>
      </c>
      <c r="AD132" s="370">
        <f t="array" ref="AD132">SUM(IF($AA132=$Z$16:$Z$592,L$16:L$592,""))</f>
        <v>0</v>
      </c>
      <c r="AE132" s="370">
        <f t="array" ref="AE132">SUM(IF($AA132=$Z$16:$Z$592,M$16:M$592,""))</f>
        <v>0</v>
      </c>
      <c r="AF132" s="368">
        <f t="array" ref="AF132">SUM(IF($AA132=$Z$16:$Z$592,N$16:N$592,""))</f>
        <v>0</v>
      </c>
      <c r="AG132" s="370">
        <f t="array" ref="AG132">SUM(IF($AA132=$Z$16:$Z$592,O$16:O$592,""))</f>
        <v>0</v>
      </c>
      <c r="AH132" s="2"/>
      <c r="AI132" s="2"/>
      <c r="AJ132" s="2"/>
    </row>
    <row r="133" spans="1:36" x14ac:dyDescent="0.2">
      <c r="A133" s="306">
        <f>Crop!B166</f>
        <v>41757</v>
      </c>
      <c r="B133" s="307"/>
      <c r="C133" s="308"/>
      <c r="D133" s="304">
        <f>IF(OR($A133&lt;$A$3,$A133&gt;$A$7),"",Crop!$D166)</f>
        <v>4.8394408936846185</v>
      </c>
      <c r="E133" s="304">
        <f t="shared" si="15"/>
        <v>4.8394408936846185</v>
      </c>
      <c r="F133" s="304">
        <f>IF(OR(A133&lt;A$3,A133&gt;A$7),"",Crop!U166)</f>
        <v>1.2</v>
      </c>
      <c r="G133" s="304">
        <f t="shared" si="16"/>
        <v>5.8073290724215418</v>
      </c>
      <c r="H133" s="309">
        <f>IF(OR(A133&lt;A$3,A133&gt;A$7),"",YTD!E130)</f>
        <v>135</v>
      </c>
      <c r="I133" s="310">
        <f t="shared" si="17"/>
        <v>156.0009067721511</v>
      </c>
      <c r="J133" s="311"/>
      <c r="K133" s="309">
        <f t="shared" si="18"/>
        <v>0</v>
      </c>
      <c r="L133" s="312" t="str">
        <f t="shared" si="25"/>
        <v/>
      </c>
      <c r="M133" s="366" t="str">
        <f t="shared" si="19"/>
        <v/>
      </c>
      <c r="N133" s="328" t="str">
        <f t="shared" si="20"/>
        <v/>
      </c>
      <c r="O133" s="313" t="str">
        <f t="shared" si="21"/>
        <v/>
      </c>
      <c r="P133" s="307"/>
      <c r="Q133" s="309">
        <f t="shared" si="26"/>
        <v>0.8</v>
      </c>
      <c r="R133" s="307"/>
      <c r="S133" s="314">
        <f t="shared" si="27"/>
        <v>11.2</v>
      </c>
      <c r="T133" s="304" t="str">
        <f t="shared" si="22"/>
        <v/>
      </c>
      <c r="U133" s="304">
        <f>IF(A133=YTD!B$6,E133,IF(OR(A133&lt;YTD!B$6,A133&gt;YTD!B$10),"",U132+E133))</f>
        <v>202.98333377062724</v>
      </c>
      <c r="V133" s="304">
        <f t="shared" si="28"/>
        <v>226.00090677215113</v>
      </c>
      <c r="W133" s="315">
        <f>IF(I133="",#N/A,YTD!G$8-I133)</f>
        <v>113.9990932278489</v>
      </c>
      <c r="X133" s="368">
        <f t="shared" si="23"/>
        <v>0</v>
      </c>
      <c r="Y133" s="368">
        <f t="shared" si="29"/>
        <v>0</v>
      </c>
      <c r="Z133" s="368" t="str">
        <f t="shared" si="24"/>
        <v/>
      </c>
      <c r="AA133" s="368">
        <v>118</v>
      </c>
      <c r="AB133" s="369">
        <f t="array" ref="AB133">SUM(IF(AA133=Z$16:Z$592,A$16:A$592,""))</f>
        <v>0</v>
      </c>
      <c r="AC133" s="370">
        <f t="array" ref="AC133">SUM(IF(AA133=Z$16:Z$592,J$16:J$592,""))</f>
        <v>0</v>
      </c>
      <c r="AD133" s="370">
        <f t="array" ref="AD133">SUM(IF($AA133=$Z$16:$Z$592,L$16:L$592,""))</f>
        <v>0</v>
      </c>
      <c r="AE133" s="370">
        <f t="array" ref="AE133">SUM(IF($AA133=$Z$16:$Z$592,M$16:M$592,""))</f>
        <v>0</v>
      </c>
      <c r="AF133" s="368">
        <f t="array" ref="AF133">SUM(IF($AA133=$Z$16:$Z$592,N$16:N$592,""))</f>
        <v>0</v>
      </c>
      <c r="AG133" s="370">
        <f t="array" ref="AG133">SUM(IF($AA133=$Z$16:$Z$592,O$16:O$592,""))</f>
        <v>0</v>
      </c>
      <c r="AH133" s="2"/>
      <c r="AI133" s="2"/>
      <c r="AJ133" s="2"/>
    </row>
    <row r="134" spans="1:36" x14ac:dyDescent="0.2">
      <c r="A134" s="306">
        <f>Crop!B167</f>
        <v>41758</v>
      </c>
      <c r="B134" s="307"/>
      <c r="C134" s="308"/>
      <c r="D134" s="304">
        <f>IF(OR($A134&lt;$A$3,$A134&gt;$A$7),"",Crop!$D167)</f>
        <v>4.8761074493109486</v>
      </c>
      <c r="E134" s="304">
        <f t="shared" si="15"/>
        <v>4.8761074493109486</v>
      </c>
      <c r="F134" s="304">
        <f>IF(OR(A134&lt;A$3,A134&gt;A$7),"",Crop!U167)</f>
        <v>1.2</v>
      </c>
      <c r="G134" s="304">
        <f t="shared" si="16"/>
        <v>5.851328939173138</v>
      </c>
      <c r="H134" s="309">
        <f>IF(OR(A134&lt;A$3,A134&gt;A$7),"",YTD!E131)</f>
        <v>135</v>
      </c>
      <c r="I134" s="310">
        <f t="shared" si="17"/>
        <v>161.85223571132423</v>
      </c>
      <c r="J134" s="311"/>
      <c r="K134" s="309">
        <f t="shared" si="18"/>
        <v>0</v>
      </c>
      <c r="L134" s="312" t="str">
        <f t="shared" si="25"/>
        <v/>
      </c>
      <c r="M134" s="366" t="str">
        <f t="shared" si="19"/>
        <v/>
      </c>
      <c r="N134" s="328" t="str">
        <f t="shared" si="20"/>
        <v/>
      </c>
      <c r="O134" s="313" t="str">
        <f t="shared" si="21"/>
        <v/>
      </c>
      <c r="P134" s="307"/>
      <c r="Q134" s="309">
        <f t="shared" si="26"/>
        <v>0.8</v>
      </c>
      <c r="R134" s="307"/>
      <c r="S134" s="314">
        <f t="shared" si="27"/>
        <v>11.2</v>
      </c>
      <c r="T134" s="304" t="str">
        <f t="shared" si="22"/>
        <v/>
      </c>
      <c r="U134" s="304">
        <f>IF(A134=YTD!B$6,E134,IF(OR(A134&lt;YTD!B$6,A134&gt;YTD!B$10),"",U133+E134))</f>
        <v>207.85944121993819</v>
      </c>
      <c r="V134" s="304">
        <f t="shared" si="28"/>
        <v>231.85223571132425</v>
      </c>
      <c r="W134" s="315">
        <f>IF(I134="",#N/A,YTD!G$8-I134)</f>
        <v>108.14776428867577</v>
      </c>
      <c r="X134" s="368">
        <f t="shared" si="23"/>
        <v>0</v>
      </c>
      <c r="Y134" s="368">
        <f t="shared" si="29"/>
        <v>0</v>
      </c>
      <c r="Z134" s="368" t="str">
        <f t="shared" si="24"/>
        <v/>
      </c>
      <c r="AA134" s="368">
        <v>119</v>
      </c>
      <c r="AB134" s="369">
        <f t="array" ref="AB134">SUM(IF(AA134=Z$16:Z$592,A$16:A$592,""))</f>
        <v>0</v>
      </c>
      <c r="AC134" s="370">
        <f t="array" ref="AC134">SUM(IF(AA134=Z$16:Z$592,J$16:J$592,""))</f>
        <v>0</v>
      </c>
      <c r="AD134" s="370">
        <f t="array" ref="AD134">SUM(IF($AA134=$Z$16:$Z$592,L$16:L$592,""))</f>
        <v>0</v>
      </c>
      <c r="AE134" s="370">
        <f t="array" ref="AE134">SUM(IF($AA134=$Z$16:$Z$592,M$16:M$592,""))</f>
        <v>0</v>
      </c>
      <c r="AF134" s="368">
        <f t="array" ref="AF134">SUM(IF($AA134=$Z$16:$Z$592,N$16:N$592,""))</f>
        <v>0</v>
      </c>
      <c r="AG134" s="370">
        <f t="array" ref="AG134">SUM(IF($AA134=$Z$16:$Z$592,O$16:O$592,""))</f>
        <v>0</v>
      </c>
      <c r="AH134" s="2"/>
      <c r="AI134" s="2"/>
      <c r="AJ134" s="2"/>
    </row>
    <row r="135" spans="1:36" x14ac:dyDescent="0.2">
      <c r="A135" s="306">
        <f>Crop!B168</f>
        <v>41759</v>
      </c>
      <c r="B135" s="307"/>
      <c r="C135" s="308"/>
      <c r="D135" s="304">
        <f>IF(OR($A135&lt;$A$3,$A135&gt;$A$7),"",Crop!$D168)</f>
        <v>4.9123315933302614</v>
      </c>
      <c r="E135" s="304">
        <f t="shared" si="15"/>
        <v>4.9123315933302614</v>
      </c>
      <c r="F135" s="304">
        <f>IF(OR(A135&lt;A$3,A135&gt;A$7),"",Crop!U168)</f>
        <v>1.2</v>
      </c>
      <c r="G135" s="304">
        <f t="shared" si="16"/>
        <v>5.8947979119963136</v>
      </c>
      <c r="H135" s="309">
        <f>IF(OR(A135&lt;A$3,A135&gt;A$7),"",YTD!E132)</f>
        <v>135</v>
      </c>
      <c r="I135" s="310">
        <f t="shared" si="17"/>
        <v>167.74703362332053</v>
      </c>
      <c r="J135" s="311"/>
      <c r="K135" s="309">
        <f t="shared" si="18"/>
        <v>0</v>
      </c>
      <c r="L135" s="312" t="str">
        <f t="shared" si="25"/>
        <v/>
      </c>
      <c r="M135" s="366" t="str">
        <f t="shared" si="19"/>
        <v/>
      </c>
      <c r="N135" s="328" t="str">
        <f t="shared" si="20"/>
        <v/>
      </c>
      <c r="O135" s="313" t="str">
        <f t="shared" si="21"/>
        <v/>
      </c>
      <c r="P135" s="307"/>
      <c r="Q135" s="309">
        <f t="shared" si="26"/>
        <v>0.8</v>
      </c>
      <c r="R135" s="307"/>
      <c r="S135" s="314">
        <f t="shared" si="27"/>
        <v>11.2</v>
      </c>
      <c r="T135" s="304" t="str">
        <f t="shared" si="22"/>
        <v/>
      </c>
      <c r="U135" s="304">
        <f>IF(A135=YTD!B$6,E135,IF(OR(A135&lt;YTD!B$6,A135&gt;YTD!B$10),"",U134+E135))</f>
        <v>212.77177281326846</v>
      </c>
      <c r="V135" s="304">
        <f t="shared" si="28"/>
        <v>237.74703362332056</v>
      </c>
      <c r="W135" s="315">
        <f>IF(I135="",#N/A,YTD!G$8-I135)</f>
        <v>102.25296637667947</v>
      </c>
      <c r="X135" s="368">
        <f t="shared" si="23"/>
        <v>0</v>
      </c>
      <c r="Y135" s="368">
        <f t="shared" si="29"/>
        <v>0</v>
      </c>
      <c r="Z135" s="368" t="str">
        <f t="shared" si="24"/>
        <v/>
      </c>
      <c r="AA135" s="368">
        <v>120</v>
      </c>
      <c r="AB135" s="369">
        <f t="array" ref="AB135">SUM(IF(AA135=Z$16:Z$592,A$16:A$592,""))</f>
        <v>0</v>
      </c>
      <c r="AC135" s="370">
        <f t="array" ref="AC135">SUM(IF(AA135=Z$16:Z$592,J$16:J$592,""))</f>
        <v>0</v>
      </c>
      <c r="AD135" s="370">
        <f t="array" ref="AD135">SUM(IF($AA135=$Z$16:$Z$592,L$16:L$592,""))</f>
        <v>0</v>
      </c>
      <c r="AE135" s="370">
        <f t="array" ref="AE135">SUM(IF($AA135=$Z$16:$Z$592,M$16:M$592,""))</f>
        <v>0</v>
      </c>
      <c r="AF135" s="368">
        <f t="array" ref="AF135">SUM(IF($AA135=$Z$16:$Z$592,N$16:N$592,""))</f>
        <v>0</v>
      </c>
      <c r="AG135" s="370">
        <f t="array" ref="AG135">SUM(IF($AA135=$Z$16:$Z$592,O$16:O$592,""))</f>
        <v>0</v>
      </c>
      <c r="AH135" s="2"/>
      <c r="AI135" s="2"/>
      <c r="AJ135" s="2"/>
    </row>
    <row r="136" spans="1:36" x14ac:dyDescent="0.2">
      <c r="A136" s="306">
        <f>Crop!B169</f>
        <v>41760</v>
      </c>
      <c r="B136" s="307"/>
      <c r="C136" s="308"/>
      <c r="D136" s="304">
        <f>IF(OR($A136&lt;$A$3,$A136&gt;$A$7),"",Crop!$D169)</f>
        <v>4.9481827860218184</v>
      </c>
      <c r="E136" s="304">
        <f t="shared" si="15"/>
        <v>4.9481827860218184</v>
      </c>
      <c r="F136" s="304">
        <f>IF(OR(A136&lt;A$3,A136&gt;A$7),"",Crop!U169)</f>
        <v>1.2</v>
      </c>
      <c r="G136" s="304">
        <f t="shared" si="16"/>
        <v>5.9378193432261819</v>
      </c>
      <c r="H136" s="309">
        <f>IF(OR(A136&lt;A$3,A136&gt;A$7),"",YTD!E133)</f>
        <v>135</v>
      </c>
      <c r="I136" s="310">
        <f t="shared" si="17"/>
        <v>173.68485296654671</v>
      </c>
      <c r="J136" s="311"/>
      <c r="K136" s="309">
        <f t="shared" si="18"/>
        <v>0</v>
      </c>
      <c r="L136" s="312" t="str">
        <f t="shared" si="25"/>
        <v/>
      </c>
      <c r="M136" s="366" t="str">
        <f t="shared" si="19"/>
        <v/>
      </c>
      <c r="N136" s="328" t="str">
        <f t="shared" si="20"/>
        <v/>
      </c>
      <c r="O136" s="313" t="str">
        <f t="shared" si="21"/>
        <v/>
      </c>
      <c r="P136" s="307"/>
      <c r="Q136" s="309">
        <f t="shared" si="26"/>
        <v>0.8</v>
      </c>
      <c r="R136" s="307"/>
      <c r="S136" s="314">
        <f t="shared" si="27"/>
        <v>11.2</v>
      </c>
      <c r="T136" s="304" t="str">
        <f t="shared" si="22"/>
        <v/>
      </c>
      <c r="U136" s="304">
        <f>IF(A136=YTD!B$6,E136,IF(OR(A136&lt;YTD!B$6,A136&gt;YTD!B$10),"",U135+E136))</f>
        <v>217.71995559929027</v>
      </c>
      <c r="V136" s="304">
        <f t="shared" si="28"/>
        <v>243.68485296654674</v>
      </c>
      <c r="W136" s="315">
        <f>IF(I136="",#N/A,YTD!G$8-I136)</f>
        <v>96.315147033453286</v>
      </c>
      <c r="X136" s="368">
        <f t="shared" si="23"/>
        <v>0</v>
      </c>
      <c r="Y136" s="368">
        <f t="shared" si="29"/>
        <v>0</v>
      </c>
      <c r="Z136" s="368" t="str">
        <f t="shared" si="24"/>
        <v/>
      </c>
      <c r="AA136" s="368">
        <v>121</v>
      </c>
      <c r="AB136" s="369">
        <f t="array" ref="AB136">SUM(IF(AA136=Z$16:Z$592,A$16:A$592,""))</f>
        <v>0</v>
      </c>
      <c r="AC136" s="370">
        <f t="array" ref="AC136">SUM(IF(AA136=Z$16:Z$592,J$16:J$592,""))</f>
        <v>0</v>
      </c>
      <c r="AD136" s="370">
        <f t="array" ref="AD136">SUM(IF($AA136=$Z$16:$Z$592,L$16:L$592,""))</f>
        <v>0</v>
      </c>
      <c r="AE136" s="370">
        <f t="array" ref="AE136">SUM(IF($AA136=$Z$16:$Z$592,M$16:M$592,""))</f>
        <v>0</v>
      </c>
      <c r="AF136" s="368">
        <f t="array" ref="AF136">SUM(IF($AA136=$Z$16:$Z$592,N$16:N$592,""))</f>
        <v>0</v>
      </c>
      <c r="AG136" s="370">
        <f t="array" ref="AG136">SUM(IF($AA136=$Z$16:$Z$592,O$16:O$592,""))</f>
        <v>0</v>
      </c>
      <c r="AH136" s="2"/>
      <c r="AI136" s="2"/>
      <c r="AJ136" s="2"/>
    </row>
    <row r="137" spans="1:36" x14ac:dyDescent="0.2">
      <c r="A137" s="306">
        <f>Crop!B170</f>
        <v>41761</v>
      </c>
      <c r="B137" s="307"/>
      <c r="C137" s="308"/>
      <c r="D137" s="304">
        <f>IF(OR($A137&lt;$A$3,$A137&gt;$A$7),"",Crop!$D170)</f>
        <v>4.9837304876648787</v>
      </c>
      <c r="E137" s="304">
        <f t="shared" si="15"/>
        <v>4.9837304876648787</v>
      </c>
      <c r="F137" s="304">
        <f>IF(OR(A137&lt;A$3,A137&gt;A$7),"",Crop!U170)</f>
        <v>1.2</v>
      </c>
      <c r="G137" s="304">
        <f t="shared" si="16"/>
        <v>5.9804765851978541</v>
      </c>
      <c r="H137" s="309">
        <f>IF(OR(A137&lt;A$3,A137&gt;A$7),"",YTD!E134)</f>
        <v>135</v>
      </c>
      <c r="I137" s="310">
        <f t="shared" si="17"/>
        <v>179.66532955174458</v>
      </c>
      <c r="J137" s="311"/>
      <c r="K137" s="309">
        <f t="shared" si="18"/>
        <v>0</v>
      </c>
      <c r="L137" s="312" t="str">
        <f t="shared" si="25"/>
        <v/>
      </c>
      <c r="M137" s="366" t="str">
        <f t="shared" si="19"/>
        <v/>
      </c>
      <c r="N137" s="328" t="str">
        <f t="shared" si="20"/>
        <v/>
      </c>
      <c r="O137" s="313" t="str">
        <f t="shared" si="21"/>
        <v/>
      </c>
      <c r="P137" s="307"/>
      <c r="Q137" s="309">
        <f t="shared" si="26"/>
        <v>0.8</v>
      </c>
      <c r="R137" s="307"/>
      <c r="S137" s="314">
        <f t="shared" si="27"/>
        <v>11.2</v>
      </c>
      <c r="T137" s="304" t="str">
        <f t="shared" si="22"/>
        <v/>
      </c>
      <c r="U137" s="304">
        <f>IF(A137=YTD!B$6,E137,IF(OR(A137&lt;YTD!B$6,A137&gt;YTD!B$10),"",U136+E137))</f>
        <v>222.70368608695514</v>
      </c>
      <c r="V137" s="304">
        <f t="shared" si="28"/>
        <v>249.66532955174461</v>
      </c>
      <c r="W137" s="315">
        <f>IF(I137="",#N/A,YTD!G$8-I137)</f>
        <v>90.334670448255423</v>
      </c>
      <c r="X137" s="368">
        <f t="shared" si="23"/>
        <v>0</v>
      </c>
      <c r="Y137" s="368">
        <f t="shared" si="29"/>
        <v>0</v>
      </c>
      <c r="Z137" s="368" t="str">
        <f t="shared" si="24"/>
        <v/>
      </c>
      <c r="AA137" s="368">
        <v>122</v>
      </c>
      <c r="AB137" s="369">
        <f t="array" ref="AB137">SUM(IF(AA137=Z$16:Z$592,A$16:A$592,""))</f>
        <v>0</v>
      </c>
      <c r="AC137" s="370">
        <f t="array" ref="AC137">SUM(IF(AA137=Z$16:Z$592,J$16:J$592,""))</f>
        <v>0</v>
      </c>
      <c r="AD137" s="370">
        <f t="array" ref="AD137">SUM(IF($AA137=$Z$16:$Z$592,L$16:L$592,""))</f>
        <v>0</v>
      </c>
      <c r="AE137" s="370">
        <f t="array" ref="AE137">SUM(IF($AA137=$Z$16:$Z$592,M$16:M$592,""))</f>
        <v>0</v>
      </c>
      <c r="AF137" s="368">
        <f t="array" ref="AF137">SUM(IF($AA137=$Z$16:$Z$592,N$16:N$592,""))</f>
        <v>0</v>
      </c>
      <c r="AG137" s="370">
        <f t="array" ref="AG137">SUM(IF($AA137=$Z$16:$Z$592,O$16:O$592,""))</f>
        <v>0</v>
      </c>
      <c r="AH137" s="2"/>
      <c r="AI137" s="2"/>
      <c r="AJ137" s="2"/>
    </row>
    <row r="138" spans="1:36" x14ac:dyDescent="0.2">
      <c r="A138" s="306">
        <f>Crop!B171</f>
        <v>41762</v>
      </c>
      <c r="B138" s="307"/>
      <c r="C138" s="308"/>
      <c r="D138" s="304">
        <f>IF(OR($A138&lt;$A$3,$A138&gt;$A$7),"",Crop!$D171)</f>
        <v>5.0190441585387022</v>
      </c>
      <c r="E138" s="304">
        <f t="shared" si="15"/>
        <v>5.0190441585387022</v>
      </c>
      <c r="F138" s="304">
        <f>IF(OR(A138&lt;A$3,A138&gt;A$7),"",Crop!U171)</f>
        <v>1.2</v>
      </c>
      <c r="G138" s="304">
        <f t="shared" si="16"/>
        <v>6.0228529902464425</v>
      </c>
      <c r="H138" s="309">
        <f>IF(OR(A138&lt;A$3,A138&gt;A$7),"",YTD!E135)</f>
        <v>135</v>
      </c>
      <c r="I138" s="310">
        <f t="shared" si="17"/>
        <v>185.68818254199101</v>
      </c>
      <c r="J138" s="311"/>
      <c r="K138" s="309">
        <f t="shared" si="18"/>
        <v>0</v>
      </c>
      <c r="L138" s="312" t="str">
        <f t="shared" si="25"/>
        <v/>
      </c>
      <c r="M138" s="366" t="str">
        <f t="shared" si="19"/>
        <v/>
      </c>
      <c r="N138" s="328" t="str">
        <f t="shared" si="20"/>
        <v/>
      </c>
      <c r="O138" s="313" t="str">
        <f t="shared" si="21"/>
        <v/>
      </c>
      <c r="P138" s="307"/>
      <c r="Q138" s="309">
        <f t="shared" si="26"/>
        <v>0.8</v>
      </c>
      <c r="R138" s="307"/>
      <c r="S138" s="314">
        <f t="shared" si="27"/>
        <v>11.2</v>
      </c>
      <c r="T138" s="304" t="str">
        <f t="shared" si="22"/>
        <v/>
      </c>
      <c r="U138" s="304">
        <f>IF(A138=YTD!B$6,E138,IF(OR(A138&lt;YTD!B$6,A138&gt;YTD!B$10),"",U137+E138))</f>
        <v>227.72273024549384</v>
      </c>
      <c r="V138" s="304">
        <f t="shared" si="28"/>
        <v>255.68818254199104</v>
      </c>
      <c r="W138" s="315">
        <f>IF(I138="",#N/A,YTD!G$8-I138)</f>
        <v>84.311817458008989</v>
      </c>
      <c r="X138" s="368">
        <f t="shared" si="23"/>
        <v>0</v>
      </c>
      <c r="Y138" s="368">
        <f t="shared" si="29"/>
        <v>0</v>
      </c>
      <c r="Z138" s="368" t="str">
        <f t="shared" si="24"/>
        <v/>
      </c>
      <c r="AA138" s="368">
        <v>123</v>
      </c>
      <c r="AB138" s="369">
        <f t="array" ref="AB138">SUM(IF(AA138=Z$16:Z$592,A$16:A$592,""))</f>
        <v>0</v>
      </c>
      <c r="AC138" s="370">
        <f t="array" ref="AC138">SUM(IF(AA138=Z$16:Z$592,J$16:J$592,""))</f>
        <v>0</v>
      </c>
      <c r="AD138" s="370">
        <f t="array" ref="AD138">SUM(IF($AA138=$Z$16:$Z$592,L$16:L$592,""))</f>
        <v>0</v>
      </c>
      <c r="AE138" s="370">
        <f t="array" ref="AE138">SUM(IF($AA138=$Z$16:$Z$592,M$16:M$592,""))</f>
        <v>0</v>
      </c>
      <c r="AF138" s="368">
        <f t="array" ref="AF138">SUM(IF($AA138=$Z$16:$Z$592,N$16:N$592,""))</f>
        <v>0</v>
      </c>
      <c r="AG138" s="370">
        <f t="array" ref="AG138">SUM(IF($AA138=$Z$16:$Z$592,O$16:O$592,""))</f>
        <v>0</v>
      </c>
      <c r="AH138" s="2"/>
      <c r="AI138" s="2"/>
      <c r="AJ138" s="2"/>
    </row>
    <row r="139" spans="1:36" x14ac:dyDescent="0.2">
      <c r="A139" s="306">
        <f>Crop!B172</f>
        <v>41763</v>
      </c>
      <c r="B139" s="307"/>
      <c r="C139" s="308"/>
      <c r="D139" s="304">
        <f>IF(OR($A139&lt;$A$3,$A139&gt;$A$7),"",Crop!$D172)</f>
        <v>5.0541932589225471</v>
      </c>
      <c r="E139" s="304">
        <f t="shared" si="15"/>
        <v>5.0541932589225471</v>
      </c>
      <c r="F139" s="304">
        <f>IF(OR(A139&lt;A$3,A139&gt;A$7),"",Crop!U172)</f>
        <v>1.2</v>
      </c>
      <c r="G139" s="304">
        <f t="shared" si="16"/>
        <v>6.0650319107070567</v>
      </c>
      <c r="H139" s="309">
        <f>IF(OR(A139&lt;A$3,A139&gt;A$7),"",YTD!E136)</f>
        <v>135</v>
      </c>
      <c r="I139" s="310">
        <f t="shared" si="17"/>
        <v>191.75321445269807</v>
      </c>
      <c r="J139" s="311"/>
      <c r="K139" s="309">
        <f t="shared" si="18"/>
        <v>0</v>
      </c>
      <c r="L139" s="312" t="str">
        <f t="shared" si="25"/>
        <v/>
      </c>
      <c r="M139" s="366" t="str">
        <f t="shared" si="19"/>
        <v/>
      </c>
      <c r="N139" s="328" t="str">
        <f t="shared" si="20"/>
        <v/>
      </c>
      <c r="O139" s="313" t="str">
        <f t="shared" si="21"/>
        <v/>
      </c>
      <c r="P139" s="307"/>
      <c r="Q139" s="309">
        <f t="shared" si="26"/>
        <v>0.8</v>
      </c>
      <c r="R139" s="307"/>
      <c r="S139" s="314">
        <f t="shared" si="27"/>
        <v>11.2</v>
      </c>
      <c r="T139" s="304" t="str">
        <f t="shared" si="22"/>
        <v/>
      </c>
      <c r="U139" s="304">
        <f>IF(A139=YTD!B$6,E139,IF(OR(A139&lt;YTD!B$6,A139&gt;YTD!B$10),"",U138+E139))</f>
        <v>232.77692350441637</v>
      </c>
      <c r="V139" s="304">
        <f t="shared" si="28"/>
        <v>261.7532144526981</v>
      </c>
      <c r="W139" s="315">
        <f>IF(I139="",#N/A,YTD!G$8-I139)</f>
        <v>78.246785547301926</v>
      </c>
      <c r="X139" s="368">
        <f t="shared" si="23"/>
        <v>0</v>
      </c>
      <c r="Y139" s="368">
        <f t="shared" si="29"/>
        <v>0</v>
      </c>
      <c r="Z139" s="368" t="str">
        <f t="shared" si="24"/>
        <v/>
      </c>
      <c r="AA139" s="368">
        <v>124</v>
      </c>
      <c r="AB139" s="369">
        <f t="array" ref="AB139">SUM(IF(AA139=Z$16:Z$592,A$16:A$592,""))</f>
        <v>0</v>
      </c>
      <c r="AC139" s="370">
        <f t="array" ref="AC139">SUM(IF(AA139=Z$16:Z$592,J$16:J$592,""))</f>
        <v>0</v>
      </c>
      <c r="AD139" s="370">
        <f t="array" ref="AD139">SUM(IF($AA139=$Z$16:$Z$592,L$16:L$592,""))</f>
        <v>0</v>
      </c>
      <c r="AE139" s="370">
        <f t="array" ref="AE139">SUM(IF($AA139=$Z$16:$Z$592,M$16:M$592,""))</f>
        <v>0</v>
      </c>
      <c r="AF139" s="368">
        <f t="array" ref="AF139">SUM(IF($AA139=$Z$16:$Z$592,N$16:N$592,""))</f>
        <v>0</v>
      </c>
      <c r="AG139" s="370">
        <f t="array" ref="AG139">SUM(IF($AA139=$Z$16:$Z$592,O$16:O$592,""))</f>
        <v>0</v>
      </c>
      <c r="AH139" s="2"/>
      <c r="AI139" s="2"/>
      <c r="AJ139" s="2"/>
    </row>
    <row r="140" spans="1:36" x14ac:dyDescent="0.2">
      <c r="A140" s="306">
        <f>Crop!B173</f>
        <v>41764</v>
      </c>
      <c r="B140" s="307"/>
      <c r="C140" s="308"/>
      <c r="D140" s="304">
        <f>IF(OR($A140&lt;$A$3,$A140&gt;$A$7),"",Crop!$D173)</f>
        <v>5.0892472490956724</v>
      </c>
      <c r="E140" s="304">
        <f t="shared" si="15"/>
        <v>5.0892472490956724</v>
      </c>
      <c r="F140" s="304">
        <f>IF(OR(A140&lt;A$3,A140&gt;A$7),"",Crop!U173)</f>
        <v>1.2</v>
      </c>
      <c r="G140" s="304">
        <f t="shared" si="16"/>
        <v>6.1070966989148063</v>
      </c>
      <c r="H140" s="309">
        <f>IF(OR(A140&lt;A$3,A140&gt;A$7),"",YTD!E137)</f>
        <v>135</v>
      </c>
      <c r="I140" s="310">
        <f t="shared" si="17"/>
        <v>197.86031115161288</v>
      </c>
      <c r="J140" s="311"/>
      <c r="K140" s="309">
        <f t="shared" si="18"/>
        <v>0</v>
      </c>
      <c r="L140" s="312" t="str">
        <f t="shared" si="25"/>
        <v/>
      </c>
      <c r="M140" s="366" t="str">
        <f t="shared" si="19"/>
        <v/>
      </c>
      <c r="N140" s="328" t="str">
        <f t="shared" si="20"/>
        <v/>
      </c>
      <c r="O140" s="313" t="str">
        <f t="shared" si="21"/>
        <v/>
      </c>
      <c r="P140" s="307"/>
      <c r="Q140" s="309">
        <f t="shared" si="26"/>
        <v>0.8</v>
      </c>
      <c r="R140" s="307"/>
      <c r="S140" s="314">
        <f t="shared" si="27"/>
        <v>11.2</v>
      </c>
      <c r="T140" s="304" t="str">
        <f t="shared" si="22"/>
        <v/>
      </c>
      <c r="U140" s="304">
        <f>IF(A140=YTD!B$6,E140,IF(OR(A140&lt;YTD!B$6,A140&gt;YTD!B$10),"",U139+E140))</f>
        <v>237.86617075351205</v>
      </c>
      <c r="V140" s="304">
        <f t="shared" si="28"/>
        <v>267.8603111516129</v>
      </c>
      <c r="W140" s="315">
        <f>IF(I140="",#N/A,YTD!G$8-I140)</f>
        <v>72.139688848387124</v>
      </c>
      <c r="X140" s="368">
        <f t="shared" si="23"/>
        <v>0</v>
      </c>
      <c r="Y140" s="368">
        <f t="shared" si="29"/>
        <v>0</v>
      </c>
      <c r="Z140" s="368" t="str">
        <f t="shared" si="24"/>
        <v/>
      </c>
      <c r="AA140" s="368">
        <v>125</v>
      </c>
      <c r="AB140" s="369">
        <f t="array" ref="AB140">SUM(IF(AA140=Z$16:Z$592,A$16:A$592,""))</f>
        <v>0</v>
      </c>
      <c r="AC140" s="370">
        <f t="array" ref="AC140">SUM(IF(AA140=Z$16:Z$592,J$16:J$592,""))</f>
        <v>0</v>
      </c>
      <c r="AD140" s="370">
        <f t="array" ref="AD140">SUM(IF($AA140=$Z$16:$Z$592,L$16:L$592,""))</f>
        <v>0</v>
      </c>
      <c r="AE140" s="370">
        <f t="array" ref="AE140">SUM(IF($AA140=$Z$16:$Z$592,M$16:M$592,""))</f>
        <v>0</v>
      </c>
      <c r="AF140" s="368">
        <f t="array" ref="AF140">SUM(IF($AA140=$Z$16:$Z$592,N$16:N$592,""))</f>
        <v>0</v>
      </c>
      <c r="AG140" s="370">
        <f t="array" ref="AG140">SUM(IF($AA140=$Z$16:$Z$592,O$16:O$592,""))</f>
        <v>0</v>
      </c>
      <c r="AH140" s="2"/>
      <c r="AI140" s="2"/>
      <c r="AJ140" s="2"/>
    </row>
    <row r="141" spans="1:36" x14ac:dyDescent="0.2">
      <c r="A141" s="306">
        <f>Crop!B174</f>
        <v>41765</v>
      </c>
      <c r="B141" s="307"/>
      <c r="C141" s="308"/>
      <c r="D141" s="304">
        <f>IF(OR($A141&lt;$A$3,$A141&gt;$A$7),"",Crop!$D174)</f>
        <v>5.1242755893373388</v>
      </c>
      <c r="E141" s="304">
        <f t="shared" si="15"/>
        <v>5.1242755893373388</v>
      </c>
      <c r="F141" s="304">
        <f>IF(OR(A141&lt;A$3,A141&gt;A$7),"",Crop!U174)</f>
        <v>1.2</v>
      </c>
      <c r="G141" s="304">
        <f t="shared" si="16"/>
        <v>6.1491307072048063</v>
      </c>
      <c r="H141" s="309">
        <f>IF(OR(A141&lt;A$3,A141&gt;A$7),"",YTD!E138)</f>
        <v>135</v>
      </c>
      <c r="I141" s="310">
        <f t="shared" si="17"/>
        <v>204.00944185881769</v>
      </c>
      <c r="J141" s="311"/>
      <c r="K141" s="309">
        <f t="shared" si="18"/>
        <v>0</v>
      </c>
      <c r="L141" s="312" t="str">
        <f t="shared" si="25"/>
        <v/>
      </c>
      <c r="M141" s="366" t="str">
        <f t="shared" si="19"/>
        <v/>
      </c>
      <c r="N141" s="328" t="str">
        <f t="shared" si="20"/>
        <v/>
      </c>
      <c r="O141" s="313" t="str">
        <f t="shared" si="21"/>
        <v/>
      </c>
      <c r="P141" s="307"/>
      <c r="Q141" s="309">
        <f t="shared" si="26"/>
        <v>0.8</v>
      </c>
      <c r="R141" s="307"/>
      <c r="S141" s="314">
        <f t="shared" si="27"/>
        <v>11.2</v>
      </c>
      <c r="T141" s="304" t="str">
        <f t="shared" si="22"/>
        <v/>
      </c>
      <c r="U141" s="304">
        <f>IF(A141=YTD!B$6,E141,IF(OR(A141&lt;YTD!B$6,A141&gt;YTD!B$10),"",U140+E141))</f>
        <v>242.9904463428494</v>
      </c>
      <c r="V141" s="304">
        <f t="shared" si="28"/>
        <v>274.00944185881769</v>
      </c>
      <c r="W141" s="315">
        <f>IF(I141="",#N/A,YTD!G$8-I141)</f>
        <v>65.990558141182305</v>
      </c>
      <c r="X141" s="368">
        <f t="shared" si="23"/>
        <v>0</v>
      </c>
      <c r="Y141" s="368">
        <f t="shared" si="29"/>
        <v>0</v>
      </c>
      <c r="Z141" s="368" t="str">
        <f t="shared" si="24"/>
        <v/>
      </c>
      <c r="AA141" s="368">
        <v>126</v>
      </c>
      <c r="AB141" s="369">
        <f t="array" ref="AB141">SUM(IF(AA141=Z$16:Z$592,A$16:A$592,""))</f>
        <v>0</v>
      </c>
      <c r="AC141" s="370">
        <f t="array" ref="AC141">SUM(IF(AA141=Z$16:Z$592,J$16:J$592,""))</f>
        <v>0</v>
      </c>
      <c r="AD141" s="370">
        <f t="array" ref="AD141">SUM(IF($AA141=$Z$16:$Z$592,L$16:L$592,""))</f>
        <v>0</v>
      </c>
      <c r="AE141" s="370">
        <f t="array" ref="AE141">SUM(IF($AA141=$Z$16:$Z$592,M$16:M$592,""))</f>
        <v>0</v>
      </c>
      <c r="AF141" s="368">
        <f t="array" ref="AF141">SUM(IF($AA141=$Z$16:$Z$592,N$16:N$592,""))</f>
        <v>0</v>
      </c>
      <c r="AG141" s="370">
        <f t="array" ref="AG141">SUM(IF($AA141=$Z$16:$Z$592,O$16:O$592,""))</f>
        <v>0</v>
      </c>
      <c r="AH141" s="2"/>
      <c r="AI141" s="2"/>
      <c r="AJ141" s="2"/>
    </row>
    <row r="142" spans="1:36" x14ac:dyDescent="0.2">
      <c r="A142" s="306">
        <f>Crop!B175</f>
        <v>41766</v>
      </c>
      <c r="B142" s="307"/>
      <c r="C142" s="308"/>
      <c r="D142" s="304">
        <f>IF(OR($A142&lt;$A$3,$A142&gt;$A$7),"",Crop!$D175)</f>
        <v>5.1593477399268064</v>
      </c>
      <c r="E142" s="304">
        <f t="shared" si="15"/>
        <v>5.1593477399268064</v>
      </c>
      <c r="F142" s="304">
        <f>IF(OR(A142&lt;A$3,A142&gt;A$7),"",Crop!U175)</f>
        <v>1.2</v>
      </c>
      <c r="G142" s="304">
        <f t="shared" si="16"/>
        <v>6.1912172879121679</v>
      </c>
      <c r="H142" s="309">
        <f>IF(OR(A142&lt;A$3,A142&gt;A$7),"",YTD!E139)</f>
        <v>135</v>
      </c>
      <c r="I142" s="310">
        <f t="shared" si="17"/>
        <v>210.20065914672986</v>
      </c>
      <c r="J142" s="311"/>
      <c r="K142" s="309">
        <f t="shared" si="18"/>
        <v>0</v>
      </c>
      <c r="L142" s="312" t="str">
        <f t="shared" si="25"/>
        <v/>
      </c>
      <c r="M142" s="366" t="str">
        <f t="shared" si="19"/>
        <v/>
      </c>
      <c r="N142" s="328" t="str">
        <f t="shared" si="20"/>
        <v/>
      </c>
      <c r="O142" s="313" t="str">
        <f t="shared" si="21"/>
        <v/>
      </c>
      <c r="P142" s="307"/>
      <c r="Q142" s="309">
        <f t="shared" si="26"/>
        <v>0.8</v>
      </c>
      <c r="R142" s="307"/>
      <c r="S142" s="314">
        <f t="shared" si="27"/>
        <v>11.2</v>
      </c>
      <c r="T142" s="304" t="str">
        <f t="shared" si="22"/>
        <v/>
      </c>
      <c r="U142" s="304">
        <f>IF(A142=YTD!B$6,E142,IF(OR(A142&lt;YTD!B$6,A142&gt;YTD!B$10),"",U141+E142))</f>
        <v>248.1497940827762</v>
      </c>
      <c r="V142" s="304">
        <f t="shared" si="28"/>
        <v>280.20065914672989</v>
      </c>
      <c r="W142" s="315">
        <f>IF(I142="",#N/A,YTD!G$8-I142)</f>
        <v>59.799340853270138</v>
      </c>
      <c r="X142" s="368">
        <f t="shared" si="23"/>
        <v>0</v>
      </c>
      <c r="Y142" s="368">
        <f t="shared" si="29"/>
        <v>0</v>
      </c>
      <c r="Z142" s="368" t="str">
        <f t="shared" si="24"/>
        <v/>
      </c>
      <c r="AA142" s="368">
        <v>127</v>
      </c>
      <c r="AB142" s="369">
        <f t="array" ref="AB142">SUM(IF(AA142=Z$16:Z$592,A$16:A$592,""))</f>
        <v>0</v>
      </c>
      <c r="AC142" s="370">
        <f t="array" ref="AC142">SUM(IF(AA142=Z$16:Z$592,J$16:J$592,""))</f>
        <v>0</v>
      </c>
      <c r="AD142" s="370">
        <f t="array" ref="AD142">SUM(IF($AA142=$Z$16:$Z$592,L$16:L$592,""))</f>
        <v>0</v>
      </c>
      <c r="AE142" s="370">
        <f t="array" ref="AE142">SUM(IF($AA142=$Z$16:$Z$592,M$16:M$592,""))</f>
        <v>0</v>
      </c>
      <c r="AF142" s="368">
        <f t="array" ref="AF142">SUM(IF($AA142=$Z$16:$Z$592,N$16:N$592,""))</f>
        <v>0</v>
      </c>
      <c r="AG142" s="370">
        <f t="array" ref="AG142">SUM(IF($AA142=$Z$16:$Z$592,O$16:O$592,""))</f>
        <v>0</v>
      </c>
      <c r="AH142" s="2"/>
      <c r="AI142" s="2"/>
      <c r="AJ142" s="2"/>
    </row>
    <row r="143" spans="1:36" x14ac:dyDescent="0.2">
      <c r="A143" s="306">
        <f>Crop!B176</f>
        <v>41767</v>
      </c>
      <c r="B143" s="307"/>
      <c r="C143" s="308"/>
      <c r="D143" s="304">
        <f>IF(OR($A143&lt;$A$3,$A143&gt;$A$7),"",Crop!$D176)</f>
        <v>5.1945331611433323</v>
      </c>
      <c r="E143" s="304">
        <f t="shared" si="15"/>
        <v>5.1945331611433323</v>
      </c>
      <c r="F143" s="304">
        <f>IF(OR(A143&lt;A$3,A143&gt;A$7),"",Crop!U176)</f>
        <v>1.2</v>
      </c>
      <c r="G143" s="304">
        <f t="shared" si="16"/>
        <v>6.2334397933719989</v>
      </c>
      <c r="H143" s="309">
        <f>IF(OR(A143&lt;A$3,A143&gt;A$7),"",YTD!E140)</f>
        <v>135</v>
      </c>
      <c r="I143" s="310">
        <f t="shared" si="17"/>
        <v>216.43409894010185</v>
      </c>
      <c r="J143" s="311"/>
      <c r="K143" s="309">
        <f t="shared" si="18"/>
        <v>0</v>
      </c>
      <c r="L143" s="312" t="str">
        <f t="shared" si="25"/>
        <v/>
      </c>
      <c r="M143" s="366" t="str">
        <f t="shared" si="19"/>
        <v/>
      </c>
      <c r="N143" s="328" t="str">
        <f t="shared" si="20"/>
        <v/>
      </c>
      <c r="O143" s="313" t="str">
        <f t="shared" si="21"/>
        <v/>
      </c>
      <c r="P143" s="307"/>
      <c r="Q143" s="309">
        <f t="shared" si="26"/>
        <v>0.8</v>
      </c>
      <c r="R143" s="307"/>
      <c r="S143" s="314">
        <f t="shared" si="27"/>
        <v>11.2</v>
      </c>
      <c r="T143" s="304" t="str">
        <f t="shared" si="22"/>
        <v/>
      </c>
      <c r="U143" s="304">
        <f>IF(A143=YTD!B$6,E143,IF(OR(A143&lt;YTD!B$6,A143&gt;YTD!B$10),"",U142+E143))</f>
        <v>253.34432724391954</v>
      </c>
      <c r="V143" s="304">
        <f t="shared" si="28"/>
        <v>286.43409894010188</v>
      </c>
      <c r="W143" s="315">
        <f>IF(I143="",#N/A,YTD!G$8-I143)</f>
        <v>53.565901059898152</v>
      </c>
      <c r="X143" s="368">
        <f t="shared" si="23"/>
        <v>0</v>
      </c>
      <c r="Y143" s="368">
        <f t="shared" si="29"/>
        <v>0</v>
      </c>
      <c r="Z143" s="368" t="str">
        <f t="shared" si="24"/>
        <v/>
      </c>
      <c r="AA143" s="368">
        <v>128</v>
      </c>
      <c r="AB143" s="369">
        <f t="array" ref="AB143">SUM(IF(AA143=Z$16:Z$592,A$16:A$592,""))</f>
        <v>0</v>
      </c>
      <c r="AC143" s="370">
        <f t="array" ref="AC143">SUM(IF(AA143=Z$16:Z$592,J$16:J$592,""))</f>
        <v>0</v>
      </c>
      <c r="AD143" s="370">
        <f t="array" ref="AD143">SUM(IF($AA143=$Z$16:$Z$592,L$16:L$592,""))</f>
        <v>0</v>
      </c>
      <c r="AE143" s="370">
        <f t="array" ref="AE143">SUM(IF($AA143=$Z$16:$Z$592,M$16:M$592,""))</f>
        <v>0</v>
      </c>
      <c r="AF143" s="368">
        <f t="array" ref="AF143">SUM(IF($AA143=$Z$16:$Z$592,N$16:N$592,""))</f>
        <v>0</v>
      </c>
      <c r="AG143" s="370">
        <f t="array" ref="AG143">SUM(IF($AA143=$Z$16:$Z$592,O$16:O$592,""))</f>
        <v>0</v>
      </c>
      <c r="AH143" s="2"/>
      <c r="AI143" s="2"/>
      <c r="AJ143" s="2"/>
    </row>
    <row r="144" spans="1:36" x14ac:dyDescent="0.2">
      <c r="A144" s="306">
        <f>Crop!B177</f>
        <v>41768</v>
      </c>
      <c r="B144" s="307"/>
      <c r="C144" s="308"/>
      <c r="D144" s="304">
        <f>IF(OR($A144&lt;$A$3,$A144&gt;$A$7),"",Crop!$D177)</f>
        <v>5.2299013132661765</v>
      </c>
      <c r="E144" s="304">
        <f t="shared" ref="E144:E207" si="30">IF(C144="",D144,C144)</f>
        <v>5.2299013132661765</v>
      </c>
      <c r="F144" s="304">
        <f>IF(OR(A144&lt;A$3,A144&gt;A$7),"",Crop!U177)</f>
        <v>1.2</v>
      </c>
      <c r="G144" s="304">
        <f t="shared" ref="G144:G207" si="31">IF(OR(A144&lt;A$3,A144&gt;A$7),"",E144*F144)</f>
        <v>6.2758815759194118</v>
      </c>
      <c r="H144" s="309">
        <f>IF(OR(A144&lt;A$3,A144&gt;A$7),"",YTD!E141)</f>
        <v>135</v>
      </c>
      <c r="I144" s="310">
        <f t="shared" ref="I144:I207" si="32">IF(A144=A$3-1,I$13,IF(OR(A144&lt;A$3,A144&gt;A$7),"",IF(T144="A",I143+G144-K144-J144,IF(J144&gt;0,I143+G144-K144-J144,I143+G144-K144))))</f>
        <v>222.70998051602126</v>
      </c>
      <c r="J144" s="311"/>
      <c r="K144" s="309">
        <f t="shared" ref="K144:K207" si="33">IF(U144="","",IF(AND(E144="",B144=""),"",IF(B144="",0,IF(B144&gt;I143+G144,I143+G144,B144))))</f>
        <v>0</v>
      </c>
      <c r="L144" s="312" t="str">
        <f t="shared" si="25"/>
        <v/>
      </c>
      <c r="M144" s="366" t="str">
        <f t="shared" ref="M144:M186" si="34">IF(L144="","",L144/(1-$I$8))</f>
        <v/>
      </c>
      <c r="N144" s="328" t="str">
        <f t="shared" ref="N144:N186" si="35">IF(L144="","",INT(M144/S144))</f>
        <v/>
      </c>
      <c r="O144" s="313" t="str">
        <f t="shared" ref="O144:O186" si="36">IF(N144="","",MOD(M144/S144,N144)*60)</f>
        <v/>
      </c>
      <c r="P144" s="307"/>
      <c r="Q144" s="309">
        <f t="shared" si="26"/>
        <v>0.8</v>
      </c>
      <c r="R144" s="307"/>
      <c r="S144" s="314">
        <f t="shared" si="27"/>
        <v>11.2</v>
      </c>
      <c r="T144" s="304" t="str">
        <f t="shared" ref="T144:T207" si="37">IF(A144=A$3,"A",IF(A144=A$4,"B",IF(A144=A$5,"C",IF(A144=A$6,"D",IF(A144=A$7,"E","")))))</f>
        <v/>
      </c>
      <c r="U144" s="304">
        <f>IF(A144=YTD!B$6,E144,IF(OR(A144&lt;YTD!B$6,A144&gt;YTD!B$10),"",U143+E144))</f>
        <v>258.57422855718573</v>
      </c>
      <c r="V144" s="304">
        <f t="shared" si="28"/>
        <v>292.70998051602129</v>
      </c>
      <c r="W144" s="315">
        <f>IF(I144="",#N/A,YTD!G$8-I144)</f>
        <v>47.290019483978739</v>
      </c>
      <c r="X144" s="368">
        <f t="shared" ref="X144:X207" si="38">IF(J144="",0,1)</f>
        <v>0</v>
      </c>
      <c r="Y144" s="368">
        <f t="shared" si="29"/>
        <v>0</v>
      </c>
      <c r="Z144" s="368" t="str">
        <f t="shared" ref="Z144:Z207" si="39">IF(X144=1,Y144,"")</f>
        <v/>
      </c>
      <c r="AA144" s="368">
        <v>129</v>
      </c>
      <c r="AB144" s="369">
        <f t="array" ref="AB144">SUM(IF(AA144=Z$16:Z$592,A$16:A$592,""))</f>
        <v>0</v>
      </c>
      <c r="AC144" s="370">
        <f t="array" ref="AC144">SUM(IF(AA144=Z$16:Z$592,J$16:J$592,""))</f>
        <v>0</v>
      </c>
      <c r="AD144" s="370">
        <f t="array" ref="AD144">SUM(IF($AA144=$Z$16:$Z$592,L$16:L$592,""))</f>
        <v>0</v>
      </c>
      <c r="AE144" s="370">
        <f t="array" ref="AE144">SUM(IF($AA144=$Z$16:$Z$592,M$16:M$592,""))</f>
        <v>0</v>
      </c>
      <c r="AF144" s="368">
        <f t="array" ref="AF144">SUM(IF($AA144=$Z$16:$Z$592,N$16:N$592,""))</f>
        <v>0</v>
      </c>
      <c r="AG144" s="370">
        <f t="array" ref="AG144">SUM(IF($AA144=$Z$16:$Z$592,O$16:O$592,""))</f>
        <v>0</v>
      </c>
      <c r="AH144" s="2"/>
      <c r="AI144" s="2"/>
      <c r="AJ144" s="2"/>
    </row>
    <row r="145" spans="1:36" x14ac:dyDescent="0.2">
      <c r="A145" s="306">
        <f>Crop!B178</f>
        <v>41769</v>
      </c>
      <c r="B145" s="307"/>
      <c r="C145" s="308"/>
      <c r="D145" s="304">
        <f>IF(OR($A145&lt;$A$3,$A145&gt;$A$7),"",Crop!$D178)</f>
        <v>5.2655216565746006</v>
      </c>
      <c r="E145" s="304">
        <f t="shared" si="30"/>
        <v>5.2655216565746006</v>
      </c>
      <c r="F145" s="304">
        <f>IF(OR(A145&lt;A$3,A145&gt;A$7),"",Crop!U178)</f>
        <v>1.2</v>
      </c>
      <c r="G145" s="304">
        <f t="shared" si="31"/>
        <v>6.3186259878895203</v>
      </c>
      <c r="H145" s="309">
        <f>IF(OR(A145&lt;A$3,A145&gt;A$7),"",YTD!E142)</f>
        <v>135</v>
      </c>
      <c r="I145" s="310">
        <f t="shared" si="32"/>
        <v>229.02860650391079</v>
      </c>
      <c r="J145" s="311"/>
      <c r="K145" s="309">
        <f t="shared" si="33"/>
        <v>0</v>
      </c>
      <c r="L145" s="312" t="str">
        <f t="shared" ref="L145:L208" si="40">IF(J145="","",J145/Q145)</f>
        <v/>
      </c>
      <c r="M145" s="366" t="str">
        <f t="shared" si="34"/>
        <v/>
      </c>
      <c r="N145" s="328" t="str">
        <f t="shared" si="35"/>
        <v/>
      </c>
      <c r="O145" s="313" t="str">
        <f t="shared" si="36"/>
        <v/>
      </c>
      <c r="P145" s="307"/>
      <c r="Q145" s="309">
        <f t="shared" ref="Q145:Q208" si="41">IF(P145="",Q144,P145)</f>
        <v>0.8</v>
      </c>
      <c r="R145" s="307"/>
      <c r="S145" s="314">
        <f t="shared" ref="S145:S208" si="42">IF(R145="",S144,R145)</f>
        <v>11.2</v>
      </c>
      <c r="T145" s="304" t="str">
        <f t="shared" si="37"/>
        <v/>
      </c>
      <c r="U145" s="304">
        <f>IF(A145=YTD!B$6,E145,IF(OR(A145&lt;YTD!B$6,A145&gt;YTD!B$10),"",U144+E145))</f>
        <v>263.83975021376034</v>
      </c>
      <c r="V145" s="304">
        <f t="shared" ref="V145:V208" si="43">IF(G145="","",IF(G144="",G145,V144+G145))</f>
        <v>299.02860650391079</v>
      </c>
      <c r="W145" s="315">
        <f>IF(I145="",#N/A,YTD!G$8-I145)</f>
        <v>40.971393496089206</v>
      </c>
      <c r="X145" s="368">
        <f t="shared" si="38"/>
        <v>0</v>
      </c>
      <c r="Y145" s="368">
        <f t="shared" si="29"/>
        <v>0</v>
      </c>
      <c r="Z145" s="368" t="str">
        <f t="shared" si="39"/>
        <v/>
      </c>
      <c r="AA145" s="368">
        <v>130</v>
      </c>
      <c r="AB145" s="369">
        <f t="array" ref="AB145">SUM(IF(AA145=Z$16:Z$592,A$16:A$592,""))</f>
        <v>0</v>
      </c>
      <c r="AC145" s="370">
        <f t="array" ref="AC145">SUM(IF(AA145=Z$16:Z$592,J$16:J$592,""))</f>
        <v>0</v>
      </c>
      <c r="AD145" s="370">
        <f t="array" ref="AD145">SUM(IF($AA145=$Z$16:$Z$592,L$16:L$592,""))</f>
        <v>0</v>
      </c>
      <c r="AE145" s="370">
        <f t="array" ref="AE145">SUM(IF($AA145=$Z$16:$Z$592,M$16:M$592,""))</f>
        <v>0</v>
      </c>
      <c r="AF145" s="368">
        <f t="array" ref="AF145">SUM(IF($AA145=$Z$16:$Z$592,N$16:N$592,""))</f>
        <v>0</v>
      </c>
      <c r="AG145" s="370">
        <f t="array" ref="AG145">SUM(IF($AA145=$Z$16:$Z$592,O$16:O$592,""))</f>
        <v>0</v>
      </c>
      <c r="AH145" s="2"/>
      <c r="AI145" s="2"/>
      <c r="AJ145" s="2"/>
    </row>
    <row r="146" spans="1:36" x14ac:dyDescent="0.2">
      <c r="A146" s="306">
        <f>Crop!B179</f>
        <v>41770</v>
      </c>
      <c r="B146" s="307"/>
      <c r="C146" s="308"/>
      <c r="D146" s="304">
        <f>IF(OR($A146&lt;$A$3,$A146&gt;$A$7),"",Crop!$D179)</f>
        <v>5.3014636513478592</v>
      </c>
      <c r="E146" s="304">
        <f t="shared" si="30"/>
        <v>5.3014636513478592</v>
      </c>
      <c r="F146" s="304">
        <f>IF(OR(A146&lt;A$3,A146&gt;A$7),"",Crop!U179)</f>
        <v>1.2</v>
      </c>
      <c r="G146" s="304">
        <f t="shared" si="31"/>
        <v>6.3617563816174307</v>
      </c>
      <c r="H146" s="309">
        <f>IF(OR(A146&lt;A$3,A146&gt;A$7),"",YTD!E143)</f>
        <v>135</v>
      </c>
      <c r="I146" s="310">
        <f t="shared" si="32"/>
        <v>235.39036288552822</v>
      </c>
      <c r="J146" s="311"/>
      <c r="K146" s="309">
        <f t="shared" si="33"/>
        <v>0</v>
      </c>
      <c r="L146" s="312" t="str">
        <f t="shared" si="40"/>
        <v/>
      </c>
      <c r="M146" s="366" t="str">
        <f t="shared" si="34"/>
        <v/>
      </c>
      <c r="N146" s="328" t="str">
        <f t="shared" si="35"/>
        <v/>
      </c>
      <c r="O146" s="313" t="str">
        <f t="shared" si="36"/>
        <v/>
      </c>
      <c r="P146" s="307"/>
      <c r="Q146" s="309">
        <f t="shared" si="41"/>
        <v>0.8</v>
      </c>
      <c r="R146" s="307"/>
      <c r="S146" s="314">
        <f t="shared" si="42"/>
        <v>11.2</v>
      </c>
      <c r="T146" s="304" t="str">
        <f t="shared" si="37"/>
        <v/>
      </c>
      <c r="U146" s="304">
        <f>IF(A146=YTD!B$6,E146,IF(OR(A146&lt;YTD!B$6,A146&gt;YTD!B$10),"",U145+E146))</f>
        <v>269.14121386510817</v>
      </c>
      <c r="V146" s="304">
        <f t="shared" si="43"/>
        <v>305.39036288552825</v>
      </c>
      <c r="W146" s="315">
        <f>IF(I146="",#N/A,YTD!G$8-I146)</f>
        <v>34.609637114471781</v>
      </c>
      <c r="X146" s="368">
        <f t="shared" si="38"/>
        <v>0</v>
      </c>
      <c r="Y146" s="368">
        <f t="shared" ref="Y146:Y209" si="44">Y145+X146</f>
        <v>0</v>
      </c>
      <c r="Z146" s="368" t="str">
        <f t="shared" si="39"/>
        <v/>
      </c>
      <c r="AA146" s="368">
        <v>131</v>
      </c>
      <c r="AB146" s="369">
        <f t="array" ref="AB146">SUM(IF(AA146=Z$16:Z$592,A$16:A$592,""))</f>
        <v>0</v>
      </c>
      <c r="AC146" s="370">
        <f t="array" ref="AC146">SUM(IF(AA146=Z$16:Z$592,J$16:J$592,""))</f>
        <v>0</v>
      </c>
      <c r="AD146" s="370">
        <f t="array" ref="AD146">SUM(IF($AA146=$Z$16:$Z$592,L$16:L$592,""))</f>
        <v>0</v>
      </c>
      <c r="AE146" s="370">
        <f t="array" ref="AE146">SUM(IF($AA146=$Z$16:$Z$592,M$16:M$592,""))</f>
        <v>0</v>
      </c>
      <c r="AF146" s="368">
        <f t="array" ref="AF146">SUM(IF($AA146=$Z$16:$Z$592,N$16:N$592,""))</f>
        <v>0</v>
      </c>
      <c r="AG146" s="370">
        <f t="array" ref="AG146">SUM(IF($AA146=$Z$16:$Z$592,O$16:O$592,""))</f>
        <v>0</v>
      </c>
      <c r="AH146" s="2"/>
      <c r="AI146" s="2"/>
      <c r="AJ146" s="2"/>
    </row>
    <row r="147" spans="1:36" x14ac:dyDescent="0.2">
      <c r="A147" s="306">
        <f>Crop!B180</f>
        <v>41771</v>
      </c>
      <c r="B147" s="307"/>
      <c r="C147" s="308"/>
      <c r="D147" s="304">
        <f>IF(OR($A147&lt;$A$3,$A147&gt;$A$7),"",Crop!$D180)</f>
        <v>5.337796757865215</v>
      </c>
      <c r="E147" s="304">
        <f t="shared" si="30"/>
        <v>5.337796757865215</v>
      </c>
      <c r="F147" s="304">
        <f>IF(OR(A147&lt;A$3,A147&gt;A$7),"",Crop!U180)</f>
        <v>1.2</v>
      </c>
      <c r="G147" s="304">
        <f t="shared" si="31"/>
        <v>6.4053561094382578</v>
      </c>
      <c r="H147" s="309">
        <f>IF(OR(A147&lt;A$3,A147&gt;A$7),"",YTD!E144)</f>
        <v>135</v>
      </c>
      <c r="I147" s="310">
        <f t="shared" si="32"/>
        <v>241.79571899496648</v>
      </c>
      <c r="J147" s="311"/>
      <c r="K147" s="309">
        <f t="shared" si="33"/>
        <v>0</v>
      </c>
      <c r="L147" s="312" t="str">
        <f t="shared" si="40"/>
        <v/>
      </c>
      <c r="M147" s="366" t="str">
        <f t="shared" si="34"/>
        <v/>
      </c>
      <c r="N147" s="328" t="str">
        <f t="shared" si="35"/>
        <v/>
      </c>
      <c r="O147" s="313" t="str">
        <f t="shared" si="36"/>
        <v/>
      </c>
      <c r="P147" s="307"/>
      <c r="Q147" s="309">
        <f t="shared" si="41"/>
        <v>0.8</v>
      </c>
      <c r="R147" s="307"/>
      <c r="S147" s="314">
        <f t="shared" si="42"/>
        <v>11.2</v>
      </c>
      <c r="T147" s="304" t="str">
        <f t="shared" si="37"/>
        <v/>
      </c>
      <c r="U147" s="304">
        <f>IF(A147=YTD!B$6,E147,IF(OR(A147&lt;YTD!B$6,A147&gt;YTD!B$10),"",U146+E147))</f>
        <v>274.47901062297336</v>
      </c>
      <c r="V147" s="304">
        <f t="shared" si="43"/>
        <v>311.79571899496648</v>
      </c>
      <c r="W147" s="315">
        <f>IF(I147="",#N/A,YTD!G$8-I147)</f>
        <v>28.204281005033522</v>
      </c>
      <c r="X147" s="368">
        <f t="shared" si="38"/>
        <v>0</v>
      </c>
      <c r="Y147" s="368">
        <f t="shared" si="44"/>
        <v>0</v>
      </c>
      <c r="Z147" s="368" t="str">
        <f t="shared" si="39"/>
        <v/>
      </c>
      <c r="AA147" s="368">
        <v>132</v>
      </c>
      <c r="AB147" s="369">
        <f t="array" ref="AB147">SUM(IF(AA147=Z$16:Z$592,A$16:A$592,""))</f>
        <v>0</v>
      </c>
      <c r="AC147" s="370">
        <f t="array" ref="AC147">SUM(IF(AA147=Z$16:Z$592,J$16:J$592,""))</f>
        <v>0</v>
      </c>
      <c r="AD147" s="370">
        <f t="array" ref="AD147">SUM(IF($AA147=$Z$16:$Z$592,L$16:L$592,""))</f>
        <v>0</v>
      </c>
      <c r="AE147" s="370">
        <f t="array" ref="AE147">SUM(IF($AA147=$Z$16:$Z$592,M$16:M$592,""))</f>
        <v>0</v>
      </c>
      <c r="AF147" s="368">
        <f t="array" ref="AF147">SUM(IF($AA147=$Z$16:$Z$592,N$16:N$592,""))</f>
        <v>0</v>
      </c>
      <c r="AG147" s="370">
        <f t="array" ref="AG147">SUM(IF($AA147=$Z$16:$Z$592,O$16:O$592,""))</f>
        <v>0</v>
      </c>
      <c r="AH147" s="2"/>
      <c r="AI147" s="2"/>
      <c r="AJ147" s="2"/>
    </row>
    <row r="148" spans="1:36" x14ac:dyDescent="0.2">
      <c r="A148" s="306">
        <f>Crop!B181</f>
        <v>41772</v>
      </c>
      <c r="B148" s="307"/>
      <c r="C148" s="308"/>
      <c r="D148" s="304">
        <f>IF(OR($A148&lt;$A$3,$A148&gt;$A$7),"",Crop!$D181)</f>
        <v>5.3745904364059269</v>
      </c>
      <c r="E148" s="304">
        <f t="shared" si="30"/>
        <v>5.3745904364059269</v>
      </c>
      <c r="F148" s="304">
        <f>IF(OR(A148&lt;A$3,A148&gt;A$7),"",Crop!U181)</f>
        <v>1.2</v>
      </c>
      <c r="G148" s="304">
        <f t="shared" si="31"/>
        <v>6.4495085236871121</v>
      </c>
      <c r="H148" s="309">
        <f>IF(OR(A148&lt;A$3,A148&gt;A$7),"",YTD!E145)</f>
        <v>135</v>
      </c>
      <c r="I148" s="310">
        <f t="shared" si="32"/>
        <v>248.24522751865359</v>
      </c>
      <c r="J148" s="311"/>
      <c r="K148" s="309">
        <f t="shared" si="33"/>
        <v>0</v>
      </c>
      <c r="L148" s="312" t="str">
        <f t="shared" si="40"/>
        <v/>
      </c>
      <c r="M148" s="366" t="str">
        <f t="shared" si="34"/>
        <v/>
      </c>
      <c r="N148" s="328" t="str">
        <f t="shared" si="35"/>
        <v/>
      </c>
      <c r="O148" s="313" t="str">
        <f t="shared" si="36"/>
        <v/>
      </c>
      <c r="P148" s="307"/>
      <c r="Q148" s="309">
        <f t="shared" si="41"/>
        <v>0.8</v>
      </c>
      <c r="R148" s="307"/>
      <c r="S148" s="314">
        <f t="shared" si="42"/>
        <v>11.2</v>
      </c>
      <c r="T148" s="304" t="str">
        <f t="shared" si="37"/>
        <v/>
      </c>
      <c r="U148" s="304">
        <f>IF(A148=YTD!B$6,E148,IF(OR(A148&lt;YTD!B$6,A148&gt;YTD!B$10),"",U147+E148))</f>
        <v>279.85360105937929</v>
      </c>
      <c r="V148" s="304">
        <f t="shared" si="43"/>
        <v>318.24522751865356</v>
      </c>
      <c r="W148" s="315">
        <f>IF(I148="",#N/A,YTD!G$8-I148)</f>
        <v>21.754772481346407</v>
      </c>
      <c r="X148" s="368">
        <f t="shared" si="38"/>
        <v>0</v>
      </c>
      <c r="Y148" s="368">
        <f t="shared" si="44"/>
        <v>0</v>
      </c>
      <c r="Z148" s="368" t="str">
        <f t="shared" si="39"/>
        <v/>
      </c>
      <c r="AA148" s="368">
        <v>133</v>
      </c>
      <c r="AB148" s="369">
        <f t="array" ref="AB148">SUM(IF(AA148=Z$16:Z$592,A$16:A$592,""))</f>
        <v>0</v>
      </c>
      <c r="AC148" s="370">
        <f t="array" ref="AC148">SUM(IF(AA148=Z$16:Z$592,J$16:J$592,""))</f>
        <v>0</v>
      </c>
      <c r="AD148" s="370">
        <f t="array" ref="AD148">SUM(IF($AA148=$Z$16:$Z$592,L$16:L$592,""))</f>
        <v>0</v>
      </c>
      <c r="AE148" s="370">
        <f t="array" ref="AE148">SUM(IF($AA148=$Z$16:$Z$592,M$16:M$592,""))</f>
        <v>0</v>
      </c>
      <c r="AF148" s="368">
        <f t="array" ref="AF148">SUM(IF($AA148=$Z$16:$Z$592,N$16:N$592,""))</f>
        <v>0</v>
      </c>
      <c r="AG148" s="370">
        <f t="array" ref="AG148">SUM(IF($AA148=$Z$16:$Z$592,O$16:O$592,""))</f>
        <v>0</v>
      </c>
      <c r="AH148" s="2"/>
      <c r="AI148" s="2"/>
      <c r="AJ148" s="2"/>
    </row>
    <row r="149" spans="1:36" x14ac:dyDescent="0.2">
      <c r="A149" s="306">
        <f>Crop!B182</f>
        <v>41773</v>
      </c>
      <c r="B149" s="307"/>
      <c r="C149" s="308"/>
      <c r="D149" s="304">
        <f>IF(OR($A149&lt;$A$3,$A149&gt;$A$7),"",Crop!$D182)</f>
        <v>5.4119141472492549</v>
      </c>
      <c r="E149" s="304">
        <f t="shared" si="30"/>
        <v>5.4119141472492549</v>
      </c>
      <c r="F149" s="304">
        <f>IF(OR(A149&lt;A$3,A149&gt;A$7),"",Crop!U182)</f>
        <v>1.2</v>
      </c>
      <c r="G149" s="304">
        <f t="shared" si="31"/>
        <v>6.4942969766991059</v>
      </c>
      <c r="H149" s="309">
        <f>IF(OR(A149&lt;A$3,A149&gt;A$7),"",YTD!E146)</f>
        <v>135</v>
      </c>
      <c r="I149" s="310">
        <f t="shared" si="32"/>
        <v>254.7395244953527</v>
      </c>
      <c r="J149" s="311"/>
      <c r="K149" s="309">
        <f t="shared" si="33"/>
        <v>0</v>
      </c>
      <c r="L149" s="312" t="str">
        <f t="shared" si="40"/>
        <v/>
      </c>
      <c r="M149" s="366" t="str">
        <f t="shared" si="34"/>
        <v/>
      </c>
      <c r="N149" s="328" t="str">
        <f t="shared" si="35"/>
        <v/>
      </c>
      <c r="O149" s="313" t="str">
        <f t="shared" si="36"/>
        <v/>
      </c>
      <c r="P149" s="307"/>
      <c r="Q149" s="309">
        <f t="shared" si="41"/>
        <v>0.8</v>
      </c>
      <c r="R149" s="307"/>
      <c r="S149" s="314">
        <f t="shared" si="42"/>
        <v>11.2</v>
      </c>
      <c r="T149" s="304" t="str">
        <f t="shared" si="37"/>
        <v/>
      </c>
      <c r="U149" s="304">
        <f>IF(A149=YTD!B$6,E149,IF(OR(A149&lt;YTD!B$6,A149&gt;YTD!B$10),"",U148+E149))</f>
        <v>285.26551520662855</v>
      </c>
      <c r="V149" s="304">
        <f t="shared" si="43"/>
        <v>324.73952449535267</v>
      </c>
      <c r="W149" s="315">
        <f>IF(I149="",#N/A,YTD!G$8-I149)</f>
        <v>15.260475504647303</v>
      </c>
      <c r="X149" s="368">
        <f t="shared" si="38"/>
        <v>0</v>
      </c>
      <c r="Y149" s="368">
        <f t="shared" si="44"/>
        <v>0</v>
      </c>
      <c r="Z149" s="368" t="str">
        <f t="shared" si="39"/>
        <v/>
      </c>
      <c r="AA149" s="368">
        <v>134</v>
      </c>
      <c r="AB149" s="369">
        <f t="array" ref="AB149">SUM(IF(AA149=Z$16:Z$592,A$16:A$592,""))</f>
        <v>0</v>
      </c>
      <c r="AC149" s="370">
        <f t="array" ref="AC149">SUM(IF(AA149=Z$16:Z$592,J$16:J$592,""))</f>
        <v>0</v>
      </c>
      <c r="AD149" s="370">
        <f t="array" ref="AD149">SUM(IF($AA149=$Z$16:$Z$592,L$16:L$592,""))</f>
        <v>0</v>
      </c>
      <c r="AE149" s="370">
        <f t="array" ref="AE149">SUM(IF($AA149=$Z$16:$Z$592,M$16:M$592,""))</f>
        <v>0</v>
      </c>
      <c r="AF149" s="368">
        <f t="array" ref="AF149">SUM(IF($AA149=$Z$16:$Z$592,N$16:N$592,""))</f>
        <v>0</v>
      </c>
      <c r="AG149" s="370">
        <f t="array" ref="AG149">SUM(IF($AA149=$Z$16:$Z$592,O$16:O$592,""))</f>
        <v>0</v>
      </c>
      <c r="AH149" s="2"/>
      <c r="AI149" s="2"/>
      <c r="AJ149" s="2"/>
    </row>
    <row r="150" spans="1:36" x14ac:dyDescent="0.2">
      <c r="A150" s="306">
        <f>Crop!B183</f>
        <v>41774</v>
      </c>
      <c r="B150" s="307"/>
      <c r="C150" s="308"/>
      <c r="D150" s="304">
        <f>IF(OR($A150&lt;$A$3,$A150&gt;$A$7),"",Crop!$D183)</f>
        <v>5.4498373506744562</v>
      </c>
      <c r="E150" s="304">
        <f t="shared" si="30"/>
        <v>5.4498373506744562</v>
      </c>
      <c r="F150" s="304">
        <f>IF(OR(A150&lt;A$3,A150&gt;A$7),"",Crop!U183)</f>
        <v>1.2</v>
      </c>
      <c r="G150" s="304">
        <f t="shared" si="31"/>
        <v>6.5398048208093469</v>
      </c>
      <c r="H150" s="309">
        <f>IF(OR(A150&lt;A$3,A150&gt;A$7),"",YTD!E147)</f>
        <v>135</v>
      </c>
      <c r="I150" s="310">
        <f t="shared" si="32"/>
        <v>261.27932931616203</v>
      </c>
      <c r="J150" s="311"/>
      <c r="K150" s="309">
        <f t="shared" si="33"/>
        <v>0</v>
      </c>
      <c r="L150" s="312" t="str">
        <f t="shared" si="40"/>
        <v/>
      </c>
      <c r="M150" s="366" t="str">
        <f t="shared" si="34"/>
        <v/>
      </c>
      <c r="N150" s="328" t="str">
        <f t="shared" si="35"/>
        <v/>
      </c>
      <c r="O150" s="313" t="str">
        <f t="shared" si="36"/>
        <v/>
      </c>
      <c r="P150" s="307"/>
      <c r="Q150" s="309">
        <f t="shared" si="41"/>
        <v>0.8</v>
      </c>
      <c r="R150" s="307"/>
      <c r="S150" s="314">
        <f t="shared" si="42"/>
        <v>11.2</v>
      </c>
      <c r="T150" s="304" t="str">
        <f t="shared" si="37"/>
        <v/>
      </c>
      <c r="U150" s="304">
        <f>IF(A150=YTD!B$6,E150,IF(OR(A150&lt;YTD!B$6,A150&gt;YTD!B$10),"",U149+E150))</f>
        <v>290.71535255730299</v>
      </c>
      <c r="V150" s="304">
        <f t="shared" si="43"/>
        <v>331.27932931616203</v>
      </c>
      <c r="W150" s="315">
        <f>IF(I150="",#N/A,YTD!G$8-I150)</f>
        <v>8.720670683837966</v>
      </c>
      <c r="X150" s="368">
        <f t="shared" si="38"/>
        <v>0</v>
      </c>
      <c r="Y150" s="368">
        <f t="shared" si="44"/>
        <v>0</v>
      </c>
      <c r="Z150" s="368" t="str">
        <f t="shared" si="39"/>
        <v/>
      </c>
      <c r="AA150" s="368">
        <v>135</v>
      </c>
      <c r="AB150" s="369">
        <f t="array" ref="AB150">SUM(IF(AA150=Z$16:Z$592,A$16:A$592,""))</f>
        <v>0</v>
      </c>
      <c r="AC150" s="370">
        <f t="array" ref="AC150">SUM(IF(AA150=Z$16:Z$592,J$16:J$592,""))</f>
        <v>0</v>
      </c>
      <c r="AD150" s="370">
        <f t="array" ref="AD150">SUM(IF($AA150=$Z$16:$Z$592,L$16:L$592,""))</f>
        <v>0</v>
      </c>
      <c r="AE150" s="370">
        <f t="array" ref="AE150">SUM(IF($AA150=$Z$16:$Z$592,M$16:M$592,""))</f>
        <v>0</v>
      </c>
      <c r="AF150" s="368">
        <f t="array" ref="AF150">SUM(IF($AA150=$Z$16:$Z$592,N$16:N$592,""))</f>
        <v>0</v>
      </c>
      <c r="AG150" s="370">
        <f t="array" ref="AG150">SUM(IF($AA150=$Z$16:$Z$592,O$16:O$592,""))</f>
        <v>0</v>
      </c>
      <c r="AH150" s="2"/>
      <c r="AI150" s="2"/>
      <c r="AJ150" s="2"/>
    </row>
    <row r="151" spans="1:36" x14ac:dyDescent="0.2">
      <c r="A151" s="306">
        <f>Crop!B184</f>
        <v>41775</v>
      </c>
      <c r="B151" s="307"/>
      <c r="C151" s="308"/>
      <c r="D151" s="304">
        <f>IF(OR($A151&lt;$A$3,$A151&gt;$A$7),"",Crop!$D184)</f>
        <v>5.4884295069607925</v>
      </c>
      <c r="E151" s="304">
        <f t="shared" si="30"/>
        <v>5.4884295069607925</v>
      </c>
      <c r="F151" s="304">
        <f>IF(OR(A151&lt;A$3,A151&gt;A$7),"",Crop!U184)</f>
        <v>1.2</v>
      </c>
      <c r="G151" s="304">
        <f t="shared" si="31"/>
        <v>6.586115408352951</v>
      </c>
      <c r="H151" s="309">
        <f>IF(OR(A151&lt;A$3,A151&gt;A$7),"",YTD!E148)</f>
        <v>135</v>
      </c>
      <c r="I151" s="310">
        <f t="shared" si="32"/>
        <v>267.86544472451499</v>
      </c>
      <c r="J151" s="311"/>
      <c r="K151" s="309">
        <f t="shared" si="33"/>
        <v>0</v>
      </c>
      <c r="L151" s="312" t="str">
        <f t="shared" si="40"/>
        <v/>
      </c>
      <c r="M151" s="366" t="str">
        <f t="shared" si="34"/>
        <v/>
      </c>
      <c r="N151" s="328" t="str">
        <f t="shared" si="35"/>
        <v/>
      </c>
      <c r="O151" s="313" t="str">
        <f t="shared" si="36"/>
        <v/>
      </c>
      <c r="P151" s="307"/>
      <c r="Q151" s="309">
        <f t="shared" si="41"/>
        <v>0.8</v>
      </c>
      <c r="R151" s="307"/>
      <c r="S151" s="314">
        <f t="shared" si="42"/>
        <v>11.2</v>
      </c>
      <c r="T151" s="304" t="str">
        <f t="shared" si="37"/>
        <v/>
      </c>
      <c r="U151" s="304">
        <f>IF(A151=YTD!B$6,E151,IF(OR(A151&lt;YTD!B$6,A151&gt;YTD!B$10),"",U150+E151))</f>
        <v>296.20378206426381</v>
      </c>
      <c r="V151" s="304">
        <f t="shared" si="43"/>
        <v>337.86544472451499</v>
      </c>
      <c r="W151" s="315">
        <f>IF(I151="",#N/A,YTD!G$8-I151)</f>
        <v>2.1345552754850132</v>
      </c>
      <c r="X151" s="368">
        <f t="shared" si="38"/>
        <v>0</v>
      </c>
      <c r="Y151" s="368">
        <f t="shared" si="44"/>
        <v>0</v>
      </c>
      <c r="Z151" s="368" t="str">
        <f t="shared" si="39"/>
        <v/>
      </c>
      <c r="AA151" s="368">
        <v>136</v>
      </c>
      <c r="AB151" s="369">
        <f t="array" ref="AB151">SUM(IF(AA151=Z$16:Z$592,A$16:A$592,""))</f>
        <v>0</v>
      </c>
      <c r="AC151" s="370">
        <f t="array" ref="AC151">SUM(IF(AA151=Z$16:Z$592,J$16:J$592,""))</f>
        <v>0</v>
      </c>
      <c r="AD151" s="370">
        <f t="array" ref="AD151">SUM(IF($AA151=$Z$16:$Z$592,L$16:L$592,""))</f>
        <v>0</v>
      </c>
      <c r="AE151" s="370">
        <f t="array" ref="AE151">SUM(IF($AA151=$Z$16:$Z$592,M$16:M$592,""))</f>
        <v>0</v>
      </c>
      <c r="AF151" s="368">
        <f t="array" ref="AF151">SUM(IF($AA151=$Z$16:$Z$592,N$16:N$592,""))</f>
        <v>0</v>
      </c>
      <c r="AG151" s="370">
        <f t="array" ref="AG151">SUM(IF($AA151=$Z$16:$Z$592,O$16:O$592,""))</f>
        <v>0</v>
      </c>
      <c r="AH151" s="2"/>
      <c r="AI151" s="2"/>
      <c r="AJ151" s="2"/>
    </row>
    <row r="152" spans="1:36" x14ac:dyDescent="0.2">
      <c r="A152" s="306">
        <f>Crop!B185</f>
        <v>41776</v>
      </c>
      <c r="B152" s="307"/>
      <c r="C152" s="308"/>
      <c r="D152" s="304">
        <f>IF(OR($A152&lt;$A$3,$A152&gt;$A$7),"",Crop!$D185)</f>
        <v>5.527760076387521</v>
      </c>
      <c r="E152" s="304">
        <f t="shared" si="30"/>
        <v>5.527760076387521</v>
      </c>
      <c r="F152" s="304">
        <f>IF(OR(A152&lt;A$3,A152&gt;A$7),"",Crop!U185)</f>
        <v>1.2</v>
      </c>
      <c r="G152" s="304">
        <f t="shared" si="31"/>
        <v>6.633312091665025</v>
      </c>
      <c r="H152" s="309">
        <f>IF(OR(A152&lt;A$3,A152&gt;A$7),"",YTD!E149)</f>
        <v>135</v>
      </c>
      <c r="I152" s="310">
        <f t="shared" si="32"/>
        <v>274.49875681617999</v>
      </c>
      <c r="J152" s="311"/>
      <c r="K152" s="309">
        <f t="shared" si="33"/>
        <v>0</v>
      </c>
      <c r="L152" s="312" t="str">
        <f t="shared" si="40"/>
        <v/>
      </c>
      <c r="M152" s="366" t="str">
        <f t="shared" si="34"/>
        <v/>
      </c>
      <c r="N152" s="328" t="str">
        <f t="shared" si="35"/>
        <v/>
      </c>
      <c r="O152" s="313" t="str">
        <f t="shared" si="36"/>
        <v/>
      </c>
      <c r="P152" s="307"/>
      <c r="Q152" s="309">
        <f t="shared" si="41"/>
        <v>0.8</v>
      </c>
      <c r="R152" s="307"/>
      <c r="S152" s="314">
        <f t="shared" si="42"/>
        <v>11.2</v>
      </c>
      <c r="T152" s="304" t="str">
        <f t="shared" si="37"/>
        <v/>
      </c>
      <c r="U152" s="304">
        <f>IF(A152=YTD!B$6,E152,IF(OR(A152&lt;YTD!B$6,A152&gt;YTD!B$10),"",U151+E152))</f>
        <v>301.7315421406513</v>
      </c>
      <c r="V152" s="304">
        <f t="shared" si="43"/>
        <v>344.49875681617999</v>
      </c>
      <c r="W152" s="315">
        <f>IF(I152="",#N/A,YTD!G$8-I152)</f>
        <v>-4.4987568161799913</v>
      </c>
      <c r="X152" s="368">
        <f t="shared" si="38"/>
        <v>0</v>
      </c>
      <c r="Y152" s="368">
        <f t="shared" si="44"/>
        <v>0</v>
      </c>
      <c r="Z152" s="368" t="str">
        <f t="shared" si="39"/>
        <v/>
      </c>
      <c r="AA152" s="368">
        <v>137</v>
      </c>
      <c r="AB152" s="369">
        <f t="array" ref="AB152">SUM(IF(AA152=Z$16:Z$592,A$16:A$592,""))</f>
        <v>0</v>
      </c>
      <c r="AC152" s="370">
        <f t="array" ref="AC152">SUM(IF(AA152=Z$16:Z$592,J$16:J$592,""))</f>
        <v>0</v>
      </c>
      <c r="AD152" s="370">
        <f t="array" ref="AD152">SUM(IF($AA152=$Z$16:$Z$592,L$16:L$592,""))</f>
        <v>0</v>
      </c>
      <c r="AE152" s="370">
        <f t="array" ref="AE152">SUM(IF($AA152=$Z$16:$Z$592,M$16:M$592,""))</f>
        <v>0</v>
      </c>
      <c r="AF152" s="368">
        <f t="array" ref="AF152">SUM(IF($AA152=$Z$16:$Z$592,N$16:N$592,""))</f>
        <v>0</v>
      </c>
      <c r="AG152" s="370">
        <f t="array" ref="AG152">SUM(IF($AA152=$Z$16:$Z$592,O$16:O$592,""))</f>
        <v>0</v>
      </c>
      <c r="AH152" s="2"/>
      <c r="AI152" s="2"/>
      <c r="AJ152" s="2"/>
    </row>
    <row r="153" spans="1:36" x14ac:dyDescent="0.2">
      <c r="A153" s="306">
        <f>Crop!B186</f>
        <v>41777</v>
      </c>
      <c r="B153" s="307"/>
      <c r="C153" s="308"/>
      <c r="D153" s="304">
        <f>IF(OR($A153&lt;$A$3,$A153&gt;$A$7),"",Crop!$D186)</f>
        <v>5.5678747829203816</v>
      </c>
      <c r="E153" s="304">
        <f t="shared" si="30"/>
        <v>5.5678747829203816</v>
      </c>
      <c r="F153" s="304">
        <f>IF(OR(A153&lt;A$3,A153&gt;A$7),"",Crop!U186)</f>
        <v>1.2</v>
      </c>
      <c r="G153" s="304">
        <f t="shared" si="31"/>
        <v>6.6814497395044574</v>
      </c>
      <c r="H153" s="309">
        <f>IF(OR(A153&lt;A$3,A153&gt;A$7),"",YTD!E150)</f>
        <v>135</v>
      </c>
      <c r="I153" s="310">
        <f t="shared" si="32"/>
        <v>281.18020655568444</v>
      </c>
      <c r="J153" s="311"/>
      <c r="K153" s="309">
        <f t="shared" si="33"/>
        <v>0</v>
      </c>
      <c r="L153" s="312" t="str">
        <f t="shared" si="40"/>
        <v/>
      </c>
      <c r="M153" s="366" t="str">
        <f t="shared" si="34"/>
        <v/>
      </c>
      <c r="N153" s="328" t="str">
        <f t="shared" si="35"/>
        <v/>
      </c>
      <c r="O153" s="313" t="str">
        <f t="shared" si="36"/>
        <v/>
      </c>
      <c r="P153" s="307"/>
      <c r="Q153" s="309">
        <f t="shared" si="41"/>
        <v>0.8</v>
      </c>
      <c r="R153" s="307"/>
      <c r="S153" s="314">
        <f t="shared" si="42"/>
        <v>11.2</v>
      </c>
      <c r="T153" s="304" t="str">
        <f t="shared" si="37"/>
        <v/>
      </c>
      <c r="U153" s="304">
        <f>IF(A153=YTD!B$6,E153,IF(OR(A153&lt;YTD!B$6,A153&gt;YTD!B$10),"",U152+E153))</f>
        <v>307.2994169235717</v>
      </c>
      <c r="V153" s="304">
        <f t="shared" si="43"/>
        <v>351.18020655568444</v>
      </c>
      <c r="W153" s="315">
        <f>IF(I153="",#N/A,YTD!G$8-I153)</f>
        <v>-11.180206555684435</v>
      </c>
      <c r="X153" s="368">
        <f t="shared" si="38"/>
        <v>0</v>
      </c>
      <c r="Y153" s="368">
        <f t="shared" si="44"/>
        <v>0</v>
      </c>
      <c r="Z153" s="368" t="str">
        <f t="shared" si="39"/>
        <v/>
      </c>
      <c r="AA153" s="368">
        <v>138</v>
      </c>
      <c r="AB153" s="369">
        <f t="array" ref="AB153">SUM(IF(AA153=Z$16:Z$592,A$16:A$592,""))</f>
        <v>0</v>
      </c>
      <c r="AC153" s="370">
        <f t="array" ref="AC153">SUM(IF(AA153=Z$16:Z$592,J$16:J$592,""))</f>
        <v>0</v>
      </c>
      <c r="AD153" s="370">
        <f t="array" ref="AD153">SUM(IF($AA153=$Z$16:$Z$592,L$16:L$592,""))</f>
        <v>0</v>
      </c>
      <c r="AE153" s="370">
        <f t="array" ref="AE153">SUM(IF($AA153=$Z$16:$Z$592,M$16:M$592,""))</f>
        <v>0</v>
      </c>
      <c r="AF153" s="368">
        <f t="array" ref="AF153">SUM(IF($AA153=$Z$16:$Z$592,N$16:N$592,""))</f>
        <v>0</v>
      </c>
      <c r="AG153" s="370">
        <f t="array" ref="AG153">SUM(IF($AA153=$Z$16:$Z$592,O$16:O$592,""))</f>
        <v>0</v>
      </c>
      <c r="AH153" s="2"/>
      <c r="AI153" s="2"/>
      <c r="AJ153" s="2"/>
    </row>
    <row r="154" spans="1:36" x14ac:dyDescent="0.2">
      <c r="A154" s="306">
        <f>Crop!B187</f>
        <v>41778</v>
      </c>
      <c r="B154" s="307"/>
      <c r="C154" s="308"/>
      <c r="D154" s="304">
        <f>IF(OR($A154&lt;$A$3,$A154&gt;$A$7),"",Crop!$D187)</f>
        <v>5.6087244052710208</v>
      </c>
      <c r="E154" s="304">
        <f t="shared" si="30"/>
        <v>5.6087244052710208</v>
      </c>
      <c r="F154" s="304">
        <f>IF(OR(A154&lt;A$3,A154&gt;A$7),"",Crop!U187)</f>
        <v>1.2</v>
      </c>
      <c r="G154" s="304">
        <f t="shared" si="31"/>
        <v>6.7304692863252251</v>
      </c>
      <c r="H154" s="309">
        <f>IF(OR(A154&lt;A$3,A154&gt;A$7),"",YTD!E151)</f>
        <v>135</v>
      </c>
      <c r="I154" s="310">
        <f t="shared" si="32"/>
        <v>287.91067584200965</v>
      </c>
      <c r="J154" s="311"/>
      <c r="K154" s="309">
        <f t="shared" si="33"/>
        <v>0</v>
      </c>
      <c r="L154" s="312" t="str">
        <f t="shared" si="40"/>
        <v/>
      </c>
      <c r="M154" s="366" t="str">
        <f t="shared" si="34"/>
        <v/>
      </c>
      <c r="N154" s="328" t="str">
        <f t="shared" si="35"/>
        <v/>
      </c>
      <c r="O154" s="313" t="str">
        <f t="shared" si="36"/>
        <v/>
      </c>
      <c r="P154" s="307"/>
      <c r="Q154" s="309">
        <f t="shared" si="41"/>
        <v>0.8</v>
      </c>
      <c r="R154" s="307"/>
      <c r="S154" s="314">
        <f t="shared" si="42"/>
        <v>11.2</v>
      </c>
      <c r="T154" s="304" t="str">
        <f t="shared" si="37"/>
        <v/>
      </c>
      <c r="U154" s="304">
        <f>IF(A154=YTD!B$6,E154,IF(OR(A154&lt;YTD!B$6,A154&gt;YTD!B$10),"",U153+E154))</f>
        <v>312.9081413288427</v>
      </c>
      <c r="V154" s="304">
        <f t="shared" si="43"/>
        <v>357.91067584200965</v>
      </c>
      <c r="W154" s="315">
        <f>IF(I154="",#N/A,YTD!G$8-I154)</f>
        <v>-17.910675842009653</v>
      </c>
      <c r="X154" s="368">
        <f t="shared" si="38"/>
        <v>0</v>
      </c>
      <c r="Y154" s="368">
        <f t="shared" si="44"/>
        <v>0</v>
      </c>
      <c r="Z154" s="368" t="str">
        <f t="shared" si="39"/>
        <v/>
      </c>
      <c r="AA154" s="368">
        <v>139</v>
      </c>
      <c r="AB154" s="369">
        <f t="array" ref="AB154">SUM(IF(AA154=Z$16:Z$592,A$16:A$592,""))</f>
        <v>0</v>
      </c>
      <c r="AC154" s="370">
        <f t="array" ref="AC154">SUM(IF(AA154=Z$16:Z$592,J$16:J$592,""))</f>
        <v>0</v>
      </c>
      <c r="AD154" s="370">
        <f t="array" ref="AD154">SUM(IF($AA154=$Z$16:$Z$592,L$16:L$592,""))</f>
        <v>0</v>
      </c>
      <c r="AE154" s="370">
        <f t="array" ref="AE154">SUM(IF($AA154=$Z$16:$Z$592,M$16:M$592,""))</f>
        <v>0</v>
      </c>
      <c r="AF154" s="368">
        <f t="array" ref="AF154">SUM(IF($AA154=$Z$16:$Z$592,N$16:N$592,""))</f>
        <v>0</v>
      </c>
      <c r="AG154" s="370">
        <f t="array" ref="AG154">SUM(IF($AA154=$Z$16:$Z$592,O$16:O$592,""))</f>
        <v>0</v>
      </c>
      <c r="AH154" s="2"/>
      <c r="AI154" s="2"/>
      <c r="AJ154" s="2"/>
    </row>
    <row r="155" spans="1:36" x14ac:dyDescent="0.2">
      <c r="A155" s="306">
        <f>Crop!B188</f>
        <v>41779</v>
      </c>
      <c r="B155" s="307"/>
      <c r="C155" s="308"/>
      <c r="D155" s="304">
        <f>IF(OR($A155&lt;$A$3,$A155&gt;$A$7),"",Crop!$D188)</f>
        <v>5.6502359858375657</v>
      </c>
      <c r="E155" s="304">
        <f t="shared" si="30"/>
        <v>5.6502359858375657</v>
      </c>
      <c r="F155" s="304">
        <f>IF(OR(A155&lt;A$3,A155&gt;A$7),"",Crop!U188)</f>
        <v>1.2</v>
      </c>
      <c r="G155" s="304">
        <f t="shared" si="31"/>
        <v>6.7802831830050785</v>
      </c>
      <c r="H155" s="309">
        <f>IF(OR(A155&lt;A$3,A155&gt;A$7),"",YTD!E152)</f>
        <v>135</v>
      </c>
      <c r="I155" s="310">
        <f t="shared" si="32"/>
        <v>294.69095902501471</v>
      </c>
      <c r="J155" s="311"/>
      <c r="K155" s="309">
        <f t="shared" si="33"/>
        <v>0</v>
      </c>
      <c r="L155" s="312" t="str">
        <f t="shared" si="40"/>
        <v/>
      </c>
      <c r="M155" s="366" t="str">
        <f t="shared" si="34"/>
        <v/>
      </c>
      <c r="N155" s="328" t="str">
        <f t="shared" si="35"/>
        <v/>
      </c>
      <c r="O155" s="313" t="str">
        <f t="shared" si="36"/>
        <v/>
      </c>
      <c r="P155" s="307"/>
      <c r="Q155" s="309">
        <f t="shared" si="41"/>
        <v>0.8</v>
      </c>
      <c r="R155" s="307"/>
      <c r="S155" s="314">
        <f t="shared" si="42"/>
        <v>11.2</v>
      </c>
      <c r="T155" s="304" t="str">
        <f t="shared" si="37"/>
        <v/>
      </c>
      <c r="U155" s="304">
        <f>IF(A155=YTD!B$6,E155,IF(OR(A155&lt;YTD!B$6,A155&gt;YTD!B$10),"",U154+E155))</f>
        <v>318.55837731468029</v>
      </c>
      <c r="V155" s="304">
        <f t="shared" si="43"/>
        <v>364.69095902501471</v>
      </c>
      <c r="W155" s="315">
        <f>IF(I155="",#N/A,YTD!G$8-I155)</f>
        <v>-24.690959025014706</v>
      </c>
      <c r="X155" s="368">
        <f t="shared" si="38"/>
        <v>0</v>
      </c>
      <c r="Y155" s="368">
        <f t="shared" si="44"/>
        <v>0</v>
      </c>
      <c r="Z155" s="368" t="str">
        <f t="shared" si="39"/>
        <v/>
      </c>
      <c r="AA155" s="368">
        <v>140</v>
      </c>
      <c r="AB155" s="369">
        <f t="array" ref="AB155">SUM(IF(AA155=Z$16:Z$592,A$16:A$592,""))</f>
        <v>0</v>
      </c>
      <c r="AC155" s="370">
        <f t="array" ref="AC155">SUM(IF(AA155=Z$16:Z$592,J$16:J$592,""))</f>
        <v>0</v>
      </c>
      <c r="AD155" s="370">
        <f t="array" ref="AD155">SUM(IF($AA155=$Z$16:$Z$592,L$16:L$592,""))</f>
        <v>0</v>
      </c>
      <c r="AE155" s="370">
        <f t="array" ref="AE155">SUM(IF($AA155=$Z$16:$Z$592,M$16:M$592,""))</f>
        <v>0</v>
      </c>
      <c r="AF155" s="368">
        <f t="array" ref="AF155">SUM(IF($AA155=$Z$16:$Z$592,N$16:N$592,""))</f>
        <v>0</v>
      </c>
      <c r="AG155" s="370">
        <f t="array" ref="AG155">SUM(IF($AA155=$Z$16:$Z$592,O$16:O$592,""))</f>
        <v>0</v>
      </c>
      <c r="AH155" s="2"/>
      <c r="AI155" s="2"/>
      <c r="AJ155" s="2"/>
    </row>
    <row r="156" spans="1:36" x14ac:dyDescent="0.2">
      <c r="A156" s="306">
        <f>Crop!B189</f>
        <v>41780</v>
      </c>
      <c r="B156" s="307"/>
      <c r="C156" s="308"/>
      <c r="D156" s="304">
        <f>IF(OR($A156&lt;$A$3,$A156&gt;$A$7),"",Crop!$D189)</f>
        <v>5.6923365670181481</v>
      </c>
      <c r="E156" s="304">
        <f t="shared" si="30"/>
        <v>5.6923365670181481</v>
      </c>
      <c r="F156" s="304">
        <f>IF(OR(A156&lt;A$3,A156&gt;A$7),"",Crop!U189)</f>
        <v>1.2</v>
      </c>
      <c r="G156" s="304">
        <f t="shared" si="31"/>
        <v>6.8308038804217777</v>
      </c>
      <c r="H156" s="309">
        <f>IF(OR(A156&lt;A$3,A156&gt;A$7),"",YTD!E153)</f>
        <v>135</v>
      </c>
      <c r="I156" s="310">
        <f t="shared" si="32"/>
        <v>301.5217629054365</v>
      </c>
      <c r="J156" s="311"/>
      <c r="K156" s="309">
        <f t="shared" si="33"/>
        <v>0</v>
      </c>
      <c r="L156" s="312" t="str">
        <f t="shared" si="40"/>
        <v/>
      </c>
      <c r="M156" s="366" t="str">
        <f t="shared" si="34"/>
        <v/>
      </c>
      <c r="N156" s="328" t="str">
        <f t="shared" si="35"/>
        <v/>
      </c>
      <c r="O156" s="313" t="str">
        <f t="shared" si="36"/>
        <v/>
      </c>
      <c r="P156" s="307"/>
      <c r="Q156" s="309">
        <f t="shared" si="41"/>
        <v>0.8</v>
      </c>
      <c r="R156" s="307"/>
      <c r="S156" s="314">
        <f t="shared" si="42"/>
        <v>11.2</v>
      </c>
      <c r="T156" s="304" t="str">
        <f t="shared" si="37"/>
        <v/>
      </c>
      <c r="U156" s="304">
        <f>IF(A156=YTD!B$6,E156,IF(OR(A156&lt;YTD!B$6,A156&gt;YTD!B$10),"",U155+E156))</f>
        <v>324.25071388169846</v>
      </c>
      <c r="V156" s="304">
        <f t="shared" si="43"/>
        <v>371.5217629054365</v>
      </c>
      <c r="W156" s="315">
        <f>IF(I156="",#N/A,YTD!G$8-I156)</f>
        <v>-31.521762905436503</v>
      </c>
      <c r="X156" s="368">
        <f t="shared" si="38"/>
        <v>0</v>
      </c>
      <c r="Y156" s="368">
        <f t="shared" si="44"/>
        <v>0</v>
      </c>
      <c r="Z156" s="368" t="str">
        <f t="shared" si="39"/>
        <v/>
      </c>
      <c r="AA156" s="368">
        <v>141</v>
      </c>
      <c r="AB156" s="369">
        <f t="array" ref="AB156">SUM(IF(AA156=Z$16:Z$592,A$16:A$592,""))</f>
        <v>0</v>
      </c>
      <c r="AC156" s="370">
        <f t="array" ref="AC156">SUM(IF(AA156=Z$16:Z$592,J$16:J$592,""))</f>
        <v>0</v>
      </c>
      <c r="AD156" s="370">
        <f t="array" ref="AD156">SUM(IF($AA156=$Z$16:$Z$592,L$16:L$592,""))</f>
        <v>0</v>
      </c>
      <c r="AE156" s="370">
        <f t="array" ref="AE156">SUM(IF($AA156=$Z$16:$Z$592,M$16:M$592,""))</f>
        <v>0</v>
      </c>
      <c r="AF156" s="368">
        <f t="array" ref="AF156">SUM(IF($AA156=$Z$16:$Z$592,N$16:N$592,""))</f>
        <v>0</v>
      </c>
      <c r="AG156" s="370">
        <f t="array" ref="AG156">SUM(IF($AA156=$Z$16:$Z$592,O$16:O$592,""))</f>
        <v>0</v>
      </c>
      <c r="AH156" s="2"/>
      <c r="AI156" s="2"/>
      <c r="AJ156" s="2"/>
    </row>
    <row r="157" spans="1:36" x14ac:dyDescent="0.2">
      <c r="A157" s="306">
        <f>Crop!B190</f>
        <v>41781</v>
      </c>
      <c r="B157" s="307"/>
      <c r="C157" s="308"/>
      <c r="D157" s="304">
        <f>IF(OR($A157&lt;$A$3,$A157&gt;$A$7),"",Crop!$D190)</f>
        <v>5.7349531912108906</v>
      </c>
      <c r="E157" s="304">
        <f t="shared" si="30"/>
        <v>5.7349531912108906</v>
      </c>
      <c r="F157" s="304">
        <f>IF(OR(A157&lt;A$3,A157&gt;A$7),"",Crop!U190)</f>
        <v>1.2</v>
      </c>
      <c r="G157" s="304">
        <f t="shared" si="31"/>
        <v>6.8819438294530686</v>
      </c>
      <c r="H157" s="309">
        <f>IF(OR(A157&lt;A$3,A157&gt;A$7),"",YTD!E154)</f>
        <v>135</v>
      </c>
      <c r="I157" s="310">
        <f t="shared" si="32"/>
        <v>308.40370673488957</v>
      </c>
      <c r="J157" s="311"/>
      <c r="K157" s="309">
        <f t="shared" si="33"/>
        <v>0</v>
      </c>
      <c r="L157" s="312" t="str">
        <f t="shared" si="40"/>
        <v/>
      </c>
      <c r="M157" s="366" t="str">
        <f t="shared" si="34"/>
        <v/>
      </c>
      <c r="N157" s="328" t="str">
        <f t="shared" si="35"/>
        <v/>
      </c>
      <c r="O157" s="313" t="str">
        <f t="shared" si="36"/>
        <v/>
      </c>
      <c r="P157" s="307"/>
      <c r="Q157" s="309">
        <f t="shared" si="41"/>
        <v>0.8</v>
      </c>
      <c r="R157" s="307"/>
      <c r="S157" s="314">
        <f t="shared" si="42"/>
        <v>11.2</v>
      </c>
      <c r="T157" s="304" t="str">
        <f t="shared" si="37"/>
        <v/>
      </c>
      <c r="U157" s="304">
        <f>IF(A157=YTD!B$6,E157,IF(OR(A157&lt;YTD!B$6,A157&gt;YTD!B$10),"",U156+E157))</f>
        <v>329.98566707290934</v>
      </c>
      <c r="V157" s="304">
        <f t="shared" si="43"/>
        <v>378.40370673488957</v>
      </c>
      <c r="W157" s="315">
        <f>IF(I157="",#N/A,YTD!G$8-I157)</f>
        <v>-38.403706734889568</v>
      </c>
      <c r="X157" s="368">
        <f t="shared" si="38"/>
        <v>0</v>
      </c>
      <c r="Y157" s="368">
        <f t="shared" si="44"/>
        <v>0</v>
      </c>
      <c r="Z157" s="368" t="str">
        <f t="shared" si="39"/>
        <v/>
      </c>
      <c r="AA157" s="368">
        <v>142</v>
      </c>
      <c r="AB157" s="369">
        <f t="array" ref="AB157">SUM(IF(AA157=Z$16:Z$592,A$16:A$592,""))</f>
        <v>0</v>
      </c>
      <c r="AC157" s="370">
        <f t="array" ref="AC157">SUM(IF(AA157=Z$16:Z$592,J$16:J$592,""))</f>
        <v>0</v>
      </c>
      <c r="AD157" s="370">
        <f t="array" ref="AD157">SUM(IF($AA157=$Z$16:$Z$592,L$16:L$592,""))</f>
        <v>0</v>
      </c>
      <c r="AE157" s="370">
        <f t="array" ref="AE157">SUM(IF($AA157=$Z$16:$Z$592,M$16:M$592,""))</f>
        <v>0</v>
      </c>
      <c r="AF157" s="368">
        <f t="array" ref="AF157">SUM(IF($AA157=$Z$16:$Z$592,N$16:N$592,""))</f>
        <v>0</v>
      </c>
      <c r="AG157" s="370">
        <f t="array" ref="AG157">SUM(IF($AA157=$Z$16:$Z$592,O$16:O$592,""))</f>
        <v>0</v>
      </c>
      <c r="AH157" s="2"/>
      <c r="AI157" s="2"/>
      <c r="AJ157" s="2"/>
    </row>
    <row r="158" spans="1:36" x14ac:dyDescent="0.2">
      <c r="A158" s="306">
        <f>Crop!B191</f>
        <v>41782</v>
      </c>
      <c r="B158" s="307"/>
      <c r="C158" s="308"/>
      <c r="D158" s="304">
        <f>IF(OR($A158&lt;$A$3,$A158&gt;$A$7),"",Crop!$D191)</f>
        <v>5.7780129008139216</v>
      </c>
      <c r="E158" s="304">
        <f t="shared" si="30"/>
        <v>5.7780129008139216</v>
      </c>
      <c r="F158" s="304">
        <f>IF(OR(A158&lt;A$3,A158&gt;A$7),"",Crop!U191)</f>
        <v>1.2</v>
      </c>
      <c r="G158" s="304">
        <f t="shared" si="31"/>
        <v>6.9336154809767061</v>
      </c>
      <c r="H158" s="309">
        <f>IF(OR(A158&lt;A$3,A158&gt;A$7),"",YTD!E155)</f>
        <v>135</v>
      </c>
      <c r="I158" s="310">
        <f t="shared" si="32"/>
        <v>315.33732221586627</v>
      </c>
      <c r="J158" s="311"/>
      <c r="K158" s="309">
        <f t="shared" si="33"/>
        <v>0</v>
      </c>
      <c r="L158" s="312" t="str">
        <f t="shared" si="40"/>
        <v/>
      </c>
      <c r="M158" s="366" t="str">
        <f t="shared" si="34"/>
        <v/>
      </c>
      <c r="N158" s="328" t="str">
        <f t="shared" si="35"/>
        <v/>
      </c>
      <c r="O158" s="313" t="str">
        <f t="shared" si="36"/>
        <v/>
      </c>
      <c r="P158" s="307"/>
      <c r="Q158" s="309">
        <f t="shared" si="41"/>
        <v>0.8</v>
      </c>
      <c r="R158" s="307"/>
      <c r="S158" s="314">
        <f t="shared" si="42"/>
        <v>11.2</v>
      </c>
      <c r="T158" s="304" t="str">
        <f t="shared" si="37"/>
        <v/>
      </c>
      <c r="U158" s="304">
        <f>IF(A158=YTD!B$6,E158,IF(OR(A158&lt;YTD!B$6,A158&gt;YTD!B$10),"",U157+E158))</f>
        <v>335.76367997372324</v>
      </c>
      <c r="V158" s="304">
        <f t="shared" si="43"/>
        <v>385.33732221586627</v>
      </c>
      <c r="W158" s="315">
        <f>IF(I158="",#N/A,YTD!G$8-I158)</f>
        <v>-45.337322215866266</v>
      </c>
      <c r="X158" s="368">
        <f t="shared" si="38"/>
        <v>0</v>
      </c>
      <c r="Y158" s="368">
        <f t="shared" si="44"/>
        <v>0</v>
      </c>
      <c r="Z158" s="368" t="str">
        <f t="shared" si="39"/>
        <v/>
      </c>
      <c r="AA158" s="368">
        <v>143</v>
      </c>
      <c r="AB158" s="369">
        <f t="array" ref="AB158">SUM(IF(AA158=Z$16:Z$592,A$16:A$592,""))</f>
        <v>0</v>
      </c>
      <c r="AC158" s="370">
        <f t="array" ref="AC158">SUM(IF(AA158=Z$16:Z$592,J$16:J$592,""))</f>
        <v>0</v>
      </c>
      <c r="AD158" s="370">
        <f t="array" ref="AD158">SUM(IF($AA158=$Z$16:$Z$592,L$16:L$592,""))</f>
        <v>0</v>
      </c>
      <c r="AE158" s="370">
        <f t="array" ref="AE158">SUM(IF($AA158=$Z$16:$Z$592,M$16:M$592,""))</f>
        <v>0</v>
      </c>
      <c r="AF158" s="368">
        <f t="array" ref="AF158">SUM(IF($AA158=$Z$16:$Z$592,N$16:N$592,""))</f>
        <v>0</v>
      </c>
      <c r="AG158" s="370">
        <f t="array" ref="AG158">SUM(IF($AA158=$Z$16:$Z$592,O$16:O$592,""))</f>
        <v>0</v>
      </c>
      <c r="AH158" s="2"/>
      <c r="AI158" s="2"/>
      <c r="AJ158" s="2"/>
    </row>
    <row r="159" spans="1:36" x14ac:dyDescent="0.2">
      <c r="A159" s="306">
        <f>Crop!B192</f>
        <v>41783</v>
      </c>
      <c r="B159" s="307"/>
      <c r="C159" s="308"/>
      <c r="D159" s="304">
        <f>IF(OR($A159&lt;$A$3,$A159&gt;$A$7),"",Crop!$D192)</f>
        <v>5.82144273822537</v>
      </c>
      <c r="E159" s="304">
        <f t="shared" si="30"/>
        <v>5.82144273822537</v>
      </c>
      <c r="F159" s="304">
        <f>IF(OR(A159&lt;A$3,A159&gt;A$7),"",Crop!U192)</f>
        <v>1.2</v>
      </c>
      <c r="G159" s="304">
        <f t="shared" si="31"/>
        <v>6.9857312858704441</v>
      </c>
      <c r="H159" s="309">
        <f>IF(OR(A159&lt;A$3,A159&gt;A$7),"",YTD!E156)</f>
        <v>135</v>
      </c>
      <c r="I159" s="310">
        <f t="shared" si="32"/>
        <v>322.32305350173669</v>
      </c>
      <c r="J159" s="311"/>
      <c r="K159" s="309">
        <f t="shared" si="33"/>
        <v>0</v>
      </c>
      <c r="L159" s="312" t="str">
        <f t="shared" si="40"/>
        <v/>
      </c>
      <c r="M159" s="366" t="str">
        <f t="shared" si="34"/>
        <v/>
      </c>
      <c r="N159" s="328" t="str">
        <f t="shared" si="35"/>
        <v/>
      </c>
      <c r="O159" s="313" t="str">
        <f t="shared" si="36"/>
        <v/>
      </c>
      <c r="P159" s="307"/>
      <c r="Q159" s="309">
        <f t="shared" si="41"/>
        <v>0.8</v>
      </c>
      <c r="R159" s="307"/>
      <c r="S159" s="314">
        <f t="shared" si="42"/>
        <v>11.2</v>
      </c>
      <c r="T159" s="304" t="str">
        <f t="shared" si="37"/>
        <v/>
      </c>
      <c r="U159" s="304">
        <f>IF(A159=YTD!B$6,E159,IF(OR(A159&lt;YTD!B$6,A159&gt;YTD!B$10),"",U158+E159))</f>
        <v>341.5851227119486</v>
      </c>
      <c r="V159" s="304">
        <f t="shared" si="43"/>
        <v>392.32305350173669</v>
      </c>
      <c r="W159" s="315">
        <f>IF(I159="",#N/A,YTD!G$8-I159)</f>
        <v>-52.323053501736695</v>
      </c>
      <c r="X159" s="368">
        <f t="shared" si="38"/>
        <v>0</v>
      </c>
      <c r="Y159" s="368">
        <f t="shared" si="44"/>
        <v>0</v>
      </c>
      <c r="Z159" s="368" t="str">
        <f t="shared" si="39"/>
        <v/>
      </c>
      <c r="AA159" s="368">
        <v>144</v>
      </c>
      <c r="AB159" s="369">
        <f t="array" ref="AB159">SUM(IF(AA159=Z$16:Z$592,A$16:A$592,""))</f>
        <v>0</v>
      </c>
      <c r="AC159" s="370">
        <f t="array" ref="AC159">SUM(IF(AA159=Z$16:Z$592,J$16:J$592,""))</f>
        <v>0</v>
      </c>
      <c r="AD159" s="370">
        <f t="array" ref="AD159">SUM(IF($AA159=$Z$16:$Z$592,L$16:L$592,""))</f>
        <v>0</v>
      </c>
      <c r="AE159" s="370">
        <f t="array" ref="AE159">SUM(IF($AA159=$Z$16:$Z$592,M$16:M$592,""))</f>
        <v>0</v>
      </c>
      <c r="AF159" s="368">
        <f t="array" ref="AF159">SUM(IF($AA159=$Z$16:$Z$592,N$16:N$592,""))</f>
        <v>0</v>
      </c>
      <c r="AG159" s="370">
        <f t="array" ref="AG159">SUM(IF($AA159=$Z$16:$Z$592,O$16:O$592,""))</f>
        <v>0</v>
      </c>
      <c r="AH159" s="2"/>
      <c r="AI159" s="2"/>
      <c r="AJ159" s="2"/>
    </row>
    <row r="160" spans="1:36" x14ac:dyDescent="0.2">
      <c r="A160" s="306">
        <f>Crop!B193</f>
        <v>41784</v>
      </c>
      <c r="B160" s="307"/>
      <c r="C160" s="308"/>
      <c r="D160" s="304">
        <f>IF(OR($A160&lt;$A$3,$A160&gt;$A$7),"",Crop!$D193)</f>
        <v>5.865169745843362</v>
      </c>
      <c r="E160" s="304">
        <f t="shared" si="30"/>
        <v>5.865169745843362</v>
      </c>
      <c r="F160" s="304">
        <f>IF(OR(A160&lt;A$3,A160&gt;A$7),"",Crop!U193)</f>
        <v>1.2</v>
      </c>
      <c r="G160" s="304">
        <f t="shared" si="31"/>
        <v>7.0382036950120339</v>
      </c>
      <c r="H160" s="309">
        <f>IF(OR(A160&lt;A$3,A160&gt;A$7),"",YTD!E157)</f>
        <v>135</v>
      </c>
      <c r="I160" s="310">
        <f t="shared" si="32"/>
        <v>329.36125719674874</v>
      </c>
      <c r="J160" s="311"/>
      <c r="K160" s="309">
        <f t="shared" si="33"/>
        <v>0</v>
      </c>
      <c r="L160" s="312" t="str">
        <f t="shared" si="40"/>
        <v/>
      </c>
      <c r="M160" s="366" t="str">
        <f t="shared" si="34"/>
        <v/>
      </c>
      <c r="N160" s="328" t="str">
        <f t="shared" si="35"/>
        <v/>
      </c>
      <c r="O160" s="313" t="str">
        <f t="shared" si="36"/>
        <v/>
      </c>
      <c r="P160" s="307"/>
      <c r="Q160" s="309">
        <f t="shared" si="41"/>
        <v>0.8</v>
      </c>
      <c r="R160" s="307"/>
      <c r="S160" s="314">
        <f t="shared" si="42"/>
        <v>11.2</v>
      </c>
      <c r="T160" s="304" t="str">
        <f t="shared" si="37"/>
        <v/>
      </c>
      <c r="U160" s="304">
        <f>IF(A160=YTD!B$6,E160,IF(OR(A160&lt;YTD!B$6,A160&gt;YTD!B$10),"",U159+E160))</f>
        <v>347.45029245779199</v>
      </c>
      <c r="V160" s="304">
        <f t="shared" si="43"/>
        <v>399.36125719674874</v>
      </c>
      <c r="W160" s="315">
        <f>IF(I160="",#N/A,YTD!G$8-I160)</f>
        <v>-59.361257196748738</v>
      </c>
      <c r="X160" s="368">
        <f t="shared" si="38"/>
        <v>0</v>
      </c>
      <c r="Y160" s="368">
        <f t="shared" si="44"/>
        <v>0</v>
      </c>
      <c r="Z160" s="368" t="str">
        <f t="shared" si="39"/>
        <v/>
      </c>
      <c r="AA160" s="368">
        <v>145</v>
      </c>
      <c r="AB160" s="369">
        <f t="array" ref="AB160">SUM(IF(AA160=Z$16:Z$592,A$16:A$592,""))</f>
        <v>0</v>
      </c>
      <c r="AC160" s="370">
        <f t="array" ref="AC160">SUM(IF(AA160=Z$16:Z$592,J$16:J$592,""))</f>
        <v>0</v>
      </c>
      <c r="AD160" s="370">
        <f t="array" ref="AD160">SUM(IF($AA160=$Z$16:$Z$592,L$16:L$592,""))</f>
        <v>0</v>
      </c>
      <c r="AE160" s="370">
        <f t="array" ref="AE160">SUM(IF($AA160=$Z$16:$Z$592,M$16:M$592,""))</f>
        <v>0</v>
      </c>
      <c r="AF160" s="368">
        <f t="array" ref="AF160">SUM(IF($AA160=$Z$16:$Z$592,N$16:N$592,""))</f>
        <v>0</v>
      </c>
      <c r="AG160" s="370">
        <f t="array" ref="AG160">SUM(IF($AA160=$Z$16:$Z$592,O$16:O$592,""))</f>
        <v>0</v>
      </c>
      <c r="AH160" s="2"/>
      <c r="AI160" s="2"/>
      <c r="AJ160" s="2"/>
    </row>
    <row r="161" spans="1:36" x14ac:dyDescent="0.2">
      <c r="A161" s="306">
        <f>Crop!B194</f>
        <v>41785</v>
      </c>
      <c r="B161" s="307"/>
      <c r="C161" s="308"/>
      <c r="D161" s="304">
        <f>IF(OR($A161&lt;$A$3,$A161&gt;$A$7),"",Crop!$D194)</f>
        <v>5.909120966066026</v>
      </c>
      <c r="E161" s="304">
        <f t="shared" si="30"/>
        <v>5.909120966066026</v>
      </c>
      <c r="F161" s="304">
        <f>IF(OR(A161&lt;A$3,A161&gt;A$7),"",Crop!U194)</f>
        <v>1.2</v>
      </c>
      <c r="G161" s="304">
        <f t="shared" si="31"/>
        <v>7.0909451592792312</v>
      </c>
      <c r="H161" s="309">
        <f>IF(OR(A161&lt;A$3,A161&gt;A$7),"",YTD!E158)</f>
        <v>135</v>
      </c>
      <c r="I161" s="310">
        <f t="shared" si="32"/>
        <v>336.45220235602795</v>
      </c>
      <c r="J161" s="311"/>
      <c r="K161" s="309">
        <f t="shared" si="33"/>
        <v>0</v>
      </c>
      <c r="L161" s="312" t="str">
        <f t="shared" si="40"/>
        <v/>
      </c>
      <c r="M161" s="366" t="str">
        <f t="shared" si="34"/>
        <v/>
      </c>
      <c r="N161" s="328" t="str">
        <f t="shared" si="35"/>
        <v/>
      </c>
      <c r="O161" s="313" t="str">
        <f t="shared" si="36"/>
        <v/>
      </c>
      <c r="P161" s="307"/>
      <c r="Q161" s="309">
        <f t="shared" si="41"/>
        <v>0.8</v>
      </c>
      <c r="R161" s="307"/>
      <c r="S161" s="314">
        <f t="shared" si="42"/>
        <v>11.2</v>
      </c>
      <c r="T161" s="304" t="str">
        <f t="shared" si="37"/>
        <v/>
      </c>
      <c r="U161" s="304">
        <f>IF(A161=YTD!B$6,E161,IF(OR(A161&lt;YTD!B$6,A161&gt;YTD!B$10),"",U160+E161))</f>
        <v>353.35941342385803</v>
      </c>
      <c r="V161" s="304">
        <f t="shared" si="43"/>
        <v>406.45220235602795</v>
      </c>
      <c r="W161" s="315">
        <f>IF(I161="",#N/A,YTD!G$8-I161)</f>
        <v>-66.452202356027954</v>
      </c>
      <c r="X161" s="368">
        <f t="shared" si="38"/>
        <v>0</v>
      </c>
      <c r="Y161" s="368">
        <f t="shared" si="44"/>
        <v>0</v>
      </c>
      <c r="Z161" s="368" t="str">
        <f t="shared" si="39"/>
        <v/>
      </c>
      <c r="AA161" s="368">
        <v>146</v>
      </c>
      <c r="AB161" s="369">
        <f t="array" ref="AB161">SUM(IF(AA161=Z$16:Z$592,A$16:A$592,""))</f>
        <v>0</v>
      </c>
      <c r="AC161" s="370">
        <f t="array" ref="AC161">SUM(IF(AA161=Z$16:Z$592,J$16:J$592,""))</f>
        <v>0</v>
      </c>
      <c r="AD161" s="370">
        <f t="array" ref="AD161">SUM(IF($AA161=$Z$16:$Z$592,L$16:L$592,""))</f>
        <v>0</v>
      </c>
      <c r="AE161" s="370">
        <f t="array" ref="AE161">SUM(IF($AA161=$Z$16:$Z$592,M$16:M$592,""))</f>
        <v>0</v>
      </c>
      <c r="AF161" s="368">
        <f t="array" ref="AF161">SUM(IF($AA161=$Z$16:$Z$592,N$16:N$592,""))</f>
        <v>0</v>
      </c>
      <c r="AG161" s="370">
        <f t="array" ref="AG161">SUM(IF($AA161=$Z$16:$Z$592,O$16:O$592,""))</f>
        <v>0</v>
      </c>
      <c r="AH161" s="2"/>
      <c r="AI161" s="2"/>
      <c r="AJ161" s="2"/>
    </row>
    <row r="162" spans="1:36" x14ac:dyDescent="0.2">
      <c r="A162" s="306">
        <f>Crop!B195</f>
        <v>41786</v>
      </c>
      <c r="B162" s="307"/>
      <c r="C162" s="308"/>
      <c r="D162" s="304">
        <f>IF(OR($A162&lt;$A$3,$A162&gt;$A$7),"",Crop!$D195)</f>
        <v>5.9532234412914873</v>
      </c>
      <c r="E162" s="304">
        <f t="shared" si="30"/>
        <v>5.9532234412914873</v>
      </c>
      <c r="F162" s="304">
        <f>IF(OR(A162&lt;A$3,A162&gt;A$7),"",Crop!U195)</f>
        <v>1.2</v>
      </c>
      <c r="G162" s="304">
        <f t="shared" si="31"/>
        <v>7.1438681295497846</v>
      </c>
      <c r="H162" s="309">
        <f>IF(OR(A162&lt;A$3,A162&gt;A$7),"",YTD!E159)</f>
        <v>135</v>
      </c>
      <c r="I162" s="310">
        <f t="shared" si="32"/>
        <v>343.59607048557774</v>
      </c>
      <c r="J162" s="311"/>
      <c r="K162" s="309">
        <f t="shared" si="33"/>
        <v>0</v>
      </c>
      <c r="L162" s="312" t="str">
        <f t="shared" si="40"/>
        <v/>
      </c>
      <c r="M162" s="366" t="str">
        <f t="shared" si="34"/>
        <v/>
      </c>
      <c r="N162" s="328" t="str">
        <f t="shared" si="35"/>
        <v/>
      </c>
      <c r="O162" s="313" t="str">
        <f t="shared" si="36"/>
        <v/>
      </c>
      <c r="P162" s="307"/>
      <c r="Q162" s="309">
        <f t="shared" si="41"/>
        <v>0.8</v>
      </c>
      <c r="R162" s="307"/>
      <c r="S162" s="314">
        <f t="shared" si="42"/>
        <v>11.2</v>
      </c>
      <c r="T162" s="304" t="str">
        <f t="shared" si="37"/>
        <v/>
      </c>
      <c r="U162" s="304">
        <f>IF(A162=YTD!B$6,E162,IF(OR(A162&lt;YTD!B$6,A162&gt;YTD!B$10),"",U161+E162))</f>
        <v>359.3126368651495</v>
      </c>
      <c r="V162" s="304">
        <f t="shared" si="43"/>
        <v>413.59607048557774</v>
      </c>
      <c r="W162" s="315">
        <f>IF(I162="",#N/A,YTD!G$8-I162)</f>
        <v>-73.596070485577741</v>
      </c>
      <c r="X162" s="368">
        <f t="shared" si="38"/>
        <v>0</v>
      </c>
      <c r="Y162" s="368">
        <f t="shared" si="44"/>
        <v>0</v>
      </c>
      <c r="Z162" s="368" t="str">
        <f t="shared" si="39"/>
        <v/>
      </c>
      <c r="AA162" s="368">
        <v>147</v>
      </c>
      <c r="AB162" s="369">
        <f t="array" ref="AB162">SUM(IF(AA162=Z$16:Z$592,A$16:A$592,""))</f>
        <v>0</v>
      </c>
      <c r="AC162" s="370">
        <f t="array" ref="AC162">SUM(IF(AA162=Z$16:Z$592,J$16:J$592,""))</f>
        <v>0</v>
      </c>
      <c r="AD162" s="370">
        <f t="array" ref="AD162">SUM(IF($AA162=$Z$16:$Z$592,L$16:L$592,""))</f>
        <v>0</v>
      </c>
      <c r="AE162" s="370">
        <f t="array" ref="AE162">SUM(IF($AA162=$Z$16:$Z$592,M$16:M$592,""))</f>
        <v>0</v>
      </c>
      <c r="AF162" s="368">
        <f t="array" ref="AF162">SUM(IF($AA162=$Z$16:$Z$592,N$16:N$592,""))</f>
        <v>0</v>
      </c>
      <c r="AG162" s="370">
        <f t="array" ref="AG162">SUM(IF($AA162=$Z$16:$Z$592,O$16:O$592,""))</f>
        <v>0</v>
      </c>
      <c r="AH162" s="2"/>
      <c r="AI162" s="2"/>
      <c r="AJ162" s="2"/>
    </row>
    <row r="163" spans="1:36" x14ac:dyDescent="0.2">
      <c r="A163" s="306">
        <f>Crop!B196</f>
        <v>41787</v>
      </c>
      <c r="B163" s="307"/>
      <c r="C163" s="308"/>
      <c r="D163" s="304">
        <f>IF(OR($A163&lt;$A$3,$A163&gt;$A$7),"",Crop!$D196)</f>
        <v>5.997404213917874</v>
      </c>
      <c r="E163" s="304">
        <f t="shared" si="30"/>
        <v>5.997404213917874</v>
      </c>
      <c r="F163" s="304">
        <f>IF(OR(A163&lt;A$3,A163&gt;A$7),"",Crop!U196)</f>
        <v>1.2</v>
      </c>
      <c r="G163" s="304">
        <f t="shared" si="31"/>
        <v>7.1968850567014488</v>
      </c>
      <c r="H163" s="309">
        <f>IF(OR(A163&lt;A$3,A163&gt;A$7),"",YTD!E160)</f>
        <v>135</v>
      </c>
      <c r="I163" s="310">
        <f t="shared" si="32"/>
        <v>350.79295554227917</v>
      </c>
      <c r="J163" s="311"/>
      <c r="K163" s="309">
        <f t="shared" si="33"/>
        <v>0</v>
      </c>
      <c r="L163" s="312" t="str">
        <f t="shared" si="40"/>
        <v/>
      </c>
      <c r="M163" s="366" t="str">
        <f t="shared" si="34"/>
        <v/>
      </c>
      <c r="N163" s="328" t="str">
        <f t="shared" si="35"/>
        <v/>
      </c>
      <c r="O163" s="313" t="str">
        <f t="shared" si="36"/>
        <v/>
      </c>
      <c r="P163" s="307"/>
      <c r="Q163" s="309">
        <f t="shared" si="41"/>
        <v>0.8</v>
      </c>
      <c r="R163" s="307"/>
      <c r="S163" s="314">
        <f t="shared" si="42"/>
        <v>11.2</v>
      </c>
      <c r="T163" s="304" t="str">
        <f t="shared" si="37"/>
        <v/>
      </c>
      <c r="U163" s="304">
        <f>IF(A163=YTD!B$6,E163,IF(OR(A163&lt;YTD!B$6,A163&gt;YTD!B$10),"",U162+E163))</f>
        <v>365.31004107906739</v>
      </c>
      <c r="V163" s="304">
        <f t="shared" si="43"/>
        <v>420.79295554227917</v>
      </c>
      <c r="W163" s="315">
        <f>IF(I163="",#N/A,YTD!G$8-I163)</f>
        <v>-80.792955542279174</v>
      </c>
      <c r="X163" s="368">
        <f t="shared" si="38"/>
        <v>0</v>
      </c>
      <c r="Y163" s="368">
        <f t="shared" si="44"/>
        <v>0</v>
      </c>
      <c r="Z163" s="368" t="str">
        <f t="shared" si="39"/>
        <v/>
      </c>
      <c r="AA163" s="368">
        <v>148</v>
      </c>
      <c r="AB163" s="369">
        <f t="array" ref="AB163">SUM(IF(AA163=Z$16:Z$592,A$16:A$592,""))</f>
        <v>0</v>
      </c>
      <c r="AC163" s="370">
        <f t="array" ref="AC163">SUM(IF(AA163=Z$16:Z$592,J$16:J$592,""))</f>
        <v>0</v>
      </c>
      <c r="AD163" s="370">
        <f t="array" ref="AD163">SUM(IF($AA163=$Z$16:$Z$592,L$16:L$592,""))</f>
        <v>0</v>
      </c>
      <c r="AE163" s="370">
        <f t="array" ref="AE163">SUM(IF($AA163=$Z$16:$Z$592,M$16:M$592,""))</f>
        <v>0</v>
      </c>
      <c r="AF163" s="368">
        <f t="array" ref="AF163">SUM(IF($AA163=$Z$16:$Z$592,N$16:N$592,""))</f>
        <v>0</v>
      </c>
      <c r="AG163" s="370">
        <f t="array" ref="AG163">SUM(IF($AA163=$Z$16:$Z$592,O$16:O$592,""))</f>
        <v>0</v>
      </c>
      <c r="AH163" s="2"/>
      <c r="AI163" s="2"/>
      <c r="AJ163" s="2"/>
    </row>
    <row r="164" spans="1:36" x14ac:dyDescent="0.2">
      <c r="A164" s="306">
        <f>Crop!B197</f>
        <v>41788</v>
      </c>
      <c r="B164" s="307"/>
      <c r="C164" s="308"/>
      <c r="D164" s="304">
        <f>IF(OR($A164&lt;$A$3,$A164&gt;$A$7),"",Crop!$D197)</f>
        <v>6.0415903263433135</v>
      </c>
      <c r="E164" s="304">
        <f t="shared" si="30"/>
        <v>6.0415903263433135</v>
      </c>
      <c r="F164" s="304">
        <f>IF(OR(A164&lt;A$3,A164&gt;A$7),"",Crop!U197)</f>
        <v>1.2</v>
      </c>
      <c r="G164" s="304">
        <f t="shared" si="31"/>
        <v>7.2499083916119762</v>
      </c>
      <c r="H164" s="309">
        <f>IF(OR(A164&lt;A$3,A164&gt;A$7),"",YTD!E161)</f>
        <v>135</v>
      </c>
      <c r="I164" s="310">
        <f t="shared" si="32"/>
        <v>358.04286393389117</v>
      </c>
      <c r="J164" s="311"/>
      <c r="K164" s="309">
        <f t="shared" si="33"/>
        <v>0</v>
      </c>
      <c r="L164" s="312" t="str">
        <f t="shared" si="40"/>
        <v/>
      </c>
      <c r="M164" s="366" t="str">
        <f t="shared" si="34"/>
        <v/>
      </c>
      <c r="N164" s="328" t="str">
        <f t="shared" si="35"/>
        <v/>
      </c>
      <c r="O164" s="313" t="str">
        <f t="shared" si="36"/>
        <v/>
      </c>
      <c r="P164" s="307"/>
      <c r="Q164" s="309">
        <f t="shared" si="41"/>
        <v>0.8</v>
      </c>
      <c r="R164" s="307"/>
      <c r="S164" s="314">
        <f t="shared" si="42"/>
        <v>11.2</v>
      </c>
      <c r="T164" s="304" t="str">
        <f t="shared" si="37"/>
        <v/>
      </c>
      <c r="U164" s="304">
        <f>IF(A164=YTD!B$6,E164,IF(OR(A164&lt;YTD!B$6,A164&gt;YTD!B$10),"",U163+E164))</f>
        <v>371.35163140541073</v>
      </c>
      <c r="V164" s="304">
        <f t="shared" si="43"/>
        <v>428.04286393389117</v>
      </c>
      <c r="W164" s="315">
        <f>IF(I164="",#N/A,YTD!G$8-I164)</f>
        <v>-88.042863933891169</v>
      </c>
      <c r="X164" s="368">
        <f t="shared" si="38"/>
        <v>0</v>
      </c>
      <c r="Y164" s="368">
        <f t="shared" si="44"/>
        <v>0</v>
      </c>
      <c r="Z164" s="368" t="str">
        <f t="shared" si="39"/>
        <v/>
      </c>
      <c r="AA164" s="368">
        <v>149</v>
      </c>
      <c r="AB164" s="369">
        <f t="array" ref="AB164">SUM(IF(AA164=Z$16:Z$592,A$16:A$592,""))</f>
        <v>0</v>
      </c>
      <c r="AC164" s="370">
        <f t="array" ref="AC164">SUM(IF(AA164=Z$16:Z$592,J$16:J$592,""))</f>
        <v>0</v>
      </c>
      <c r="AD164" s="370">
        <f t="array" ref="AD164">SUM(IF($AA164=$Z$16:$Z$592,L$16:L$592,""))</f>
        <v>0</v>
      </c>
      <c r="AE164" s="370">
        <f t="array" ref="AE164">SUM(IF($AA164=$Z$16:$Z$592,M$16:M$592,""))</f>
        <v>0</v>
      </c>
      <c r="AF164" s="368">
        <f t="array" ref="AF164">SUM(IF($AA164=$Z$16:$Z$592,N$16:N$592,""))</f>
        <v>0</v>
      </c>
      <c r="AG164" s="370">
        <f t="array" ref="AG164">SUM(IF($AA164=$Z$16:$Z$592,O$16:O$592,""))</f>
        <v>0</v>
      </c>
      <c r="AH164" s="2"/>
      <c r="AI164" s="2"/>
      <c r="AJ164" s="2"/>
    </row>
    <row r="165" spans="1:36" x14ac:dyDescent="0.2">
      <c r="A165" s="306">
        <f>Crop!B198</f>
        <v>41789</v>
      </c>
      <c r="B165" s="307"/>
      <c r="C165" s="308"/>
      <c r="D165" s="304">
        <f>IF(OR($A165&lt;$A$3,$A165&gt;$A$7),"",Crop!$D198)</f>
        <v>6.0857088209659347</v>
      </c>
      <c r="E165" s="304">
        <f t="shared" si="30"/>
        <v>6.0857088209659347</v>
      </c>
      <c r="F165" s="304">
        <f>IF(OR(A165&lt;A$3,A165&gt;A$7),"",Crop!U198)</f>
        <v>1.2</v>
      </c>
      <c r="G165" s="304">
        <f t="shared" si="31"/>
        <v>7.3028505851591214</v>
      </c>
      <c r="H165" s="309">
        <f>IF(OR(A165&lt;A$3,A165&gt;A$7),"",YTD!E162)</f>
        <v>135</v>
      </c>
      <c r="I165" s="310">
        <f t="shared" si="32"/>
        <v>365.34571451905032</v>
      </c>
      <c r="J165" s="311"/>
      <c r="K165" s="309">
        <f t="shared" si="33"/>
        <v>0</v>
      </c>
      <c r="L165" s="312" t="str">
        <f t="shared" si="40"/>
        <v/>
      </c>
      <c r="M165" s="366" t="str">
        <f t="shared" si="34"/>
        <v/>
      </c>
      <c r="N165" s="328" t="str">
        <f t="shared" si="35"/>
        <v/>
      </c>
      <c r="O165" s="313" t="str">
        <f t="shared" si="36"/>
        <v/>
      </c>
      <c r="P165" s="307"/>
      <c r="Q165" s="309">
        <f t="shared" si="41"/>
        <v>0.8</v>
      </c>
      <c r="R165" s="307"/>
      <c r="S165" s="314">
        <f t="shared" si="42"/>
        <v>11.2</v>
      </c>
      <c r="T165" s="304" t="str">
        <f t="shared" si="37"/>
        <v/>
      </c>
      <c r="U165" s="304">
        <f>IF(A165=YTD!B$6,E165,IF(OR(A165&lt;YTD!B$6,A165&gt;YTD!B$10),"",U164+E165))</f>
        <v>377.43734022637665</v>
      </c>
      <c r="V165" s="304">
        <f t="shared" si="43"/>
        <v>435.34571451905032</v>
      </c>
      <c r="W165" s="315">
        <f>IF(I165="",#N/A,YTD!G$8-I165)</f>
        <v>-95.345714519050318</v>
      </c>
      <c r="X165" s="368">
        <f t="shared" si="38"/>
        <v>0</v>
      </c>
      <c r="Y165" s="368">
        <f t="shared" si="44"/>
        <v>0</v>
      </c>
      <c r="Z165" s="368" t="str">
        <f t="shared" si="39"/>
        <v/>
      </c>
      <c r="AA165" s="368">
        <v>150</v>
      </c>
      <c r="AB165" s="369">
        <f t="array" ref="AB165">SUM(IF(AA165=Z$16:Z$592,A$16:A$592,""))</f>
        <v>0</v>
      </c>
      <c r="AC165" s="370">
        <f t="array" ref="AC165">SUM(IF(AA165=Z$16:Z$592,J$16:J$592,""))</f>
        <v>0</v>
      </c>
      <c r="AD165" s="370">
        <f t="array" ref="AD165">SUM(IF($AA165=$Z$16:$Z$592,L$16:L$592,""))</f>
        <v>0</v>
      </c>
      <c r="AE165" s="370">
        <f t="array" ref="AE165">SUM(IF($AA165=$Z$16:$Z$592,M$16:M$592,""))</f>
        <v>0</v>
      </c>
      <c r="AF165" s="368">
        <f t="array" ref="AF165">SUM(IF($AA165=$Z$16:$Z$592,N$16:N$592,""))</f>
        <v>0</v>
      </c>
      <c r="AG165" s="370">
        <f t="array" ref="AG165">SUM(IF($AA165=$Z$16:$Z$592,O$16:O$592,""))</f>
        <v>0</v>
      </c>
      <c r="AH165" s="2"/>
      <c r="AI165" s="2"/>
      <c r="AJ165" s="2"/>
    </row>
    <row r="166" spans="1:36" x14ac:dyDescent="0.2">
      <c r="A166" s="306">
        <f>Crop!B199</f>
        <v>41790</v>
      </c>
      <c r="B166" s="307"/>
      <c r="C166" s="308"/>
      <c r="D166" s="304">
        <f>IF(OR($A166&lt;$A$3,$A166&gt;$A$7),"",Crop!$D199)</f>
        <v>6.1296867401838613</v>
      </c>
      <c r="E166" s="304">
        <f t="shared" si="30"/>
        <v>6.1296867401838613</v>
      </c>
      <c r="F166" s="304">
        <f>IF(OR(A166&lt;A$3,A166&gt;A$7),"",Crop!U199)</f>
        <v>1.2</v>
      </c>
      <c r="G166" s="304">
        <f t="shared" si="31"/>
        <v>7.3556240882206332</v>
      </c>
      <c r="H166" s="309">
        <f>IF(OR(A166&lt;A$3,A166&gt;A$7),"",YTD!E163)</f>
        <v>135</v>
      </c>
      <c r="I166" s="310">
        <f t="shared" si="32"/>
        <v>372.70133860727094</v>
      </c>
      <c r="J166" s="311"/>
      <c r="K166" s="309">
        <f t="shared" si="33"/>
        <v>0</v>
      </c>
      <c r="L166" s="312" t="str">
        <f t="shared" si="40"/>
        <v/>
      </c>
      <c r="M166" s="366" t="str">
        <f t="shared" si="34"/>
        <v/>
      </c>
      <c r="N166" s="328" t="str">
        <f t="shared" si="35"/>
        <v/>
      </c>
      <c r="O166" s="313" t="str">
        <f t="shared" si="36"/>
        <v/>
      </c>
      <c r="P166" s="307"/>
      <c r="Q166" s="309">
        <f t="shared" si="41"/>
        <v>0.8</v>
      </c>
      <c r="R166" s="307"/>
      <c r="S166" s="314">
        <f t="shared" si="42"/>
        <v>11.2</v>
      </c>
      <c r="T166" s="304" t="str">
        <f t="shared" si="37"/>
        <v/>
      </c>
      <c r="U166" s="304">
        <f>IF(A166=YTD!B$6,E166,IF(OR(A166&lt;YTD!B$6,A166&gt;YTD!B$10),"",U165+E166))</f>
        <v>383.56702696656049</v>
      </c>
      <c r="V166" s="304">
        <f t="shared" si="43"/>
        <v>442.70133860727094</v>
      </c>
      <c r="W166" s="315">
        <f>IF(I166="",#N/A,YTD!G$8-I166)</f>
        <v>-102.70133860727094</v>
      </c>
      <c r="X166" s="368">
        <f t="shared" si="38"/>
        <v>0</v>
      </c>
      <c r="Y166" s="368">
        <f t="shared" si="44"/>
        <v>0</v>
      </c>
      <c r="Z166" s="368" t="str">
        <f t="shared" si="39"/>
        <v/>
      </c>
      <c r="AA166" s="368">
        <v>151</v>
      </c>
      <c r="AB166" s="369">
        <f t="array" ref="AB166">SUM(IF(AA166=Z$16:Z$592,A$16:A$592,""))</f>
        <v>0</v>
      </c>
      <c r="AC166" s="370">
        <f t="array" ref="AC166">SUM(IF(AA166=Z$16:Z$592,J$16:J$592,""))</f>
        <v>0</v>
      </c>
      <c r="AD166" s="370">
        <f t="array" ref="AD166">SUM(IF($AA166=$Z$16:$Z$592,L$16:L$592,""))</f>
        <v>0</v>
      </c>
      <c r="AE166" s="370">
        <f t="array" ref="AE166">SUM(IF($AA166=$Z$16:$Z$592,M$16:M$592,""))</f>
        <v>0</v>
      </c>
      <c r="AF166" s="368">
        <f t="array" ref="AF166">SUM(IF($AA166=$Z$16:$Z$592,N$16:N$592,""))</f>
        <v>0</v>
      </c>
      <c r="AG166" s="370">
        <f t="array" ref="AG166">SUM(IF($AA166=$Z$16:$Z$592,O$16:O$592,""))</f>
        <v>0</v>
      </c>
      <c r="AH166" s="2"/>
      <c r="AI166" s="2"/>
      <c r="AJ166" s="2"/>
    </row>
    <row r="167" spans="1:36" x14ac:dyDescent="0.2">
      <c r="A167" s="306">
        <f>Crop!B200</f>
        <v>41791</v>
      </c>
      <c r="B167" s="307"/>
      <c r="C167" s="308"/>
      <c r="D167" s="304">
        <f>IF(OR($A167&lt;$A$3,$A167&gt;$A$7),"",Crop!$D200)</f>
        <v>6.1734511263952241</v>
      </c>
      <c r="E167" s="304">
        <f t="shared" si="30"/>
        <v>6.1734511263952241</v>
      </c>
      <c r="F167" s="304">
        <f>IF(OR(A167&lt;A$3,A167&gt;A$7),"",Crop!U200)</f>
        <v>1.2</v>
      </c>
      <c r="G167" s="304">
        <f t="shared" si="31"/>
        <v>7.4081413516742689</v>
      </c>
      <c r="H167" s="309">
        <f>IF(OR(A167&lt;A$3,A167&gt;A$7),"",YTD!E164)</f>
        <v>135</v>
      </c>
      <c r="I167" s="310">
        <f t="shared" si="32"/>
        <v>380.1094799589452</v>
      </c>
      <c r="J167" s="311"/>
      <c r="K167" s="309">
        <f t="shared" si="33"/>
        <v>0</v>
      </c>
      <c r="L167" s="312" t="str">
        <f t="shared" si="40"/>
        <v/>
      </c>
      <c r="M167" s="366" t="str">
        <f t="shared" si="34"/>
        <v/>
      </c>
      <c r="N167" s="328" t="str">
        <f t="shared" si="35"/>
        <v/>
      </c>
      <c r="O167" s="313" t="str">
        <f t="shared" si="36"/>
        <v/>
      </c>
      <c r="P167" s="307"/>
      <c r="Q167" s="309">
        <f t="shared" si="41"/>
        <v>0.8</v>
      </c>
      <c r="R167" s="307"/>
      <c r="S167" s="314">
        <f t="shared" si="42"/>
        <v>11.2</v>
      </c>
      <c r="T167" s="304" t="str">
        <f t="shared" si="37"/>
        <v/>
      </c>
      <c r="U167" s="304">
        <f>IF(A167=YTD!B$6,E167,IF(OR(A167&lt;YTD!B$6,A167&gt;YTD!B$10),"",U166+E167))</f>
        <v>389.7404780929557</v>
      </c>
      <c r="V167" s="304">
        <f t="shared" si="43"/>
        <v>450.1094799589452</v>
      </c>
      <c r="W167" s="315">
        <f>IF(I167="",#N/A,YTD!G$8-I167)</f>
        <v>-110.1094799589452</v>
      </c>
      <c r="X167" s="368">
        <f t="shared" si="38"/>
        <v>0</v>
      </c>
      <c r="Y167" s="368">
        <f t="shared" si="44"/>
        <v>0</v>
      </c>
      <c r="Z167" s="368" t="str">
        <f t="shared" si="39"/>
        <v/>
      </c>
      <c r="AA167" s="368">
        <v>152</v>
      </c>
      <c r="AB167" s="369">
        <f t="array" ref="AB167">SUM(IF(AA167=Z$16:Z$592,A$16:A$592,""))</f>
        <v>0</v>
      </c>
      <c r="AC167" s="370">
        <f t="array" ref="AC167">SUM(IF(AA167=Z$16:Z$592,J$16:J$592,""))</f>
        <v>0</v>
      </c>
      <c r="AD167" s="370">
        <f t="array" ref="AD167">SUM(IF($AA167=$Z$16:$Z$592,L$16:L$592,""))</f>
        <v>0</v>
      </c>
      <c r="AE167" s="370">
        <f t="array" ref="AE167">SUM(IF($AA167=$Z$16:$Z$592,M$16:M$592,""))</f>
        <v>0</v>
      </c>
      <c r="AF167" s="368">
        <f t="array" ref="AF167">SUM(IF($AA167=$Z$16:$Z$592,N$16:N$592,""))</f>
        <v>0</v>
      </c>
      <c r="AG167" s="370">
        <f t="array" ref="AG167">SUM(IF($AA167=$Z$16:$Z$592,O$16:O$592,""))</f>
        <v>0</v>
      </c>
      <c r="AH167" s="2"/>
      <c r="AI167" s="2"/>
      <c r="AJ167" s="2"/>
    </row>
    <row r="168" spans="1:36" x14ac:dyDescent="0.2">
      <c r="A168" s="306">
        <f>Crop!B201</f>
        <v>41792</v>
      </c>
      <c r="B168" s="307"/>
      <c r="C168" s="308"/>
      <c r="D168" s="304">
        <f>IF(OR($A168&lt;$A$3,$A168&gt;$A$7),"",Crop!$D201)</f>
        <v>6.2169290219981495</v>
      </c>
      <c r="E168" s="304">
        <f t="shared" si="30"/>
        <v>6.2169290219981495</v>
      </c>
      <c r="F168" s="304">
        <f>IF(OR(A168&lt;A$3,A168&gt;A$7),"",Crop!U201)</f>
        <v>1.2</v>
      </c>
      <c r="G168" s="304">
        <f t="shared" si="31"/>
        <v>7.460314826397779</v>
      </c>
      <c r="H168" s="309">
        <f>IF(OR(A168&lt;A$3,A168&gt;A$7),"",YTD!E165)</f>
        <v>135</v>
      </c>
      <c r="I168" s="310">
        <f t="shared" si="32"/>
        <v>387.56979478534299</v>
      </c>
      <c r="J168" s="311"/>
      <c r="K168" s="309">
        <f t="shared" si="33"/>
        <v>0</v>
      </c>
      <c r="L168" s="312" t="str">
        <f t="shared" si="40"/>
        <v/>
      </c>
      <c r="M168" s="366" t="str">
        <f t="shared" si="34"/>
        <v/>
      </c>
      <c r="N168" s="328" t="str">
        <f t="shared" si="35"/>
        <v/>
      </c>
      <c r="O168" s="313" t="str">
        <f t="shared" si="36"/>
        <v/>
      </c>
      <c r="P168" s="307"/>
      <c r="Q168" s="309">
        <f t="shared" si="41"/>
        <v>0.8</v>
      </c>
      <c r="R168" s="307"/>
      <c r="S168" s="314">
        <f t="shared" si="42"/>
        <v>11.2</v>
      </c>
      <c r="T168" s="304" t="str">
        <f t="shared" si="37"/>
        <v/>
      </c>
      <c r="U168" s="304">
        <f>IF(A168=YTD!B$6,E168,IF(OR(A168&lt;YTD!B$6,A168&gt;YTD!B$10),"",U167+E168))</f>
        <v>395.95740711495387</v>
      </c>
      <c r="V168" s="304">
        <f t="shared" si="43"/>
        <v>457.56979478534299</v>
      </c>
      <c r="W168" s="315">
        <f>IF(I168="",#N/A,YTD!G$8-I168)</f>
        <v>-117.56979478534299</v>
      </c>
      <c r="X168" s="368">
        <f t="shared" si="38"/>
        <v>0</v>
      </c>
      <c r="Y168" s="368">
        <f t="shared" si="44"/>
        <v>0</v>
      </c>
      <c r="Z168" s="368" t="str">
        <f t="shared" si="39"/>
        <v/>
      </c>
      <c r="AA168" s="368">
        <v>153</v>
      </c>
      <c r="AB168" s="369">
        <f t="array" ref="AB168">SUM(IF(AA168=Z$16:Z$592,A$16:A$592,""))</f>
        <v>0</v>
      </c>
      <c r="AC168" s="370">
        <f t="array" ref="AC168">SUM(IF(AA168=Z$16:Z$592,J$16:J$592,""))</f>
        <v>0</v>
      </c>
      <c r="AD168" s="370">
        <f t="array" ref="AD168">SUM(IF($AA168=$Z$16:$Z$592,L$16:L$592,""))</f>
        <v>0</v>
      </c>
      <c r="AE168" s="370">
        <f t="array" ref="AE168">SUM(IF($AA168=$Z$16:$Z$592,M$16:M$592,""))</f>
        <v>0</v>
      </c>
      <c r="AF168" s="368">
        <f t="array" ref="AF168">SUM(IF($AA168=$Z$16:$Z$592,N$16:N$592,""))</f>
        <v>0</v>
      </c>
      <c r="AG168" s="370">
        <f t="array" ref="AG168">SUM(IF($AA168=$Z$16:$Z$592,O$16:O$592,""))</f>
        <v>0</v>
      </c>
      <c r="AH168" s="2"/>
      <c r="AI168" s="2"/>
      <c r="AJ168" s="2"/>
    </row>
    <row r="169" spans="1:36" x14ac:dyDescent="0.2">
      <c r="A169" s="306">
        <f>Crop!B202</f>
        <v>41793</v>
      </c>
      <c r="B169" s="307"/>
      <c r="C169" s="308"/>
      <c r="D169" s="304">
        <f>IF(OR($A169&lt;$A$3,$A169&gt;$A$7),"",Crop!$D202)</f>
        <v>6.2600474693907628</v>
      </c>
      <c r="E169" s="304">
        <f t="shared" si="30"/>
        <v>6.2600474693907628</v>
      </c>
      <c r="F169" s="304">
        <f>IF(OR(A169&lt;A$3,A169&gt;A$7),"",Crop!U202)</f>
        <v>1.2</v>
      </c>
      <c r="G169" s="304">
        <f t="shared" si="31"/>
        <v>7.5120569632689147</v>
      </c>
      <c r="H169" s="309">
        <f>IF(OR(A169&lt;A$3,A169&gt;A$7),"",YTD!E166)</f>
        <v>135</v>
      </c>
      <c r="I169" s="310">
        <f t="shared" si="32"/>
        <v>395.08185174861188</v>
      </c>
      <c r="J169" s="311"/>
      <c r="K169" s="309">
        <f t="shared" si="33"/>
        <v>0</v>
      </c>
      <c r="L169" s="312" t="str">
        <f t="shared" si="40"/>
        <v/>
      </c>
      <c r="M169" s="366" t="str">
        <f t="shared" si="34"/>
        <v/>
      </c>
      <c r="N169" s="328" t="str">
        <f t="shared" si="35"/>
        <v/>
      </c>
      <c r="O169" s="313" t="str">
        <f t="shared" si="36"/>
        <v/>
      </c>
      <c r="P169" s="307"/>
      <c r="Q169" s="309">
        <f t="shared" si="41"/>
        <v>0.8</v>
      </c>
      <c r="R169" s="307"/>
      <c r="S169" s="314">
        <f t="shared" si="42"/>
        <v>11.2</v>
      </c>
      <c r="T169" s="304" t="str">
        <f t="shared" si="37"/>
        <v/>
      </c>
      <c r="U169" s="304">
        <f>IF(A169=YTD!B$6,E169,IF(OR(A169&lt;YTD!B$6,A169&gt;YTD!B$10),"",U168+E169))</f>
        <v>402.21745458434464</v>
      </c>
      <c r="V169" s="304">
        <f t="shared" si="43"/>
        <v>465.08185174861188</v>
      </c>
      <c r="W169" s="315">
        <f>IF(I169="",#N/A,YTD!G$8-I169)</f>
        <v>-125.08185174861188</v>
      </c>
      <c r="X169" s="368">
        <f t="shared" si="38"/>
        <v>0</v>
      </c>
      <c r="Y169" s="368">
        <f t="shared" si="44"/>
        <v>0</v>
      </c>
      <c r="Z169" s="368" t="str">
        <f t="shared" si="39"/>
        <v/>
      </c>
      <c r="AA169" s="368">
        <v>154</v>
      </c>
      <c r="AB169" s="369">
        <f t="array" ref="AB169">SUM(IF(AA169=Z$16:Z$592,A$16:A$592,""))</f>
        <v>0</v>
      </c>
      <c r="AC169" s="370">
        <f t="array" ref="AC169">SUM(IF(AA169=Z$16:Z$592,J$16:J$592,""))</f>
        <v>0</v>
      </c>
      <c r="AD169" s="370">
        <f t="array" ref="AD169">SUM(IF($AA169=$Z$16:$Z$592,L$16:L$592,""))</f>
        <v>0</v>
      </c>
      <c r="AE169" s="370">
        <f t="array" ref="AE169">SUM(IF($AA169=$Z$16:$Z$592,M$16:M$592,""))</f>
        <v>0</v>
      </c>
      <c r="AF169" s="368">
        <f t="array" ref="AF169">SUM(IF($AA169=$Z$16:$Z$592,N$16:N$592,""))</f>
        <v>0</v>
      </c>
      <c r="AG169" s="370">
        <f t="array" ref="AG169">SUM(IF($AA169=$Z$16:$Z$592,O$16:O$592,""))</f>
        <v>0</v>
      </c>
      <c r="AH169" s="2"/>
      <c r="AI169" s="2"/>
      <c r="AJ169" s="2"/>
    </row>
    <row r="170" spans="1:36" x14ac:dyDescent="0.2">
      <c r="A170" s="306">
        <f>Crop!B203</f>
        <v>41794</v>
      </c>
      <c r="B170" s="307"/>
      <c r="C170" s="308"/>
      <c r="D170" s="304">
        <f>IF(OR($A170&lt;$A$3,$A170&gt;$A$7),"",Crop!$D203)</f>
        <v>6.3027335109711942</v>
      </c>
      <c r="E170" s="304">
        <f t="shared" si="30"/>
        <v>6.3027335109711942</v>
      </c>
      <c r="F170" s="304">
        <f>IF(OR(A170&lt;A$3,A170&gt;A$7),"",Crop!U203)</f>
        <v>1.2</v>
      </c>
      <c r="G170" s="304">
        <f t="shared" si="31"/>
        <v>7.5632802131654326</v>
      </c>
      <c r="H170" s="309">
        <f>IF(OR(A170&lt;A$3,A170&gt;A$7),"",YTD!E167)</f>
        <v>135</v>
      </c>
      <c r="I170" s="310">
        <f t="shared" si="32"/>
        <v>402.64513196177734</v>
      </c>
      <c r="J170" s="311"/>
      <c r="K170" s="309">
        <f t="shared" si="33"/>
        <v>0</v>
      </c>
      <c r="L170" s="312" t="str">
        <f t="shared" si="40"/>
        <v/>
      </c>
      <c r="M170" s="366" t="str">
        <f t="shared" si="34"/>
        <v/>
      </c>
      <c r="N170" s="328" t="str">
        <f t="shared" si="35"/>
        <v/>
      </c>
      <c r="O170" s="313" t="str">
        <f t="shared" si="36"/>
        <v/>
      </c>
      <c r="P170" s="307"/>
      <c r="Q170" s="309">
        <f t="shared" si="41"/>
        <v>0.8</v>
      </c>
      <c r="R170" s="307"/>
      <c r="S170" s="314">
        <f t="shared" si="42"/>
        <v>11.2</v>
      </c>
      <c r="T170" s="304" t="str">
        <f t="shared" si="37"/>
        <v/>
      </c>
      <c r="U170" s="304">
        <f>IF(A170=YTD!B$6,E170,IF(OR(A170&lt;YTD!B$6,A170&gt;YTD!B$10),"",U169+E170))</f>
        <v>408.5201880953158</v>
      </c>
      <c r="V170" s="304">
        <f t="shared" si="43"/>
        <v>472.64513196177734</v>
      </c>
      <c r="W170" s="315">
        <f>IF(I170="",#N/A,YTD!G$8-I170)</f>
        <v>-132.64513196177734</v>
      </c>
      <c r="X170" s="368">
        <f t="shared" si="38"/>
        <v>0</v>
      </c>
      <c r="Y170" s="368">
        <f t="shared" si="44"/>
        <v>0</v>
      </c>
      <c r="Z170" s="368" t="str">
        <f t="shared" si="39"/>
        <v/>
      </c>
      <c r="AA170" s="368">
        <v>155</v>
      </c>
      <c r="AB170" s="369">
        <f t="array" ref="AB170">SUM(IF(AA170=Z$16:Z$592,A$16:A$592,""))</f>
        <v>0</v>
      </c>
      <c r="AC170" s="370">
        <f t="array" ref="AC170">SUM(IF(AA170=Z$16:Z$592,J$16:J$592,""))</f>
        <v>0</v>
      </c>
      <c r="AD170" s="370">
        <f t="array" ref="AD170">SUM(IF($AA170=$Z$16:$Z$592,L$16:L$592,""))</f>
        <v>0</v>
      </c>
      <c r="AE170" s="370">
        <f t="array" ref="AE170">SUM(IF($AA170=$Z$16:$Z$592,M$16:M$592,""))</f>
        <v>0</v>
      </c>
      <c r="AF170" s="368">
        <f t="array" ref="AF170">SUM(IF($AA170=$Z$16:$Z$592,N$16:N$592,""))</f>
        <v>0</v>
      </c>
      <c r="AG170" s="370">
        <f t="array" ref="AG170">SUM(IF($AA170=$Z$16:$Z$592,O$16:O$592,""))</f>
        <v>0</v>
      </c>
      <c r="AH170" s="2"/>
      <c r="AI170" s="2"/>
      <c r="AJ170" s="2"/>
    </row>
    <row r="171" spans="1:36" x14ac:dyDescent="0.2">
      <c r="A171" s="306">
        <f>Crop!B204</f>
        <v>41795</v>
      </c>
      <c r="B171" s="307"/>
      <c r="C171" s="308"/>
      <c r="D171" s="304">
        <f>IF(OR($A171&lt;$A$3,$A171&gt;$A$7),"",Crop!$D204)</f>
        <v>6.3449141891375689</v>
      </c>
      <c r="E171" s="304">
        <f t="shared" si="30"/>
        <v>6.3449141891375689</v>
      </c>
      <c r="F171" s="304">
        <f>IF(OR(A171&lt;A$3,A171&gt;A$7),"",Crop!U204)</f>
        <v>1.2</v>
      </c>
      <c r="G171" s="304">
        <f t="shared" si="31"/>
        <v>7.6138970269650823</v>
      </c>
      <c r="H171" s="309">
        <f>IF(OR(A171&lt;A$3,A171&gt;A$7),"",YTD!E168)</f>
        <v>135</v>
      </c>
      <c r="I171" s="310">
        <f t="shared" si="32"/>
        <v>410.25902898874244</v>
      </c>
      <c r="J171" s="311"/>
      <c r="K171" s="309">
        <f t="shared" si="33"/>
        <v>0</v>
      </c>
      <c r="L171" s="312" t="str">
        <f t="shared" si="40"/>
        <v/>
      </c>
      <c r="M171" s="366" t="str">
        <f t="shared" si="34"/>
        <v/>
      </c>
      <c r="N171" s="328" t="str">
        <f t="shared" si="35"/>
        <v/>
      </c>
      <c r="O171" s="313" t="str">
        <f t="shared" si="36"/>
        <v/>
      </c>
      <c r="P171" s="307"/>
      <c r="Q171" s="309">
        <f t="shared" si="41"/>
        <v>0.8</v>
      </c>
      <c r="R171" s="307"/>
      <c r="S171" s="314">
        <f t="shared" si="42"/>
        <v>11.2</v>
      </c>
      <c r="T171" s="304" t="str">
        <f t="shared" si="37"/>
        <v/>
      </c>
      <c r="U171" s="304">
        <f>IF(A171=YTD!B$6,E171,IF(OR(A171&lt;YTD!B$6,A171&gt;YTD!B$10),"",U170+E171))</f>
        <v>414.86510228445337</v>
      </c>
      <c r="V171" s="304">
        <f t="shared" si="43"/>
        <v>480.25902898874244</v>
      </c>
      <c r="W171" s="315">
        <f>IF(I171="",#N/A,YTD!G$8-I171)</f>
        <v>-140.25902898874244</v>
      </c>
      <c r="X171" s="368">
        <f t="shared" si="38"/>
        <v>0</v>
      </c>
      <c r="Y171" s="368">
        <f t="shared" si="44"/>
        <v>0</v>
      </c>
      <c r="Z171" s="368" t="str">
        <f t="shared" si="39"/>
        <v/>
      </c>
      <c r="AA171" s="368">
        <v>156</v>
      </c>
      <c r="AB171" s="369">
        <f t="array" ref="AB171">SUM(IF(AA171=Z$16:Z$592,A$16:A$592,""))</f>
        <v>0</v>
      </c>
      <c r="AC171" s="370">
        <f t="array" ref="AC171">SUM(IF(AA171=Z$16:Z$592,J$16:J$592,""))</f>
        <v>0</v>
      </c>
      <c r="AD171" s="370">
        <f t="array" ref="AD171">SUM(IF($AA171=$Z$16:$Z$592,L$16:L$592,""))</f>
        <v>0</v>
      </c>
      <c r="AE171" s="370">
        <f t="array" ref="AE171">SUM(IF($AA171=$Z$16:$Z$592,M$16:M$592,""))</f>
        <v>0</v>
      </c>
      <c r="AF171" s="368">
        <f t="array" ref="AF171">SUM(IF($AA171=$Z$16:$Z$592,N$16:N$592,""))</f>
        <v>0</v>
      </c>
      <c r="AG171" s="370">
        <f t="array" ref="AG171">SUM(IF($AA171=$Z$16:$Z$592,O$16:O$592,""))</f>
        <v>0</v>
      </c>
      <c r="AH171" s="2"/>
      <c r="AI171" s="2"/>
      <c r="AJ171" s="2"/>
    </row>
    <row r="172" spans="1:36" x14ac:dyDescent="0.2">
      <c r="A172" s="306">
        <f>Crop!B205</f>
        <v>41796</v>
      </c>
      <c r="B172" s="307"/>
      <c r="C172" s="308"/>
      <c r="D172" s="304">
        <f>IF(OR($A172&lt;$A$3,$A172&gt;$A$7),"",Crop!$D205)</f>
        <v>6.3865165462880151</v>
      </c>
      <c r="E172" s="304">
        <f t="shared" si="30"/>
        <v>6.3865165462880151</v>
      </c>
      <c r="F172" s="304">
        <f>IF(OR(A172&lt;A$3,A172&gt;A$7),"",Crop!U205)</f>
        <v>1.2</v>
      </c>
      <c r="G172" s="304">
        <f t="shared" si="31"/>
        <v>7.6638198555456176</v>
      </c>
      <c r="H172" s="309">
        <f>IF(OR(A172&lt;A$3,A172&gt;A$7),"",YTD!E169)</f>
        <v>135</v>
      </c>
      <c r="I172" s="310">
        <f t="shared" si="32"/>
        <v>417.92284884428807</v>
      </c>
      <c r="J172" s="311"/>
      <c r="K172" s="309">
        <f t="shared" si="33"/>
        <v>0</v>
      </c>
      <c r="L172" s="312" t="str">
        <f t="shared" si="40"/>
        <v/>
      </c>
      <c r="M172" s="366" t="str">
        <f t="shared" si="34"/>
        <v/>
      </c>
      <c r="N172" s="328" t="str">
        <f t="shared" si="35"/>
        <v/>
      </c>
      <c r="O172" s="313" t="str">
        <f t="shared" si="36"/>
        <v/>
      </c>
      <c r="P172" s="307"/>
      <c r="Q172" s="309">
        <f t="shared" si="41"/>
        <v>0.8</v>
      </c>
      <c r="R172" s="307"/>
      <c r="S172" s="314">
        <f t="shared" si="42"/>
        <v>11.2</v>
      </c>
      <c r="T172" s="304" t="str">
        <f t="shared" si="37"/>
        <v/>
      </c>
      <c r="U172" s="304">
        <f>IF(A172=YTD!B$6,E172,IF(OR(A172&lt;YTD!B$6,A172&gt;YTD!B$10),"",U171+E172))</f>
        <v>421.25161883074139</v>
      </c>
      <c r="V172" s="304">
        <f t="shared" si="43"/>
        <v>487.92284884428807</v>
      </c>
      <c r="W172" s="315">
        <f>IF(I172="",#N/A,YTD!G$8-I172)</f>
        <v>-147.92284884428807</v>
      </c>
      <c r="X172" s="368">
        <f t="shared" si="38"/>
        <v>0</v>
      </c>
      <c r="Y172" s="368">
        <f t="shared" si="44"/>
        <v>0</v>
      </c>
      <c r="Z172" s="368" t="str">
        <f t="shared" si="39"/>
        <v/>
      </c>
      <c r="AA172" s="368">
        <v>157</v>
      </c>
      <c r="AB172" s="369">
        <f t="array" ref="AB172">SUM(IF(AA172=Z$16:Z$592,A$16:A$592,""))</f>
        <v>0</v>
      </c>
      <c r="AC172" s="370">
        <f t="array" ref="AC172">SUM(IF(AA172=Z$16:Z$592,J$16:J$592,""))</f>
        <v>0</v>
      </c>
      <c r="AD172" s="370">
        <f t="array" ref="AD172">SUM(IF($AA172=$Z$16:$Z$592,L$16:L$592,""))</f>
        <v>0</v>
      </c>
      <c r="AE172" s="370">
        <f t="array" ref="AE172">SUM(IF($AA172=$Z$16:$Z$592,M$16:M$592,""))</f>
        <v>0</v>
      </c>
      <c r="AF172" s="368">
        <f t="array" ref="AF172">SUM(IF($AA172=$Z$16:$Z$592,N$16:N$592,""))</f>
        <v>0</v>
      </c>
      <c r="AG172" s="370">
        <f t="array" ref="AG172">SUM(IF($AA172=$Z$16:$Z$592,O$16:O$592,""))</f>
        <v>0</v>
      </c>
      <c r="AH172" s="2"/>
      <c r="AI172" s="2"/>
      <c r="AJ172" s="2"/>
    </row>
    <row r="173" spans="1:36" x14ac:dyDescent="0.2">
      <c r="A173" s="306">
        <f>Crop!B206</f>
        <v>41797</v>
      </c>
      <c r="B173" s="307"/>
      <c r="C173" s="308"/>
      <c r="D173" s="304">
        <f>IF(OR($A173&lt;$A$3,$A173&gt;$A$7),"",Crop!$D206)</f>
        <v>6.4274676248206601</v>
      </c>
      <c r="E173" s="304">
        <f t="shared" si="30"/>
        <v>6.4274676248206601</v>
      </c>
      <c r="F173" s="304">
        <f>IF(OR(A173&lt;A$3,A173&gt;A$7),"",Crop!U206)</f>
        <v>1.2</v>
      </c>
      <c r="G173" s="304">
        <f t="shared" si="31"/>
        <v>7.7129611497847916</v>
      </c>
      <c r="H173" s="309">
        <f>IF(OR(A173&lt;A$3,A173&gt;A$7),"",YTD!E170)</f>
        <v>135</v>
      </c>
      <c r="I173" s="310">
        <f t="shared" si="32"/>
        <v>425.63580999407287</v>
      </c>
      <c r="J173" s="311"/>
      <c r="K173" s="309">
        <f t="shared" si="33"/>
        <v>0</v>
      </c>
      <c r="L173" s="312" t="str">
        <f t="shared" si="40"/>
        <v/>
      </c>
      <c r="M173" s="366" t="str">
        <f t="shared" si="34"/>
        <v/>
      </c>
      <c r="N173" s="328" t="str">
        <f t="shared" si="35"/>
        <v/>
      </c>
      <c r="O173" s="313" t="str">
        <f t="shared" si="36"/>
        <v/>
      </c>
      <c r="P173" s="307"/>
      <c r="Q173" s="309">
        <f t="shared" si="41"/>
        <v>0.8</v>
      </c>
      <c r="R173" s="307"/>
      <c r="S173" s="314">
        <f t="shared" si="42"/>
        <v>11.2</v>
      </c>
      <c r="T173" s="304" t="str">
        <f t="shared" si="37"/>
        <v/>
      </c>
      <c r="U173" s="304">
        <f>IF(A173=YTD!B$6,E173,IF(OR(A173&lt;YTD!B$6,A173&gt;YTD!B$10),"",U172+E173))</f>
        <v>427.67908645556207</v>
      </c>
      <c r="V173" s="304">
        <f t="shared" si="43"/>
        <v>495.63580999407287</v>
      </c>
      <c r="W173" s="315">
        <f>IF(I173="",#N/A,YTD!G$8-I173)</f>
        <v>-155.63580999407287</v>
      </c>
      <c r="X173" s="368">
        <f t="shared" si="38"/>
        <v>0</v>
      </c>
      <c r="Y173" s="368">
        <f t="shared" si="44"/>
        <v>0</v>
      </c>
      <c r="Z173" s="368" t="str">
        <f t="shared" si="39"/>
        <v/>
      </c>
      <c r="AA173" s="368">
        <v>158</v>
      </c>
      <c r="AB173" s="369">
        <f t="array" ref="AB173">SUM(IF(AA173=Z$16:Z$592,A$16:A$592,""))</f>
        <v>0</v>
      </c>
      <c r="AC173" s="370">
        <f t="array" ref="AC173">SUM(IF(AA173=Z$16:Z$592,J$16:J$592,""))</f>
        <v>0</v>
      </c>
      <c r="AD173" s="370">
        <f t="array" ref="AD173">SUM(IF($AA173=$Z$16:$Z$592,L$16:L$592,""))</f>
        <v>0</v>
      </c>
      <c r="AE173" s="370">
        <f t="array" ref="AE173">SUM(IF($AA173=$Z$16:$Z$592,M$16:M$592,""))</f>
        <v>0</v>
      </c>
      <c r="AF173" s="368">
        <f t="array" ref="AF173">SUM(IF($AA173=$Z$16:$Z$592,N$16:N$592,""))</f>
        <v>0</v>
      </c>
      <c r="AG173" s="370">
        <f t="array" ref="AG173">SUM(IF($AA173=$Z$16:$Z$592,O$16:O$592,""))</f>
        <v>0</v>
      </c>
      <c r="AH173" s="2"/>
      <c r="AI173" s="2"/>
      <c r="AJ173" s="2"/>
    </row>
    <row r="174" spans="1:36" x14ac:dyDescent="0.2">
      <c r="A174" s="306">
        <f>Crop!B207</f>
        <v>41798</v>
      </c>
      <c r="B174" s="307"/>
      <c r="C174" s="308"/>
      <c r="D174" s="304">
        <f>IF(OR($A174&lt;$A$3,$A174&gt;$A$7),"",Crop!$D207)</f>
        <v>6.4676944671336312</v>
      </c>
      <c r="E174" s="304">
        <f t="shared" si="30"/>
        <v>6.4676944671336312</v>
      </c>
      <c r="F174" s="304">
        <f>IF(OR(A174&lt;A$3,A174&gt;A$7),"",Crop!U207)</f>
        <v>1.2</v>
      </c>
      <c r="G174" s="304">
        <f t="shared" si="31"/>
        <v>7.7612333605603574</v>
      </c>
      <c r="H174" s="309">
        <f>IF(OR(A174&lt;A$3,A174&gt;A$7),"",YTD!E171)</f>
        <v>135</v>
      </c>
      <c r="I174" s="310">
        <f t="shared" si="32"/>
        <v>433.39704335463324</v>
      </c>
      <c r="J174" s="311"/>
      <c r="K174" s="309">
        <f t="shared" si="33"/>
        <v>0</v>
      </c>
      <c r="L174" s="312" t="str">
        <f t="shared" si="40"/>
        <v/>
      </c>
      <c r="M174" s="366" t="str">
        <f t="shared" si="34"/>
        <v/>
      </c>
      <c r="N174" s="328" t="str">
        <f t="shared" si="35"/>
        <v/>
      </c>
      <c r="O174" s="313" t="str">
        <f t="shared" si="36"/>
        <v/>
      </c>
      <c r="P174" s="307"/>
      <c r="Q174" s="309">
        <f t="shared" si="41"/>
        <v>0.8</v>
      </c>
      <c r="R174" s="307"/>
      <c r="S174" s="314">
        <f t="shared" si="42"/>
        <v>11.2</v>
      </c>
      <c r="T174" s="304" t="str">
        <f t="shared" si="37"/>
        <v/>
      </c>
      <c r="U174" s="304">
        <f>IF(A174=YTD!B$6,E174,IF(OR(A174&lt;YTD!B$6,A174&gt;YTD!B$10),"",U173+E174))</f>
        <v>434.14678092269571</v>
      </c>
      <c r="V174" s="304">
        <f t="shared" si="43"/>
        <v>503.39704335463324</v>
      </c>
      <c r="W174" s="315">
        <f>IF(I174="",#N/A,YTD!G$8-I174)</f>
        <v>-163.39704335463324</v>
      </c>
      <c r="X174" s="368">
        <f t="shared" si="38"/>
        <v>0</v>
      </c>
      <c r="Y174" s="368">
        <f t="shared" si="44"/>
        <v>0</v>
      </c>
      <c r="Z174" s="368" t="str">
        <f t="shared" si="39"/>
        <v/>
      </c>
      <c r="AA174" s="368">
        <v>159</v>
      </c>
      <c r="AB174" s="369">
        <f t="array" ref="AB174">SUM(IF(AA174=Z$16:Z$592,A$16:A$592,""))</f>
        <v>0</v>
      </c>
      <c r="AC174" s="370">
        <f t="array" ref="AC174">SUM(IF(AA174=Z$16:Z$592,J$16:J$592,""))</f>
        <v>0</v>
      </c>
      <c r="AD174" s="370">
        <f t="array" ref="AD174">SUM(IF($AA174=$Z$16:$Z$592,L$16:L$592,""))</f>
        <v>0</v>
      </c>
      <c r="AE174" s="370">
        <f t="array" ref="AE174">SUM(IF($AA174=$Z$16:$Z$592,M$16:M$592,""))</f>
        <v>0</v>
      </c>
      <c r="AF174" s="368">
        <f t="array" ref="AF174">SUM(IF($AA174=$Z$16:$Z$592,N$16:N$592,""))</f>
        <v>0</v>
      </c>
      <c r="AG174" s="370">
        <f t="array" ref="AG174">SUM(IF($AA174=$Z$16:$Z$592,O$16:O$592,""))</f>
        <v>0</v>
      </c>
      <c r="AH174" s="2"/>
      <c r="AI174" s="2"/>
      <c r="AJ174" s="2"/>
    </row>
    <row r="175" spans="1:36" x14ac:dyDescent="0.2">
      <c r="A175" s="306">
        <f>Crop!B208</f>
        <v>41799</v>
      </c>
      <c r="B175" s="307"/>
      <c r="C175" s="308"/>
      <c r="D175" s="304">
        <f>IF(OR($A175&lt;$A$3,$A175&gt;$A$7),"",Crop!$D208)</f>
        <v>6.5071241156250563</v>
      </c>
      <c r="E175" s="304">
        <f t="shared" si="30"/>
        <v>6.5071241156250563</v>
      </c>
      <c r="F175" s="304">
        <f>IF(OR(A175&lt;A$3,A175&gt;A$7),"",Crop!U208)</f>
        <v>1.2</v>
      </c>
      <c r="G175" s="304">
        <f t="shared" si="31"/>
        <v>7.8085489387500671</v>
      </c>
      <c r="H175" s="309">
        <f>IF(OR(A175&lt;A$3,A175&gt;A$7),"",YTD!E172)</f>
        <v>135</v>
      </c>
      <c r="I175" s="310">
        <f t="shared" si="32"/>
        <v>441.20559229338329</v>
      </c>
      <c r="J175" s="311"/>
      <c r="K175" s="309">
        <f t="shared" si="33"/>
        <v>0</v>
      </c>
      <c r="L175" s="312" t="str">
        <f t="shared" si="40"/>
        <v/>
      </c>
      <c r="M175" s="366" t="str">
        <f t="shared" si="34"/>
        <v/>
      </c>
      <c r="N175" s="328" t="str">
        <f t="shared" si="35"/>
        <v/>
      </c>
      <c r="O175" s="313" t="str">
        <f t="shared" si="36"/>
        <v/>
      </c>
      <c r="P175" s="307"/>
      <c r="Q175" s="309">
        <f t="shared" si="41"/>
        <v>0.8</v>
      </c>
      <c r="R175" s="307"/>
      <c r="S175" s="314">
        <f t="shared" si="42"/>
        <v>11.2</v>
      </c>
      <c r="T175" s="304" t="str">
        <f t="shared" si="37"/>
        <v/>
      </c>
      <c r="U175" s="304">
        <f>IF(A175=YTD!B$6,E175,IF(OR(A175&lt;YTD!B$6,A175&gt;YTD!B$10),"",U174+E175))</f>
        <v>440.65390503832077</v>
      </c>
      <c r="V175" s="304">
        <f t="shared" si="43"/>
        <v>511.20559229338329</v>
      </c>
      <c r="W175" s="315">
        <f>IF(I175="",#N/A,YTD!G$8-I175)</f>
        <v>-171.20559229338329</v>
      </c>
      <c r="X175" s="368">
        <f t="shared" si="38"/>
        <v>0</v>
      </c>
      <c r="Y175" s="368">
        <f t="shared" si="44"/>
        <v>0</v>
      </c>
      <c r="Z175" s="368" t="str">
        <f t="shared" si="39"/>
        <v/>
      </c>
      <c r="AA175" s="368">
        <v>160</v>
      </c>
      <c r="AB175" s="369">
        <f t="array" ref="AB175">SUM(IF(AA175=Z$16:Z$592,A$16:A$592,""))</f>
        <v>0</v>
      </c>
      <c r="AC175" s="370">
        <f t="array" ref="AC175">SUM(IF(AA175=Z$16:Z$592,J$16:J$592,""))</f>
        <v>0</v>
      </c>
      <c r="AD175" s="370">
        <f t="array" ref="AD175">SUM(IF($AA175=$Z$16:$Z$592,L$16:L$592,""))</f>
        <v>0</v>
      </c>
      <c r="AE175" s="370">
        <f t="array" ref="AE175">SUM(IF($AA175=$Z$16:$Z$592,M$16:M$592,""))</f>
        <v>0</v>
      </c>
      <c r="AF175" s="368">
        <f t="array" ref="AF175">SUM(IF($AA175=$Z$16:$Z$592,N$16:N$592,""))</f>
        <v>0</v>
      </c>
      <c r="AG175" s="370">
        <f t="array" ref="AG175">SUM(IF($AA175=$Z$16:$Z$592,O$16:O$592,""))</f>
        <v>0</v>
      </c>
      <c r="AH175" s="2"/>
      <c r="AI175" s="2"/>
      <c r="AJ175" s="2"/>
    </row>
    <row r="176" spans="1:36" x14ac:dyDescent="0.2">
      <c r="A176" s="306">
        <f>Crop!B209</f>
        <v>41800</v>
      </c>
      <c r="B176" s="307"/>
      <c r="C176" s="308"/>
      <c r="D176" s="304">
        <f>IF(OR($A176&lt;$A$3,$A176&gt;$A$7),"",Crop!$D209)</f>
        <v>6.5456836126930602</v>
      </c>
      <c r="E176" s="304">
        <f t="shared" si="30"/>
        <v>6.5456836126930602</v>
      </c>
      <c r="F176" s="304">
        <f>IF(OR(A176&lt;A$3,A176&gt;A$7),"",Crop!U209)</f>
        <v>1.2</v>
      </c>
      <c r="G176" s="304">
        <f t="shared" si="31"/>
        <v>7.8548203352316719</v>
      </c>
      <c r="H176" s="309">
        <f>IF(OR(A176&lt;A$3,A176&gt;A$7),"",YTD!E173)</f>
        <v>135</v>
      </c>
      <c r="I176" s="310">
        <f t="shared" si="32"/>
        <v>449.06041262861498</v>
      </c>
      <c r="J176" s="311"/>
      <c r="K176" s="309">
        <f t="shared" si="33"/>
        <v>0</v>
      </c>
      <c r="L176" s="312" t="str">
        <f t="shared" si="40"/>
        <v/>
      </c>
      <c r="M176" s="366" t="str">
        <f t="shared" si="34"/>
        <v/>
      </c>
      <c r="N176" s="328" t="str">
        <f t="shared" si="35"/>
        <v/>
      </c>
      <c r="O176" s="313" t="str">
        <f t="shared" si="36"/>
        <v/>
      </c>
      <c r="P176" s="307"/>
      <c r="Q176" s="309">
        <f t="shared" si="41"/>
        <v>0.8</v>
      </c>
      <c r="R176" s="307"/>
      <c r="S176" s="314">
        <f t="shared" si="42"/>
        <v>11.2</v>
      </c>
      <c r="T176" s="304" t="str">
        <f t="shared" si="37"/>
        <v/>
      </c>
      <c r="U176" s="304">
        <f>IF(A176=YTD!B$6,E176,IF(OR(A176&lt;YTD!B$6,A176&gt;YTD!B$10),"",U175+E176))</f>
        <v>447.19958865101381</v>
      </c>
      <c r="V176" s="304">
        <f t="shared" si="43"/>
        <v>519.06041262861493</v>
      </c>
      <c r="W176" s="315">
        <f>IF(I176="",#N/A,YTD!G$8-I176)</f>
        <v>-179.06041262861498</v>
      </c>
      <c r="X176" s="368">
        <f t="shared" si="38"/>
        <v>0</v>
      </c>
      <c r="Y176" s="368">
        <f t="shared" si="44"/>
        <v>0</v>
      </c>
      <c r="Z176" s="368" t="str">
        <f t="shared" si="39"/>
        <v/>
      </c>
      <c r="AA176" s="368">
        <v>161</v>
      </c>
      <c r="AB176" s="369">
        <f t="array" ref="AB176">SUM(IF(AA176=Z$16:Z$592,A$16:A$592,""))</f>
        <v>0</v>
      </c>
      <c r="AC176" s="370">
        <f t="array" ref="AC176">SUM(IF(AA176=Z$16:Z$592,J$16:J$592,""))</f>
        <v>0</v>
      </c>
      <c r="AD176" s="370">
        <f t="array" ref="AD176">SUM(IF($AA176=$Z$16:$Z$592,L$16:L$592,""))</f>
        <v>0</v>
      </c>
      <c r="AE176" s="370">
        <f t="array" ref="AE176">SUM(IF($AA176=$Z$16:$Z$592,M$16:M$592,""))</f>
        <v>0</v>
      </c>
      <c r="AF176" s="368">
        <f t="array" ref="AF176">SUM(IF($AA176=$Z$16:$Z$592,N$16:N$592,""))</f>
        <v>0</v>
      </c>
      <c r="AG176" s="370">
        <f t="array" ref="AG176">SUM(IF($AA176=$Z$16:$Z$592,O$16:O$592,""))</f>
        <v>0</v>
      </c>
      <c r="AH176" s="2"/>
      <c r="AI176" s="2"/>
      <c r="AJ176" s="2"/>
    </row>
    <row r="177" spans="1:36" x14ac:dyDescent="0.2">
      <c r="A177" s="306">
        <f>Crop!B210</f>
        <v>41801</v>
      </c>
      <c r="B177" s="307"/>
      <c r="C177" s="308"/>
      <c r="D177" s="304">
        <f>IF(OR($A177&lt;$A$3,$A177&gt;$A$7),"",Crop!$D210)</f>
        <v>6.5833000007357736</v>
      </c>
      <c r="E177" s="304">
        <f t="shared" si="30"/>
        <v>6.5833000007357736</v>
      </c>
      <c r="F177" s="304">
        <f>IF(OR(A177&lt;A$3,A177&gt;A$7),"",Crop!U210)</f>
        <v>1.2</v>
      </c>
      <c r="G177" s="304">
        <f t="shared" si="31"/>
        <v>7.8999600008829276</v>
      </c>
      <c r="H177" s="309">
        <f>IF(OR(A177&lt;A$3,A177&gt;A$7),"",YTD!E174)</f>
        <v>135</v>
      </c>
      <c r="I177" s="310">
        <f t="shared" si="32"/>
        <v>456.9603726294979</v>
      </c>
      <c r="J177" s="311"/>
      <c r="K177" s="309">
        <f t="shared" si="33"/>
        <v>0</v>
      </c>
      <c r="L177" s="312" t="str">
        <f t="shared" si="40"/>
        <v/>
      </c>
      <c r="M177" s="366" t="str">
        <f t="shared" si="34"/>
        <v/>
      </c>
      <c r="N177" s="328" t="str">
        <f t="shared" si="35"/>
        <v/>
      </c>
      <c r="O177" s="313" t="str">
        <f t="shared" si="36"/>
        <v/>
      </c>
      <c r="P177" s="307"/>
      <c r="Q177" s="309">
        <f t="shared" si="41"/>
        <v>0.8</v>
      </c>
      <c r="R177" s="307"/>
      <c r="S177" s="314">
        <f t="shared" si="42"/>
        <v>11.2</v>
      </c>
      <c r="T177" s="304" t="str">
        <f t="shared" si="37"/>
        <v/>
      </c>
      <c r="U177" s="304">
        <f>IF(A177=YTD!B$6,E177,IF(OR(A177&lt;YTD!B$6,A177&gt;YTD!B$10),"",U176+E177))</f>
        <v>453.7828886517496</v>
      </c>
      <c r="V177" s="304">
        <f t="shared" si="43"/>
        <v>526.9603726294979</v>
      </c>
      <c r="W177" s="315">
        <f>IF(I177="",#N/A,YTD!G$8-I177)</f>
        <v>-186.9603726294979</v>
      </c>
      <c r="X177" s="368">
        <f t="shared" si="38"/>
        <v>0</v>
      </c>
      <c r="Y177" s="368">
        <f t="shared" si="44"/>
        <v>0</v>
      </c>
      <c r="Z177" s="368" t="str">
        <f t="shared" si="39"/>
        <v/>
      </c>
      <c r="AA177" s="368">
        <v>162</v>
      </c>
      <c r="AB177" s="369">
        <f t="array" ref="AB177">SUM(IF(AA177=Z$16:Z$592,A$16:A$592,""))</f>
        <v>0</v>
      </c>
      <c r="AC177" s="370">
        <f t="array" ref="AC177">SUM(IF(AA177=Z$16:Z$592,J$16:J$592,""))</f>
        <v>0</v>
      </c>
      <c r="AD177" s="370">
        <f t="array" ref="AD177">SUM(IF($AA177=$Z$16:$Z$592,L$16:L$592,""))</f>
        <v>0</v>
      </c>
      <c r="AE177" s="370">
        <f t="array" ref="AE177">SUM(IF($AA177=$Z$16:$Z$592,M$16:M$592,""))</f>
        <v>0</v>
      </c>
      <c r="AF177" s="368">
        <f t="array" ref="AF177">SUM(IF($AA177=$Z$16:$Z$592,N$16:N$592,""))</f>
        <v>0</v>
      </c>
      <c r="AG177" s="370">
        <f t="array" ref="AG177">SUM(IF($AA177=$Z$16:$Z$592,O$16:O$592,""))</f>
        <v>0</v>
      </c>
      <c r="AH177" s="2"/>
      <c r="AI177" s="2"/>
      <c r="AJ177" s="2"/>
    </row>
    <row r="178" spans="1:36" x14ac:dyDescent="0.2">
      <c r="A178" s="306">
        <f>Crop!B211</f>
        <v>41802</v>
      </c>
      <c r="B178" s="307"/>
      <c r="C178" s="308"/>
      <c r="D178" s="304">
        <f>IF(OR($A178&lt;$A$3,$A178&gt;$A$7),"",Crop!$D211)</f>
        <v>6.619900322151322</v>
      </c>
      <c r="E178" s="304">
        <f t="shared" si="30"/>
        <v>6.619900322151322</v>
      </c>
      <c r="F178" s="304">
        <f>IF(OR(A178&lt;A$3,A178&gt;A$7),"",Crop!U211)</f>
        <v>1.2</v>
      </c>
      <c r="G178" s="304">
        <f t="shared" si="31"/>
        <v>7.9438803865815864</v>
      </c>
      <c r="H178" s="309">
        <f>IF(OR(A178&lt;A$3,A178&gt;A$7),"",YTD!E175)</f>
        <v>135</v>
      </c>
      <c r="I178" s="310">
        <f t="shared" si="32"/>
        <v>464.90425301607951</v>
      </c>
      <c r="J178" s="311"/>
      <c r="K178" s="309">
        <f t="shared" si="33"/>
        <v>0</v>
      </c>
      <c r="L178" s="312" t="str">
        <f t="shared" si="40"/>
        <v/>
      </c>
      <c r="M178" s="366" t="str">
        <f t="shared" si="34"/>
        <v/>
      </c>
      <c r="N178" s="328" t="str">
        <f t="shared" si="35"/>
        <v/>
      </c>
      <c r="O178" s="313" t="str">
        <f t="shared" si="36"/>
        <v/>
      </c>
      <c r="P178" s="307"/>
      <c r="Q178" s="309">
        <f t="shared" si="41"/>
        <v>0.8</v>
      </c>
      <c r="R178" s="307"/>
      <c r="S178" s="314">
        <f t="shared" si="42"/>
        <v>11.2</v>
      </c>
      <c r="T178" s="304" t="str">
        <f t="shared" si="37"/>
        <v/>
      </c>
      <c r="U178" s="304">
        <f>IF(A178=YTD!B$6,E178,IF(OR(A178&lt;YTD!B$6,A178&gt;YTD!B$10),"",U177+E178))</f>
        <v>460.4027889739009</v>
      </c>
      <c r="V178" s="304">
        <f t="shared" si="43"/>
        <v>534.90425301607945</v>
      </c>
      <c r="W178" s="315">
        <f>IF(I178="",#N/A,YTD!G$8-I178)</f>
        <v>-194.90425301607951</v>
      </c>
      <c r="X178" s="368">
        <f t="shared" si="38"/>
        <v>0</v>
      </c>
      <c r="Y178" s="368">
        <f t="shared" si="44"/>
        <v>0</v>
      </c>
      <c r="Z178" s="368" t="str">
        <f t="shared" si="39"/>
        <v/>
      </c>
      <c r="AA178" s="368">
        <v>163</v>
      </c>
      <c r="AB178" s="369">
        <f t="array" ref="AB178">SUM(IF(AA178=Z$16:Z$592,A$16:A$592,""))</f>
        <v>0</v>
      </c>
      <c r="AC178" s="370">
        <f t="array" ref="AC178">SUM(IF(AA178=Z$16:Z$592,J$16:J$592,""))</f>
        <v>0</v>
      </c>
      <c r="AD178" s="370">
        <f t="array" ref="AD178">SUM(IF($AA178=$Z$16:$Z$592,L$16:L$592,""))</f>
        <v>0</v>
      </c>
      <c r="AE178" s="370">
        <f t="array" ref="AE178">SUM(IF($AA178=$Z$16:$Z$592,M$16:M$592,""))</f>
        <v>0</v>
      </c>
      <c r="AF178" s="368">
        <f t="array" ref="AF178">SUM(IF($AA178=$Z$16:$Z$592,N$16:N$592,""))</f>
        <v>0</v>
      </c>
      <c r="AG178" s="370">
        <f t="array" ref="AG178">SUM(IF($AA178=$Z$16:$Z$592,O$16:O$592,""))</f>
        <v>0</v>
      </c>
      <c r="AH178" s="2"/>
      <c r="AI178" s="2"/>
      <c r="AJ178" s="2"/>
    </row>
    <row r="179" spans="1:36" x14ac:dyDescent="0.2">
      <c r="A179" s="306">
        <f>Crop!B212</f>
        <v>41803</v>
      </c>
      <c r="B179" s="307"/>
      <c r="C179" s="308"/>
      <c r="D179" s="304">
        <f>IF(OR($A179&lt;$A$3,$A179&gt;$A$7),"",Crop!$D212)</f>
        <v>6.6554116193378325</v>
      </c>
      <c r="E179" s="304">
        <f t="shared" si="30"/>
        <v>6.6554116193378325</v>
      </c>
      <c r="F179" s="304">
        <f>IF(OR(A179&lt;A$3,A179&gt;A$7),"",Crop!U212)</f>
        <v>1.2</v>
      </c>
      <c r="G179" s="304">
        <f t="shared" si="31"/>
        <v>7.9864939432053985</v>
      </c>
      <c r="H179" s="309">
        <f>IF(OR(A179&lt;A$3,A179&gt;A$7),"",YTD!E176)</f>
        <v>135</v>
      </c>
      <c r="I179" s="310">
        <f t="shared" si="32"/>
        <v>472.89074695928491</v>
      </c>
      <c r="J179" s="311"/>
      <c r="K179" s="309">
        <f t="shared" si="33"/>
        <v>0</v>
      </c>
      <c r="L179" s="312" t="str">
        <f t="shared" si="40"/>
        <v/>
      </c>
      <c r="M179" s="366" t="str">
        <f t="shared" si="34"/>
        <v/>
      </c>
      <c r="N179" s="328" t="str">
        <f t="shared" si="35"/>
        <v/>
      </c>
      <c r="O179" s="313" t="str">
        <f t="shared" si="36"/>
        <v/>
      </c>
      <c r="P179" s="307"/>
      <c r="Q179" s="309">
        <f t="shared" si="41"/>
        <v>0.8</v>
      </c>
      <c r="R179" s="307"/>
      <c r="S179" s="314">
        <f t="shared" si="42"/>
        <v>11.2</v>
      </c>
      <c r="T179" s="304" t="str">
        <f t="shared" si="37"/>
        <v/>
      </c>
      <c r="U179" s="304">
        <f>IF(A179=YTD!B$6,E179,IF(OR(A179&lt;YTD!B$6,A179&gt;YTD!B$10),"",U178+E179))</f>
        <v>467.05820059323872</v>
      </c>
      <c r="V179" s="304">
        <f t="shared" si="43"/>
        <v>542.8907469592848</v>
      </c>
      <c r="W179" s="315">
        <f>IF(I179="",#N/A,YTD!G$8-I179)</f>
        <v>-202.89074695928491</v>
      </c>
      <c r="X179" s="368">
        <f t="shared" si="38"/>
        <v>0</v>
      </c>
      <c r="Y179" s="368">
        <f t="shared" si="44"/>
        <v>0</v>
      </c>
      <c r="Z179" s="368" t="str">
        <f t="shared" si="39"/>
        <v/>
      </c>
      <c r="AA179" s="368">
        <v>164</v>
      </c>
      <c r="AB179" s="369">
        <f t="array" ref="AB179">SUM(IF(AA179=Z$16:Z$592,A$16:A$592,""))</f>
        <v>0</v>
      </c>
      <c r="AC179" s="370">
        <f t="array" ref="AC179">SUM(IF(AA179=Z$16:Z$592,J$16:J$592,""))</f>
        <v>0</v>
      </c>
      <c r="AD179" s="370">
        <f t="array" ref="AD179">SUM(IF($AA179=$Z$16:$Z$592,L$16:L$592,""))</f>
        <v>0</v>
      </c>
      <c r="AE179" s="370">
        <f t="array" ref="AE179">SUM(IF($AA179=$Z$16:$Z$592,M$16:M$592,""))</f>
        <v>0</v>
      </c>
      <c r="AF179" s="368">
        <f t="array" ref="AF179">SUM(IF($AA179=$Z$16:$Z$592,N$16:N$592,""))</f>
        <v>0</v>
      </c>
      <c r="AG179" s="370">
        <f t="array" ref="AG179">SUM(IF($AA179=$Z$16:$Z$592,O$16:O$592,""))</f>
        <v>0</v>
      </c>
      <c r="AH179" s="2"/>
      <c r="AI179" s="2"/>
      <c r="AJ179" s="2"/>
    </row>
    <row r="180" spans="1:36" x14ac:dyDescent="0.2">
      <c r="A180" s="306">
        <f>Crop!B213</f>
        <v>41804</v>
      </c>
      <c r="B180" s="307"/>
      <c r="C180" s="308"/>
      <c r="D180" s="304">
        <f>IF(OR($A180&lt;$A$3,$A180&gt;$A$7),"",Crop!$D213)</f>
        <v>6.6897609346934326</v>
      </c>
      <c r="E180" s="304">
        <f t="shared" si="30"/>
        <v>6.6897609346934326</v>
      </c>
      <c r="F180" s="304">
        <f>IF(OR(A180&lt;A$3,A180&gt;A$7),"",Crop!U213)</f>
        <v>1.2</v>
      </c>
      <c r="G180" s="304">
        <f t="shared" si="31"/>
        <v>8.027713121632118</v>
      </c>
      <c r="H180" s="309">
        <f>IF(OR(A180&lt;A$3,A180&gt;A$7),"",YTD!E177)</f>
        <v>135</v>
      </c>
      <c r="I180" s="310">
        <f t="shared" si="32"/>
        <v>480.91846008091704</v>
      </c>
      <c r="J180" s="311"/>
      <c r="K180" s="309">
        <f t="shared" si="33"/>
        <v>0</v>
      </c>
      <c r="L180" s="312" t="str">
        <f t="shared" si="40"/>
        <v/>
      </c>
      <c r="M180" s="366" t="str">
        <f t="shared" si="34"/>
        <v/>
      </c>
      <c r="N180" s="328" t="str">
        <f t="shared" si="35"/>
        <v/>
      </c>
      <c r="O180" s="313" t="str">
        <f t="shared" si="36"/>
        <v/>
      </c>
      <c r="P180" s="307"/>
      <c r="Q180" s="309">
        <f t="shared" si="41"/>
        <v>0.8</v>
      </c>
      <c r="R180" s="307"/>
      <c r="S180" s="314">
        <f t="shared" si="42"/>
        <v>11.2</v>
      </c>
      <c r="T180" s="304" t="str">
        <f t="shared" si="37"/>
        <v/>
      </c>
      <c r="U180" s="304">
        <f>IF(A180=YTD!B$6,E180,IF(OR(A180&lt;YTD!B$6,A180&gt;YTD!B$10),"",U179+E180))</f>
        <v>473.74796152793215</v>
      </c>
      <c r="V180" s="304">
        <f t="shared" si="43"/>
        <v>550.91846008091693</v>
      </c>
      <c r="W180" s="315">
        <f>IF(I180="",#N/A,YTD!G$8-I180)</f>
        <v>-210.91846008091704</v>
      </c>
      <c r="X180" s="368">
        <f t="shared" si="38"/>
        <v>0</v>
      </c>
      <c r="Y180" s="368">
        <f t="shared" si="44"/>
        <v>0</v>
      </c>
      <c r="Z180" s="368" t="str">
        <f t="shared" si="39"/>
        <v/>
      </c>
      <c r="AA180" s="368">
        <v>165</v>
      </c>
      <c r="AB180" s="369">
        <f t="array" ref="AB180">SUM(IF(AA180=Z$16:Z$592,A$16:A$592,""))</f>
        <v>0</v>
      </c>
      <c r="AC180" s="370">
        <f t="array" ref="AC180">SUM(IF(AA180=Z$16:Z$592,J$16:J$592,""))</f>
        <v>0</v>
      </c>
      <c r="AD180" s="370">
        <f t="array" ref="AD180">SUM(IF($AA180=$Z$16:$Z$592,L$16:L$592,""))</f>
        <v>0</v>
      </c>
      <c r="AE180" s="370">
        <f t="array" ref="AE180">SUM(IF($AA180=$Z$16:$Z$592,M$16:M$592,""))</f>
        <v>0</v>
      </c>
      <c r="AF180" s="368">
        <f t="array" ref="AF180">SUM(IF($AA180=$Z$16:$Z$592,N$16:N$592,""))</f>
        <v>0</v>
      </c>
      <c r="AG180" s="370">
        <f t="array" ref="AG180">SUM(IF($AA180=$Z$16:$Z$592,O$16:O$592,""))</f>
        <v>0</v>
      </c>
      <c r="AH180" s="2"/>
      <c r="AI180" s="2"/>
      <c r="AJ180" s="2"/>
    </row>
    <row r="181" spans="1:36" x14ac:dyDescent="0.2">
      <c r="A181" s="306">
        <f>Crop!B214</f>
        <v>41805</v>
      </c>
      <c r="B181" s="307"/>
      <c r="C181" s="308"/>
      <c r="D181" s="304">
        <f>IF(OR($A181&lt;$A$3,$A181&gt;$A$7),"",Crop!$D214)</f>
        <v>6.7228753106162502</v>
      </c>
      <c r="E181" s="304">
        <f t="shared" si="30"/>
        <v>6.7228753106162502</v>
      </c>
      <c r="F181" s="304">
        <f>IF(OR(A181&lt;A$3,A181&gt;A$7),"",Crop!U214)</f>
        <v>1.2</v>
      </c>
      <c r="G181" s="304">
        <f t="shared" si="31"/>
        <v>8.0674503727395006</v>
      </c>
      <c r="H181" s="309">
        <f>IF(OR(A181&lt;A$3,A181&gt;A$7),"",YTD!E178)</f>
        <v>135</v>
      </c>
      <c r="I181" s="310">
        <f t="shared" si="32"/>
        <v>488.98591045365652</v>
      </c>
      <c r="J181" s="311"/>
      <c r="K181" s="309">
        <f t="shared" si="33"/>
        <v>0</v>
      </c>
      <c r="L181" s="312" t="str">
        <f t="shared" si="40"/>
        <v/>
      </c>
      <c r="M181" s="366" t="str">
        <f t="shared" si="34"/>
        <v/>
      </c>
      <c r="N181" s="328" t="str">
        <f t="shared" si="35"/>
        <v/>
      </c>
      <c r="O181" s="313" t="str">
        <f t="shared" si="36"/>
        <v/>
      </c>
      <c r="P181" s="307"/>
      <c r="Q181" s="309">
        <f t="shared" si="41"/>
        <v>0.8</v>
      </c>
      <c r="R181" s="307"/>
      <c r="S181" s="314">
        <f t="shared" si="42"/>
        <v>11.2</v>
      </c>
      <c r="T181" s="304" t="str">
        <f t="shared" si="37"/>
        <v/>
      </c>
      <c r="U181" s="304">
        <f>IF(A181=YTD!B$6,E181,IF(OR(A181&lt;YTD!B$6,A181&gt;YTD!B$10),"",U180+E181))</f>
        <v>480.47083683854839</v>
      </c>
      <c r="V181" s="304">
        <f t="shared" si="43"/>
        <v>558.9859104536564</v>
      </c>
      <c r="W181" s="315">
        <f>IF(I181="",#N/A,YTD!G$8-I181)</f>
        <v>-218.98591045365652</v>
      </c>
      <c r="X181" s="368">
        <f t="shared" si="38"/>
        <v>0</v>
      </c>
      <c r="Y181" s="368">
        <f t="shared" si="44"/>
        <v>0</v>
      </c>
      <c r="Z181" s="368" t="str">
        <f t="shared" si="39"/>
        <v/>
      </c>
      <c r="AA181" s="368">
        <v>166</v>
      </c>
      <c r="AB181" s="369">
        <f t="array" ref="AB181">SUM(IF(AA181=Z$16:Z$592,A$16:A$592,""))</f>
        <v>0</v>
      </c>
      <c r="AC181" s="370">
        <f t="array" ref="AC181">SUM(IF(AA181=Z$16:Z$592,J$16:J$592,""))</f>
        <v>0</v>
      </c>
      <c r="AD181" s="370">
        <f t="array" ref="AD181">SUM(IF($AA181=$Z$16:$Z$592,L$16:L$592,""))</f>
        <v>0</v>
      </c>
      <c r="AE181" s="370">
        <f t="array" ref="AE181">SUM(IF($AA181=$Z$16:$Z$592,M$16:M$592,""))</f>
        <v>0</v>
      </c>
      <c r="AF181" s="368">
        <f t="array" ref="AF181">SUM(IF($AA181=$Z$16:$Z$592,N$16:N$592,""))</f>
        <v>0</v>
      </c>
      <c r="AG181" s="370">
        <f t="array" ref="AG181">SUM(IF($AA181=$Z$16:$Z$592,O$16:O$592,""))</f>
        <v>0</v>
      </c>
      <c r="AH181" s="2"/>
      <c r="AI181" s="2"/>
      <c r="AJ181" s="2"/>
    </row>
    <row r="182" spans="1:36" x14ac:dyDescent="0.2">
      <c r="A182" s="306">
        <f>Crop!B215</f>
        <v>41806</v>
      </c>
      <c r="B182" s="307"/>
      <c r="C182" s="308"/>
      <c r="D182" s="304">
        <f>IF(OR($A182&lt;$A$3,$A182&gt;$A$7),"",Crop!$D215)</f>
        <v>6.7546817895044136</v>
      </c>
      <c r="E182" s="304">
        <f t="shared" si="30"/>
        <v>6.7546817895044136</v>
      </c>
      <c r="F182" s="304">
        <f>IF(OR(A182&lt;A$3,A182&gt;A$7),"",Crop!U215)</f>
        <v>1.2</v>
      </c>
      <c r="G182" s="304">
        <f t="shared" si="31"/>
        <v>8.1056181474052966</v>
      </c>
      <c r="H182" s="309">
        <f>IF(OR(A182&lt;A$3,A182&gt;A$7),"",YTD!E179)</f>
        <v>135</v>
      </c>
      <c r="I182" s="310">
        <f t="shared" si="32"/>
        <v>497.09152860106184</v>
      </c>
      <c r="J182" s="311"/>
      <c r="K182" s="309">
        <f t="shared" si="33"/>
        <v>0</v>
      </c>
      <c r="L182" s="312" t="str">
        <f t="shared" si="40"/>
        <v/>
      </c>
      <c r="M182" s="366" t="str">
        <f t="shared" si="34"/>
        <v/>
      </c>
      <c r="N182" s="328" t="str">
        <f t="shared" si="35"/>
        <v/>
      </c>
      <c r="O182" s="313" t="str">
        <f t="shared" si="36"/>
        <v/>
      </c>
      <c r="P182" s="307"/>
      <c r="Q182" s="309">
        <f t="shared" si="41"/>
        <v>0.8</v>
      </c>
      <c r="R182" s="307"/>
      <c r="S182" s="314">
        <f t="shared" si="42"/>
        <v>11.2</v>
      </c>
      <c r="T182" s="304" t="str">
        <f t="shared" si="37"/>
        <v/>
      </c>
      <c r="U182" s="304">
        <f>IF(A182=YTD!B$6,E182,IF(OR(A182&lt;YTD!B$6,A182&gt;YTD!B$10),"",U181+E182))</f>
        <v>487.22551862805278</v>
      </c>
      <c r="V182" s="304">
        <f t="shared" si="43"/>
        <v>567.09152860106167</v>
      </c>
      <c r="W182" s="315">
        <f>IF(I182="",#N/A,YTD!G$8-I182)</f>
        <v>-227.09152860106184</v>
      </c>
      <c r="X182" s="368">
        <f t="shared" si="38"/>
        <v>0</v>
      </c>
      <c r="Y182" s="368">
        <f t="shared" si="44"/>
        <v>0</v>
      </c>
      <c r="Z182" s="368" t="str">
        <f t="shared" si="39"/>
        <v/>
      </c>
      <c r="AA182" s="368">
        <v>167</v>
      </c>
      <c r="AB182" s="369">
        <f t="array" ref="AB182">SUM(IF(AA182=Z$16:Z$592,A$16:A$592,""))</f>
        <v>0</v>
      </c>
      <c r="AC182" s="370">
        <f t="array" ref="AC182">SUM(IF(AA182=Z$16:Z$592,J$16:J$592,""))</f>
        <v>0</v>
      </c>
      <c r="AD182" s="370">
        <f t="array" ref="AD182">SUM(IF($AA182=$Z$16:$Z$592,L$16:L$592,""))</f>
        <v>0</v>
      </c>
      <c r="AE182" s="370">
        <f t="array" ref="AE182">SUM(IF($AA182=$Z$16:$Z$592,M$16:M$592,""))</f>
        <v>0</v>
      </c>
      <c r="AF182" s="368">
        <f t="array" ref="AF182">SUM(IF($AA182=$Z$16:$Z$592,N$16:N$592,""))</f>
        <v>0</v>
      </c>
      <c r="AG182" s="370">
        <f t="array" ref="AG182">SUM(IF($AA182=$Z$16:$Z$592,O$16:O$592,""))</f>
        <v>0</v>
      </c>
      <c r="AH182" s="2"/>
      <c r="AI182" s="2"/>
      <c r="AJ182" s="2"/>
    </row>
    <row r="183" spans="1:36" x14ac:dyDescent="0.2">
      <c r="A183" s="306">
        <f>Crop!B216</f>
        <v>41807</v>
      </c>
      <c r="B183" s="307"/>
      <c r="C183" s="308"/>
      <c r="D183" s="304">
        <f>IF(OR($A183&lt;$A$3,$A183&gt;$A$7),"",Crop!$D216)</f>
        <v>6.7851074137560472</v>
      </c>
      <c r="E183" s="304">
        <f t="shared" si="30"/>
        <v>6.7851074137560472</v>
      </c>
      <c r="F183" s="304">
        <f>IF(OR(A183&lt;A$3,A183&gt;A$7),"",Crop!U216)</f>
        <v>1.2</v>
      </c>
      <c r="G183" s="304">
        <f t="shared" si="31"/>
        <v>8.1421288965072556</v>
      </c>
      <c r="H183" s="309">
        <f>IF(OR(A183&lt;A$3,A183&gt;A$7),"",YTD!E180)</f>
        <v>135</v>
      </c>
      <c r="I183" s="310">
        <f t="shared" si="32"/>
        <v>505.23365749756908</v>
      </c>
      <c r="J183" s="311"/>
      <c r="K183" s="309">
        <f t="shared" si="33"/>
        <v>0</v>
      </c>
      <c r="L183" s="312" t="str">
        <f t="shared" si="40"/>
        <v/>
      </c>
      <c r="M183" s="366" t="str">
        <f t="shared" si="34"/>
        <v/>
      </c>
      <c r="N183" s="328" t="str">
        <f t="shared" si="35"/>
        <v/>
      </c>
      <c r="O183" s="313" t="str">
        <f t="shared" si="36"/>
        <v/>
      </c>
      <c r="P183" s="307"/>
      <c r="Q183" s="309">
        <f t="shared" si="41"/>
        <v>0.8</v>
      </c>
      <c r="R183" s="307"/>
      <c r="S183" s="314">
        <f t="shared" si="42"/>
        <v>11.2</v>
      </c>
      <c r="T183" s="304" t="str">
        <f t="shared" si="37"/>
        <v/>
      </c>
      <c r="U183" s="304">
        <f>IF(A183=YTD!B$6,E183,IF(OR(A183&lt;YTD!B$6,A183&gt;YTD!B$10),"",U182+E183))</f>
        <v>494.01062604180885</v>
      </c>
      <c r="V183" s="304">
        <f t="shared" si="43"/>
        <v>575.23365749756897</v>
      </c>
      <c r="W183" s="315">
        <f>IF(I183="",#N/A,YTD!G$8-I183)</f>
        <v>-235.23365749756908</v>
      </c>
      <c r="X183" s="368">
        <f t="shared" si="38"/>
        <v>0</v>
      </c>
      <c r="Y183" s="368">
        <f t="shared" si="44"/>
        <v>0</v>
      </c>
      <c r="Z183" s="368" t="str">
        <f t="shared" si="39"/>
        <v/>
      </c>
      <c r="AA183" s="368">
        <v>168</v>
      </c>
      <c r="AB183" s="369">
        <f t="array" ref="AB183">SUM(IF(AA183=Z$16:Z$592,A$16:A$592,""))</f>
        <v>0</v>
      </c>
      <c r="AC183" s="370">
        <f t="array" ref="AC183">SUM(IF(AA183=Z$16:Z$592,J$16:J$592,""))</f>
        <v>0</v>
      </c>
      <c r="AD183" s="370">
        <f t="array" ref="AD183">SUM(IF($AA183=$Z$16:$Z$592,L$16:L$592,""))</f>
        <v>0</v>
      </c>
      <c r="AE183" s="370">
        <f t="array" ref="AE183">SUM(IF($AA183=$Z$16:$Z$592,M$16:M$592,""))</f>
        <v>0</v>
      </c>
      <c r="AF183" s="368">
        <f t="array" ref="AF183">SUM(IF($AA183=$Z$16:$Z$592,N$16:N$592,""))</f>
        <v>0</v>
      </c>
      <c r="AG183" s="370">
        <f t="array" ref="AG183">SUM(IF($AA183=$Z$16:$Z$592,O$16:O$592,""))</f>
        <v>0</v>
      </c>
      <c r="AH183" s="2"/>
      <c r="AI183" s="2"/>
      <c r="AJ183" s="2"/>
    </row>
    <row r="184" spans="1:36" x14ac:dyDescent="0.2">
      <c r="A184" s="306">
        <f>Crop!B217</f>
        <v>41808</v>
      </c>
      <c r="B184" s="307"/>
      <c r="C184" s="308"/>
      <c r="D184" s="304">
        <f>IF(OR($A184&lt;$A$3,$A184&gt;$A$7),"",Crop!$D217)</f>
        <v>6.8140941815019502</v>
      </c>
      <c r="E184" s="304">
        <f t="shared" si="30"/>
        <v>6.8140941815019502</v>
      </c>
      <c r="F184" s="304">
        <f>IF(OR(A184&lt;A$3,A184&gt;A$7),"",Crop!U217)</f>
        <v>1.2</v>
      </c>
      <c r="G184" s="304">
        <f t="shared" si="31"/>
        <v>8.1769130178023399</v>
      </c>
      <c r="H184" s="309">
        <f>IF(OR(A184&lt;A$3,A184&gt;A$7),"",YTD!E181)</f>
        <v>135</v>
      </c>
      <c r="I184" s="310">
        <f t="shared" si="32"/>
        <v>513.41057051537143</v>
      </c>
      <c r="J184" s="311"/>
      <c r="K184" s="309">
        <f t="shared" si="33"/>
        <v>0</v>
      </c>
      <c r="L184" s="312" t="str">
        <f t="shared" si="40"/>
        <v/>
      </c>
      <c r="M184" s="366" t="str">
        <f t="shared" si="34"/>
        <v/>
      </c>
      <c r="N184" s="328" t="str">
        <f t="shared" si="35"/>
        <v/>
      </c>
      <c r="O184" s="313" t="str">
        <f t="shared" si="36"/>
        <v/>
      </c>
      <c r="P184" s="307"/>
      <c r="Q184" s="309">
        <f t="shared" si="41"/>
        <v>0.8</v>
      </c>
      <c r="R184" s="307"/>
      <c r="S184" s="314">
        <f t="shared" si="42"/>
        <v>11.2</v>
      </c>
      <c r="T184" s="304" t="str">
        <f t="shared" si="37"/>
        <v/>
      </c>
      <c r="U184" s="304">
        <f>IF(A184=YTD!B$6,E184,IF(OR(A184&lt;YTD!B$6,A184&gt;YTD!B$10),"",U183+E184))</f>
        <v>500.82472022331081</v>
      </c>
      <c r="V184" s="304">
        <f t="shared" si="43"/>
        <v>583.41057051537132</v>
      </c>
      <c r="W184" s="315">
        <f>IF(I184="",#N/A,YTD!G$8-I184)</f>
        <v>-243.41057051537143</v>
      </c>
      <c r="X184" s="368">
        <f t="shared" si="38"/>
        <v>0</v>
      </c>
      <c r="Y184" s="368">
        <f t="shared" si="44"/>
        <v>0</v>
      </c>
      <c r="Z184" s="368" t="str">
        <f t="shared" si="39"/>
        <v/>
      </c>
      <c r="AA184" s="368">
        <v>169</v>
      </c>
      <c r="AB184" s="369">
        <f t="array" ref="AB184">SUM(IF(AA184=Z$16:Z$592,A$16:A$592,""))</f>
        <v>0</v>
      </c>
      <c r="AC184" s="370">
        <f t="array" ref="AC184">SUM(IF(AA184=Z$16:Z$592,J$16:J$592,""))</f>
        <v>0</v>
      </c>
      <c r="AD184" s="370">
        <f t="array" ref="AD184">SUM(IF($AA184=$Z$16:$Z$592,L$16:L$592,""))</f>
        <v>0</v>
      </c>
      <c r="AE184" s="370">
        <f t="array" ref="AE184">SUM(IF($AA184=$Z$16:$Z$592,M$16:M$592,""))</f>
        <v>0</v>
      </c>
      <c r="AF184" s="368">
        <f t="array" ref="AF184">SUM(IF($AA184=$Z$16:$Z$592,N$16:N$592,""))</f>
        <v>0</v>
      </c>
      <c r="AG184" s="370">
        <f t="array" ref="AG184">SUM(IF($AA184=$Z$16:$Z$592,O$16:O$592,""))</f>
        <v>0</v>
      </c>
      <c r="AH184" s="2"/>
      <c r="AI184" s="2"/>
      <c r="AJ184" s="2"/>
    </row>
    <row r="185" spans="1:36" x14ac:dyDescent="0.2">
      <c r="A185" s="306">
        <f>Crop!B218</f>
        <v>41809</v>
      </c>
      <c r="B185" s="307"/>
      <c r="C185" s="308"/>
      <c r="D185" s="304">
        <f>IF(OR($A185&lt;$A$3,$A185&gt;$A$7),"",Crop!$D218)</f>
        <v>6.8416439138036091</v>
      </c>
      <c r="E185" s="304">
        <f t="shared" si="30"/>
        <v>6.8416439138036091</v>
      </c>
      <c r="F185" s="304">
        <f>IF(OR(A185&lt;A$3,A185&gt;A$7),"",Crop!U218)</f>
        <v>1.2</v>
      </c>
      <c r="G185" s="304">
        <f t="shared" si="31"/>
        <v>8.2099726965643303</v>
      </c>
      <c r="H185" s="309">
        <f>IF(OR(A185&lt;A$3,A185&gt;A$7),"",YTD!E182)</f>
        <v>135</v>
      </c>
      <c r="I185" s="310">
        <f t="shared" si="32"/>
        <v>521.6205432119358</v>
      </c>
      <c r="J185" s="311"/>
      <c r="K185" s="309">
        <f t="shared" si="33"/>
        <v>0</v>
      </c>
      <c r="L185" s="312" t="str">
        <f t="shared" si="40"/>
        <v/>
      </c>
      <c r="M185" s="366" t="str">
        <f t="shared" si="34"/>
        <v/>
      </c>
      <c r="N185" s="328" t="str">
        <f t="shared" si="35"/>
        <v/>
      </c>
      <c r="O185" s="313" t="str">
        <f t="shared" si="36"/>
        <v/>
      </c>
      <c r="P185" s="307"/>
      <c r="Q185" s="309">
        <f t="shared" si="41"/>
        <v>0.8</v>
      </c>
      <c r="R185" s="307"/>
      <c r="S185" s="314">
        <f t="shared" si="42"/>
        <v>11.2</v>
      </c>
      <c r="T185" s="304" t="str">
        <f t="shared" si="37"/>
        <v/>
      </c>
      <c r="U185" s="304">
        <f>IF(A185=YTD!B$6,E185,IF(OR(A185&lt;YTD!B$6,A185&gt;YTD!B$10),"",U184+E185))</f>
        <v>507.66636413711444</v>
      </c>
      <c r="V185" s="304">
        <f t="shared" si="43"/>
        <v>591.62054321193568</v>
      </c>
      <c r="W185" s="315">
        <f>IF(I185="",#N/A,YTD!G$8-I185)</f>
        <v>-251.6205432119358</v>
      </c>
      <c r="X185" s="368">
        <f t="shared" si="38"/>
        <v>0</v>
      </c>
      <c r="Y185" s="368">
        <f t="shared" si="44"/>
        <v>0</v>
      </c>
      <c r="Z185" s="368" t="str">
        <f t="shared" si="39"/>
        <v/>
      </c>
      <c r="AA185" s="368">
        <v>170</v>
      </c>
      <c r="AB185" s="369">
        <f t="array" ref="AB185">SUM(IF(AA185=Z$16:Z$592,A$16:A$592,""))</f>
        <v>0</v>
      </c>
      <c r="AC185" s="370">
        <f t="array" ref="AC185">SUM(IF(AA185=Z$16:Z$592,J$16:J$592,""))</f>
        <v>0</v>
      </c>
      <c r="AD185" s="370">
        <f t="array" ref="AD185">SUM(IF($AA185=$Z$16:$Z$592,L$16:L$592,""))</f>
        <v>0</v>
      </c>
      <c r="AE185" s="370">
        <f t="array" ref="AE185">SUM(IF($AA185=$Z$16:$Z$592,M$16:M$592,""))</f>
        <v>0</v>
      </c>
      <c r="AF185" s="368">
        <f t="array" ref="AF185">SUM(IF($AA185=$Z$16:$Z$592,N$16:N$592,""))</f>
        <v>0</v>
      </c>
      <c r="AG185" s="370">
        <f t="array" ref="AG185">SUM(IF($AA185=$Z$16:$Z$592,O$16:O$592,""))</f>
        <v>0</v>
      </c>
      <c r="AH185" s="2"/>
      <c r="AI185" s="2"/>
      <c r="AJ185" s="2"/>
    </row>
    <row r="186" spans="1:36" x14ac:dyDescent="0.2">
      <c r="A186" s="306">
        <f>Crop!B219</f>
        <v>41810</v>
      </c>
      <c r="B186" s="307"/>
      <c r="C186" s="308"/>
      <c r="D186" s="304">
        <f>IF(OR($A186&lt;$A$3,$A186&gt;$A$7),"",Crop!$D219)</f>
        <v>6.8677733874551725</v>
      </c>
      <c r="E186" s="304">
        <f t="shared" si="30"/>
        <v>6.8677733874551725</v>
      </c>
      <c r="F186" s="304">
        <f>IF(OR(A186&lt;A$3,A186&gt;A$7),"",Crop!U219)</f>
        <v>1.2</v>
      </c>
      <c r="G186" s="304">
        <f t="shared" si="31"/>
        <v>8.241328064946206</v>
      </c>
      <c r="H186" s="309">
        <f>IF(OR(A186&lt;A$3,A186&gt;A$7),"",YTD!E183)</f>
        <v>135</v>
      </c>
      <c r="I186" s="310">
        <f t="shared" si="32"/>
        <v>529.86187127688197</v>
      </c>
      <c r="J186" s="311"/>
      <c r="K186" s="309">
        <f t="shared" si="33"/>
        <v>0</v>
      </c>
      <c r="L186" s="312" t="str">
        <f t="shared" si="40"/>
        <v/>
      </c>
      <c r="M186" s="366" t="str">
        <f t="shared" si="34"/>
        <v/>
      </c>
      <c r="N186" s="328" t="str">
        <f t="shared" si="35"/>
        <v/>
      </c>
      <c r="O186" s="313" t="str">
        <f t="shared" si="36"/>
        <v/>
      </c>
      <c r="P186" s="307"/>
      <c r="Q186" s="309">
        <f t="shared" si="41"/>
        <v>0.8</v>
      </c>
      <c r="R186" s="307"/>
      <c r="S186" s="314">
        <f t="shared" si="42"/>
        <v>11.2</v>
      </c>
      <c r="T186" s="304" t="str">
        <f t="shared" si="37"/>
        <v/>
      </c>
      <c r="U186" s="304">
        <f>IF(A186=YTD!B$6,E186,IF(OR(A186&lt;YTD!B$6,A186&gt;YTD!B$10),"",U185+E186))</f>
        <v>514.53413752456959</v>
      </c>
      <c r="V186" s="304">
        <f t="shared" si="43"/>
        <v>599.86187127688186</v>
      </c>
      <c r="W186" s="315">
        <f>IF(I186="",#N/A,YTD!G$8-I186)</f>
        <v>-259.86187127688197</v>
      </c>
      <c r="X186" s="368">
        <f t="shared" si="38"/>
        <v>0</v>
      </c>
      <c r="Y186" s="368">
        <f t="shared" si="44"/>
        <v>0</v>
      </c>
      <c r="Z186" s="368" t="str">
        <f t="shared" si="39"/>
        <v/>
      </c>
      <c r="AA186" s="368">
        <v>171</v>
      </c>
      <c r="AB186" s="369">
        <f t="array" ref="AB186">SUM(IF(AA186=Z$16:Z$592,A$16:A$592,""))</f>
        <v>0</v>
      </c>
      <c r="AC186" s="370">
        <f t="array" ref="AC186">SUM(IF(AA186=Z$16:Z$592,J$16:J$592,""))</f>
        <v>0</v>
      </c>
      <c r="AD186" s="370">
        <f t="array" ref="AD186">SUM(IF($AA186=$Z$16:$Z$592,L$16:L$592,""))</f>
        <v>0</v>
      </c>
      <c r="AE186" s="370">
        <f t="array" ref="AE186">SUM(IF($AA186=$Z$16:$Z$592,M$16:M$592,""))</f>
        <v>0</v>
      </c>
      <c r="AF186" s="368">
        <f t="array" ref="AF186">SUM(IF($AA186=$Z$16:$Z$592,N$16:N$592,""))</f>
        <v>0</v>
      </c>
      <c r="AG186" s="370">
        <f t="array" ref="AG186">SUM(IF($AA186=$Z$16:$Z$592,O$16:O$592,""))</f>
        <v>0</v>
      </c>
      <c r="AH186" s="2"/>
      <c r="AI186" s="2"/>
      <c r="AJ186" s="2"/>
    </row>
    <row r="187" spans="1:36" x14ac:dyDescent="0.2">
      <c r="A187" s="306">
        <f>Crop!B220</f>
        <v>41811</v>
      </c>
      <c r="B187" s="307"/>
      <c r="C187" s="308"/>
      <c r="D187" s="304">
        <f>IF(OR($A187&lt;$A$3,$A187&gt;$A$7),"",Crop!$D220)</f>
        <v>6.8924993792507969</v>
      </c>
      <c r="E187" s="304">
        <f t="shared" si="30"/>
        <v>6.8924993792507969</v>
      </c>
      <c r="F187" s="304">
        <f>IF(OR(A187&lt;A$3,A187&gt;A$7),"",Crop!U220)</f>
        <v>1.2</v>
      </c>
      <c r="G187" s="304">
        <f t="shared" si="31"/>
        <v>8.2709992551009552</v>
      </c>
      <c r="H187" s="309">
        <f>IF(OR(A187&lt;A$3,A187&gt;A$7),"",YTD!E184)</f>
        <v>135</v>
      </c>
      <c r="I187" s="310">
        <f t="shared" si="32"/>
        <v>438.13287053198292</v>
      </c>
      <c r="J187" s="311">
        <v>100</v>
      </c>
      <c r="K187" s="309">
        <f t="shared" si="33"/>
        <v>0</v>
      </c>
      <c r="L187" s="312">
        <f t="shared" si="40"/>
        <v>125</v>
      </c>
      <c r="M187" s="366">
        <f t="shared" ref="M187:M208" si="45">IF(L187="","",L187/(1-$I$8))</f>
        <v>138.88888888888889</v>
      </c>
      <c r="N187" s="328">
        <f>IF(L187="","",INT(M187/S187))</f>
        <v>12</v>
      </c>
      <c r="O187" s="313">
        <f>IF(N187="","",MOD(M187/S187,N187)*60)</f>
        <v>24.047619047619122</v>
      </c>
      <c r="P187" s="307"/>
      <c r="Q187" s="309">
        <f t="shared" si="41"/>
        <v>0.8</v>
      </c>
      <c r="R187" s="307"/>
      <c r="S187" s="314">
        <f t="shared" si="42"/>
        <v>11.2</v>
      </c>
      <c r="T187" s="304" t="str">
        <f t="shared" si="37"/>
        <v/>
      </c>
      <c r="U187" s="304">
        <f>IF(A187=YTD!B$6,E187,IF(OR(A187&lt;YTD!B$6,A187&gt;YTD!B$10),"",U186+E187))</f>
        <v>521.42663690382039</v>
      </c>
      <c r="V187" s="304">
        <f t="shared" si="43"/>
        <v>608.1328705319828</v>
      </c>
      <c r="W187" s="315">
        <f>IF(I187="",#N/A,YTD!G$8-I187)</f>
        <v>-168.13287053198292</v>
      </c>
      <c r="X187" s="368">
        <f t="shared" si="38"/>
        <v>1</v>
      </c>
      <c r="Y187" s="368">
        <f t="shared" si="44"/>
        <v>1</v>
      </c>
      <c r="Z187" s="368">
        <f t="shared" si="39"/>
        <v>1</v>
      </c>
      <c r="AA187" s="368">
        <v>172</v>
      </c>
      <c r="AB187" s="369">
        <f t="array" ref="AB187">SUM(IF(AA187=Z$16:Z$592,A$16:A$592,""))</f>
        <v>0</v>
      </c>
      <c r="AC187" s="370">
        <f t="array" ref="AC187">SUM(IF(AA187=Z$16:Z$592,J$16:J$592,""))</f>
        <v>0</v>
      </c>
      <c r="AD187" s="370">
        <f t="array" ref="AD187">SUM(IF($AA187=$Z$16:$Z$592,L$16:L$592,""))</f>
        <v>0</v>
      </c>
      <c r="AE187" s="370">
        <f t="array" ref="AE187">SUM(IF($AA187=$Z$16:$Z$592,M$16:M$592,""))</f>
        <v>0</v>
      </c>
      <c r="AF187" s="368">
        <f t="array" ref="AF187">SUM(IF($AA187=$Z$16:$Z$592,N$16:N$592,""))</f>
        <v>0</v>
      </c>
      <c r="AG187" s="370">
        <f t="array" ref="AG187">SUM(IF($AA187=$Z$16:$Z$592,O$16:O$592,""))</f>
        <v>0</v>
      </c>
      <c r="AH187" s="2"/>
      <c r="AI187" s="2"/>
      <c r="AJ187" s="2"/>
    </row>
    <row r="188" spans="1:36" x14ac:dyDescent="0.2">
      <c r="A188" s="306">
        <f>Crop!B221</f>
        <v>41812</v>
      </c>
      <c r="B188" s="307"/>
      <c r="C188" s="308"/>
      <c r="D188" s="304">
        <f>IF(OR($A188&lt;$A$3,$A188&gt;$A$7),"",Crop!$D221)</f>
        <v>6.9158386659846371</v>
      </c>
      <c r="E188" s="304">
        <f t="shared" si="30"/>
        <v>6.9158386659846371</v>
      </c>
      <c r="F188" s="304">
        <f>IF(OR(A188&lt;A$3,A188&gt;A$7),"",Crop!U221)</f>
        <v>1.2</v>
      </c>
      <c r="G188" s="304">
        <f t="shared" si="31"/>
        <v>8.2990063991815646</v>
      </c>
      <c r="H188" s="309">
        <f>IF(OR(A188&lt;A$3,A188&gt;A$7),"",YTD!E185)</f>
        <v>135</v>
      </c>
      <c r="I188" s="310">
        <f t="shared" si="32"/>
        <v>446.43187693116448</v>
      </c>
      <c r="J188" s="311"/>
      <c r="K188" s="309">
        <f t="shared" si="33"/>
        <v>0</v>
      </c>
      <c r="L188" s="312" t="str">
        <f t="shared" si="40"/>
        <v/>
      </c>
      <c r="M188" s="366" t="str">
        <f t="shared" si="45"/>
        <v/>
      </c>
      <c r="N188" s="328" t="str">
        <f t="shared" ref="N188:N251" si="46">IF(L188="","",INT(M188/S188))</f>
        <v/>
      </c>
      <c r="O188" s="313" t="str">
        <f t="shared" ref="O188:O251" si="47">IF(N188="","",MOD(M188/S188,N188)*60)</f>
        <v/>
      </c>
      <c r="P188" s="307"/>
      <c r="Q188" s="309">
        <f t="shared" si="41"/>
        <v>0.8</v>
      </c>
      <c r="R188" s="307"/>
      <c r="S188" s="314">
        <f t="shared" si="42"/>
        <v>11.2</v>
      </c>
      <c r="T188" s="304" t="str">
        <f t="shared" si="37"/>
        <v/>
      </c>
      <c r="U188" s="304">
        <f>IF(A188=YTD!B$6,E188,IF(OR(A188&lt;YTD!B$6,A188&gt;YTD!B$10),"",U187+E188))</f>
        <v>528.34247556980506</v>
      </c>
      <c r="V188" s="304">
        <f t="shared" si="43"/>
        <v>616.43187693116442</v>
      </c>
      <c r="W188" s="315">
        <f>IF(I188="",#N/A,YTD!G$8-I188)</f>
        <v>-176.43187693116448</v>
      </c>
      <c r="X188" s="368">
        <f t="shared" si="38"/>
        <v>0</v>
      </c>
      <c r="Y188" s="368">
        <f t="shared" si="44"/>
        <v>1</v>
      </c>
      <c r="Z188" s="368" t="str">
        <f t="shared" si="39"/>
        <v/>
      </c>
      <c r="AA188" s="368">
        <v>173</v>
      </c>
      <c r="AB188" s="369">
        <f t="array" ref="AB188">SUM(IF(AA188=Z$16:Z$592,A$16:A$592,""))</f>
        <v>0</v>
      </c>
      <c r="AC188" s="370">
        <f t="array" ref="AC188">SUM(IF(AA188=Z$16:Z$592,J$16:J$592,""))</f>
        <v>0</v>
      </c>
      <c r="AD188" s="370">
        <f t="array" ref="AD188">SUM(IF($AA188=$Z$16:$Z$592,L$16:L$592,""))</f>
        <v>0</v>
      </c>
      <c r="AE188" s="370">
        <f t="array" ref="AE188">SUM(IF($AA188=$Z$16:$Z$592,M$16:M$592,""))</f>
        <v>0</v>
      </c>
      <c r="AF188" s="368">
        <f t="array" ref="AF188">SUM(IF($AA188=$Z$16:$Z$592,N$16:N$592,""))</f>
        <v>0</v>
      </c>
      <c r="AG188" s="370">
        <f t="array" ref="AG188">SUM(IF($AA188=$Z$16:$Z$592,O$16:O$592,""))</f>
        <v>0</v>
      </c>
      <c r="AH188" s="2"/>
      <c r="AI188" s="2"/>
      <c r="AJ188" s="2"/>
    </row>
    <row r="189" spans="1:36" x14ac:dyDescent="0.2">
      <c r="A189" s="306">
        <f>Crop!B222</f>
        <v>41813</v>
      </c>
      <c r="B189" s="307"/>
      <c r="C189" s="308"/>
      <c r="D189" s="304">
        <f>IF(OR($A189&lt;$A$3,$A189&gt;$A$7),"",Crop!$D222)</f>
        <v>6.9378080244508462</v>
      </c>
      <c r="E189" s="304">
        <f t="shared" si="30"/>
        <v>6.9378080244508462</v>
      </c>
      <c r="F189" s="304">
        <f>IF(OR(A189&lt;A$3,A189&gt;A$7),"",Crop!U222)</f>
        <v>1.2</v>
      </c>
      <c r="G189" s="304">
        <f t="shared" si="31"/>
        <v>8.3253696293410151</v>
      </c>
      <c r="H189" s="309">
        <f>IF(OR(A189&lt;A$3,A189&gt;A$7),"",YTD!E186)</f>
        <v>135</v>
      </c>
      <c r="I189" s="310">
        <f t="shared" si="32"/>
        <v>454.75724656050551</v>
      </c>
      <c r="J189" s="311"/>
      <c r="K189" s="309">
        <f t="shared" si="33"/>
        <v>0</v>
      </c>
      <c r="L189" s="312" t="str">
        <f t="shared" si="40"/>
        <v/>
      </c>
      <c r="M189" s="366" t="str">
        <f t="shared" si="45"/>
        <v/>
      </c>
      <c r="N189" s="328" t="str">
        <f t="shared" si="46"/>
        <v/>
      </c>
      <c r="O189" s="313" t="str">
        <f t="shared" si="47"/>
        <v/>
      </c>
      <c r="P189" s="307"/>
      <c r="Q189" s="309">
        <f t="shared" si="41"/>
        <v>0.8</v>
      </c>
      <c r="R189" s="307"/>
      <c r="S189" s="314">
        <f t="shared" si="42"/>
        <v>11.2</v>
      </c>
      <c r="T189" s="304" t="str">
        <f t="shared" si="37"/>
        <v>C</v>
      </c>
      <c r="U189" s="304">
        <f>IF(A189=YTD!B$6,E189,IF(OR(A189&lt;YTD!B$6,A189&gt;YTD!B$10),"",U188+E189))</f>
        <v>535.28028359425593</v>
      </c>
      <c r="V189" s="304">
        <f t="shared" si="43"/>
        <v>624.75724656050545</v>
      </c>
      <c r="W189" s="315">
        <f>IF(I189="",#N/A,YTD!G$8-I189)</f>
        <v>-184.75724656050551</v>
      </c>
      <c r="X189" s="368">
        <f t="shared" si="38"/>
        <v>0</v>
      </c>
      <c r="Y189" s="368">
        <f t="shared" si="44"/>
        <v>1</v>
      </c>
      <c r="Z189" s="368" t="str">
        <f t="shared" si="39"/>
        <v/>
      </c>
      <c r="AA189" s="368">
        <v>174</v>
      </c>
      <c r="AB189" s="369">
        <f t="array" ref="AB189">SUM(IF(AA189=Z$16:Z$592,A$16:A$592,""))</f>
        <v>0</v>
      </c>
      <c r="AC189" s="370">
        <f t="array" ref="AC189">SUM(IF(AA189=Z$16:Z$592,J$16:J$592,""))</f>
        <v>0</v>
      </c>
      <c r="AD189" s="370">
        <f t="array" ref="AD189">SUM(IF($AA189=$Z$16:$Z$592,L$16:L$592,""))</f>
        <v>0</v>
      </c>
      <c r="AE189" s="370">
        <f t="array" ref="AE189">SUM(IF($AA189=$Z$16:$Z$592,M$16:M$592,""))</f>
        <v>0</v>
      </c>
      <c r="AF189" s="368">
        <f t="array" ref="AF189">SUM(IF($AA189=$Z$16:$Z$592,N$16:N$592,""))</f>
        <v>0</v>
      </c>
      <c r="AG189" s="370">
        <f t="array" ref="AG189">SUM(IF($AA189=$Z$16:$Z$592,O$16:O$592,""))</f>
        <v>0</v>
      </c>
      <c r="AH189" s="2"/>
      <c r="AI189" s="2"/>
      <c r="AJ189" s="2"/>
    </row>
    <row r="190" spans="1:36" x14ac:dyDescent="0.2">
      <c r="A190" s="306">
        <f>Crop!B223</f>
        <v>41814</v>
      </c>
      <c r="B190" s="307"/>
      <c r="C190" s="308"/>
      <c r="D190" s="304">
        <f>IF(OR($A190&lt;$A$3,$A190&gt;$A$7),"",Crop!$D223)</f>
        <v>6.9584242314435771</v>
      </c>
      <c r="E190" s="304">
        <f t="shared" si="30"/>
        <v>6.9584242314435771</v>
      </c>
      <c r="F190" s="304">
        <f>IF(OR(A190&lt;A$3,A190&gt;A$7),"",Crop!U223)</f>
        <v>1.2</v>
      </c>
      <c r="G190" s="304">
        <f t="shared" si="31"/>
        <v>8.3501090777322915</v>
      </c>
      <c r="H190" s="309">
        <f>IF(OR(A190&lt;A$3,A190&gt;A$7),"",YTD!E187)</f>
        <v>135</v>
      </c>
      <c r="I190" s="310">
        <f t="shared" si="32"/>
        <v>463.10735563823778</v>
      </c>
      <c r="J190" s="311"/>
      <c r="K190" s="309">
        <f t="shared" si="33"/>
        <v>0</v>
      </c>
      <c r="L190" s="312" t="str">
        <f t="shared" si="40"/>
        <v/>
      </c>
      <c r="M190" s="366" t="str">
        <f t="shared" si="45"/>
        <v/>
      </c>
      <c r="N190" s="328" t="str">
        <f t="shared" si="46"/>
        <v/>
      </c>
      <c r="O190" s="313" t="str">
        <f t="shared" si="47"/>
        <v/>
      </c>
      <c r="P190" s="307"/>
      <c r="Q190" s="309">
        <f t="shared" si="41"/>
        <v>0.8</v>
      </c>
      <c r="R190" s="307"/>
      <c r="S190" s="314">
        <f t="shared" si="42"/>
        <v>11.2</v>
      </c>
      <c r="T190" s="304" t="str">
        <f t="shared" si="37"/>
        <v/>
      </c>
      <c r="U190" s="304">
        <f>IF(A190=YTD!B$6,E190,IF(OR(A190&lt;YTD!B$6,A190&gt;YTD!B$10),"",U189+E190))</f>
        <v>542.23870782569952</v>
      </c>
      <c r="V190" s="304">
        <f t="shared" si="43"/>
        <v>633.10735563823778</v>
      </c>
      <c r="W190" s="315">
        <f>IF(I190="",#N/A,YTD!G$8-I190)</f>
        <v>-193.10735563823778</v>
      </c>
      <c r="X190" s="368">
        <f t="shared" si="38"/>
        <v>0</v>
      </c>
      <c r="Y190" s="368">
        <f t="shared" si="44"/>
        <v>1</v>
      </c>
      <c r="Z190" s="368" t="str">
        <f t="shared" si="39"/>
        <v/>
      </c>
      <c r="AA190" s="368">
        <v>175</v>
      </c>
      <c r="AB190" s="369">
        <f t="array" ref="AB190">SUM(IF(AA190=Z$16:Z$592,A$16:A$592,""))</f>
        <v>0</v>
      </c>
      <c r="AC190" s="370">
        <f t="array" ref="AC190">SUM(IF(AA190=Z$16:Z$592,J$16:J$592,""))</f>
        <v>0</v>
      </c>
      <c r="AD190" s="370">
        <f t="array" ref="AD190">SUM(IF($AA190=$Z$16:$Z$592,L$16:L$592,""))</f>
        <v>0</v>
      </c>
      <c r="AE190" s="370">
        <f t="array" ref="AE190">SUM(IF($AA190=$Z$16:$Z$592,M$16:M$592,""))</f>
        <v>0</v>
      </c>
      <c r="AF190" s="368">
        <f t="array" ref="AF190">SUM(IF($AA190=$Z$16:$Z$592,N$16:N$592,""))</f>
        <v>0</v>
      </c>
      <c r="AG190" s="370">
        <f t="array" ref="AG190">SUM(IF($AA190=$Z$16:$Z$592,O$16:O$592,""))</f>
        <v>0</v>
      </c>
      <c r="AH190" s="2"/>
      <c r="AI190" s="2"/>
      <c r="AJ190" s="2"/>
    </row>
    <row r="191" spans="1:36" x14ac:dyDescent="0.2">
      <c r="A191" s="306">
        <f>Crop!B224</f>
        <v>41815</v>
      </c>
      <c r="B191" s="307"/>
      <c r="C191" s="308"/>
      <c r="D191" s="304">
        <f>IF(OR($A191&lt;$A$3,$A191&gt;$A$7),"",Crop!$D224)</f>
        <v>6.9777040637569847</v>
      </c>
      <c r="E191" s="304">
        <f t="shared" si="30"/>
        <v>6.9777040637569847</v>
      </c>
      <c r="F191" s="304">
        <f>IF(OR(A191&lt;A$3,A191&gt;A$7),"",Crop!U224)</f>
        <v>1.2</v>
      </c>
      <c r="G191" s="304">
        <f t="shared" si="31"/>
        <v>8.373244876508382</v>
      </c>
      <c r="H191" s="309">
        <f>IF(OR(A191&lt;A$3,A191&gt;A$7),"",YTD!E188)</f>
        <v>135</v>
      </c>
      <c r="I191" s="310">
        <f t="shared" si="32"/>
        <v>471.48060051474619</v>
      </c>
      <c r="J191" s="311"/>
      <c r="K191" s="309">
        <f t="shared" si="33"/>
        <v>0</v>
      </c>
      <c r="L191" s="312" t="str">
        <f t="shared" si="40"/>
        <v/>
      </c>
      <c r="M191" s="366" t="str">
        <f t="shared" si="45"/>
        <v/>
      </c>
      <c r="N191" s="328" t="str">
        <f t="shared" si="46"/>
        <v/>
      </c>
      <c r="O191" s="313" t="str">
        <f t="shared" si="47"/>
        <v/>
      </c>
      <c r="P191" s="307"/>
      <c r="Q191" s="309">
        <f t="shared" si="41"/>
        <v>0.8</v>
      </c>
      <c r="R191" s="307"/>
      <c r="S191" s="314">
        <f t="shared" si="42"/>
        <v>11.2</v>
      </c>
      <c r="T191" s="304" t="str">
        <f t="shared" si="37"/>
        <v/>
      </c>
      <c r="U191" s="304">
        <f>IF(A191=YTD!B$6,E191,IF(OR(A191&lt;YTD!B$6,A191&gt;YTD!B$10),"",U190+E191))</f>
        <v>549.21641188945648</v>
      </c>
      <c r="V191" s="304">
        <f t="shared" si="43"/>
        <v>641.48060051474613</v>
      </c>
      <c r="W191" s="315">
        <f>IF(I191="",#N/A,YTD!G$8-I191)</f>
        <v>-201.48060051474619</v>
      </c>
      <c r="X191" s="368">
        <f t="shared" si="38"/>
        <v>0</v>
      </c>
      <c r="Y191" s="368">
        <f t="shared" si="44"/>
        <v>1</v>
      </c>
      <c r="Z191" s="368" t="str">
        <f t="shared" si="39"/>
        <v/>
      </c>
      <c r="AA191" s="368">
        <v>176</v>
      </c>
      <c r="AB191" s="369">
        <f t="array" ref="AB191">SUM(IF(AA191=Z$16:Z$592,A$16:A$592,""))</f>
        <v>0</v>
      </c>
      <c r="AC191" s="370">
        <f t="array" ref="AC191">SUM(IF(AA191=Z$16:Z$592,J$16:J$592,""))</f>
        <v>0</v>
      </c>
      <c r="AD191" s="370">
        <f t="array" ref="AD191">SUM(IF($AA191=$Z$16:$Z$592,L$16:L$592,""))</f>
        <v>0</v>
      </c>
      <c r="AE191" s="370">
        <f t="array" ref="AE191">SUM(IF($AA191=$Z$16:$Z$592,M$16:M$592,""))</f>
        <v>0</v>
      </c>
      <c r="AF191" s="368">
        <f t="array" ref="AF191">SUM(IF($AA191=$Z$16:$Z$592,N$16:N$592,""))</f>
        <v>0</v>
      </c>
      <c r="AG191" s="370">
        <f t="array" ref="AG191">SUM(IF($AA191=$Z$16:$Z$592,O$16:O$592,""))</f>
        <v>0</v>
      </c>
      <c r="AH191" s="2"/>
      <c r="AI191" s="2"/>
      <c r="AJ191" s="2"/>
    </row>
    <row r="192" spans="1:36" x14ac:dyDescent="0.2">
      <c r="A192" s="306">
        <f>Crop!B225</f>
        <v>41816</v>
      </c>
      <c r="B192" s="307"/>
      <c r="C192" s="308"/>
      <c r="D192" s="304">
        <f>IF(OR($A192&lt;$A$3,$A192&gt;$A$7),"",Crop!$D225)</f>
        <v>6.995664298185222</v>
      </c>
      <c r="E192" s="304">
        <f t="shared" si="30"/>
        <v>6.995664298185222</v>
      </c>
      <c r="F192" s="304">
        <f>IF(OR(A192&lt;A$3,A192&gt;A$7),"",Crop!U225)</f>
        <v>1.2</v>
      </c>
      <c r="G192" s="304">
        <f t="shared" si="31"/>
        <v>8.394797157822266</v>
      </c>
      <c r="H192" s="309">
        <f>IF(OR(A192&lt;A$3,A192&gt;A$7),"",YTD!E189)</f>
        <v>135</v>
      </c>
      <c r="I192" s="310">
        <f t="shared" si="32"/>
        <v>479.87539767256845</v>
      </c>
      <c r="J192" s="311"/>
      <c r="K192" s="309">
        <f t="shared" si="33"/>
        <v>0</v>
      </c>
      <c r="L192" s="312" t="str">
        <f t="shared" si="40"/>
        <v/>
      </c>
      <c r="M192" s="366" t="str">
        <f t="shared" si="45"/>
        <v/>
      </c>
      <c r="N192" s="328" t="str">
        <f t="shared" si="46"/>
        <v/>
      </c>
      <c r="O192" s="313" t="str">
        <f t="shared" si="47"/>
        <v/>
      </c>
      <c r="P192" s="307"/>
      <c r="Q192" s="309">
        <f t="shared" si="41"/>
        <v>0.8</v>
      </c>
      <c r="R192" s="307"/>
      <c r="S192" s="314">
        <f t="shared" si="42"/>
        <v>11.2</v>
      </c>
      <c r="T192" s="304" t="str">
        <f t="shared" si="37"/>
        <v/>
      </c>
      <c r="U192" s="304">
        <f>IF(A192=YTD!B$6,E192,IF(OR(A192&lt;YTD!B$6,A192&gt;YTD!B$10),"",U191+E192))</f>
        <v>556.21207618764174</v>
      </c>
      <c r="V192" s="304">
        <f t="shared" si="43"/>
        <v>649.8753976725684</v>
      </c>
      <c r="W192" s="315">
        <f>IF(I192="",#N/A,YTD!G$8-I192)</f>
        <v>-209.87539767256845</v>
      </c>
      <c r="X192" s="368">
        <f t="shared" si="38"/>
        <v>0</v>
      </c>
      <c r="Y192" s="368">
        <f t="shared" si="44"/>
        <v>1</v>
      </c>
      <c r="Z192" s="368" t="str">
        <f t="shared" si="39"/>
        <v/>
      </c>
      <c r="AA192" s="368">
        <v>177</v>
      </c>
      <c r="AB192" s="369">
        <f t="array" ref="AB192">SUM(IF(AA192=Z$16:Z$592,A$16:A$592,""))</f>
        <v>0</v>
      </c>
      <c r="AC192" s="370">
        <f t="array" ref="AC192">SUM(IF(AA192=Z$16:Z$592,J$16:J$592,""))</f>
        <v>0</v>
      </c>
      <c r="AD192" s="370">
        <f t="array" ref="AD192">SUM(IF($AA192=$Z$16:$Z$592,L$16:L$592,""))</f>
        <v>0</v>
      </c>
      <c r="AE192" s="370">
        <f t="array" ref="AE192">SUM(IF($AA192=$Z$16:$Z$592,M$16:M$592,""))</f>
        <v>0</v>
      </c>
      <c r="AF192" s="368">
        <f t="array" ref="AF192">SUM(IF($AA192=$Z$16:$Z$592,N$16:N$592,""))</f>
        <v>0</v>
      </c>
      <c r="AG192" s="370">
        <f t="array" ref="AG192">SUM(IF($AA192=$Z$16:$Z$592,O$16:O$592,""))</f>
        <v>0</v>
      </c>
      <c r="AH192" s="2"/>
      <c r="AI192" s="2"/>
      <c r="AJ192" s="2"/>
    </row>
    <row r="193" spans="1:36" x14ac:dyDescent="0.2">
      <c r="A193" s="306">
        <f>Crop!B226</f>
        <v>41817</v>
      </c>
      <c r="B193" s="307"/>
      <c r="C193" s="308"/>
      <c r="D193" s="304">
        <f>IF(OR($A193&lt;$A$3,$A193&gt;$A$7),"",Crop!$D226)</f>
        <v>7.0123217115224463</v>
      </c>
      <c r="E193" s="304">
        <f t="shared" si="30"/>
        <v>7.0123217115224463</v>
      </c>
      <c r="F193" s="304">
        <f>IF(OR(A193&lt;A$3,A193&gt;A$7),"",Crop!U226)</f>
        <v>1.2</v>
      </c>
      <c r="G193" s="304">
        <f t="shared" si="31"/>
        <v>8.4147860538269352</v>
      </c>
      <c r="H193" s="309">
        <f>IF(OR(A193&lt;A$3,A193&gt;A$7),"",YTD!E190)</f>
        <v>135</v>
      </c>
      <c r="I193" s="310">
        <f t="shared" si="32"/>
        <v>488.29018372639541</v>
      </c>
      <c r="J193" s="311"/>
      <c r="K193" s="309">
        <f t="shared" si="33"/>
        <v>0</v>
      </c>
      <c r="L193" s="312" t="str">
        <f t="shared" si="40"/>
        <v/>
      </c>
      <c r="M193" s="366" t="str">
        <f t="shared" si="45"/>
        <v/>
      </c>
      <c r="N193" s="328" t="str">
        <f t="shared" si="46"/>
        <v/>
      </c>
      <c r="O193" s="313" t="str">
        <f t="shared" si="47"/>
        <v/>
      </c>
      <c r="P193" s="307"/>
      <c r="Q193" s="309">
        <f t="shared" si="41"/>
        <v>0.8</v>
      </c>
      <c r="R193" s="307"/>
      <c r="S193" s="314">
        <f t="shared" si="42"/>
        <v>11.2</v>
      </c>
      <c r="T193" s="304" t="str">
        <f t="shared" si="37"/>
        <v/>
      </c>
      <c r="U193" s="304">
        <f>IF(A193=YTD!B$6,E193,IF(OR(A193&lt;YTD!B$6,A193&gt;YTD!B$10),"",U192+E193))</f>
        <v>563.22439789916416</v>
      </c>
      <c r="V193" s="304">
        <f t="shared" si="43"/>
        <v>658.2901837263953</v>
      </c>
      <c r="W193" s="315">
        <f>IF(I193="",#N/A,YTD!G$8-I193)</f>
        <v>-218.29018372639541</v>
      </c>
      <c r="X193" s="368">
        <f t="shared" si="38"/>
        <v>0</v>
      </c>
      <c r="Y193" s="368">
        <f t="shared" si="44"/>
        <v>1</v>
      </c>
      <c r="Z193" s="368" t="str">
        <f t="shared" si="39"/>
        <v/>
      </c>
      <c r="AA193" s="368">
        <v>178</v>
      </c>
      <c r="AB193" s="369">
        <f t="array" ref="AB193">SUM(IF(AA193=Z$16:Z$592,A$16:A$592,""))</f>
        <v>0</v>
      </c>
      <c r="AC193" s="370">
        <f t="array" ref="AC193">SUM(IF(AA193=Z$16:Z$592,J$16:J$592,""))</f>
        <v>0</v>
      </c>
      <c r="AD193" s="370">
        <f t="array" ref="AD193">SUM(IF($AA193=$Z$16:$Z$592,L$16:L$592,""))</f>
        <v>0</v>
      </c>
      <c r="AE193" s="370">
        <f t="array" ref="AE193">SUM(IF($AA193=$Z$16:$Z$592,M$16:M$592,""))</f>
        <v>0</v>
      </c>
      <c r="AF193" s="368">
        <f t="array" ref="AF193">SUM(IF($AA193=$Z$16:$Z$592,N$16:N$592,""))</f>
        <v>0</v>
      </c>
      <c r="AG193" s="370">
        <f t="array" ref="AG193">SUM(IF($AA193=$Z$16:$Z$592,O$16:O$592,""))</f>
        <v>0</v>
      </c>
      <c r="AH193" s="2"/>
      <c r="AI193" s="2"/>
      <c r="AJ193" s="2"/>
    </row>
    <row r="194" spans="1:36" x14ac:dyDescent="0.2">
      <c r="A194" s="306">
        <f>Crop!B227</f>
        <v>41818</v>
      </c>
      <c r="B194" s="307"/>
      <c r="C194" s="308"/>
      <c r="D194" s="304">
        <f>IF(OR($A194&lt;$A$3,$A194&gt;$A$7),"",Crop!$D227)</f>
        <v>7.0276930805628064</v>
      </c>
      <c r="E194" s="304">
        <f t="shared" si="30"/>
        <v>7.0276930805628064</v>
      </c>
      <c r="F194" s="304">
        <f>IF(OR(A194&lt;A$3,A194&gt;A$7),"",Crop!U227)</f>
        <v>1.2</v>
      </c>
      <c r="G194" s="304">
        <f t="shared" si="31"/>
        <v>8.4332316966753673</v>
      </c>
      <c r="H194" s="309">
        <f>IF(OR(A194&lt;A$3,A194&gt;A$7),"",YTD!E191)</f>
        <v>135</v>
      </c>
      <c r="I194" s="310">
        <f t="shared" si="32"/>
        <v>496.72341542307078</v>
      </c>
      <c r="J194" s="311"/>
      <c r="K194" s="309">
        <f t="shared" si="33"/>
        <v>0</v>
      </c>
      <c r="L194" s="312" t="str">
        <f t="shared" si="40"/>
        <v/>
      </c>
      <c r="M194" s="366" t="str">
        <f t="shared" si="45"/>
        <v/>
      </c>
      <c r="N194" s="328" t="str">
        <f t="shared" si="46"/>
        <v/>
      </c>
      <c r="O194" s="313" t="str">
        <f t="shared" si="47"/>
        <v/>
      </c>
      <c r="P194" s="307"/>
      <c r="Q194" s="309">
        <f t="shared" si="41"/>
        <v>0.8</v>
      </c>
      <c r="R194" s="307"/>
      <c r="S194" s="314">
        <f t="shared" si="42"/>
        <v>11.2</v>
      </c>
      <c r="T194" s="304" t="str">
        <f t="shared" si="37"/>
        <v/>
      </c>
      <c r="U194" s="304">
        <f>IF(A194=YTD!B$6,E194,IF(OR(A194&lt;YTD!B$6,A194&gt;YTD!B$10),"",U193+E194))</f>
        <v>570.25209097972697</v>
      </c>
      <c r="V194" s="304">
        <f t="shared" si="43"/>
        <v>666.72341542307072</v>
      </c>
      <c r="W194" s="315">
        <f>IF(I194="",#N/A,YTD!G$8-I194)</f>
        <v>-226.72341542307078</v>
      </c>
      <c r="X194" s="368">
        <f t="shared" si="38"/>
        <v>0</v>
      </c>
      <c r="Y194" s="368">
        <f t="shared" si="44"/>
        <v>1</v>
      </c>
      <c r="Z194" s="368" t="str">
        <f t="shared" si="39"/>
        <v/>
      </c>
      <c r="AA194" s="368">
        <v>179</v>
      </c>
      <c r="AB194" s="369">
        <f t="array" ref="AB194">SUM(IF(AA194=Z$16:Z$592,A$16:A$592,""))</f>
        <v>0</v>
      </c>
      <c r="AC194" s="370">
        <f t="array" ref="AC194">SUM(IF(AA194=Z$16:Z$592,J$16:J$592,""))</f>
        <v>0</v>
      </c>
      <c r="AD194" s="370">
        <f t="array" ref="AD194">SUM(IF($AA194=$Z$16:$Z$592,L$16:L$592,""))</f>
        <v>0</v>
      </c>
      <c r="AE194" s="370">
        <f t="array" ref="AE194">SUM(IF($AA194=$Z$16:$Z$592,M$16:M$592,""))</f>
        <v>0</v>
      </c>
      <c r="AF194" s="368">
        <f t="array" ref="AF194">SUM(IF($AA194=$Z$16:$Z$592,N$16:N$592,""))</f>
        <v>0</v>
      </c>
      <c r="AG194" s="370">
        <f t="array" ref="AG194">SUM(IF($AA194=$Z$16:$Z$592,O$16:O$592,""))</f>
        <v>0</v>
      </c>
      <c r="AH194" s="2"/>
      <c r="AI194" s="2"/>
      <c r="AJ194" s="2"/>
    </row>
    <row r="195" spans="1:36" x14ac:dyDescent="0.2">
      <c r="A195" s="306">
        <f>Crop!B228</f>
        <v>41819</v>
      </c>
      <c r="B195" s="307"/>
      <c r="C195" s="308"/>
      <c r="D195" s="304">
        <f>IF(OR($A195&lt;$A$3,$A195&gt;$A$7),"",Crop!$D228)</f>
        <v>7.0417951821004605</v>
      </c>
      <c r="E195" s="304">
        <f t="shared" si="30"/>
        <v>7.0417951821004605</v>
      </c>
      <c r="F195" s="304">
        <f>IF(OR(A195&lt;A$3,A195&gt;A$7),"",Crop!U228)</f>
        <v>1.2</v>
      </c>
      <c r="G195" s="304">
        <f t="shared" si="31"/>
        <v>8.4501542185205523</v>
      </c>
      <c r="H195" s="309">
        <f>IF(OR(A195&lt;A$3,A195&gt;A$7),"",YTD!E192)</f>
        <v>135</v>
      </c>
      <c r="I195" s="310">
        <f t="shared" si="32"/>
        <v>505.17356964159131</v>
      </c>
      <c r="J195" s="311"/>
      <c r="K195" s="309">
        <f t="shared" si="33"/>
        <v>0</v>
      </c>
      <c r="L195" s="312" t="str">
        <f t="shared" si="40"/>
        <v/>
      </c>
      <c r="M195" s="366" t="str">
        <f t="shared" si="45"/>
        <v/>
      </c>
      <c r="N195" s="328" t="str">
        <f t="shared" si="46"/>
        <v/>
      </c>
      <c r="O195" s="313" t="str">
        <f t="shared" si="47"/>
        <v/>
      </c>
      <c r="P195" s="307"/>
      <c r="Q195" s="309">
        <f t="shared" si="41"/>
        <v>0.8</v>
      </c>
      <c r="R195" s="307"/>
      <c r="S195" s="314">
        <f t="shared" si="42"/>
        <v>11.2</v>
      </c>
      <c r="T195" s="304" t="str">
        <f t="shared" si="37"/>
        <v/>
      </c>
      <c r="U195" s="304">
        <f>IF(A195=YTD!B$6,E195,IF(OR(A195&lt;YTD!B$6,A195&gt;YTD!B$10),"",U194+E195))</f>
        <v>577.29388616182746</v>
      </c>
      <c r="V195" s="304">
        <f t="shared" si="43"/>
        <v>675.17356964159126</v>
      </c>
      <c r="W195" s="315">
        <f>IF(I195="",#N/A,YTD!G$8-I195)</f>
        <v>-235.17356964159131</v>
      </c>
      <c r="X195" s="368">
        <f t="shared" si="38"/>
        <v>0</v>
      </c>
      <c r="Y195" s="368">
        <f t="shared" si="44"/>
        <v>1</v>
      </c>
      <c r="Z195" s="368" t="str">
        <f t="shared" si="39"/>
        <v/>
      </c>
      <c r="AA195" s="368">
        <v>180</v>
      </c>
      <c r="AB195" s="369">
        <f t="array" ref="AB195">SUM(IF(AA195=Z$16:Z$592,A$16:A$592,""))</f>
        <v>0</v>
      </c>
      <c r="AC195" s="370">
        <f t="array" ref="AC195">SUM(IF(AA195=Z$16:Z$592,J$16:J$592,""))</f>
        <v>0</v>
      </c>
      <c r="AD195" s="370">
        <f t="array" ref="AD195">SUM(IF($AA195=$Z$16:$Z$592,L$16:L$592,""))</f>
        <v>0</v>
      </c>
      <c r="AE195" s="370">
        <f t="array" ref="AE195">SUM(IF($AA195=$Z$16:$Z$592,M$16:M$592,""))</f>
        <v>0</v>
      </c>
      <c r="AF195" s="368">
        <f t="array" ref="AF195">SUM(IF($AA195=$Z$16:$Z$592,N$16:N$592,""))</f>
        <v>0</v>
      </c>
      <c r="AG195" s="370">
        <f t="array" ref="AG195">SUM(IF($AA195=$Z$16:$Z$592,O$16:O$592,""))</f>
        <v>0</v>
      </c>
      <c r="AH195" s="2"/>
      <c r="AI195" s="2"/>
      <c r="AJ195" s="2"/>
    </row>
    <row r="196" spans="1:36" x14ac:dyDescent="0.2">
      <c r="A196" s="306">
        <f>Crop!B229</f>
        <v>41820</v>
      </c>
      <c r="B196" s="307"/>
      <c r="C196" s="308"/>
      <c r="D196" s="304">
        <f>IF(OR($A196&lt;$A$3,$A196&gt;$A$7),"",Crop!$D229)</f>
        <v>7.0546447929295608</v>
      </c>
      <c r="E196" s="304">
        <f t="shared" si="30"/>
        <v>7.0546447929295608</v>
      </c>
      <c r="F196" s="304">
        <f>IF(OR(A196&lt;A$3,A196&gt;A$7),"",Crop!U229)</f>
        <v>1.2</v>
      </c>
      <c r="G196" s="304">
        <f t="shared" si="31"/>
        <v>8.465573751515473</v>
      </c>
      <c r="H196" s="309">
        <f>IF(OR(A196&lt;A$3,A196&gt;A$7),"",YTD!E193)</f>
        <v>135</v>
      </c>
      <c r="I196" s="310">
        <f t="shared" si="32"/>
        <v>513.63914339310679</v>
      </c>
      <c r="J196" s="311"/>
      <c r="K196" s="309">
        <f t="shared" si="33"/>
        <v>0</v>
      </c>
      <c r="L196" s="312" t="str">
        <f t="shared" si="40"/>
        <v/>
      </c>
      <c r="M196" s="366" t="str">
        <f t="shared" si="45"/>
        <v/>
      </c>
      <c r="N196" s="328" t="str">
        <f t="shared" si="46"/>
        <v/>
      </c>
      <c r="O196" s="313" t="str">
        <f t="shared" si="47"/>
        <v/>
      </c>
      <c r="P196" s="307"/>
      <c r="Q196" s="309">
        <f t="shared" si="41"/>
        <v>0.8</v>
      </c>
      <c r="R196" s="307"/>
      <c r="S196" s="314">
        <f t="shared" si="42"/>
        <v>11.2</v>
      </c>
      <c r="T196" s="304" t="str">
        <f t="shared" si="37"/>
        <v/>
      </c>
      <c r="U196" s="304">
        <f>IF(A196=YTD!B$6,E196,IF(OR(A196&lt;YTD!B$6,A196&gt;YTD!B$10),"",U195+E196))</f>
        <v>584.34853095475705</v>
      </c>
      <c r="V196" s="304">
        <f t="shared" si="43"/>
        <v>683.63914339310668</v>
      </c>
      <c r="W196" s="315">
        <f>IF(I196="",#N/A,YTD!G$8-I196)</f>
        <v>-243.63914339310679</v>
      </c>
      <c r="X196" s="368">
        <f t="shared" si="38"/>
        <v>0</v>
      </c>
      <c r="Y196" s="368">
        <f t="shared" si="44"/>
        <v>1</v>
      </c>
      <c r="Z196" s="368" t="str">
        <f t="shared" si="39"/>
        <v/>
      </c>
      <c r="AA196" s="368">
        <v>181</v>
      </c>
      <c r="AB196" s="369">
        <f t="array" ref="AB196">SUM(IF(AA196=Z$16:Z$592,A$16:A$592,""))</f>
        <v>0</v>
      </c>
      <c r="AC196" s="370">
        <f t="array" ref="AC196">SUM(IF(AA196=Z$16:Z$592,J$16:J$592,""))</f>
        <v>0</v>
      </c>
      <c r="AD196" s="370">
        <f t="array" ref="AD196">SUM(IF($AA196=$Z$16:$Z$592,L$16:L$592,""))</f>
        <v>0</v>
      </c>
      <c r="AE196" s="370">
        <f t="array" ref="AE196">SUM(IF($AA196=$Z$16:$Z$592,M$16:M$592,""))</f>
        <v>0</v>
      </c>
      <c r="AF196" s="368">
        <f t="array" ref="AF196">SUM(IF($AA196=$Z$16:$Z$592,N$16:N$592,""))</f>
        <v>0</v>
      </c>
      <c r="AG196" s="370">
        <f t="array" ref="AG196">SUM(IF($AA196=$Z$16:$Z$592,O$16:O$592,""))</f>
        <v>0</v>
      </c>
      <c r="AH196" s="2"/>
      <c r="AI196" s="2"/>
      <c r="AJ196" s="2"/>
    </row>
    <row r="197" spans="1:36" x14ac:dyDescent="0.2">
      <c r="A197" s="306">
        <f>Crop!B230</f>
        <v>41821</v>
      </c>
      <c r="B197" s="307"/>
      <c r="C197" s="308"/>
      <c r="D197" s="304">
        <f>IF(OR($A197&lt;$A$3,$A197&gt;$A$7),"",Crop!$D230)</f>
        <v>7.0662586898442612</v>
      </c>
      <c r="E197" s="304">
        <f t="shared" si="30"/>
        <v>7.0662586898442612</v>
      </c>
      <c r="F197" s="304">
        <f>IF(OR(A197&lt;A$3,A197&gt;A$7),"",Crop!U230)</f>
        <v>1.2</v>
      </c>
      <c r="G197" s="304">
        <f t="shared" si="31"/>
        <v>8.4795104278131124</v>
      </c>
      <c r="H197" s="309">
        <f>IF(OR(A197&lt;A$3,A197&gt;A$7),"",YTD!E194)</f>
        <v>135</v>
      </c>
      <c r="I197" s="310">
        <f t="shared" si="32"/>
        <v>522.11865382091992</v>
      </c>
      <c r="J197" s="311"/>
      <c r="K197" s="309">
        <f t="shared" si="33"/>
        <v>0</v>
      </c>
      <c r="L197" s="312" t="str">
        <f t="shared" si="40"/>
        <v/>
      </c>
      <c r="M197" s="366" t="str">
        <f t="shared" si="45"/>
        <v/>
      </c>
      <c r="N197" s="328" t="str">
        <f t="shared" si="46"/>
        <v/>
      </c>
      <c r="O197" s="313" t="str">
        <f t="shared" si="47"/>
        <v/>
      </c>
      <c r="P197" s="307"/>
      <c r="Q197" s="309">
        <f t="shared" si="41"/>
        <v>0.8</v>
      </c>
      <c r="R197" s="307"/>
      <c r="S197" s="314">
        <f t="shared" si="42"/>
        <v>11.2</v>
      </c>
      <c r="T197" s="304" t="str">
        <f t="shared" si="37"/>
        <v/>
      </c>
      <c r="U197" s="304">
        <f>IF(A197=YTD!B$6,E197,IF(OR(A197&lt;YTD!B$6,A197&gt;YTD!B$10),"",U196+E197))</f>
        <v>591.41478964460134</v>
      </c>
      <c r="V197" s="304">
        <f t="shared" si="43"/>
        <v>692.1186538209198</v>
      </c>
      <c r="W197" s="315">
        <f>IF(I197="",#N/A,YTD!G$8-I197)</f>
        <v>-252.11865382091992</v>
      </c>
      <c r="X197" s="368">
        <f t="shared" si="38"/>
        <v>0</v>
      </c>
      <c r="Y197" s="368">
        <f t="shared" si="44"/>
        <v>1</v>
      </c>
      <c r="Z197" s="368" t="str">
        <f t="shared" si="39"/>
        <v/>
      </c>
      <c r="AA197" s="368">
        <v>182</v>
      </c>
      <c r="AB197" s="369">
        <f t="array" ref="AB197">SUM(IF(AA197=Z$16:Z$592,A$16:A$592,""))</f>
        <v>0</v>
      </c>
      <c r="AC197" s="370">
        <f t="array" ref="AC197">SUM(IF(AA197=Z$16:Z$592,J$16:J$592,""))</f>
        <v>0</v>
      </c>
      <c r="AD197" s="370">
        <f t="array" ref="AD197">SUM(IF($AA197=$Z$16:$Z$592,L$16:L$592,""))</f>
        <v>0</v>
      </c>
      <c r="AE197" s="370">
        <f t="array" ref="AE197">SUM(IF($AA197=$Z$16:$Z$592,M$16:M$592,""))</f>
        <v>0</v>
      </c>
      <c r="AF197" s="368">
        <f t="array" ref="AF197">SUM(IF($AA197=$Z$16:$Z$592,N$16:N$592,""))</f>
        <v>0</v>
      </c>
      <c r="AG197" s="370">
        <f t="array" ref="AG197">SUM(IF($AA197=$Z$16:$Z$592,O$16:O$592,""))</f>
        <v>0</v>
      </c>
      <c r="AH197" s="2"/>
      <c r="AI197" s="2"/>
      <c r="AJ197" s="2"/>
    </row>
    <row r="198" spans="1:36" x14ac:dyDescent="0.2">
      <c r="A198" s="306">
        <f>Crop!B231</f>
        <v>41822</v>
      </c>
      <c r="B198" s="307"/>
      <c r="C198" s="308"/>
      <c r="D198" s="304">
        <f>IF(OR($A198&lt;$A$3,$A198&gt;$A$7),"",Crop!$D231)</f>
        <v>7.0766536496387156</v>
      </c>
      <c r="E198" s="304">
        <f t="shared" si="30"/>
        <v>7.0766536496387156</v>
      </c>
      <c r="F198" s="304">
        <f>IF(OR(A198&lt;A$3,A198&gt;A$7),"",Crop!U231)</f>
        <v>1.2</v>
      </c>
      <c r="G198" s="304">
        <f t="shared" si="31"/>
        <v>8.4919843795664587</v>
      </c>
      <c r="H198" s="309">
        <f>IF(OR(A198&lt;A$3,A198&gt;A$7),"",YTD!E195)</f>
        <v>135</v>
      </c>
      <c r="I198" s="310">
        <f t="shared" si="32"/>
        <v>530.61063820048639</v>
      </c>
      <c r="J198" s="311"/>
      <c r="K198" s="309">
        <f t="shared" si="33"/>
        <v>0</v>
      </c>
      <c r="L198" s="312" t="str">
        <f t="shared" si="40"/>
        <v/>
      </c>
      <c r="M198" s="366" t="str">
        <f t="shared" si="45"/>
        <v/>
      </c>
      <c r="N198" s="328" t="str">
        <f t="shared" si="46"/>
        <v/>
      </c>
      <c r="O198" s="313" t="str">
        <f t="shared" si="47"/>
        <v/>
      </c>
      <c r="P198" s="307"/>
      <c r="Q198" s="309">
        <f t="shared" si="41"/>
        <v>0.8</v>
      </c>
      <c r="R198" s="307"/>
      <c r="S198" s="314">
        <f t="shared" si="42"/>
        <v>11.2</v>
      </c>
      <c r="T198" s="304" t="str">
        <f t="shared" si="37"/>
        <v/>
      </c>
      <c r="U198" s="304">
        <f>IF(A198=YTD!B$6,E198,IF(OR(A198&lt;YTD!B$6,A198&gt;YTD!B$10),"",U197+E198))</f>
        <v>598.49144329424007</v>
      </c>
      <c r="V198" s="304">
        <f t="shared" si="43"/>
        <v>700.61063820048628</v>
      </c>
      <c r="W198" s="315">
        <f>IF(I198="",#N/A,YTD!G$8-I198)</f>
        <v>-260.61063820048639</v>
      </c>
      <c r="X198" s="368">
        <f t="shared" si="38"/>
        <v>0</v>
      </c>
      <c r="Y198" s="368">
        <f t="shared" si="44"/>
        <v>1</v>
      </c>
      <c r="Z198" s="368" t="str">
        <f t="shared" si="39"/>
        <v/>
      </c>
      <c r="AA198" s="368">
        <v>183</v>
      </c>
      <c r="AB198" s="369">
        <f t="array" ref="AB198">SUM(IF(AA198=Z$16:Z$592,A$16:A$592,""))</f>
        <v>0</v>
      </c>
      <c r="AC198" s="370">
        <f t="array" ref="AC198">SUM(IF(AA198=Z$16:Z$592,J$16:J$592,""))</f>
        <v>0</v>
      </c>
      <c r="AD198" s="370">
        <f t="array" ref="AD198">SUM(IF($AA198=$Z$16:$Z$592,L$16:L$592,""))</f>
        <v>0</v>
      </c>
      <c r="AE198" s="370">
        <f t="array" ref="AE198">SUM(IF($AA198=$Z$16:$Z$592,M$16:M$592,""))</f>
        <v>0</v>
      </c>
      <c r="AF198" s="368">
        <f t="array" ref="AF198">SUM(IF($AA198=$Z$16:$Z$592,N$16:N$592,""))</f>
        <v>0</v>
      </c>
      <c r="AG198" s="370">
        <f t="array" ref="AG198">SUM(IF($AA198=$Z$16:$Z$592,O$16:O$592,""))</f>
        <v>0</v>
      </c>
      <c r="AH198" s="2"/>
      <c r="AI198" s="2"/>
      <c r="AJ198" s="2"/>
    </row>
    <row r="199" spans="1:36" x14ac:dyDescent="0.2">
      <c r="A199" s="306">
        <f>Crop!B232</f>
        <v>41823</v>
      </c>
      <c r="B199" s="307"/>
      <c r="C199" s="308"/>
      <c r="D199" s="304">
        <f>IF(OR($A199&lt;$A$3,$A199&gt;$A$7),"",Crop!$D232)</f>
        <v>7.0858464491070778</v>
      </c>
      <c r="E199" s="304">
        <f t="shared" si="30"/>
        <v>7.0858464491070778</v>
      </c>
      <c r="F199" s="304">
        <f>IF(OR(A199&lt;A$3,A199&gt;A$7),"",Crop!U232)</f>
        <v>1.2</v>
      </c>
      <c r="G199" s="304">
        <f t="shared" si="31"/>
        <v>8.5030157389284931</v>
      </c>
      <c r="H199" s="309">
        <f>IF(OR(A199&lt;A$3,A199&gt;A$7),"",YTD!E196)</f>
        <v>135</v>
      </c>
      <c r="I199" s="310">
        <f t="shared" si="32"/>
        <v>539.11365393941492</v>
      </c>
      <c r="J199" s="311"/>
      <c r="K199" s="309">
        <f t="shared" si="33"/>
        <v>0</v>
      </c>
      <c r="L199" s="312" t="str">
        <f t="shared" si="40"/>
        <v/>
      </c>
      <c r="M199" s="366" t="str">
        <f t="shared" si="45"/>
        <v/>
      </c>
      <c r="N199" s="328" t="str">
        <f t="shared" si="46"/>
        <v/>
      </c>
      <c r="O199" s="313" t="str">
        <f t="shared" si="47"/>
        <v/>
      </c>
      <c r="P199" s="307"/>
      <c r="Q199" s="309">
        <f t="shared" si="41"/>
        <v>0.8</v>
      </c>
      <c r="R199" s="307"/>
      <c r="S199" s="314">
        <f t="shared" si="42"/>
        <v>11.2</v>
      </c>
      <c r="T199" s="304" t="str">
        <f t="shared" si="37"/>
        <v/>
      </c>
      <c r="U199" s="304">
        <f>IF(A199=YTD!B$6,E199,IF(OR(A199&lt;YTD!B$6,A199&gt;YTD!B$10),"",U198+E199))</f>
        <v>605.57728974334714</v>
      </c>
      <c r="V199" s="304">
        <f t="shared" si="43"/>
        <v>709.1136539394148</v>
      </c>
      <c r="W199" s="315">
        <f>IF(I199="",#N/A,YTD!G$8-I199)</f>
        <v>-269.11365393941492</v>
      </c>
      <c r="X199" s="368">
        <f t="shared" si="38"/>
        <v>0</v>
      </c>
      <c r="Y199" s="368">
        <f t="shared" si="44"/>
        <v>1</v>
      </c>
      <c r="Z199" s="368" t="str">
        <f t="shared" si="39"/>
        <v/>
      </c>
      <c r="AA199" s="368">
        <v>184</v>
      </c>
      <c r="AB199" s="369">
        <f t="array" ref="AB199">SUM(IF(AA199=Z$16:Z$592,A$16:A$592,""))</f>
        <v>0</v>
      </c>
      <c r="AC199" s="370">
        <f t="array" ref="AC199">SUM(IF(AA199=Z$16:Z$592,J$16:J$592,""))</f>
        <v>0</v>
      </c>
      <c r="AD199" s="370">
        <f t="array" ref="AD199">SUM(IF($AA199=$Z$16:$Z$592,L$16:L$592,""))</f>
        <v>0</v>
      </c>
      <c r="AE199" s="370">
        <f t="array" ref="AE199">SUM(IF($AA199=$Z$16:$Z$592,M$16:M$592,""))</f>
        <v>0</v>
      </c>
      <c r="AF199" s="368">
        <f t="array" ref="AF199">SUM(IF($AA199=$Z$16:$Z$592,N$16:N$592,""))</f>
        <v>0</v>
      </c>
      <c r="AG199" s="370">
        <f t="array" ref="AG199">SUM(IF($AA199=$Z$16:$Z$592,O$16:O$592,""))</f>
        <v>0</v>
      </c>
      <c r="AH199" s="2"/>
      <c r="AI199" s="2"/>
      <c r="AJ199" s="2"/>
    </row>
    <row r="200" spans="1:36" x14ac:dyDescent="0.2">
      <c r="A200" s="306">
        <f>Crop!B233</f>
        <v>41824</v>
      </c>
      <c r="B200" s="307"/>
      <c r="C200" s="308"/>
      <c r="D200" s="304">
        <f>IF(OR($A200&lt;$A$3,$A200&gt;$A$7),"",Crop!$D233)</f>
        <v>7.0938538650435019</v>
      </c>
      <c r="E200" s="304">
        <f t="shared" si="30"/>
        <v>7.0938538650435019</v>
      </c>
      <c r="F200" s="304">
        <f>IF(OR(A200&lt;A$3,A200&gt;A$7),"",Crop!U233)</f>
        <v>1.2</v>
      </c>
      <c r="G200" s="304">
        <f t="shared" si="31"/>
        <v>8.5126246380522019</v>
      </c>
      <c r="H200" s="309">
        <f>IF(OR(A200&lt;A$3,A200&gt;A$7),"",YTD!E197)</f>
        <v>135</v>
      </c>
      <c r="I200" s="310">
        <f t="shared" si="32"/>
        <v>547.62627857746713</v>
      </c>
      <c r="J200" s="311"/>
      <c r="K200" s="309">
        <f t="shared" si="33"/>
        <v>0</v>
      </c>
      <c r="L200" s="312" t="str">
        <f t="shared" si="40"/>
        <v/>
      </c>
      <c r="M200" s="366" t="str">
        <f t="shared" si="45"/>
        <v/>
      </c>
      <c r="N200" s="328" t="str">
        <f t="shared" si="46"/>
        <v/>
      </c>
      <c r="O200" s="313" t="str">
        <f t="shared" si="47"/>
        <v/>
      </c>
      <c r="P200" s="307"/>
      <c r="Q200" s="309">
        <f t="shared" si="41"/>
        <v>0.8</v>
      </c>
      <c r="R200" s="307"/>
      <c r="S200" s="314">
        <f t="shared" si="42"/>
        <v>11.2</v>
      </c>
      <c r="T200" s="304" t="str">
        <f t="shared" si="37"/>
        <v/>
      </c>
      <c r="U200" s="304">
        <f>IF(A200=YTD!B$6,E200,IF(OR(A200&lt;YTD!B$6,A200&gt;YTD!B$10),"",U199+E200))</f>
        <v>612.67114360839059</v>
      </c>
      <c r="V200" s="304">
        <f t="shared" si="43"/>
        <v>717.62627857746702</v>
      </c>
      <c r="W200" s="315">
        <f>IF(I200="",#N/A,YTD!G$8-I200)</f>
        <v>-277.62627857746713</v>
      </c>
      <c r="X200" s="368">
        <f t="shared" si="38"/>
        <v>0</v>
      </c>
      <c r="Y200" s="368">
        <f t="shared" si="44"/>
        <v>1</v>
      </c>
      <c r="Z200" s="368" t="str">
        <f t="shared" si="39"/>
        <v/>
      </c>
      <c r="AA200" s="368">
        <v>185</v>
      </c>
      <c r="AB200" s="369">
        <f t="array" ref="AB200">SUM(IF(AA200=Z$16:Z$592,A$16:A$592,""))</f>
        <v>0</v>
      </c>
      <c r="AC200" s="370">
        <f t="array" ref="AC200">SUM(IF(AA200=Z$16:Z$592,J$16:J$592,""))</f>
        <v>0</v>
      </c>
      <c r="AD200" s="370">
        <f t="array" ref="AD200">SUM(IF($AA200=$Z$16:$Z$592,L$16:L$592,""))</f>
        <v>0</v>
      </c>
      <c r="AE200" s="370">
        <f t="array" ref="AE200">SUM(IF($AA200=$Z$16:$Z$592,M$16:M$592,""))</f>
        <v>0</v>
      </c>
      <c r="AF200" s="368">
        <f t="array" ref="AF200">SUM(IF($AA200=$Z$16:$Z$592,N$16:N$592,""))</f>
        <v>0</v>
      </c>
      <c r="AG200" s="370">
        <f t="array" ref="AG200">SUM(IF($AA200=$Z$16:$Z$592,O$16:O$592,""))</f>
        <v>0</v>
      </c>
      <c r="AH200" s="2"/>
      <c r="AI200" s="2"/>
      <c r="AJ200" s="2"/>
    </row>
    <row r="201" spans="1:36" x14ac:dyDescent="0.2">
      <c r="A201" s="306">
        <f>Crop!B234</f>
        <v>41825</v>
      </c>
      <c r="B201" s="307"/>
      <c r="C201" s="308"/>
      <c r="D201" s="304">
        <f>IF(OR($A201&lt;$A$3,$A201&gt;$A$7),"",Crop!$D234)</f>
        <v>7.1006926742421435</v>
      </c>
      <c r="E201" s="304">
        <f t="shared" si="30"/>
        <v>7.1006926742421435</v>
      </c>
      <c r="F201" s="304">
        <f>IF(OR(A201&lt;A$3,A201&gt;A$7),"",Crop!U234)</f>
        <v>1.2</v>
      </c>
      <c r="G201" s="304">
        <f t="shared" si="31"/>
        <v>8.5208312090905718</v>
      </c>
      <c r="H201" s="309">
        <f>IF(OR(A201&lt;A$3,A201&gt;A$7),"",YTD!E198)</f>
        <v>135</v>
      </c>
      <c r="I201" s="310">
        <f t="shared" si="32"/>
        <v>556.14710978655773</v>
      </c>
      <c r="J201" s="311"/>
      <c r="K201" s="309">
        <f t="shared" si="33"/>
        <v>0</v>
      </c>
      <c r="L201" s="312" t="str">
        <f t="shared" si="40"/>
        <v/>
      </c>
      <c r="M201" s="366" t="str">
        <f t="shared" si="45"/>
        <v/>
      </c>
      <c r="N201" s="328" t="str">
        <f t="shared" si="46"/>
        <v/>
      </c>
      <c r="O201" s="313" t="str">
        <f t="shared" si="47"/>
        <v/>
      </c>
      <c r="P201" s="307"/>
      <c r="Q201" s="309">
        <f t="shared" si="41"/>
        <v>0.8</v>
      </c>
      <c r="R201" s="307"/>
      <c r="S201" s="314">
        <f t="shared" si="42"/>
        <v>11.2</v>
      </c>
      <c r="T201" s="304" t="str">
        <f t="shared" si="37"/>
        <v/>
      </c>
      <c r="U201" s="304">
        <f>IF(A201=YTD!B$6,E201,IF(OR(A201&lt;YTD!B$6,A201&gt;YTD!B$10),"",U200+E201))</f>
        <v>619.77183628263276</v>
      </c>
      <c r="V201" s="304">
        <f t="shared" si="43"/>
        <v>726.14710978655762</v>
      </c>
      <c r="W201" s="315">
        <f>IF(I201="",#N/A,YTD!G$8-I201)</f>
        <v>-286.14710978655773</v>
      </c>
      <c r="X201" s="368">
        <f t="shared" si="38"/>
        <v>0</v>
      </c>
      <c r="Y201" s="368">
        <f t="shared" si="44"/>
        <v>1</v>
      </c>
      <c r="Z201" s="368" t="str">
        <f t="shared" si="39"/>
        <v/>
      </c>
      <c r="AA201" s="368">
        <v>186</v>
      </c>
      <c r="AB201" s="369">
        <f t="array" ref="AB201">SUM(IF(AA201=Z$16:Z$592,A$16:A$592,""))</f>
        <v>0</v>
      </c>
      <c r="AC201" s="370">
        <f t="array" ref="AC201">SUM(IF(AA201=Z$16:Z$592,J$16:J$592,""))</f>
        <v>0</v>
      </c>
      <c r="AD201" s="370">
        <f t="array" ref="AD201">SUM(IF($AA201=$Z$16:$Z$592,L$16:L$592,""))</f>
        <v>0</v>
      </c>
      <c r="AE201" s="370">
        <f t="array" ref="AE201">SUM(IF($AA201=$Z$16:$Z$592,M$16:M$592,""))</f>
        <v>0</v>
      </c>
      <c r="AF201" s="368">
        <f t="array" ref="AF201">SUM(IF($AA201=$Z$16:$Z$592,N$16:N$592,""))</f>
        <v>0</v>
      </c>
      <c r="AG201" s="370">
        <f t="array" ref="AG201">SUM(IF($AA201=$Z$16:$Z$592,O$16:O$592,""))</f>
        <v>0</v>
      </c>
      <c r="AH201" s="2"/>
      <c r="AI201" s="2"/>
      <c r="AJ201" s="2"/>
    </row>
    <row r="202" spans="1:36" x14ac:dyDescent="0.2">
      <c r="A202" s="306">
        <f>Crop!B235</f>
        <v>41826</v>
      </c>
      <c r="B202" s="307"/>
      <c r="C202" s="308"/>
      <c r="D202" s="304">
        <f>IF(OR($A202&lt;$A$3,$A202&gt;$A$7),"",Crop!$D235)</f>
        <v>7.1063796534971519</v>
      </c>
      <c r="E202" s="304">
        <f t="shared" si="30"/>
        <v>7.1063796534971519</v>
      </c>
      <c r="F202" s="304">
        <f>IF(OR(A202&lt;A$3,A202&gt;A$7),"",Crop!U235)</f>
        <v>1.2</v>
      </c>
      <c r="G202" s="304">
        <f t="shared" si="31"/>
        <v>8.527655584196582</v>
      </c>
      <c r="H202" s="309">
        <f>IF(OR(A202&lt;A$3,A202&gt;A$7),"",YTD!E199)</f>
        <v>135</v>
      </c>
      <c r="I202" s="310">
        <f t="shared" si="32"/>
        <v>564.67476537075436</v>
      </c>
      <c r="J202" s="311"/>
      <c r="K202" s="309">
        <f t="shared" si="33"/>
        <v>0</v>
      </c>
      <c r="L202" s="312" t="str">
        <f t="shared" si="40"/>
        <v/>
      </c>
      <c r="M202" s="366" t="str">
        <f t="shared" si="45"/>
        <v/>
      </c>
      <c r="N202" s="328" t="str">
        <f t="shared" si="46"/>
        <v/>
      </c>
      <c r="O202" s="313" t="str">
        <f t="shared" si="47"/>
        <v/>
      </c>
      <c r="P202" s="307"/>
      <c r="Q202" s="309">
        <f t="shared" si="41"/>
        <v>0.8</v>
      </c>
      <c r="R202" s="307"/>
      <c r="S202" s="314">
        <f t="shared" si="42"/>
        <v>11.2</v>
      </c>
      <c r="T202" s="304" t="str">
        <f t="shared" si="37"/>
        <v/>
      </c>
      <c r="U202" s="304">
        <f>IF(A202=YTD!B$6,E202,IF(OR(A202&lt;YTD!B$6,A202&gt;YTD!B$10),"",U201+E202))</f>
        <v>626.87821593612989</v>
      </c>
      <c r="V202" s="304">
        <f t="shared" si="43"/>
        <v>734.67476537075424</v>
      </c>
      <c r="W202" s="315">
        <f>IF(I202="",#N/A,YTD!G$8-I202)</f>
        <v>-294.67476537075436</v>
      </c>
      <c r="X202" s="368">
        <f t="shared" si="38"/>
        <v>0</v>
      </c>
      <c r="Y202" s="368">
        <f t="shared" si="44"/>
        <v>1</v>
      </c>
      <c r="Z202" s="368" t="str">
        <f t="shared" si="39"/>
        <v/>
      </c>
      <c r="AA202" s="368">
        <v>187</v>
      </c>
      <c r="AB202" s="369">
        <f t="array" ref="AB202">SUM(IF(AA202=Z$16:Z$592,A$16:A$592,""))</f>
        <v>0</v>
      </c>
      <c r="AC202" s="370">
        <f t="array" ref="AC202">SUM(IF(AA202=Z$16:Z$592,J$16:J$592,""))</f>
        <v>0</v>
      </c>
      <c r="AD202" s="370">
        <f t="array" ref="AD202">SUM(IF($AA202=$Z$16:$Z$592,L$16:L$592,""))</f>
        <v>0</v>
      </c>
      <c r="AE202" s="370">
        <f t="array" ref="AE202">SUM(IF($AA202=$Z$16:$Z$592,M$16:M$592,""))</f>
        <v>0</v>
      </c>
      <c r="AF202" s="368">
        <f t="array" ref="AF202">SUM(IF($AA202=$Z$16:$Z$592,N$16:N$592,""))</f>
        <v>0</v>
      </c>
      <c r="AG202" s="370">
        <f t="array" ref="AG202">SUM(IF($AA202=$Z$16:$Z$592,O$16:O$592,""))</f>
        <v>0</v>
      </c>
      <c r="AH202" s="2"/>
      <c r="AI202" s="2"/>
      <c r="AJ202" s="2"/>
    </row>
    <row r="203" spans="1:36" x14ac:dyDescent="0.2">
      <c r="A203" s="306">
        <f>Crop!B236</f>
        <v>41827</v>
      </c>
      <c r="B203" s="307"/>
      <c r="C203" s="308"/>
      <c r="D203" s="304">
        <f>IF(OR($A203&lt;$A$3,$A203&gt;$A$7),"",Crop!$D236)</f>
        <v>7.1109315796026875</v>
      </c>
      <c r="E203" s="304">
        <f t="shared" si="30"/>
        <v>7.1109315796026875</v>
      </c>
      <c r="F203" s="304">
        <f>IF(OR(A203&lt;A$3,A203&gt;A$7),"",Crop!U236)</f>
        <v>1.2</v>
      </c>
      <c r="G203" s="304">
        <f t="shared" si="31"/>
        <v>8.5331178955232243</v>
      </c>
      <c r="H203" s="309">
        <f>IF(OR(A203&lt;A$3,A203&gt;A$7),"",YTD!E200)</f>
        <v>135</v>
      </c>
      <c r="I203" s="310">
        <f t="shared" si="32"/>
        <v>573.20788326627758</v>
      </c>
      <c r="J203" s="311"/>
      <c r="K203" s="309">
        <f t="shared" si="33"/>
        <v>0</v>
      </c>
      <c r="L203" s="312" t="str">
        <f t="shared" si="40"/>
        <v/>
      </c>
      <c r="M203" s="366" t="str">
        <f t="shared" si="45"/>
        <v/>
      </c>
      <c r="N203" s="328" t="str">
        <f t="shared" si="46"/>
        <v/>
      </c>
      <c r="O203" s="313" t="str">
        <f t="shared" si="47"/>
        <v/>
      </c>
      <c r="P203" s="307"/>
      <c r="Q203" s="309">
        <f t="shared" si="41"/>
        <v>0.8</v>
      </c>
      <c r="R203" s="307"/>
      <c r="S203" s="314">
        <f t="shared" si="42"/>
        <v>11.2</v>
      </c>
      <c r="T203" s="304" t="str">
        <f t="shared" si="37"/>
        <v/>
      </c>
      <c r="U203" s="304">
        <f>IF(A203=YTD!B$6,E203,IF(OR(A203&lt;YTD!B$6,A203&gt;YTD!B$10),"",U202+E203))</f>
        <v>633.98914751573261</v>
      </c>
      <c r="V203" s="304">
        <f t="shared" si="43"/>
        <v>743.20788326627746</v>
      </c>
      <c r="W203" s="315">
        <f>IF(I203="",#N/A,YTD!G$8-I203)</f>
        <v>-303.20788326627758</v>
      </c>
      <c r="X203" s="368">
        <f t="shared" si="38"/>
        <v>0</v>
      </c>
      <c r="Y203" s="368">
        <f t="shared" si="44"/>
        <v>1</v>
      </c>
      <c r="Z203" s="368" t="str">
        <f t="shared" si="39"/>
        <v/>
      </c>
      <c r="AA203" s="368">
        <v>188</v>
      </c>
      <c r="AB203" s="369">
        <f t="array" ref="AB203">SUM(IF(AA203=Z$16:Z$592,A$16:A$592,""))</f>
        <v>0</v>
      </c>
      <c r="AC203" s="370">
        <f t="array" ref="AC203">SUM(IF(AA203=Z$16:Z$592,J$16:J$592,""))</f>
        <v>0</v>
      </c>
      <c r="AD203" s="370">
        <f t="array" ref="AD203">SUM(IF($AA203=$Z$16:$Z$592,L$16:L$592,""))</f>
        <v>0</v>
      </c>
      <c r="AE203" s="370">
        <f t="array" ref="AE203">SUM(IF($AA203=$Z$16:$Z$592,M$16:M$592,""))</f>
        <v>0</v>
      </c>
      <c r="AF203" s="368">
        <f t="array" ref="AF203">SUM(IF($AA203=$Z$16:$Z$592,N$16:N$592,""))</f>
        <v>0</v>
      </c>
      <c r="AG203" s="370">
        <f t="array" ref="AG203">SUM(IF($AA203=$Z$16:$Z$592,O$16:O$592,""))</f>
        <v>0</v>
      </c>
      <c r="AH203" s="2"/>
      <c r="AI203" s="2"/>
      <c r="AJ203" s="2"/>
    </row>
    <row r="204" spans="1:36" x14ac:dyDescent="0.2">
      <c r="A204" s="306">
        <f>Crop!B237</f>
        <v>41828</v>
      </c>
      <c r="B204" s="307"/>
      <c r="C204" s="308"/>
      <c r="D204" s="304">
        <f>IF(OR($A204&lt;$A$3,$A204&gt;$A$7),"",Crop!$D237)</f>
        <v>7.1143652293528987</v>
      </c>
      <c r="E204" s="304">
        <f t="shared" si="30"/>
        <v>7.1143652293528987</v>
      </c>
      <c r="F204" s="304">
        <f>IF(OR(A204&lt;A$3,A204&gt;A$7),"",Crop!U237)</f>
        <v>1.2</v>
      </c>
      <c r="G204" s="304">
        <f t="shared" si="31"/>
        <v>8.5372382752234781</v>
      </c>
      <c r="H204" s="309">
        <f>IF(OR(A204&lt;A$3,A204&gt;A$7),"",YTD!E201)</f>
        <v>135</v>
      </c>
      <c r="I204" s="310">
        <f t="shared" si="32"/>
        <v>481.74512154150102</v>
      </c>
      <c r="J204" s="311">
        <v>100</v>
      </c>
      <c r="K204" s="309">
        <f t="shared" si="33"/>
        <v>0</v>
      </c>
      <c r="L204" s="312">
        <f t="shared" si="40"/>
        <v>125</v>
      </c>
      <c r="M204" s="366">
        <f t="shared" si="45"/>
        <v>138.88888888888889</v>
      </c>
      <c r="N204" s="328">
        <f t="shared" si="46"/>
        <v>12</v>
      </c>
      <c r="O204" s="313">
        <f t="shared" si="47"/>
        <v>24.047619047619122</v>
      </c>
      <c r="P204" s="307"/>
      <c r="Q204" s="309">
        <f t="shared" si="41"/>
        <v>0.8</v>
      </c>
      <c r="R204" s="307"/>
      <c r="S204" s="314">
        <f t="shared" si="42"/>
        <v>11.2</v>
      </c>
      <c r="T204" s="304" t="str">
        <f t="shared" si="37"/>
        <v/>
      </c>
      <c r="U204" s="304">
        <f>IF(A204=YTD!B$6,E204,IF(OR(A204&lt;YTD!B$6,A204&gt;YTD!B$10),"",U203+E204))</f>
        <v>641.10351274508548</v>
      </c>
      <c r="V204" s="304">
        <f t="shared" si="43"/>
        <v>751.74512154150091</v>
      </c>
      <c r="W204" s="315">
        <f>IF(I204="",#N/A,YTD!G$8-I204)</f>
        <v>-211.74512154150102</v>
      </c>
      <c r="X204" s="368">
        <f t="shared" si="38"/>
        <v>1</v>
      </c>
      <c r="Y204" s="368">
        <f t="shared" si="44"/>
        <v>2</v>
      </c>
      <c r="Z204" s="368">
        <f t="shared" si="39"/>
        <v>2</v>
      </c>
      <c r="AA204" s="368">
        <v>189</v>
      </c>
      <c r="AB204" s="369">
        <f t="array" ref="AB204">SUM(IF(AA204=Z$16:Z$592,A$16:A$592,""))</f>
        <v>0</v>
      </c>
      <c r="AC204" s="370">
        <f t="array" ref="AC204">SUM(IF(AA204=Z$16:Z$592,J$16:J$592,""))</f>
        <v>0</v>
      </c>
      <c r="AD204" s="370">
        <f t="array" ref="AD204">SUM(IF($AA204=$Z$16:$Z$592,L$16:L$592,""))</f>
        <v>0</v>
      </c>
      <c r="AE204" s="370">
        <f t="array" ref="AE204">SUM(IF($AA204=$Z$16:$Z$592,M$16:M$592,""))</f>
        <v>0</v>
      </c>
      <c r="AF204" s="368">
        <f t="array" ref="AF204">SUM(IF($AA204=$Z$16:$Z$592,N$16:N$592,""))</f>
        <v>0</v>
      </c>
      <c r="AG204" s="370">
        <f t="array" ref="AG204">SUM(IF($AA204=$Z$16:$Z$592,O$16:O$592,""))</f>
        <v>0</v>
      </c>
      <c r="AH204" s="2"/>
      <c r="AI204" s="2"/>
      <c r="AJ204" s="2"/>
    </row>
    <row r="205" spans="1:36" x14ac:dyDescent="0.2">
      <c r="A205" s="306">
        <f>Crop!B238</f>
        <v>41829</v>
      </c>
      <c r="B205" s="307"/>
      <c r="C205" s="308"/>
      <c r="D205" s="304">
        <f>IF(OR($A205&lt;$A$3,$A205&gt;$A$7),"",Crop!$D238)</f>
        <v>7.1166973795419421</v>
      </c>
      <c r="E205" s="304">
        <f t="shared" si="30"/>
        <v>7.1166973795419421</v>
      </c>
      <c r="F205" s="304">
        <f>IF(OR(A205&lt;A$3,A205&gt;A$7),"",Crop!U238)</f>
        <v>1.2</v>
      </c>
      <c r="G205" s="304">
        <f t="shared" si="31"/>
        <v>8.5400368554503299</v>
      </c>
      <c r="H205" s="309">
        <f>IF(OR(A205&lt;A$3,A205&gt;A$7),"",YTD!E202)</f>
        <v>135</v>
      </c>
      <c r="I205" s="310">
        <f t="shared" si="32"/>
        <v>490.28515839695137</v>
      </c>
      <c r="J205" s="311"/>
      <c r="K205" s="309">
        <f t="shared" si="33"/>
        <v>0</v>
      </c>
      <c r="L205" s="312" t="str">
        <f t="shared" si="40"/>
        <v/>
      </c>
      <c r="M205" s="366" t="str">
        <f t="shared" si="45"/>
        <v/>
      </c>
      <c r="N205" s="328" t="str">
        <f t="shared" si="46"/>
        <v/>
      </c>
      <c r="O205" s="313" t="str">
        <f t="shared" si="47"/>
        <v/>
      </c>
      <c r="P205" s="307"/>
      <c r="Q205" s="309">
        <f t="shared" si="41"/>
        <v>0.8</v>
      </c>
      <c r="R205" s="307"/>
      <c r="S205" s="314">
        <f t="shared" si="42"/>
        <v>11.2</v>
      </c>
      <c r="T205" s="304" t="str">
        <f t="shared" si="37"/>
        <v/>
      </c>
      <c r="U205" s="304">
        <f>IF(A205=YTD!B$6,E205,IF(OR(A205&lt;YTD!B$6,A205&gt;YTD!B$10),"",U204+E205))</f>
        <v>648.22021012462744</v>
      </c>
      <c r="V205" s="304">
        <f t="shared" si="43"/>
        <v>760.28515839695126</v>
      </c>
      <c r="W205" s="315">
        <f>IF(I205="",#N/A,YTD!G$8-I205)</f>
        <v>-220.28515839695137</v>
      </c>
      <c r="X205" s="368">
        <f t="shared" si="38"/>
        <v>0</v>
      </c>
      <c r="Y205" s="368">
        <f t="shared" si="44"/>
        <v>2</v>
      </c>
      <c r="Z205" s="368" t="str">
        <f t="shared" si="39"/>
        <v/>
      </c>
      <c r="AA205" s="368">
        <v>190</v>
      </c>
      <c r="AB205" s="369">
        <f t="array" ref="AB205">SUM(IF(AA205=Z$16:Z$592,A$16:A$592,""))</f>
        <v>0</v>
      </c>
      <c r="AC205" s="370">
        <f t="array" ref="AC205">SUM(IF(AA205=Z$16:Z$592,J$16:J$592,""))</f>
        <v>0</v>
      </c>
      <c r="AD205" s="370">
        <f t="array" ref="AD205">SUM(IF($AA205=$Z$16:$Z$592,L$16:L$592,""))</f>
        <v>0</v>
      </c>
      <c r="AE205" s="370">
        <f t="array" ref="AE205">SUM(IF($AA205=$Z$16:$Z$592,M$16:M$592,""))</f>
        <v>0</v>
      </c>
      <c r="AF205" s="368">
        <f t="array" ref="AF205">SUM(IF($AA205=$Z$16:$Z$592,N$16:N$592,""))</f>
        <v>0</v>
      </c>
      <c r="AG205" s="370">
        <f t="array" ref="AG205">SUM(IF($AA205=$Z$16:$Z$592,O$16:O$592,""))</f>
        <v>0</v>
      </c>
      <c r="AH205" s="2"/>
      <c r="AI205" s="2"/>
      <c r="AJ205" s="2"/>
    </row>
    <row r="206" spans="1:36" x14ac:dyDescent="0.2">
      <c r="A206" s="306">
        <f>Crop!B239</f>
        <v>41830</v>
      </c>
      <c r="B206" s="307">
        <v>20</v>
      </c>
      <c r="C206" s="308"/>
      <c r="D206" s="304">
        <f>IF(OR($A206&lt;$A$3,$A206&gt;$A$7),"",Crop!$D239)</f>
        <v>7.1179448069639726</v>
      </c>
      <c r="E206" s="304">
        <f t="shared" si="30"/>
        <v>7.1179448069639726</v>
      </c>
      <c r="F206" s="304">
        <f>IF(OR(A206&lt;A$3,A206&gt;A$7),"",Crop!U239)</f>
        <v>1.2</v>
      </c>
      <c r="G206" s="304">
        <f t="shared" si="31"/>
        <v>8.541533768356766</v>
      </c>
      <c r="H206" s="309">
        <f>IF(OR(A206&lt;A$3,A206&gt;A$7),"",YTD!E203)</f>
        <v>135</v>
      </c>
      <c r="I206" s="310">
        <f t="shared" si="32"/>
        <v>478.82669216530815</v>
      </c>
      <c r="J206" s="311"/>
      <c r="K206" s="309">
        <f t="shared" si="33"/>
        <v>20</v>
      </c>
      <c r="L206" s="312" t="str">
        <f t="shared" si="40"/>
        <v/>
      </c>
      <c r="M206" s="366" t="str">
        <f t="shared" si="45"/>
        <v/>
      </c>
      <c r="N206" s="328" t="str">
        <f t="shared" si="46"/>
        <v/>
      </c>
      <c r="O206" s="313" t="str">
        <f t="shared" si="47"/>
        <v/>
      </c>
      <c r="P206" s="307"/>
      <c r="Q206" s="309">
        <f t="shared" si="41"/>
        <v>0.8</v>
      </c>
      <c r="R206" s="307"/>
      <c r="S206" s="314">
        <f t="shared" si="42"/>
        <v>11.2</v>
      </c>
      <c r="T206" s="304" t="str">
        <f t="shared" si="37"/>
        <v/>
      </c>
      <c r="U206" s="304">
        <f>IF(A206=YTD!B$6,E206,IF(OR(A206&lt;YTD!B$6,A206&gt;YTD!B$10),"",U205+E206))</f>
        <v>655.33815493159136</v>
      </c>
      <c r="V206" s="304">
        <f t="shared" si="43"/>
        <v>768.82669216530803</v>
      </c>
      <c r="W206" s="315">
        <f>IF(I206="",#N/A,YTD!G$8-I206)</f>
        <v>-208.82669216530815</v>
      </c>
      <c r="X206" s="368">
        <f t="shared" si="38"/>
        <v>0</v>
      </c>
      <c r="Y206" s="368">
        <f t="shared" si="44"/>
        <v>2</v>
      </c>
      <c r="Z206" s="368" t="str">
        <f t="shared" si="39"/>
        <v/>
      </c>
      <c r="AA206" s="368">
        <v>191</v>
      </c>
      <c r="AB206" s="369">
        <f t="array" ref="AB206">SUM(IF(AA206=Z$16:Z$592,A$16:A$592,""))</f>
        <v>0</v>
      </c>
      <c r="AC206" s="370">
        <f t="array" ref="AC206">SUM(IF(AA206=Z$16:Z$592,J$16:J$592,""))</f>
        <v>0</v>
      </c>
      <c r="AD206" s="370">
        <f t="array" ref="AD206">SUM(IF($AA206=$Z$16:$Z$592,L$16:L$592,""))</f>
        <v>0</v>
      </c>
      <c r="AE206" s="370">
        <f t="array" ref="AE206">SUM(IF($AA206=$Z$16:$Z$592,M$16:M$592,""))</f>
        <v>0</v>
      </c>
      <c r="AF206" s="368">
        <f t="array" ref="AF206">SUM(IF($AA206=$Z$16:$Z$592,N$16:N$592,""))</f>
        <v>0</v>
      </c>
      <c r="AG206" s="370">
        <f t="array" ref="AG206">SUM(IF($AA206=$Z$16:$Z$592,O$16:O$592,""))</f>
        <v>0</v>
      </c>
      <c r="AH206" s="2"/>
      <c r="AI206" s="2"/>
      <c r="AJ206" s="2"/>
    </row>
    <row r="207" spans="1:36" x14ac:dyDescent="0.2">
      <c r="A207" s="306">
        <f>Crop!B240</f>
        <v>41831</v>
      </c>
      <c r="B207" s="307"/>
      <c r="C207" s="308"/>
      <c r="D207" s="304">
        <f>IF(OR($A207&lt;$A$3,$A207&gt;$A$7),"",Crop!$D240)</f>
        <v>7.1181242884131413</v>
      </c>
      <c r="E207" s="304">
        <f t="shared" si="30"/>
        <v>7.1181242884131413</v>
      </c>
      <c r="F207" s="304">
        <f>IF(OR(A207&lt;A$3,A207&gt;A$7),"",Crop!U240)</f>
        <v>1.2</v>
      </c>
      <c r="G207" s="304">
        <f t="shared" si="31"/>
        <v>8.5417491460957695</v>
      </c>
      <c r="H207" s="309">
        <f>IF(OR(A207&lt;A$3,A207&gt;A$7),"",YTD!E204)</f>
        <v>135</v>
      </c>
      <c r="I207" s="310">
        <f t="shared" si="32"/>
        <v>487.3684413114039</v>
      </c>
      <c r="J207" s="311"/>
      <c r="K207" s="309">
        <f t="shared" si="33"/>
        <v>0</v>
      </c>
      <c r="L207" s="312" t="str">
        <f t="shared" si="40"/>
        <v/>
      </c>
      <c r="M207" s="366" t="str">
        <f t="shared" si="45"/>
        <v/>
      </c>
      <c r="N207" s="328" t="str">
        <f t="shared" si="46"/>
        <v/>
      </c>
      <c r="O207" s="313" t="str">
        <f t="shared" si="47"/>
        <v/>
      </c>
      <c r="P207" s="307"/>
      <c r="Q207" s="309">
        <f t="shared" si="41"/>
        <v>0.8</v>
      </c>
      <c r="R207" s="307"/>
      <c r="S207" s="314">
        <f t="shared" si="42"/>
        <v>11.2</v>
      </c>
      <c r="T207" s="304" t="str">
        <f t="shared" si="37"/>
        <v/>
      </c>
      <c r="U207" s="304">
        <f>IF(A207=YTD!B$6,E207,IF(OR(A207&lt;YTD!B$6,A207&gt;YTD!B$10),"",U206+E207))</f>
        <v>662.45627922000449</v>
      </c>
      <c r="V207" s="304">
        <f t="shared" si="43"/>
        <v>777.36844131140379</v>
      </c>
      <c r="W207" s="315">
        <f>IF(I207="",#N/A,YTD!G$8-I207)</f>
        <v>-217.3684413114039</v>
      </c>
      <c r="X207" s="368">
        <f t="shared" si="38"/>
        <v>0</v>
      </c>
      <c r="Y207" s="368">
        <f t="shared" si="44"/>
        <v>2</v>
      </c>
      <c r="Z207" s="368" t="str">
        <f t="shared" si="39"/>
        <v/>
      </c>
      <c r="AA207" s="368">
        <v>192</v>
      </c>
      <c r="AB207" s="369">
        <f t="array" ref="AB207">SUM(IF(AA207=Z$16:Z$592,A$16:A$592,""))</f>
        <v>0</v>
      </c>
      <c r="AC207" s="370">
        <f t="array" ref="AC207">SUM(IF(AA207=Z$16:Z$592,J$16:J$592,""))</f>
        <v>0</v>
      </c>
      <c r="AD207" s="370">
        <f t="array" ref="AD207">SUM(IF($AA207=$Z$16:$Z$592,L$16:L$592,""))</f>
        <v>0</v>
      </c>
      <c r="AE207" s="370">
        <f t="array" ref="AE207">SUM(IF($AA207=$Z$16:$Z$592,M$16:M$592,""))</f>
        <v>0</v>
      </c>
      <c r="AF207" s="368">
        <f t="array" ref="AF207">SUM(IF($AA207=$Z$16:$Z$592,N$16:N$592,""))</f>
        <v>0</v>
      </c>
      <c r="AG207" s="370">
        <f t="array" ref="AG207">SUM(IF($AA207=$Z$16:$Z$592,O$16:O$592,""))</f>
        <v>0</v>
      </c>
      <c r="AH207" s="2"/>
      <c r="AI207" s="2"/>
      <c r="AJ207" s="2"/>
    </row>
    <row r="208" spans="1:36" x14ac:dyDescent="0.2">
      <c r="A208" s="306">
        <f>Crop!B241</f>
        <v>41832</v>
      </c>
      <c r="B208" s="307"/>
      <c r="C208" s="308"/>
      <c r="D208" s="304">
        <f>IF(OR($A208&lt;$A$3,$A208&gt;$A$7),"",Crop!$D241)</f>
        <v>7.1172526006836039</v>
      </c>
      <c r="E208" s="304">
        <f t="shared" ref="E208:E271" si="48">IF(C208="",D208,C208)</f>
        <v>7.1172526006836039</v>
      </c>
      <c r="F208" s="304">
        <f>IF(OR(A208&lt;A$3,A208&gt;A$7),"",Crop!U241)</f>
        <v>1.2</v>
      </c>
      <c r="G208" s="304">
        <f t="shared" ref="G208:G271" si="49">IF(OR(A208&lt;A$3,A208&gt;A$7),"",E208*F208)</f>
        <v>8.540703120820325</v>
      </c>
      <c r="H208" s="309">
        <f>IF(OR(A208&lt;A$3,A208&gt;A$7),"",YTD!E205)</f>
        <v>135</v>
      </c>
      <c r="I208" s="310">
        <f t="shared" ref="I208:I271" si="50">IF(A208=A$3-1,I$13,IF(OR(A208&lt;A$3,A208&gt;A$7),"",IF(T208="A",I207+G208-K208-J208,IF(J208&gt;0,I207+G208-K208-J208,I207+G208-K208))))</f>
        <v>495.90914443222425</v>
      </c>
      <c r="J208" s="311"/>
      <c r="K208" s="309">
        <f t="shared" ref="K208:K271" si="51">IF(U208="","",IF(AND(E208="",B208=""),"",IF(B208="",0,IF(B208&gt;I207+G208,I207+G208,B208))))</f>
        <v>0</v>
      </c>
      <c r="L208" s="312" t="str">
        <f t="shared" si="40"/>
        <v/>
      </c>
      <c r="M208" s="366" t="str">
        <f t="shared" si="45"/>
        <v/>
      </c>
      <c r="N208" s="328" t="str">
        <f t="shared" si="46"/>
        <v/>
      </c>
      <c r="O208" s="313" t="str">
        <f t="shared" si="47"/>
        <v/>
      </c>
      <c r="P208" s="307"/>
      <c r="Q208" s="309">
        <f t="shared" si="41"/>
        <v>0.8</v>
      </c>
      <c r="R208" s="307"/>
      <c r="S208" s="314">
        <f t="shared" si="42"/>
        <v>11.2</v>
      </c>
      <c r="T208" s="304" t="str">
        <f t="shared" ref="T208:T271" si="52">IF(A208=A$3,"A",IF(A208=A$4,"B",IF(A208=A$5,"C",IF(A208=A$6,"D",IF(A208=A$7,"E","")))))</f>
        <v/>
      </c>
      <c r="U208" s="304">
        <f>IF(A208=YTD!B$6,E208,IF(OR(A208&lt;YTD!B$6,A208&gt;YTD!B$10),"",U207+E208))</f>
        <v>669.57353182068812</v>
      </c>
      <c r="V208" s="304">
        <f t="shared" si="43"/>
        <v>785.90914443222414</v>
      </c>
      <c r="W208" s="315">
        <f>IF(I208="",#N/A,YTD!G$8-I208)</f>
        <v>-225.90914443222425</v>
      </c>
      <c r="X208" s="368">
        <f t="shared" ref="X208:X271" si="53">IF(J208="",0,1)</f>
        <v>0</v>
      </c>
      <c r="Y208" s="368">
        <f t="shared" si="44"/>
        <v>2</v>
      </c>
      <c r="Z208" s="368" t="str">
        <f t="shared" ref="Z208:Z271" si="54">IF(X208=1,Y208,"")</f>
        <v/>
      </c>
      <c r="AA208" s="368">
        <v>193</v>
      </c>
      <c r="AB208" s="369">
        <f t="array" ref="AB208">SUM(IF(AA208=Z$16:Z$592,A$16:A$592,""))</f>
        <v>0</v>
      </c>
      <c r="AC208" s="370">
        <f t="array" ref="AC208">SUM(IF(AA208=Z$16:Z$592,J$16:J$592,""))</f>
        <v>0</v>
      </c>
      <c r="AD208" s="370">
        <f t="array" ref="AD208">SUM(IF($AA208=$Z$16:$Z$592,L$16:L$592,""))</f>
        <v>0</v>
      </c>
      <c r="AE208" s="370">
        <f t="array" ref="AE208">SUM(IF($AA208=$Z$16:$Z$592,M$16:M$592,""))</f>
        <v>0</v>
      </c>
      <c r="AF208" s="368">
        <f t="array" ref="AF208">SUM(IF($AA208=$Z$16:$Z$592,N$16:N$592,""))</f>
        <v>0</v>
      </c>
      <c r="AG208" s="370">
        <f t="array" ref="AG208">SUM(IF($AA208=$Z$16:$Z$592,O$16:O$592,""))</f>
        <v>0</v>
      </c>
      <c r="AH208" s="2"/>
      <c r="AI208" s="2"/>
      <c r="AJ208" s="2"/>
    </row>
    <row r="209" spans="1:36" x14ac:dyDescent="0.2">
      <c r="A209" s="306">
        <f>Crop!B242</f>
        <v>41833</v>
      </c>
      <c r="B209" s="307"/>
      <c r="C209" s="308"/>
      <c r="D209" s="304">
        <f>IF(OR($A209&lt;$A$3,$A209&gt;$A$7),"",Crop!$D242)</f>
        <v>7.1153465205695134</v>
      </c>
      <c r="E209" s="304">
        <f t="shared" si="48"/>
        <v>7.1153465205695134</v>
      </c>
      <c r="F209" s="304">
        <f>IF(OR(A209&lt;A$3,A209&gt;A$7),"",Crop!U242)</f>
        <v>1.2</v>
      </c>
      <c r="G209" s="304">
        <f t="shared" si="49"/>
        <v>8.5384158246834154</v>
      </c>
      <c r="H209" s="309">
        <f>IF(OR(A209&lt;A$3,A209&gt;A$7),"",YTD!E206)</f>
        <v>135</v>
      </c>
      <c r="I209" s="310">
        <f t="shared" si="50"/>
        <v>504.44756025690765</v>
      </c>
      <c r="J209" s="311"/>
      <c r="K209" s="309">
        <f t="shared" si="51"/>
        <v>0</v>
      </c>
      <c r="L209" s="312" t="str">
        <f t="shared" ref="L209:L272" si="55">IF(J209="","",J209/Q209)</f>
        <v/>
      </c>
      <c r="M209" s="366" t="str">
        <f t="shared" ref="M209:M272" si="56">IF(L209="","",L209/(1-$I$8))</f>
        <v/>
      </c>
      <c r="N209" s="328" t="str">
        <f t="shared" si="46"/>
        <v/>
      </c>
      <c r="O209" s="313" t="str">
        <f t="shared" si="47"/>
        <v/>
      </c>
      <c r="P209" s="307"/>
      <c r="Q209" s="309">
        <f t="shared" ref="Q209:Q272" si="57">IF(P209="",Q208,P209)</f>
        <v>0.8</v>
      </c>
      <c r="R209" s="307"/>
      <c r="S209" s="314">
        <f t="shared" ref="S209:S272" si="58">IF(R209="",S208,R209)</f>
        <v>11.2</v>
      </c>
      <c r="T209" s="304" t="str">
        <f t="shared" si="52"/>
        <v/>
      </c>
      <c r="U209" s="304">
        <f>IF(A209=YTD!B$6,E209,IF(OR(A209&lt;YTD!B$6,A209&gt;YTD!B$10),"",U208+E209))</f>
        <v>676.68887834125758</v>
      </c>
      <c r="V209" s="304">
        <f t="shared" ref="V209:V272" si="59">IF(G209="","",IF(G208="",G209,V208+G209))</f>
        <v>794.44756025690754</v>
      </c>
      <c r="W209" s="315">
        <f>IF(I209="",#N/A,YTD!G$8-I209)</f>
        <v>-234.44756025690765</v>
      </c>
      <c r="X209" s="368">
        <f t="shared" si="53"/>
        <v>0</v>
      </c>
      <c r="Y209" s="368">
        <f t="shared" si="44"/>
        <v>2</v>
      </c>
      <c r="Z209" s="368" t="str">
        <f t="shared" si="54"/>
        <v/>
      </c>
      <c r="AA209" s="368">
        <v>194</v>
      </c>
      <c r="AB209" s="369">
        <f t="array" ref="AB209">SUM(IF(AA209=Z$16:Z$592,A$16:A$592,""))</f>
        <v>0</v>
      </c>
      <c r="AC209" s="370">
        <f t="array" ref="AC209">SUM(IF(AA209=Z$16:Z$592,J$16:J$592,""))</f>
        <v>0</v>
      </c>
      <c r="AD209" s="370">
        <f t="array" ref="AD209">SUM(IF($AA209=$Z$16:$Z$592,L$16:L$592,""))</f>
        <v>0</v>
      </c>
      <c r="AE209" s="370">
        <f t="array" ref="AE209">SUM(IF($AA209=$Z$16:$Z$592,M$16:M$592,""))</f>
        <v>0</v>
      </c>
      <c r="AF209" s="368">
        <f t="array" ref="AF209">SUM(IF($AA209=$Z$16:$Z$592,N$16:N$592,""))</f>
        <v>0</v>
      </c>
      <c r="AG209" s="370">
        <f t="array" ref="AG209">SUM(IF($AA209=$Z$16:$Z$592,O$16:O$592,""))</f>
        <v>0</v>
      </c>
      <c r="AH209" s="2"/>
      <c r="AI209" s="2"/>
      <c r="AJ209" s="2"/>
    </row>
    <row r="210" spans="1:36" x14ac:dyDescent="0.2">
      <c r="A210" s="306">
        <f>Crop!B243</f>
        <v>41834</v>
      </c>
      <c r="B210" s="307"/>
      <c r="C210" s="308"/>
      <c r="D210" s="304">
        <f>IF(OR($A210&lt;$A$3,$A210&gt;$A$7),"",Crop!$D243)</f>
        <v>7.1124228248650248</v>
      </c>
      <c r="E210" s="304">
        <f t="shared" si="48"/>
        <v>7.1124228248650248</v>
      </c>
      <c r="F210" s="304">
        <f>IF(OR(A210&lt;A$3,A210&gt;A$7),"",Crop!U243)</f>
        <v>1.2</v>
      </c>
      <c r="G210" s="304">
        <f t="shared" si="49"/>
        <v>8.534907389838029</v>
      </c>
      <c r="H210" s="309">
        <f>IF(OR(A210&lt;A$3,A210&gt;A$7),"",YTD!E207)</f>
        <v>135</v>
      </c>
      <c r="I210" s="310">
        <f t="shared" si="50"/>
        <v>512.9824676467457</v>
      </c>
      <c r="J210" s="311"/>
      <c r="K210" s="309">
        <f t="shared" si="51"/>
        <v>0</v>
      </c>
      <c r="L210" s="312" t="str">
        <f t="shared" si="55"/>
        <v/>
      </c>
      <c r="M210" s="366" t="str">
        <f t="shared" si="56"/>
        <v/>
      </c>
      <c r="N210" s="328" t="str">
        <f t="shared" si="46"/>
        <v/>
      </c>
      <c r="O210" s="313" t="str">
        <f t="shared" si="47"/>
        <v/>
      </c>
      <c r="P210" s="307"/>
      <c r="Q210" s="309">
        <f t="shared" si="57"/>
        <v>0.8</v>
      </c>
      <c r="R210" s="307"/>
      <c r="S210" s="314">
        <f t="shared" si="58"/>
        <v>11.2</v>
      </c>
      <c r="T210" s="304" t="str">
        <f t="shared" si="52"/>
        <v/>
      </c>
      <c r="U210" s="304">
        <f>IF(A210=YTD!B$6,E210,IF(OR(A210&lt;YTD!B$6,A210&gt;YTD!B$10),"",U209+E210))</f>
        <v>683.80130116612258</v>
      </c>
      <c r="V210" s="304">
        <f t="shared" si="59"/>
        <v>802.98246764674559</v>
      </c>
      <c r="W210" s="315">
        <f>IF(I210="",#N/A,YTD!G$8-I210)</f>
        <v>-242.9824676467457</v>
      </c>
      <c r="X210" s="368">
        <f t="shared" si="53"/>
        <v>0</v>
      </c>
      <c r="Y210" s="368">
        <f t="shared" ref="Y210:Y273" si="60">Y209+X210</f>
        <v>2</v>
      </c>
      <c r="Z210" s="368" t="str">
        <f t="shared" si="54"/>
        <v/>
      </c>
      <c r="AA210" s="368">
        <v>195</v>
      </c>
      <c r="AB210" s="369">
        <f t="array" ref="AB210">SUM(IF(AA210=Z$16:Z$592,A$16:A$592,""))</f>
        <v>0</v>
      </c>
      <c r="AC210" s="370">
        <f t="array" ref="AC210">SUM(IF(AA210=Z$16:Z$592,J$16:J$592,""))</f>
        <v>0</v>
      </c>
      <c r="AD210" s="370">
        <f t="array" ref="AD210">SUM(IF($AA210=$Z$16:$Z$592,L$16:L$592,""))</f>
        <v>0</v>
      </c>
      <c r="AE210" s="370">
        <f t="array" ref="AE210">SUM(IF($AA210=$Z$16:$Z$592,M$16:M$592,""))</f>
        <v>0</v>
      </c>
      <c r="AF210" s="368">
        <f t="array" ref="AF210">SUM(IF($AA210=$Z$16:$Z$592,N$16:N$592,""))</f>
        <v>0</v>
      </c>
      <c r="AG210" s="370">
        <f t="array" ref="AG210">SUM(IF($AA210=$Z$16:$Z$592,O$16:O$592,""))</f>
        <v>0</v>
      </c>
      <c r="AH210" s="2"/>
      <c r="AI210" s="2"/>
      <c r="AJ210" s="2"/>
    </row>
    <row r="211" spans="1:36" x14ac:dyDescent="0.2">
      <c r="A211" s="306">
        <f>Crop!B244</f>
        <v>41835</v>
      </c>
      <c r="B211" s="307"/>
      <c r="C211" s="308"/>
      <c r="D211" s="304">
        <f>IF(OR($A211&lt;$A$3,$A211&gt;$A$7),"",Crop!$D244)</f>
        <v>7.1084982903642908</v>
      </c>
      <c r="E211" s="304">
        <f t="shared" si="48"/>
        <v>7.1084982903642908</v>
      </c>
      <c r="F211" s="304">
        <f>IF(OR(A211&lt;A$3,A211&gt;A$7),"",Crop!U244)</f>
        <v>1.2</v>
      </c>
      <c r="G211" s="304">
        <f t="shared" si="49"/>
        <v>8.5301979484371486</v>
      </c>
      <c r="H211" s="309">
        <f>IF(OR(A211&lt;A$3,A211&gt;A$7),"",YTD!E208)</f>
        <v>135</v>
      </c>
      <c r="I211" s="310">
        <f t="shared" si="50"/>
        <v>521.51266559518285</v>
      </c>
      <c r="J211" s="311"/>
      <c r="K211" s="309">
        <f t="shared" si="51"/>
        <v>0</v>
      </c>
      <c r="L211" s="312" t="str">
        <f t="shared" si="55"/>
        <v/>
      </c>
      <c r="M211" s="366" t="str">
        <f t="shared" si="56"/>
        <v/>
      </c>
      <c r="N211" s="328" t="str">
        <f t="shared" si="46"/>
        <v/>
      </c>
      <c r="O211" s="313" t="str">
        <f t="shared" si="47"/>
        <v/>
      </c>
      <c r="P211" s="307"/>
      <c r="Q211" s="309">
        <f t="shared" si="57"/>
        <v>0.8</v>
      </c>
      <c r="R211" s="307"/>
      <c r="S211" s="314">
        <f t="shared" si="58"/>
        <v>11.2</v>
      </c>
      <c r="T211" s="304" t="str">
        <f t="shared" si="52"/>
        <v/>
      </c>
      <c r="U211" s="304">
        <f>IF(A211=YTD!B$6,E211,IF(OR(A211&lt;YTD!B$6,A211&gt;YTD!B$10),"",U210+E211))</f>
        <v>690.90979945648689</v>
      </c>
      <c r="V211" s="304">
        <f t="shared" si="59"/>
        <v>811.51266559518274</v>
      </c>
      <c r="W211" s="315">
        <f>IF(I211="",#N/A,YTD!G$8-I211)</f>
        <v>-251.51266559518285</v>
      </c>
      <c r="X211" s="368">
        <f t="shared" si="53"/>
        <v>0</v>
      </c>
      <c r="Y211" s="368">
        <f t="shared" si="60"/>
        <v>2</v>
      </c>
      <c r="Z211" s="368" t="str">
        <f t="shared" si="54"/>
        <v/>
      </c>
      <c r="AA211" s="368">
        <v>196</v>
      </c>
      <c r="AB211" s="369">
        <f t="array" ref="AB211">SUM(IF(AA211=Z$16:Z$592,A$16:A$592,""))</f>
        <v>0</v>
      </c>
      <c r="AC211" s="370">
        <f t="array" ref="AC211">SUM(IF(AA211=Z$16:Z$592,J$16:J$592,""))</f>
        <v>0</v>
      </c>
      <c r="AD211" s="370">
        <f t="array" ref="AD211">SUM(IF($AA211=$Z$16:$Z$592,L$16:L$592,""))</f>
        <v>0</v>
      </c>
      <c r="AE211" s="370">
        <f t="array" ref="AE211">SUM(IF($AA211=$Z$16:$Z$592,M$16:M$592,""))</f>
        <v>0</v>
      </c>
      <c r="AF211" s="368">
        <f t="array" ref="AF211">SUM(IF($AA211=$Z$16:$Z$592,N$16:N$592,""))</f>
        <v>0</v>
      </c>
      <c r="AG211" s="370">
        <f t="array" ref="AG211">SUM(IF($AA211=$Z$16:$Z$592,O$16:O$592,""))</f>
        <v>0</v>
      </c>
      <c r="AH211" s="2"/>
      <c r="AI211" s="2"/>
      <c r="AJ211" s="2"/>
    </row>
    <row r="212" spans="1:36" x14ac:dyDescent="0.2">
      <c r="A212" s="306">
        <f>Crop!B245</f>
        <v>41836</v>
      </c>
      <c r="B212" s="307"/>
      <c r="C212" s="308"/>
      <c r="D212" s="304">
        <f>IF(OR($A212&lt;$A$3,$A212&gt;$A$7),"",Crop!$D245)</f>
        <v>7.1035896938614673</v>
      </c>
      <c r="E212" s="304">
        <f t="shared" si="48"/>
        <v>7.1035896938614673</v>
      </c>
      <c r="F212" s="304">
        <f>IF(OR(A212&lt;A$3,A212&gt;A$7),"",Crop!U245)</f>
        <v>1.2</v>
      </c>
      <c r="G212" s="304">
        <f t="shared" si="49"/>
        <v>8.5243076326337608</v>
      </c>
      <c r="H212" s="309">
        <f>IF(OR(A212&lt;A$3,A212&gt;A$7),"",YTD!E209)</f>
        <v>135</v>
      </c>
      <c r="I212" s="310">
        <f t="shared" si="50"/>
        <v>530.03697322781659</v>
      </c>
      <c r="J212" s="311"/>
      <c r="K212" s="309">
        <f t="shared" si="51"/>
        <v>0</v>
      </c>
      <c r="L212" s="312" t="str">
        <f t="shared" si="55"/>
        <v/>
      </c>
      <c r="M212" s="366" t="str">
        <f t="shared" si="56"/>
        <v/>
      </c>
      <c r="N212" s="328" t="str">
        <f t="shared" si="46"/>
        <v/>
      </c>
      <c r="O212" s="313" t="str">
        <f t="shared" si="47"/>
        <v/>
      </c>
      <c r="P212" s="307"/>
      <c r="Q212" s="309">
        <f t="shared" si="57"/>
        <v>0.8</v>
      </c>
      <c r="R212" s="307"/>
      <c r="S212" s="314">
        <f t="shared" si="58"/>
        <v>11.2</v>
      </c>
      <c r="T212" s="304" t="str">
        <f t="shared" si="52"/>
        <v/>
      </c>
      <c r="U212" s="304">
        <f>IF(A212=YTD!B$6,E212,IF(OR(A212&lt;YTD!B$6,A212&gt;YTD!B$10),"",U211+E212))</f>
        <v>698.01338915034842</v>
      </c>
      <c r="V212" s="304">
        <f t="shared" si="59"/>
        <v>820.03697322781647</v>
      </c>
      <c r="W212" s="315">
        <f>IF(I212="",#N/A,YTD!G$8-I212)</f>
        <v>-260.03697322781659</v>
      </c>
      <c r="X212" s="368">
        <f t="shared" si="53"/>
        <v>0</v>
      </c>
      <c r="Y212" s="368">
        <f t="shared" si="60"/>
        <v>2</v>
      </c>
      <c r="Z212" s="368" t="str">
        <f t="shared" si="54"/>
        <v/>
      </c>
      <c r="AA212" s="368">
        <v>197</v>
      </c>
      <c r="AB212" s="369">
        <f t="array" ref="AB212">SUM(IF(AA212=Z$16:Z$592,A$16:A$592,""))</f>
        <v>0</v>
      </c>
      <c r="AC212" s="370">
        <f t="array" ref="AC212">SUM(IF(AA212=Z$16:Z$592,J$16:J$592,""))</f>
        <v>0</v>
      </c>
      <c r="AD212" s="370">
        <f t="array" ref="AD212">SUM(IF($AA212=$Z$16:$Z$592,L$16:L$592,""))</f>
        <v>0</v>
      </c>
      <c r="AE212" s="370">
        <f t="array" ref="AE212">SUM(IF($AA212=$Z$16:$Z$592,M$16:M$592,""))</f>
        <v>0</v>
      </c>
      <c r="AF212" s="368">
        <f t="array" ref="AF212">SUM(IF($AA212=$Z$16:$Z$592,N$16:N$592,""))</f>
        <v>0</v>
      </c>
      <c r="AG212" s="370">
        <f t="array" ref="AG212">SUM(IF($AA212=$Z$16:$Z$592,O$16:O$592,""))</f>
        <v>0</v>
      </c>
      <c r="AH212" s="2"/>
      <c r="AI212" s="2"/>
      <c r="AJ212" s="2"/>
    </row>
    <row r="213" spans="1:36" x14ac:dyDescent="0.2">
      <c r="A213" s="306">
        <f>Crop!B246</f>
        <v>41837</v>
      </c>
      <c r="B213" s="307"/>
      <c r="C213" s="308"/>
      <c r="D213" s="304">
        <f>IF(OR($A213&lt;$A$3,$A213&gt;$A$7),"",Crop!$D246)</f>
        <v>7.0977138121507055</v>
      </c>
      <c r="E213" s="304">
        <f t="shared" si="48"/>
        <v>7.0977138121507055</v>
      </c>
      <c r="F213" s="304">
        <f>IF(OR(A213&lt;A$3,A213&gt;A$7),"",Crop!U246)</f>
        <v>1.2</v>
      </c>
      <c r="G213" s="304">
        <f t="shared" si="49"/>
        <v>8.5172565745808466</v>
      </c>
      <c r="H213" s="309">
        <f>IF(OR(A213&lt;A$3,A213&gt;A$7),"",YTD!E210)</f>
        <v>135</v>
      </c>
      <c r="I213" s="310">
        <f t="shared" si="50"/>
        <v>538.55422980239746</v>
      </c>
      <c r="J213" s="311"/>
      <c r="K213" s="309">
        <f t="shared" si="51"/>
        <v>0</v>
      </c>
      <c r="L213" s="312" t="str">
        <f t="shared" si="55"/>
        <v/>
      </c>
      <c r="M213" s="366" t="str">
        <f t="shared" si="56"/>
        <v/>
      </c>
      <c r="N213" s="328" t="str">
        <f t="shared" si="46"/>
        <v/>
      </c>
      <c r="O213" s="313" t="str">
        <f t="shared" si="47"/>
        <v/>
      </c>
      <c r="P213" s="307"/>
      <c r="Q213" s="309">
        <f t="shared" si="57"/>
        <v>0.8</v>
      </c>
      <c r="R213" s="307"/>
      <c r="S213" s="314">
        <f t="shared" si="58"/>
        <v>11.2</v>
      </c>
      <c r="T213" s="304" t="str">
        <f t="shared" si="52"/>
        <v/>
      </c>
      <c r="U213" s="304">
        <f>IF(A213=YTD!B$6,E213,IF(OR(A213&lt;YTD!B$6,A213&gt;YTD!B$10),"",U212+E213))</f>
        <v>705.1111029624991</v>
      </c>
      <c r="V213" s="304">
        <f t="shared" si="59"/>
        <v>828.55422980239734</v>
      </c>
      <c r="W213" s="315">
        <f>IF(I213="",#N/A,YTD!G$8-I213)</f>
        <v>-268.55422980239746</v>
      </c>
      <c r="X213" s="368">
        <f t="shared" si="53"/>
        <v>0</v>
      </c>
      <c r="Y213" s="368">
        <f t="shared" si="60"/>
        <v>2</v>
      </c>
      <c r="Z213" s="368" t="str">
        <f t="shared" si="54"/>
        <v/>
      </c>
      <c r="AA213" s="368">
        <v>198</v>
      </c>
      <c r="AB213" s="369">
        <f t="array" ref="AB213">SUM(IF(AA213=Z$16:Z$592,A$16:A$592,""))</f>
        <v>0</v>
      </c>
      <c r="AC213" s="370">
        <f t="array" ref="AC213">SUM(IF(AA213=Z$16:Z$592,J$16:J$592,""))</f>
        <v>0</v>
      </c>
      <c r="AD213" s="370">
        <f t="array" ref="AD213">SUM(IF($AA213=$Z$16:$Z$592,L$16:L$592,""))</f>
        <v>0</v>
      </c>
      <c r="AE213" s="370">
        <f t="array" ref="AE213">SUM(IF($AA213=$Z$16:$Z$592,M$16:M$592,""))</f>
        <v>0</v>
      </c>
      <c r="AF213" s="368">
        <f t="array" ref="AF213">SUM(IF($AA213=$Z$16:$Z$592,N$16:N$592,""))</f>
        <v>0</v>
      </c>
      <c r="AG213" s="370">
        <f t="array" ref="AG213">SUM(IF($AA213=$Z$16:$Z$592,O$16:O$592,""))</f>
        <v>0</v>
      </c>
      <c r="AH213" s="2"/>
      <c r="AI213" s="2"/>
      <c r="AJ213" s="2"/>
    </row>
    <row r="214" spans="1:36" x14ac:dyDescent="0.2">
      <c r="A214" s="306">
        <f>Crop!B247</f>
        <v>41838</v>
      </c>
      <c r="B214" s="307"/>
      <c r="C214" s="308"/>
      <c r="D214" s="304">
        <f>IF(OR($A214&lt;$A$3,$A214&gt;$A$7),"",Crop!$D247)</f>
        <v>7.0908862869129381</v>
      </c>
      <c r="E214" s="304">
        <f t="shared" si="48"/>
        <v>7.0908862869129381</v>
      </c>
      <c r="F214" s="304">
        <f>IF(OR(A214&lt;A$3,A214&gt;A$7),"",Crop!U247)</f>
        <v>1.2</v>
      </c>
      <c r="G214" s="304">
        <f t="shared" si="49"/>
        <v>8.5090635442955254</v>
      </c>
      <c r="H214" s="309">
        <f>IF(OR(A214&lt;A$3,A214&gt;A$7),"",YTD!E211)</f>
        <v>135</v>
      </c>
      <c r="I214" s="310">
        <f t="shared" si="50"/>
        <v>547.06329334669294</v>
      </c>
      <c r="J214" s="311"/>
      <c r="K214" s="309">
        <f t="shared" si="51"/>
        <v>0</v>
      </c>
      <c r="L214" s="312" t="str">
        <f t="shared" si="55"/>
        <v/>
      </c>
      <c r="M214" s="366" t="str">
        <f t="shared" si="56"/>
        <v/>
      </c>
      <c r="N214" s="328" t="str">
        <f t="shared" si="46"/>
        <v/>
      </c>
      <c r="O214" s="313" t="str">
        <f t="shared" si="47"/>
        <v/>
      </c>
      <c r="P214" s="307"/>
      <c r="Q214" s="309">
        <f t="shared" si="57"/>
        <v>0.8</v>
      </c>
      <c r="R214" s="307"/>
      <c r="S214" s="314">
        <f t="shared" si="58"/>
        <v>11.2</v>
      </c>
      <c r="T214" s="304" t="str">
        <f t="shared" si="52"/>
        <v/>
      </c>
      <c r="U214" s="304">
        <f>IF(A214=YTD!B$6,E214,IF(OR(A214&lt;YTD!B$6,A214&gt;YTD!B$10),"",U213+E214))</f>
        <v>712.20198924941201</v>
      </c>
      <c r="V214" s="304">
        <f t="shared" si="59"/>
        <v>837.06329334669283</v>
      </c>
      <c r="W214" s="315">
        <f>IF(I214="",#N/A,YTD!G$8-I214)</f>
        <v>-277.06329334669294</v>
      </c>
      <c r="X214" s="368">
        <f t="shared" si="53"/>
        <v>0</v>
      </c>
      <c r="Y214" s="368">
        <f t="shared" si="60"/>
        <v>2</v>
      </c>
      <c r="Z214" s="368" t="str">
        <f t="shared" si="54"/>
        <v/>
      </c>
      <c r="AA214" s="368">
        <v>199</v>
      </c>
      <c r="AB214" s="369">
        <f t="array" ref="AB214">SUM(IF(AA214=Z$16:Z$592,A$16:A$592,""))</f>
        <v>0</v>
      </c>
      <c r="AC214" s="370">
        <f t="array" ref="AC214">SUM(IF(AA214=Z$16:Z$592,J$16:J$592,""))</f>
        <v>0</v>
      </c>
      <c r="AD214" s="370">
        <f t="array" ref="AD214">SUM(IF($AA214=$Z$16:$Z$592,L$16:L$592,""))</f>
        <v>0</v>
      </c>
      <c r="AE214" s="370">
        <f t="array" ref="AE214">SUM(IF($AA214=$Z$16:$Z$592,M$16:M$592,""))</f>
        <v>0</v>
      </c>
      <c r="AF214" s="368">
        <f t="array" ref="AF214">SUM(IF($AA214=$Z$16:$Z$592,N$16:N$592,""))</f>
        <v>0</v>
      </c>
      <c r="AG214" s="370">
        <f t="array" ref="AG214">SUM(IF($AA214=$Z$16:$Z$592,O$16:O$592,""))</f>
        <v>0</v>
      </c>
      <c r="AH214" s="2"/>
      <c r="AI214" s="2"/>
      <c r="AJ214" s="2"/>
    </row>
    <row r="215" spans="1:36" x14ac:dyDescent="0.2">
      <c r="A215" s="306">
        <f>Crop!B248</f>
        <v>41839</v>
      </c>
      <c r="B215" s="307"/>
      <c r="C215" s="308"/>
      <c r="D215" s="304">
        <f>IF(OR($A215&lt;$A$3,$A215&gt;$A$7),"",Crop!$D248)</f>
        <v>7.0831182193761935</v>
      </c>
      <c r="E215" s="304">
        <f t="shared" si="48"/>
        <v>7.0831182193761935</v>
      </c>
      <c r="F215" s="304">
        <f>IF(OR(A215&lt;A$3,A215&gt;A$7),"",Crop!U248)</f>
        <v>1.2</v>
      </c>
      <c r="G215" s="304">
        <f t="shared" si="49"/>
        <v>8.4997418632514314</v>
      </c>
      <c r="H215" s="309">
        <f>IF(OR(A215&lt;A$3,A215&gt;A$7),"",YTD!E212)</f>
        <v>135</v>
      </c>
      <c r="I215" s="310">
        <f t="shared" si="50"/>
        <v>555.56303520994436</v>
      </c>
      <c r="J215" s="311"/>
      <c r="K215" s="309">
        <f t="shared" si="51"/>
        <v>0</v>
      </c>
      <c r="L215" s="312" t="str">
        <f t="shared" si="55"/>
        <v/>
      </c>
      <c r="M215" s="366" t="str">
        <f t="shared" si="56"/>
        <v/>
      </c>
      <c r="N215" s="328" t="str">
        <f t="shared" si="46"/>
        <v/>
      </c>
      <c r="O215" s="313" t="str">
        <f t="shared" si="47"/>
        <v/>
      </c>
      <c r="P215" s="307"/>
      <c r="Q215" s="309">
        <f t="shared" si="57"/>
        <v>0.8</v>
      </c>
      <c r="R215" s="307"/>
      <c r="S215" s="314">
        <f t="shared" si="58"/>
        <v>11.2</v>
      </c>
      <c r="T215" s="304" t="str">
        <f t="shared" si="52"/>
        <v/>
      </c>
      <c r="U215" s="304">
        <f>IF(A215=YTD!B$6,E215,IF(OR(A215&lt;YTD!B$6,A215&gt;YTD!B$10),"",U214+E215))</f>
        <v>719.28510746878817</v>
      </c>
      <c r="V215" s="304">
        <f t="shared" si="59"/>
        <v>845.56303520994425</v>
      </c>
      <c r="W215" s="315">
        <f>IF(I215="",#N/A,YTD!G$8-I215)</f>
        <v>-285.56303520994436</v>
      </c>
      <c r="X215" s="368">
        <f t="shared" si="53"/>
        <v>0</v>
      </c>
      <c r="Y215" s="368">
        <f t="shared" si="60"/>
        <v>2</v>
      </c>
      <c r="Z215" s="368" t="str">
        <f t="shared" si="54"/>
        <v/>
      </c>
      <c r="AA215" s="368">
        <v>200</v>
      </c>
      <c r="AB215" s="369">
        <f t="array" ref="AB215">SUM(IF(AA215=Z$16:Z$592,A$16:A$592,""))</f>
        <v>0</v>
      </c>
      <c r="AC215" s="370">
        <f t="array" ref="AC215">SUM(IF(AA215=Z$16:Z$592,J$16:J$592,""))</f>
        <v>0</v>
      </c>
      <c r="AD215" s="370">
        <f t="array" ref="AD215">SUM(IF($AA215=$Z$16:$Z$592,L$16:L$592,""))</f>
        <v>0</v>
      </c>
      <c r="AE215" s="370">
        <f t="array" ref="AE215">SUM(IF($AA215=$Z$16:$Z$592,M$16:M$592,""))</f>
        <v>0</v>
      </c>
      <c r="AF215" s="368">
        <f t="array" ref="AF215">SUM(IF($AA215=$Z$16:$Z$592,N$16:N$592,""))</f>
        <v>0</v>
      </c>
      <c r="AG215" s="370">
        <f t="array" ref="AG215">SUM(IF($AA215=$Z$16:$Z$592,O$16:O$592,""))</f>
        <v>0</v>
      </c>
      <c r="AH215" s="2"/>
      <c r="AI215" s="2"/>
      <c r="AJ215" s="2"/>
    </row>
    <row r="216" spans="1:36" x14ac:dyDescent="0.2">
      <c r="A216" s="306">
        <f>Crop!B249</f>
        <v>41840</v>
      </c>
      <c r="B216" s="307"/>
      <c r="C216" s="308"/>
      <c r="D216" s="304">
        <f>IF(OR($A216&lt;$A$3,$A216&gt;$A$7),"",Crop!$D249)</f>
        <v>7.0744195756552841</v>
      </c>
      <c r="E216" s="304">
        <f t="shared" si="48"/>
        <v>7.0744195756552841</v>
      </c>
      <c r="F216" s="304">
        <f>IF(OR(A216&lt;A$3,A216&gt;A$7),"",Crop!U249)</f>
        <v>1.2</v>
      </c>
      <c r="G216" s="304">
        <f t="shared" si="49"/>
        <v>8.4893034907863409</v>
      </c>
      <c r="H216" s="309">
        <f>IF(OR(A216&lt;A$3,A216&gt;A$7),"",YTD!E213)</f>
        <v>135</v>
      </c>
      <c r="I216" s="310">
        <f t="shared" si="50"/>
        <v>564.05233870073073</v>
      </c>
      <c r="J216" s="311"/>
      <c r="K216" s="309">
        <f t="shared" si="51"/>
        <v>0</v>
      </c>
      <c r="L216" s="312" t="str">
        <f t="shared" si="55"/>
        <v/>
      </c>
      <c r="M216" s="366" t="str">
        <f t="shared" si="56"/>
        <v/>
      </c>
      <c r="N216" s="328" t="str">
        <f t="shared" si="46"/>
        <v/>
      </c>
      <c r="O216" s="313" t="str">
        <f t="shared" si="47"/>
        <v/>
      </c>
      <c r="P216" s="307"/>
      <c r="Q216" s="309">
        <f t="shared" si="57"/>
        <v>0.8</v>
      </c>
      <c r="R216" s="307"/>
      <c r="S216" s="314">
        <f t="shared" si="58"/>
        <v>11.2</v>
      </c>
      <c r="T216" s="304" t="str">
        <f t="shared" si="52"/>
        <v/>
      </c>
      <c r="U216" s="304">
        <f>IF(A216=YTD!B$6,E216,IF(OR(A216&lt;YTD!B$6,A216&gt;YTD!B$10),"",U215+E216))</f>
        <v>726.35952704444344</v>
      </c>
      <c r="V216" s="304">
        <f t="shared" si="59"/>
        <v>854.05233870073062</v>
      </c>
      <c r="W216" s="315">
        <f>IF(I216="",#N/A,YTD!G$8-I216)</f>
        <v>-294.05233870073073</v>
      </c>
      <c r="X216" s="368">
        <f t="shared" si="53"/>
        <v>0</v>
      </c>
      <c r="Y216" s="368">
        <f t="shared" si="60"/>
        <v>2</v>
      </c>
      <c r="Z216" s="368" t="str">
        <f t="shared" si="54"/>
        <v/>
      </c>
      <c r="AA216" s="368">
        <v>201</v>
      </c>
      <c r="AB216" s="369">
        <f t="array" ref="AB216">SUM(IF(AA216=Z$16:Z$592,A$16:A$592,""))</f>
        <v>0</v>
      </c>
      <c r="AC216" s="370">
        <f t="array" ref="AC216">SUM(IF(AA216=Z$16:Z$592,J$16:J$592,""))</f>
        <v>0</v>
      </c>
      <c r="AD216" s="370">
        <f t="array" ref="AD216">SUM(IF($AA216=$Z$16:$Z$592,L$16:L$592,""))</f>
        <v>0</v>
      </c>
      <c r="AE216" s="370">
        <f t="array" ref="AE216">SUM(IF($AA216=$Z$16:$Z$592,M$16:M$592,""))</f>
        <v>0</v>
      </c>
      <c r="AF216" s="368">
        <f t="array" ref="AF216">SUM(IF($AA216=$Z$16:$Z$592,N$16:N$592,""))</f>
        <v>0</v>
      </c>
      <c r="AG216" s="370">
        <f t="array" ref="AG216">SUM(IF($AA216=$Z$16:$Z$592,O$16:O$592,""))</f>
        <v>0</v>
      </c>
      <c r="AH216" s="2"/>
      <c r="AI216" s="2"/>
      <c r="AJ216" s="2"/>
    </row>
    <row r="217" spans="1:36" x14ac:dyDescent="0.2">
      <c r="A217" s="306">
        <f>Crop!B250</f>
        <v>41841</v>
      </c>
      <c r="B217" s="307"/>
      <c r="C217" s="308"/>
      <c r="D217" s="304">
        <f>IF(OR($A217&lt;$A$3,$A217&gt;$A$7),"",Crop!$D250)</f>
        <v>7.0648003218650155</v>
      </c>
      <c r="E217" s="304">
        <f t="shared" si="48"/>
        <v>7.0648003218650155</v>
      </c>
      <c r="F217" s="304">
        <f>IF(OR(A217&lt;A$3,A217&gt;A$7),"",Crop!U250)</f>
        <v>1.2</v>
      </c>
      <c r="G217" s="304">
        <f t="shared" si="49"/>
        <v>8.4777603862380175</v>
      </c>
      <c r="H217" s="309">
        <f>IF(OR(A217&lt;A$3,A217&gt;A$7),"",YTD!E214)</f>
        <v>135</v>
      </c>
      <c r="I217" s="310">
        <f t="shared" si="50"/>
        <v>572.53009908696879</v>
      </c>
      <c r="J217" s="311"/>
      <c r="K217" s="309">
        <f t="shared" si="51"/>
        <v>0</v>
      </c>
      <c r="L217" s="312" t="str">
        <f t="shared" si="55"/>
        <v/>
      </c>
      <c r="M217" s="366" t="str">
        <f t="shared" si="56"/>
        <v/>
      </c>
      <c r="N217" s="328" t="str">
        <f t="shared" si="46"/>
        <v/>
      </c>
      <c r="O217" s="313" t="str">
        <f t="shared" si="47"/>
        <v/>
      </c>
      <c r="P217" s="307"/>
      <c r="Q217" s="309">
        <f t="shared" si="57"/>
        <v>0.8</v>
      </c>
      <c r="R217" s="307"/>
      <c r="S217" s="314">
        <f t="shared" si="58"/>
        <v>11.2</v>
      </c>
      <c r="T217" s="304" t="str">
        <f t="shared" si="52"/>
        <v/>
      </c>
      <c r="U217" s="304">
        <f>IF(A217=YTD!B$6,E217,IF(OR(A217&lt;YTD!B$6,A217&gt;YTD!B$10),"",U216+E217))</f>
        <v>733.42432736630849</v>
      </c>
      <c r="V217" s="304">
        <f t="shared" si="59"/>
        <v>862.53009908696868</v>
      </c>
      <c r="W217" s="315">
        <f>IF(I217="",#N/A,YTD!G$8-I217)</f>
        <v>-302.53009908696879</v>
      </c>
      <c r="X217" s="368">
        <f t="shared" si="53"/>
        <v>0</v>
      </c>
      <c r="Y217" s="368">
        <f t="shared" si="60"/>
        <v>2</v>
      </c>
      <c r="Z217" s="368" t="str">
        <f t="shared" si="54"/>
        <v/>
      </c>
      <c r="AA217" s="368">
        <v>202</v>
      </c>
      <c r="AB217" s="369">
        <f t="array" ref="AB217">SUM(IF(AA217=Z$16:Z$592,A$16:A$592,""))</f>
        <v>0</v>
      </c>
      <c r="AC217" s="370">
        <f t="array" ref="AC217">SUM(IF(AA217=Z$16:Z$592,J$16:J$592,""))</f>
        <v>0</v>
      </c>
      <c r="AD217" s="370">
        <f t="array" ref="AD217">SUM(IF($AA217=$Z$16:$Z$592,L$16:L$592,""))</f>
        <v>0</v>
      </c>
      <c r="AE217" s="370">
        <f t="array" ref="AE217">SUM(IF($AA217=$Z$16:$Z$592,M$16:M$592,""))</f>
        <v>0</v>
      </c>
      <c r="AF217" s="368">
        <f t="array" ref="AF217">SUM(IF($AA217=$Z$16:$Z$592,N$16:N$592,""))</f>
        <v>0</v>
      </c>
      <c r="AG217" s="370">
        <f t="array" ref="AG217">SUM(IF($AA217=$Z$16:$Z$592,O$16:O$592,""))</f>
        <v>0</v>
      </c>
      <c r="AH217" s="2"/>
      <c r="AI217" s="2"/>
      <c r="AJ217" s="2"/>
    </row>
    <row r="218" spans="1:36" x14ac:dyDescent="0.2">
      <c r="A218" s="306">
        <f>Crop!B251</f>
        <v>41842</v>
      </c>
      <c r="B218" s="307"/>
      <c r="C218" s="308"/>
      <c r="D218" s="304">
        <f>IF(OR($A218&lt;$A$3,$A218&gt;$A$7),"",Crop!$D251)</f>
        <v>7.0542704241201983</v>
      </c>
      <c r="E218" s="304">
        <f t="shared" si="48"/>
        <v>7.0542704241201983</v>
      </c>
      <c r="F218" s="304">
        <f>IF(OR(A218&lt;A$3,A218&gt;A$7),"",Crop!U251)</f>
        <v>1.2</v>
      </c>
      <c r="G218" s="304">
        <f t="shared" si="49"/>
        <v>8.4651245089442373</v>
      </c>
      <c r="H218" s="309">
        <f>IF(OR(A218&lt;A$3,A218&gt;A$7),"",YTD!E215)</f>
        <v>135</v>
      </c>
      <c r="I218" s="310">
        <f t="shared" si="50"/>
        <v>580.99522359591299</v>
      </c>
      <c r="J218" s="311"/>
      <c r="K218" s="309">
        <f t="shared" si="51"/>
        <v>0</v>
      </c>
      <c r="L218" s="312" t="str">
        <f t="shared" si="55"/>
        <v/>
      </c>
      <c r="M218" s="366" t="str">
        <f t="shared" si="56"/>
        <v/>
      </c>
      <c r="N218" s="328" t="str">
        <f t="shared" si="46"/>
        <v/>
      </c>
      <c r="O218" s="313" t="str">
        <f t="shared" si="47"/>
        <v/>
      </c>
      <c r="P218" s="307"/>
      <c r="Q218" s="309">
        <f t="shared" si="57"/>
        <v>0.8</v>
      </c>
      <c r="R218" s="307"/>
      <c r="S218" s="314">
        <f t="shared" si="58"/>
        <v>11.2</v>
      </c>
      <c r="T218" s="304" t="str">
        <f t="shared" si="52"/>
        <v/>
      </c>
      <c r="U218" s="304">
        <f>IF(A218=YTD!B$6,E218,IF(OR(A218&lt;YTD!B$6,A218&gt;YTD!B$10),"",U217+E218))</f>
        <v>740.47859779042869</v>
      </c>
      <c r="V218" s="304">
        <f t="shared" si="59"/>
        <v>870.99522359591288</v>
      </c>
      <c r="W218" s="315">
        <f>IF(I218="",#N/A,YTD!G$8-I218)</f>
        <v>-310.99522359591299</v>
      </c>
      <c r="X218" s="368">
        <f t="shared" si="53"/>
        <v>0</v>
      </c>
      <c r="Y218" s="368">
        <f t="shared" si="60"/>
        <v>2</v>
      </c>
      <c r="Z218" s="368" t="str">
        <f t="shared" si="54"/>
        <v/>
      </c>
      <c r="AA218" s="368">
        <v>203</v>
      </c>
      <c r="AB218" s="369">
        <f t="array" ref="AB218">SUM(IF(AA218=Z$16:Z$592,A$16:A$592,""))</f>
        <v>0</v>
      </c>
      <c r="AC218" s="370">
        <f t="array" ref="AC218">SUM(IF(AA218=Z$16:Z$592,J$16:J$592,""))</f>
        <v>0</v>
      </c>
      <c r="AD218" s="370">
        <f t="array" ref="AD218">SUM(IF($AA218=$Z$16:$Z$592,L$16:L$592,""))</f>
        <v>0</v>
      </c>
      <c r="AE218" s="370">
        <f t="array" ref="AE218">SUM(IF($AA218=$Z$16:$Z$592,M$16:M$592,""))</f>
        <v>0</v>
      </c>
      <c r="AF218" s="368">
        <f t="array" ref="AF218">SUM(IF($AA218=$Z$16:$Z$592,N$16:N$592,""))</f>
        <v>0</v>
      </c>
      <c r="AG218" s="370">
        <f t="array" ref="AG218">SUM(IF($AA218=$Z$16:$Z$592,O$16:O$592,""))</f>
        <v>0</v>
      </c>
      <c r="AH218" s="2"/>
      <c r="AI218" s="2"/>
      <c r="AJ218" s="2"/>
    </row>
    <row r="219" spans="1:36" x14ac:dyDescent="0.2">
      <c r="A219" s="306">
        <f>Crop!B252</f>
        <v>41843</v>
      </c>
      <c r="B219" s="307"/>
      <c r="C219" s="308"/>
      <c r="D219" s="304">
        <f>IF(OR($A219&lt;$A$3,$A219&gt;$A$7),"",Crop!$D252)</f>
        <v>7.0428398485356372</v>
      </c>
      <c r="E219" s="304">
        <f t="shared" si="48"/>
        <v>7.0428398485356372</v>
      </c>
      <c r="F219" s="304">
        <f>IF(OR(A219&lt;A$3,A219&gt;A$7),"",Crop!U252)</f>
        <v>1.2</v>
      </c>
      <c r="G219" s="304">
        <f t="shared" si="49"/>
        <v>8.4514078182427639</v>
      </c>
      <c r="H219" s="309">
        <f>IF(OR(A219&lt;A$3,A219&gt;A$7),"",YTD!E216)</f>
        <v>135</v>
      </c>
      <c r="I219" s="310">
        <f t="shared" si="50"/>
        <v>589.44663141415572</v>
      </c>
      <c r="J219" s="311"/>
      <c r="K219" s="309">
        <f t="shared" si="51"/>
        <v>0</v>
      </c>
      <c r="L219" s="312" t="str">
        <f t="shared" si="55"/>
        <v/>
      </c>
      <c r="M219" s="366" t="str">
        <f t="shared" si="56"/>
        <v/>
      </c>
      <c r="N219" s="328" t="str">
        <f t="shared" si="46"/>
        <v/>
      </c>
      <c r="O219" s="313" t="str">
        <f t="shared" si="47"/>
        <v/>
      </c>
      <c r="P219" s="307"/>
      <c r="Q219" s="309">
        <f t="shared" si="57"/>
        <v>0.8</v>
      </c>
      <c r="R219" s="307"/>
      <c r="S219" s="314">
        <f t="shared" si="58"/>
        <v>11.2</v>
      </c>
      <c r="T219" s="304" t="str">
        <f t="shared" si="52"/>
        <v/>
      </c>
      <c r="U219" s="304">
        <f>IF(A219=YTD!B$6,E219,IF(OR(A219&lt;YTD!B$6,A219&gt;YTD!B$10),"",U218+E219))</f>
        <v>747.52143763896436</v>
      </c>
      <c r="V219" s="304">
        <f t="shared" si="59"/>
        <v>879.4466314141556</v>
      </c>
      <c r="W219" s="315">
        <f>IF(I219="",#N/A,YTD!G$8-I219)</f>
        <v>-319.44663141415572</v>
      </c>
      <c r="X219" s="368">
        <f t="shared" si="53"/>
        <v>0</v>
      </c>
      <c r="Y219" s="368">
        <f t="shared" si="60"/>
        <v>2</v>
      </c>
      <c r="Z219" s="368" t="str">
        <f t="shared" si="54"/>
        <v/>
      </c>
      <c r="AA219" s="368">
        <v>204</v>
      </c>
      <c r="AB219" s="369">
        <f t="array" ref="AB219">SUM(IF(AA219=Z$16:Z$592,A$16:A$592,""))</f>
        <v>0</v>
      </c>
      <c r="AC219" s="370">
        <f t="array" ref="AC219">SUM(IF(AA219=Z$16:Z$592,J$16:J$592,""))</f>
        <v>0</v>
      </c>
      <c r="AD219" s="370">
        <f t="array" ref="AD219">SUM(IF($AA219=$Z$16:$Z$592,L$16:L$592,""))</f>
        <v>0</v>
      </c>
      <c r="AE219" s="370">
        <f t="array" ref="AE219">SUM(IF($AA219=$Z$16:$Z$592,M$16:M$592,""))</f>
        <v>0</v>
      </c>
      <c r="AF219" s="368">
        <f t="array" ref="AF219">SUM(IF($AA219=$Z$16:$Z$592,N$16:N$592,""))</f>
        <v>0</v>
      </c>
      <c r="AG219" s="370">
        <f t="array" ref="AG219">SUM(IF($AA219=$Z$16:$Z$592,O$16:O$592,""))</f>
        <v>0</v>
      </c>
      <c r="AH219" s="2"/>
      <c r="AI219" s="2"/>
      <c r="AJ219" s="2"/>
    </row>
    <row r="220" spans="1:36" x14ac:dyDescent="0.2">
      <c r="A220" s="306">
        <f>Crop!B253</f>
        <v>41844</v>
      </c>
      <c r="B220" s="307"/>
      <c r="C220" s="308"/>
      <c r="D220" s="304">
        <f>IF(OR($A220&lt;$A$3,$A220&gt;$A$7),"",Crop!$D253)</f>
        <v>7.0305185612261427</v>
      </c>
      <c r="E220" s="304">
        <f t="shared" si="48"/>
        <v>7.0305185612261427</v>
      </c>
      <c r="F220" s="304">
        <f>IF(OR(A220&lt;A$3,A220&gt;A$7),"",Crop!U253)</f>
        <v>1.2</v>
      </c>
      <c r="G220" s="304">
        <f t="shared" si="49"/>
        <v>8.4366222734713716</v>
      </c>
      <c r="H220" s="309">
        <f>IF(OR(A220&lt;A$3,A220&gt;A$7),"",YTD!E217)</f>
        <v>135</v>
      </c>
      <c r="I220" s="310">
        <f t="shared" si="50"/>
        <v>497.88325368762708</v>
      </c>
      <c r="J220" s="311">
        <v>100</v>
      </c>
      <c r="K220" s="309">
        <f t="shared" si="51"/>
        <v>0</v>
      </c>
      <c r="L220" s="312">
        <f t="shared" si="55"/>
        <v>125</v>
      </c>
      <c r="M220" s="366">
        <f t="shared" si="56"/>
        <v>138.88888888888889</v>
      </c>
      <c r="N220" s="328">
        <f t="shared" si="46"/>
        <v>12</v>
      </c>
      <c r="O220" s="313">
        <f t="shared" si="47"/>
        <v>24.047619047619122</v>
      </c>
      <c r="P220" s="307"/>
      <c r="Q220" s="309">
        <f t="shared" si="57"/>
        <v>0.8</v>
      </c>
      <c r="R220" s="307"/>
      <c r="S220" s="314">
        <f t="shared" si="58"/>
        <v>11.2</v>
      </c>
      <c r="T220" s="304" t="str">
        <f t="shared" si="52"/>
        <v/>
      </c>
      <c r="U220" s="304">
        <f>IF(A220=YTD!B$6,E220,IF(OR(A220&lt;YTD!B$6,A220&gt;YTD!B$10),"",U219+E220))</f>
        <v>754.55195620019049</v>
      </c>
      <c r="V220" s="304">
        <f t="shared" si="59"/>
        <v>887.88325368762696</v>
      </c>
      <c r="W220" s="315">
        <f>IF(I220="",#N/A,YTD!G$8-I220)</f>
        <v>-227.88325368762708</v>
      </c>
      <c r="X220" s="368">
        <f t="shared" si="53"/>
        <v>1</v>
      </c>
      <c r="Y220" s="368">
        <f t="shared" si="60"/>
        <v>3</v>
      </c>
      <c r="Z220" s="368">
        <f t="shared" si="54"/>
        <v>3</v>
      </c>
      <c r="AA220" s="368">
        <v>205</v>
      </c>
      <c r="AB220" s="369">
        <f t="array" ref="AB220">SUM(IF(AA220=Z$16:Z$592,A$16:A$592,""))</f>
        <v>0</v>
      </c>
      <c r="AC220" s="370">
        <f t="array" ref="AC220">SUM(IF(AA220=Z$16:Z$592,J$16:J$592,""))</f>
        <v>0</v>
      </c>
      <c r="AD220" s="370">
        <f t="array" ref="AD220">SUM(IF($AA220=$Z$16:$Z$592,L$16:L$592,""))</f>
        <v>0</v>
      </c>
      <c r="AE220" s="370">
        <f t="array" ref="AE220">SUM(IF($AA220=$Z$16:$Z$592,M$16:M$592,""))</f>
        <v>0</v>
      </c>
      <c r="AF220" s="368">
        <f t="array" ref="AF220">SUM(IF($AA220=$Z$16:$Z$592,N$16:N$592,""))</f>
        <v>0</v>
      </c>
      <c r="AG220" s="370">
        <f t="array" ref="AG220">SUM(IF($AA220=$Z$16:$Z$592,O$16:O$592,""))</f>
        <v>0</v>
      </c>
      <c r="AH220" s="2"/>
      <c r="AI220" s="2"/>
      <c r="AJ220" s="2"/>
    </row>
    <row r="221" spans="1:36" x14ac:dyDescent="0.2">
      <c r="A221" s="306">
        <f>Crop!B254</f>
        <v>41845</v>
      </c>
      <c r="B221" s="307"/>
      <c r="C221" s="308"/>
      <c r="D221" s="304">
        <f>IF(OR($A221&lt;$A$3,$A221&gt;$A$7),"",Crop!$D254)</f>
        <v>7.0173165283065222</v>
      </c>
      <c r="E221" s="304">
        <f t="shared" si="48"/>
        <v>7.0173165283065222</v>
      </c>
      <c r="F221" s="304">
        <f>IF(OR(A221&lt;A$3,A221&gt;A$7),"",Crop!U254)</f>
        <v>1.2</v>
      </c>
      <c r="G221" s="304">
        <f t="shared" si="49"/>
        <v>8.4207798339678259</v>
      </c>
      <c r="H221" s="309">
        <f>IF(OR(A221&lt;A$3,A221&gt;A$7),"",YTD!E218)</f>
        <v>135</v>
      </c>
      <c r="I221" s="310">
        <f t="shared" si="50"/>
        <v>506.30403352159487</v>
      </c>
      <c r="J221" s="311"/>
      <c r="K221" s="309">
        <f t="shared" si="51"/>
        <v>0</v>
      </c>
      <c r="L221" s="312" t="str">
        <f t="shared" si="55"/>
        <v/>
      </c>
      <c r="M221" s="366" t="str">
        <f t="shared" si="56"/>
        <v/>
      </c>
      <c r="N221" s="328" t="str">
        <f t="shared" si="46"/>
        <v/>
      </c>
      <c r="O221" s="313" t="str">
        <f t="shared" si="47"/>
        <v/>
      </c>
      <c r="P221" s="307"/>
      <c r="Q221" s="309">
        <f t="shared" si="57"/>
        <v>0.8</v>
      </c>
      <c r="R221" s="307"/>
      <c r="S221" s="314">
        <f t="shared" si="58"/>
        <v>11.2</v>
      </c>
      <c r="T221" s="304" t="str">
        <f t="shared" si="52"/>
        <v/>
      </c>
      <c r="U221" s="304">
        <f>IF(A221=YTD!B$6,E221,IF(OR(A221&lt;YTD!B$6,A221&gt;YTD!B$10),"",U220+E221))</f>
        <v>761.56927272849703</v>
      </c>
      <c r="V221" s="304">
        <f t="shared" si="59"/>
        <v>896.30403352159476</v>
      </c>
      <c r="W221" s="315">
        <f>IF(I221="",#N/A,YTD!G$8-I221)</f>
        <v>-236.30403352159487</v>
      </c>
      <c r="X221" s="368">
        <f t="shared" si="53"/>
        <v>0</v>
      </c>
      <c r="Y221" s="368">
        <f t="shared" si="60"/>
        <v>3</v>
      </c>
      <c r="Z221" s="368" t="str">
        <f t="shared" si="54"/>
        <v/>
      </c>
      <c r="AA221" s="368">
        <v>206</v>
      </c>
      <c r="AB221" s="369">
        <f t="array" ref="AB221">SUM(IF(AA221=Z$16:Z$592,A$16:A$592,""))</f>
        <v>0</v>
      </c>
      <c r="AC221" s="370">
        <f t="array" ref="AC221">SUM(IF(AA221=Z$16:Z$592,J$16:J$592,""))</f>
        <v>0</v>
      </c>
      <c r="AD221" s="370">
        <f t="array" ref="AD221">SUM(IF($AA221=$Z$16:$Z$592,L$16:L$592,""))</f>
        <v>0</v>
      </c>
      <c r="AE221" s="370">
        <f t="array" ref="AE221">SUM(IF($AA221=$Z$16:$Z$592,M$16:M$592,""))</f>
        <v>0</v>
      </c>
      <c r="AF221" s="368">
        <f t="array" ref="AF221">SUM(IF($AA221=$Z$16:$Z$592,N$16:N$592,""))</f>
        <v>0</v>
      </c>
      <c r="AG221" s="370">
        <f t="array" ref="AG221">SUM(IF($AA221=$Z$16:$Z$592,O$16:O$592,""))</f>
        <v>0</v>
      </c>
      <c r="AH221" s="2"/>
      <c r="AI221" s="2"/>
      <c r="AJ221" s="2"/>
    </row>
    <row r="222" spans="1:36" x14ac:dyDescent="0.2">
      <c r="A222" s="306">
        <f>Crop!B255</f>
        <v>41846</v>
      </c>
      <c r="B222" s="307"/>
      <c r="C222" s="308"/>
      <c r="D222" s="304">
        <f>IF(OR($A222&lt;$A$3,$A222&gt;$A$7),"",Crop!$D255)</f>
        <v>7.0032437158915837</v>
      </c>
      <c r="E222" s="304">
        <f t="shared" si="48"/>
        <v>7.0032437158915837</v>
      </c>
      <c r="F222" s="304">
        <f>IF(OR(A222&lt;A$3,A222&gt;A$7),"",Crop!U255)</f>
        <v>1.2</v>
      </c>
      <c r="G222" s="304">
        <f t="shared" si="49"/>
        <v>8.4038924590698993</v>
      </c>
      <c r="H222" s="309">
        <f>IF(OR(A222&lt;A$3,A222&gt;A$7),"",YTD!E219)</f>
        <v>135</v>
      </c>
      <c r="I222" s="310">
        <f t="shared" si="50"/>
        <v>514.70792598066475</v>
      </c>
      <c r="J222" s="311"/>
      <c r="K222" s="309">
        <f t="shared" si="51"/>
        <v>0</v>
      </c>
      <c r="L222" s="312" t="str">
        <f t="shared" si="55"/>
        <v/>
      </c>
      <c r="M222" s="366" t="str">
        <f t="shared" si="56"/>
        <v/>
      </c>
      <c r="N222" s="328" t="str">
        <f t="shared" si="46"/>
        <v/>
      </c>
      <c r="O222" s="313" t="str">
        <f t="shared" si="47"/>
        <v/>
      </c>
      <c r="P222" s="307"/>
      <c r="Q222" s="309">
        <f t="shared" si="57"/>
        <v>0.8</v>
      </c>
      <c r="R222" s="307"/>
      <c r="S222" s="314">
        <f t="shared" si="58"/>
        <v>11.2</v>
      </c>
      <c r="T222" s="304" t="str">
        <f t="shared" si="52"/>
        <v/>
      </c>
      <c r="U222" s="304">
        <f>IF(A222=YTD!B$6,E222,IF(OR(A222&lt;YTD!B$6,A222&gt;YTD!B$10),"",U221+E222))</f>
        <v>768.57251644438861</v>
      </c>
      <c r="V222" s="304">
        <f t="shared" si="59"/>
        <v>904.70792598066464</v>
      </c>
      <c r="W222" s="315">
        <f>IF(I222="",#N/A,YTD!G$8-I222)</f>
        <v>-244.70792598066475</v>
      </c>
      <c r="X222" s="368">
        <f t="shared" si="53"/>
        <v>0</v>
      </c>
      <c r="Y222" s="368">
        <f t="shared" si="60"/>
        <v>3</v>
      </c>
      <c r="Z222" s="368" t="str">
        <f t="shared" si="54"/>
        <v/>
      </c>
      <c r="AA222" s="368">
        <v>207</v>
      </c>
      <c r="AB222" s="369">
        <f t="array" ref="AB222">SUM(IF(AA222=Z$16:Z$592,A$16:A$592,""))</f>
        <v>0</v>
      </c>
      <c r="AC222" s="370">
        <f t="array" ref="AC222">SUM(IF(AA222=Z$16:Z$592,J$16:J$592,""))</f>
        <v>0</v>
      </c>
      <c r="AD222" s="370">
        <f t="array" ref="AD222">SUM(IF($AA222=$Z$16:$Z$592,L$16:L$592,""))</f>
        <v>0</v>
      </c>
      <c r="AE222" s="370">
        <f t="array" ref="AE222">SUM(IF($AA222=$Z$16:$Z$592,M$16:M$592,""))</f>
        <v>0</v>
      </c>
      <c r="AF222" s="368">
        <f t="array" ref="AF222">SUM(IF($AA222=$Z$16:$Z$592,N$16:N$592,""))</f>
        <v>0</v>
      </c>
      <c r="AG222" s="370">
        <f t="array" ref="AG222">SUM(IF($AA222=$Z$16:$Z$592,O$16:O$592,""))</f>
        <v>0</v>
      </c>
      <c r="AH222" s="2"/>
      <c r="AI222" s="2"/>
      <c r="AJ222" s="2"/>
    </row>
    <row r="223" spans="1:36" x14ac:dyDescent="0.2">
      <c r="A223" s="306">
        <f>Crop!B256</f>
        <v>41847</v>
      </c>
      <c r="B223" s="307"/>
      <c r="C223" s="308"/>
      <c r="D223" s="304">
        <f>IF(OR($A223&lt;$A$3,$A223&gt;$A$7),"",Crop!$D256)</f>
        <v>6.9883100900961344</v>
      </c>
      <c r="E223" s="304">
        <f t="shared" si="48"/>
        <v>6.9883100900961344</v>
      </c>
      <c r="F223" s="304">
        <f>IF(OR(A223&lt;A$3,A223&gt;A$7),"",Crop!U256)</f>
        <v>1.2</v>
      </c>
      <c r="G223" s="304">
        <f t="shared" si="49"/>
        <v>8.3859721081153609</v>
      </c>
      <c r="H223" s="309">
        <f>IF(OR(A223&lt;A$3,A223&gt;A$7),"",YTD!E220)</f>
        <v>135</v>
      </c>
      <c r="I223" s="310">
        <f t="shared" si="50"/>
        <v>523.09389808878007</v>
      </c>
      <c r="J223" s="311"/>
      <c r="K223" s="309">
        <f t="shared" si="51"/>
        <v>0</v>
      </c>
      <c r="L223" s="312" t="str">
        <f t="shared" si="55"/>
        <v/>
      </c>
      <c r="M223" s="366" t="str">
        <f t="shared" si="56"/>
        <v/>
      </c>
      <c r="N223" s="328" t="str">
        <f t="shared" si="46"/>
        <v/>
      </c>
      <c r="O223" s="313" t="str">
        <f t="shared" si="47"/>
        <v/>
      </c>
      <c r="P223" s="307"/>
      <c r="Q223" s="309">
        <f t="shared" si="57"/>
        <v>0.8</v>
      </c>
      <c r="R223" s="307"/>
      <c r="S223" s="314">
        <f t="shared" si="58"/>
        <v>11.2</v>
      </c>
      <c r="T223" s="304" t="str">
        <f t="shared" si="52"/>
        <v/>
      </c>
      <c r="U223" s="304">
        <f>IF(A223=YTD!B$6,E223,IF(OR(A223&lt;YTD!B$6,A223&gt;YTD!B$10),"",U222+E223))</f>
        <v>775.5608265344847</v>
      </c>
      <c r="V223" s="304">
        <f t="shared" si="59"/>
        <v>913.09389808877995</v>
      </c>
      <c r="W223" s="315">
        <f>IF(I223="",#N/A,YTD!G$8-I223)</f>
        <v>-253.09389808878007</v>
      </c>
      <c r="X223" s="368">
        <f t="shared" si="53"/>
        <v>0</v>
      </c>
      <c r="Y223" s="368">
        <f t="shared" si="60"/>
        <v>3</v>
      </c>
      <c r="Z223" s="368" t="str">
        <f t="shared" si="54"/>
        <v/>
      </c>
      <c r="AA223" s="368">
        <v>208</v>
      </c>
      <c r="AB223" s="369">
        <f t="array" ref="AB223">SUM(IF(AA223=Z$16:Z$592,A$16:A$592,""))</f>
        <v>0</v>
      </c>
      <c r="AC223" s="370">
        <f t="array" ref="AC223">SUM(IF(AA223=Z$16:Z$592,J$16:J$592,""))</f>
        <v>0</v>
      </c>
      <c r="AD223" s="370">
        <f t="array" ref="AD223">SUM(IF($AA223=$Z$16:$Z$592,L$16:L$592,""))</f>
        <v>0</v>
      </c>
      <c r="AE223" s="370">
        <f t="array" ref="AE223">SUM(IF($AA223=$Z$16:$Z$592,M$16:M$592,""))</f>
        <v>0</v>
      </c>
      <c r="AF223" s="368">
        <f t="array" ref="AF223">SUM(IF($AA223=$Z$16:$Z$592,N$16:N$592,""))</f>
        <v>0</v>
      </c>
      <c r="AG223" s="370">
        <f t="array" ref="AG223">SUM(IF($AA223=$Z$16:$Z$592,O$16:O$592,""))</f>
        <v>0</v>
      </c>
      <c r="AH223" s="2"/>
      <c r="AI223" s="2"/>
      <c r="AJ223" s="2"/>
    </row>
    <row r="224" spans="1:36" x14ac:dyDescent="0.2">
      <c r="A224" s="306">
        <f>Crop!B257</f>
        <v>41848</v>
      </c>
      <c r="B224" s="307"/>
      <c r="C224" s="308"/>
      <c r="D224" s="304">
        <f>IF(OR($A224&lt;$A$3,$A224&gt;$A$7),"",Crop!$D257)</f>
        <v>6.9725256170349859</v>
      </c>
      <c r="E224" s="304">
        <f t="shared" si="48"/>
        <v>6.9725256170349859</v>
      </c>
      <c r="F224" s="304">
        <f>IF(OR(A224&lt;A$3,A224&gt;A$7),"",Crop!U257)</f>
        <v>1.2</v>
      </c>
      <c r="G224" s="304">
        <f t="shared" si="49"/>
        <v>8.367030740441983</v>
      </c>
      <c r="H224" s="309">
        <f>IF(OR(A224&lt;A$3,A224&gt;A$7),"",YTD!E221)</f>
        <v>135</v>
      </c>
      <c r="I224" s="310">
        <f t="shared" si="50"/>
        <v>531.4609288292221</v>
      </c>
      <c r="J224" s="311"/>
      <c r="K224" s="309">
        <f t="shared" si="51"/>
        <v>0</v>
      </c>
      <c r="L224" s="312" t="str">
        <f t="shared" si="55"/>
        <v/>
      </c>
      <c r="M224" s="366" t="str">
        <f t="shared" si="56"/>
        <v/>
      </c>
      <c r="N224" s="328" t="str">
        <f t="shared" si="46"/>
        <v/>
      </c>
      <c r="O224" s="313" t="str">
        <f t="shared" si="47"/>
        <v/>
      </c>
      <c r="P224" s="307"/>
      <c r="Q224" s="309">
        <f t="shared" si="57"/>
        <v>0.8</v>
      </c>
      <c r="R224" s="307"/>
      <c r="S224" s="314">
        <f t="shared" si="58"/>
        <v>11.2</v>
      </c>
      <c r="T224" s="304" t="str">
        <f t="shared" si="52"/>
        <v/>
      </c>
      <c r="U224" s="304">
        <f>IF(A224=YTD!B$6,E224,IF(OR(A224&lt;YTD!B$6,A224&gt;YTD!B$10),"",U223+E224))</f>
        <v>782.53335215151969</v>
      </c>
      <c r="V224" s="304">
        <f t="shared" si="59"/>
        <v>921.46092882922198</v>
      </c>
      <c r="W224" s="315">
        <f>IF(I224="",#N/A,YTD!G$8-I224)</f>
        <v>-261.4609288292221</v>
      </c>
      <c r="X224" s="368">
        <f t="shared" si="53"/>
        <v>0</v>
      </c>
      <c r="Y224" s="368">
        <f t="shared" si="60"/>
        <v>3</v>
      </c>
      <c r="Z224" s="368" t="str">
        <f t="shared" si="54"/>
        <v/>
      </c>
      <c r="AA224" s="368">
        <v>209</v>
      </c>
      <c r="AB224" s="369">
        <f t="array" ref="AB224">SUM(IF(AA224=Z$16:Z$592,A$16:A$592,""))</f>
        <v>0</v>
      </c>
      <c r="AC224" s="370">
        <f t="array" ref="AC224">SUM(IF(AA224=Z$16:Z$592,J$16:J$592,""))</f>
        <v>0</v>
      </c>
      <c r="AD224" s="370">
        <f t="array" ref="AD224">SUM(IF($AA224=$Z$16:$Z$592,L$16:L$592,""))</f>
        <v>0</v>
      </c>
      <c r="AE224" s="370">
        <f t="array" ref="AE224">SUM(IF($AA224=$Z$16:$Z$592,M$16:M$592,""))</f>
        <v>0</v>
      </c>
      <c r="AF224" s="368">
        <f t="array" ref="AF224">SUM(IF($AA224=$Z$16:$Z$592,N$16:N$592,""))</f>
        <v>0</v>
      </c>
      <c r="AG224" s="370">
        <f t="array" ref="AG224">SUM(IF($AA224=$Z$16:$Z$592,O$16:O$592,""))</f>
        <v>0</v>
      </c>
      <c r="AH224" s="2"/>
      <c r="AI224" s="2"/>
      <c r="AJ224" s="2"/>
    </row>
    <row r="225" spans="1:36" x14ac:dyDescent="0.2">
      <c r="A225" s="306">
        <f>Crop!B258</f>
        <v>41849</v>
      </c>
      <c r="B225" s="307"/>
      <c r="C225" s="308"/>
      <c r="D225" s="304">
        <f>IF(OR($A225&lt;$A$3,$A225&gt;$A$7),"",Crop!$D258)</f>
        <v>6.9559002628229436</v>
      </c>
      <c r="E225" s="304">
        <f t="shared" si="48"/>
        <v>6.9559002628229436</v>
      </c>
      <c r="F225" s="304">
        <f>IF(OR(A225&lt;A$3,A225&gt;A$7),"",Crop!U258)</f>
        <v>1.2</v>
      </c>
      <c r="G225" s="304">
        <f t="shared" si="49"/>
        <v>8.3470803153875313</v>
      </c>
      <c r="H225" s="309">
        <f>IF(OR(A225&lt;A$3,A225&gt;A$7),"",YTD!E222)</f>
        <v>135</v>
      </c>
      <c r="I225" s="310">
        <f t="shared" si="50"/>
        <v>539.80800914460963</v>
      </c>
      <c r="J225" s="311"/>
      <c r="K225" s="309">
        <f t="shared" si="51"/>
        <v>0</v>
      </c>
      <c r="L225" s="312" t="str">
        <f t="shared" si="55"/>
        <v/>
      </c>
      <c r="M225" s="366" t="str">
        <f t="shared" si="56"/>
        <v/>
      </c>
      <c r="N225" s="328" t="str">
        <f t="shared" si="46"/>
        <v/>
      </c>
      <c r="O225" s="313" t="str">
        <f t="shared" si="47"/>
        <v/>
      </c>
      <c r="P225" s="307"/>
      <c r="Q225" s="309">
        <f t="shared" si="57"/>
        <v>0.8</v>
      </c>
      <c r="R225" s="307"/>
      <c r="S225" s="314">
        <f t="shared" si="58"/>
        <v>11.2</v>
      </c>
      <c r="T225" s="304" t="str">
        <f t="shared" si="52"/>
        <v/>
      </c>
      <c r="U225" s="304">
        <f>IF(A225=YTD!B$6,E225,IF(OR(A225&lt;YTD!B$6,A225&gt;YTD!B$10),"",U224+E225))</f>
        <v>789.48925241434267</v>
      </c>
      <c r="V225" s="304">
        <f t="shared" si="59"/>
        <v>929.80800914460951</v>
      </c>
      <c r="W225" s="315">
        <f>IF(I225="",#N/A,YTD!G$8-I225)</f>
        <v>-269.80800914460963</v>
      </c>
      <c r="X225" s="368">
        <f t="shared" si="53"/>
        <v>0</v>
      </c>
      <c r="Y225" s="368">
        <f t="shared" si="60"/>
        <v>3</v>
      </c>
      <c r="Z225" s="368" t="str">
        <f t="shared" si="54"/>
        <v/>
      </c>
      <c r="AA225" s="368">
        <v>210</v>
      </c>
      <c r="AB225" s="369">
        <f t="array" ref="AB225">SUM(IF(AA225=Z$16:Z$592,A$16:A$592,""))</f>
        <v>0</v>
      </c>
      <c r="AC225" s="370">
        <f t="array" ref="AC225">SUM(IF(AA225=Z$16:Z$592,J$16:J$592,""))</f>
        <v>0</v>
      </c>
      <c r="AD225" s="370">
        <f t="array" ref="AD225">SUM(IF($AA225=$Z$16:$Z$592,L$16:L$592,""))</f>
        <v>0</v>
      </c>
      <c r="AE225" s="370">
        <f t="array" ref="AE225">SUM(IF($AA225=$Z$16:$Z$592,M$16:M$592,""))</f>
        <v>0</v>
      </c>
      <c r="AF225" s="368">
        <f t="array" ref="AF225">SUM(IF($AA225=$Z$16:$Z$592,N$16:N$592,""))</f>
        <v>0</v>
      </c>
      <c r="AG225" s="370">
        <f t="array" ref="AG225">SUM(IF($AA225=$Z$16:$Z$592,O$16:O$592,""))</f>
        <v>0</v>
      </c>
      <c r="AH225" s="2"/>
      <c r="AI225" s="2"/>
      <c r="AJ225" s="2"/>
    </row>
    <row r="226" spans="1:36" x14ac:dyDescent="0.2">
      <c r="A226" s="306">
        <f>Crop!B259</f>
        <v>41850</v>
      </c>
      <c r="B226" s="307"/>
      <c r="C226" s="308"/>
      <c r="D226" s="304">
        <f>IF(OR($A226&lt;$A$3,$A226&gt;$A$7),"",Crop!$D259)</f>
        <v>6.9384439935748148</v>
      </c>
      <c r="E226" s="304">
        <f t="shared" si="48"/>
        <v>6.9384439935748148</v>
      </c>
      <c r="F226" s="304">
        <f>IF(OR(A226&lt;A$3,A226&gt;A$7),"",Crop!U259)</f>
        <v>1.2</v>
      </c>
      <c r="G226" s="304">
        <f t="shared" si="49"/>
        <v>8.3261327922897781</v>
      </c>
      <c r="H226" s="309">
        <f>IF(OR(A226&lt;A$3,A226&gt;A$7),"",YTD!E223)</f>
        <v>135</v>
      </c>
      <c r="I226" s="310">
        <f t="shared" si="50"/>
        <v>548.13414193689937</v>
      </c>
      <c r="J226" s="311"/>
      <c r="K226" s="309">
        <f t="shared" si="51"/>
        <v>0</v>
      </c>
      <c r="L226" s="312" t="str">
        <f t="shared" si="55"/>
        <v/>
      </c>
      <c r="M226" s="366" t="str">
        <f t="shared" si="56"/>
        <v/>
      </c>
      <c r="N226" s="328" t="str">
        <f t="shared" si="46"/>
        <v/>
      </c>
      <c r="O226" s="313" t="str">
        <f t="shared" si="47"/>
        <v/>
      </c>
      <c r="P226" s="307"/>
      <c r="Q226" s="309">
        <f t="shared" si="57"/>
        <v>0.8</v>
      </c>
      <c r="R226" s="307"/>
      <c r="S226" s="314">
        <f t="shared" si="58"/>
        <v>11.2</v>
      </c>
      <c r="T226" s="304" t="str">
        <f t="shared" si="52"/>
        <v/>
      </c>
      <c r="U226" s="304">
        <f>IF(A226=YTD!B$6,E226,IF(OR(A226&lt;YTD!B$6,A226&gt;YTD!B$10),"",U225+E226))</f>
        <v>796.42769640791744</v>
      </c>
      <c r="V226" s="304">
        <f t="shared" si="59"/>
        <v>938.13414193689925</v>
      </c>
      <c r="W226" s="315">
        <f>IF(I226="",#N/A,YTD!G$8-I226)</f>
        <v>-278.13414193689937</v>
      </c>
      <c r="X226" s="368">
        <f t="shared" si="53"/>
        <v>0</v>
      </c>
      <c r="Y226" s="368">
        <f t="shared" si="60"/>
        <v>3</v>
      </c>
      <c r="Z226" s="368" t="str">
        <f t="shared" si="54"/>
        <v/>
      </c>
      <c r="AA226" s="368">
        <v>211</v>
      </c>
      <c r="AB226" s="369">
        <f t="array" ref="AB226">SUM(IF(AA226=Z$16:Z$592,A$16:A$592,""))</f>
        <v>0</v>
      </c>
      <c r="AC226" s="370">
        <f t="array" ref="AC226">SUM(IF(AA226=Z$16:Z$592,J$16:J$592,""))</f>
        <v>0</v>
      </c>
      <c r="AD226" s="370">
        <f t="array" ref="AD226">SUM(IF($AA226=$Z$16:$Z$592,L$16:L$592,""))</f>
        <v>0</v>
      </c>
      <c r="AE226" s="370">
        <f t="array" ref="AE226">SUM(IF($AA226=$Z$16:$Z$592,M$16:M$592,""))</f>
        <v>0</v>
      </c>
      <c r="AF226" s="368">
        <f t="array" ref="AF226">SUM(IF($AA226=$Z$16:$Z$592,N$16:N$592,""))</f>
        <v>0</v>
      </c>
      <c r="AG226" s="370">
        <f t="array" ref="AG226">SUM(IF($AA226=$Z$16:$Z$592,O$16:O$592,""))</f>
        <v>0</v>
      </c>
      <c r="AH226" s="2"/>
      <c r="AI226" s="2"/>
      <c r="AJ226" s="2"/>
    </row>
    <row r="227" spans="1:36" x14ac:dyDescent="0.2">
      <c r="A227" s="306">
        <f>Crop!B260</f>
        <v>41851</v>
      </c>
      <c r="B227" s="307"/>
      <c r="C227" s="308"/>
      <c r="D227" s="304">
        <f>IF(OR($A227&lt;$A$3,$A227&gt;$A$7),"",Crop!$D260)</f>
        <v>6.9201667754054093</v>
      </c>
      <c r="E227" s="304">
        <f t="shared" si="48"/>
        <v>6.9201667754054093</v>
      </c>
      <c r="F227" s="304">
        <f>IF(OR(A227&lt;A$3,A227&gt;A$7),"",Crop!U260)</f>
        <v>1.2</v>
      </c>
      <c r="G227" s="304">
        <f t="shared" si="49"/>
        <v>8.3042001304864907</v>
      </c>
      <c r="H227" s="309">
        <f>IF(OR(A227&lt;A$3,A227&gt;A$7),"",YTD!E224)</f>
        <v>135</v>
      </c>
      <c r="I227" s="310">
        <f t="shared" si="50"/>
        <v>556.43834206738586</v>
      </c>
      <c r="J227" s="311"/>
      <c r="K227" s="309">
        <f t="shared" si="51"/>
        <v>0</v>
      </c>
      <c r="L227" s="312" t="str">
        <f t="shared" si="55"/>
        <v/>
      </c>
      <c r="M227" s="366" t="str">
        <f t="shared" si="56"/>
        <v/>
      </c>
      <c r="N227" s="328" t="str">
        <f t="shared" si="46"/>
        <v/>
      </c>
      <c r="O227" s="313" t="str">
        <f t="shared" si="47"/>
        <v/>
      </c>
      <c r="P227" s="307"/>
      <c r="Q227" s="309">
        <f t="shared" si="57"/>
        <v>0.8</v>
      </c>
      <c r="R227" s="307"/>
      <c r="S227" s="314">
        <f t="shared" si="58"/>
        <v>11.2</v>
      </c>
      <c r="T227" s="304" t="str">
        <f t="shared" si="52"/>
        <v/>
      </c>
      <c r="U227" s="304">
        <f>IF(A227=YTD!B$6,E227,IF(OR(A227&lt;YTD!B$6,A227&gt;YTD!B$10),"",U226+E227))</f>
        <v>803.34786318332283</v>
      </c>
      <c r="V227" s="304">
        <f t="shared" si="59"/>
        <v>946.43834206738575</v>
      </c>
      <c r="W227" s="315">
        <f>IF(I227="",#N/A,YTD!G$8-I227)</f>
        <v>-286.43834206738586</v>
      </c>
      <c r="X227" s="368">
        <f t="shared" si="53"/>
        <v>0</v>
      </c>
      <c r="Y227" s="368">
        <f t="shared" si="60"/>
        <v>3</v>
      </c>
      <c r="Z227" s="368" t="str">
        <f t="shared" si="54"/>
        <v/>
      </c>
      <c r="AA227" s="368">
        <v>212</v>
      </c>
      <c r="AB227" s="369">
        <f t="array" ref="AB227">SUM(IF(AA227=Z$16:Z$592,A$16:A$592,""))</f>
        <v>0</v>
      </c>
      <c r="AC227" s="370">
        <f t="array" ref="AC227">SUM(IF(AA227=Z$16:Z$592,J$16:J$592,""))</f>
        <v>0</v>
      </c>
      <c r="AD227" s="370">
        <f t="array" ref="AD227">SUM(IF($AA227=$Z$16:$Z$592,L$16:L$592,""))</f>
        <v>0</v>
      </c>
      <c r="AE227" s="370">
        <f t="array" ref="AE227">SUM(IF($AA227=$Z$16:$Z$592,M$16:M$592,""))</f>
        <v>0</v>
      </c>
      <c r="AF227" s="368">
        <f t="array" ref="AF227">SUM(IF($AA227=$Z$16:$Z$592,N$16:N$592,""))</f>
        <v>0</v>
      </c>
      <c r="AG227" s="370">
        <f t="array" ref="AG227">SUM(IF($AA227=$Z$16:$Z$592,O$16:O$592,""))</f>
        <v>0</v>
      </c>
      <c r="AH227" s="2"/>
      <c r="AI227" s="2"/>
      <c r="AJ227" s="2"/>
    </row>
    <row r="228" spans="1:36" x14ac:dyDescent="0.2">
      <c r="A228" s="306">
        <f>Crop!B261</f>
        <v>41852</v>
      </c>
      <c r="B228" s="307"/>
      <c r="C228" s="308"/>
      <c r="D228" s="304">
        <f>IF(OR($A228&lt;$A$3,$A228&gt;$A$7),"",Crop!$D261)</f>
        <v>6.9010785744295369</v>
      </c>
      <c r="E228" s="304">
        <f t="shared" si="48"/>
        <v>6.9010785744295369</v>
      </c>
      <c r="F228" s="304">
        <f>IF(OR(A228&lt;A$3,A228&gt;A$7),"",Crop!U261)</f>
        <v>1.2</v>
      </c>
      <c r="G228" s="304">
        <f t="shared" si="49"/>
        <v>8.2812942893154435</v>
      </c>
      <c r="H228" s="309">
        <f>IF(OR(A228&lt;A$3,A228&gt;A$7),"",YTD!E225)</f>
        <v>135</v>
      </c>
      <c r="I228" s="310">
        <f t="shared" si="50"/>
        <v>564.71963635670136</v>
      </c>
      <c r="J228" s="311"/>
      <c r="K228" s="309">
        <f t="shared" si="51"/>
        <v>0</v>
      </c>
      <c r="L228" s="312" t="str">
        <f t="shared" si="55"/>
        <v/>
      </c>
      <c r="M228" s="366" t="str">
        <f t="shared" si="56"/>
        <v/>
      </c>
      <c r="N228" s="328" t="str">
        <f t="shared" si="46"/>
        <v/>
      </c>
      <c r="O228" s="313" t="str">
        <f t="shared" si="47"/>
        <v/>
      </c>
      <c r="P228" s="307"/>
      <c r="Q228" s="309">
        <f t="shared" si="57"/>
        <v>0.8</v>
      </c>
      <c r="R228" s="307"/>
      <c r="S228" s="314">
        <f t="shared" si="58"/>
        <v>11.2</v>
      </c>
      <c r="T228" s="304" t="str">
        <f t="shared" si="52"/>
        <v/>
      </c>
      <c r="U228" s="304">
        <f>IF(A228=YTD!B$6,E228,IF(OR(A228&lt;YTD!B$6,A228&gt;YTD!B$10),"",U227+E228))</f>
        <v>810.24894175775239</v>
      </c>
      <c r="V228" s="304">
        <f t="shared" si="59"/>
        <v>954.71963635670124</v>
      </c>
      <c r="W228" s="315">
        <f>IF(I228="",#N/A,YTD!G$8-I228)</f>
        <v>-294.71963635670136</v>
      </c>
      <c r="X228" s="368">
        <f t="shared" si="53"/>
        <v>0</v>
      </c>
      <c r="Y228" s="368">
        <f t="shared" si="60"/>
        <v>3</v>
      </c>
      <c r="Z228" s="368" t="str">
        <f t="shared" si="54"/>
        <v/>
      </c>
      <c r="AA228" s="368">
        <v>213</v>
      </c>
      <c r="AB228" s="369">
        <f t="array" ref="AB228">SUM(IF(AA228=Z$16:Z$592,A$16:A$592,""))</f>
        <v>0</v>
      </c>
      <c r="AC228" s="370">
        <f t="array" ref="AC228">SUM(IF(AA228=Z$16:Z$592,J$16:J$592,""))</f>
        <v>0</v>
      </c>
      <c r="AD228" s="370">
        <f t="array" ref="AD228">SUM(IF($AA228=$Z$16:$Z$592,L$16:L$592,""))</f>
        <v>0</v>
      </c>
      <c r="AE228" s="370">
        <f t="array" ref="AE228">SUM(IF($AA228=$Z$16:$Z$592,M$16:M$592,""))</f>
        <v>0</v>
      </c>
      <c r="AF228" s="368">
        <f t="array" ref="AF228">SUM(IF($AA228=$Z$16:$Z$592,N$16:N$592,""))</f>
        <v>0</v>
      </c>
      <c r="AG228" s="370">
        <f t="array" ref="AG228">SUM(IF($AA228=$Z$16:$Z$592,O$16:O$592,""))</f>
        <v>0</v>
      </c>
      <c r="AH228" s="2"/>
      <c r="AI228" s="2"/>
      <c r="AJ228" s="2"/>
    </row>
    <row r="229" spans="1:36" x14ac:dyDescent="0.2">
      <c r="A229" s="306">
        <f>Crop!B262</f>
        <v>41853</v>
      </c>
      <c r="B229" s="307"/>
      <c r="C229" s="308"/>
      <c r="D229" s="304">
        <f>IF(OR($A229&lt;$A$3,$A229&gt;$A$7),"",Crop!$D262)</f>
        <v>6.8811893567620013</v>
      </c>
      <c r="E229" s="304">
        <f t="shared" si="48"/>
        <v>6.8811893567620013</v>
      </c>
      <c r="F229" s="304">
        <f>IF(OR(A229&lt;A$3,A229&gt;A$7),"",Crop!U262)</f>
        <v>1.2</v>
      </c>
      <c r="G229" s="304">
        <f t="shared" si="49"/>
        <v>8.2574272281144019</v>
      </c>
      <c r="H229" s="309">
        <f>IF(OR(A229&lt;A$3,A229&gt;A$7),"",YTD!E226)</f>
        <v>135</v>
      </c>
      <c r="I229" s="310">
        <f t="shared" si="50"/>
        <v>572.97706358481571</v>
      </c>
      <c r="J229" s="311"/>
      <c r="K229" s="309">
        <f t="shared" si="51"/>
        <v>0</v>
      </c>
      <c r="L229" s="312" t="str">
        <f t="shared" si="55"/>
        <v/>
      </c>
      <c r="M229" s="366" t="str">
        <f t="shared" si="56"/>
        <v/>
      </c>
      <c r="N229" s="328" t="str">
        <f t="shared" si="46"/>
        <v/>
      </c>
      <c r="O229" s="313" t="str">
        <f t="shared" si="47"/>
        <v/>
      </c>
      <c r="P229" s="307"/>
      <c r="Q229" s="309">
        <f t="shared" si="57"/>
        <v>0.8</v>
      </c>
      <c r="R229" s="307"/>
      <c r="S229" s="314">
        <f t="shared" si="58"/>
        <v>11.2</v>
      </c>
      <c r="T229" s="304" t="str">
        <f t="shared" si="52"/>
        <v/>
      </c>
      <c r="U229" s="304">
        <f>IF(A229=YTD!B$6,E229,IF(OR(A229&lt;YTD!B$6,A229&gt;YTD!B$10),"",U228+E229))</f>
        <v>817.13013111451437</v>
      </c>
      <c r="V229" s="304">
        <f t="shared" si="59"/>
        <v>962.9770635848156</v>
      </c>
      <c r="W229" s="315">
        <f>IF(I229="",#N/A,YTD!G$8-I229)</f>
        <v>-302.97706358481571</v>
      </c>
      <c r="X229" s="368">
        <f t="shared" si="53"/>
        <v>0</v>
      </c>
      <c r="Y229" s="368">
        <f t="shared" si="60"/>
        <v>3</v>
      </c>
      <c r="Z229" s="368" t="str">
        <f t="shared" si="54"/>
        <v/>
      </c>
      <c r="AA229" s="368">
        <v>214</v>
      </c>
      <c r="AB229" s="369">
        <f t="array" ref="AB229">SUM(IF(AA229=Z$16:Z$592,A$16:A$592,""))</f>
        <v>0</v>
      </c>
      <c r="AC229" s="370">
        <f t="array" ref="AC229">SUM(IF(AA229=Z$16:Z$592,J$16:J$592,""))</f>
        <v>0</v>
      </c>
      <c r="AD229" s="370">
        <f t="array" ref="AD229">SUM(IF($AA229=$Z$16:$Z$592,L$16:L$592,""))</f>
        <v>0</v>
      </c>
      <c r="AE229" s="370">
        <f t="array" ref="AE229">SUM(IF($AA229=$Z$16:$Z$592,M$16:M$592,""))</f>
        <v>0</v>
      </c>
      <c r="AF229" s="368">
        <f t="array" ref="AF229">SUM(IF($AA229=$Z$16:$Z$592,N$16:N$592,""))</f>
        <v>0</v>
      </c>
      <c r="AG229" s="370">
        <f t="array" ref="AG229">SUM(IF($AA229=$Z$16:$Z$592,O$16:O$592,""))</f>
        <v>0</v>
      </c>
      <c r="AH229" s="2"/>
      <c r="AI229" s="2"/>
      <c r="AJ229" s="2"/>
    </row>
    <row r="230" spans="1:36" x14ac:dyDescent="0.2">
      <c r="A230" s="306">
        <f>Crop!B263</f>
        <v>41854</v>
      </c>
      <c r="B230" s="307"/>
      <c r="C230" s="308"/>
      <c r="D230" s="304">
        <f>IF(OR($A230&lt;$A$3,$A230&gt;$A$7),"",Crop!$D263)</f>
        <v>6.8605090885176132</v>
      </c>
      <c r="E230" s="304">
        <f t="shared" si="48"/>
        <v>6.8605090885176132</v>
      </c>
      <c r="F230" s="304">
        <f>IF(OR(A230&lt;A$3,A230&gt;A$7),"",Crop!U263)</f>
        <v>1.2</v>
      </c>
      <c r="G230" s="304">
        <f t="shared" si="49"/>
        <v>8.2326109062211348</v>
      </c>
      <c r="H230" s="309">
        <f>IF(OR(A230&lt;A$3,A230&gt;A$7),"",YTD!E227)</f>
        <v>135</v>
      </c>
      <c r="I230" s="310">
        <f t="shared" si="50"/>
        <v>581.20967449103682</v>
      </c>
      <c r="J230" s="311"/>
      <c r="K230" s="309">
        <f t="shared" si="51"/>
        <v>0</v>
      </c>
      <c r="L230" s="312" t="str">
        <f t="shared" si="55"/>
        <v/>
      </c>
      <c r="M230" s="366" t="str">
        <f t="shared" si="56"/>
        <v/>
      </c>
      <c r="N230" s="328" t="str">
        <f t="shared" si="46"/>
        <v/>
      </c>
      <c r="O230" s="313" t="str">
        <f t="shared" si="47"/>
        <v/>
      </c>
      <c r="P230" s="307"/>
      <c r="Q230" s="309">
        <f t="shared" si="57"/>
        <v>0.8</v>
      </c>
      <c r="R230" s="307"/>
      <c r="S230" s="314">
        <f t="shared" si="58"/>
        <v>11.2</v>
      </c>
      <c r="T230" s="304" t="str">
        <f t="shared" si="52"/>
        <v/>
      </c>
      <c r="U230" s="304">
        <f>IF(A230=YTD!B$6,E230,IF(OR(A230&lt;YTD!B$6,A230&gt;YTD!B$10),"",U229+E230))</f>
        <v>823.99064020303194</v>
      </c>
      <c r="V230" s="304">
        <f t="shared" si="59"/>
        <v>971.20967449103671</v>
      </c>
      <c r="W230" s="315">
        <f>IF(I230="",#N/A,YTD!G$8-I230)</f>
        <v>-311.20967449103682</v>
      </c>
      <c r="X230" s="368">
        <f t="shared" si="53"/>
        <v>0</v>
      </c>
      <c r="Y230" s="368">
        <f t="shared" si="60"/>
        <v>3</v>
      </c>
      <c r="Z230" s="368" t="str">
        <f t="shared" si="54"/>
        <v/>
      </c>
      <c r="AA230" s="368">
        <v>215</v>
      </c>
      <c r="AB230" s="369">
        <f t="array" ref="AB230">SUM(IF(AA230=Z$16:Z$592,A$16:A$592,""))</f>
        <v>0</v>
      </c>
      <c r="AC230" s="370">
        <f t="array" ref="AC230">SUM(IF(AA230=Z$16:Z$592,J$16:J$592,""))</f>
        <v>0</v>
      </c>
      <c r="AD230" s="370">
        <f t="array" ref="AD230">SUM(IF($AA230=$Z$16:$Z$592,L$16:L$592,""))</f>
        <v>0</v>
      </c>
      <c r="AE230" s="370">
        <f t="array" ref="AE230">SUM(IF($AA230=$Z$16:$Z$592,M$16:M$592,""))</f>
        <v>0</v>
      </c>
      <c r="AF230" s="368">
        <f t="array" ref="AF230">SUM(IF($AA230=$Z$16:$Z$592,N$16:N$592,""))</f>
        <v>0</v>
      </c>
      <c r="AG230" s="370">
        <f t="array" ref="AG230">SUM(IF($AA230=$Z$16:$Z$592,O$16:O$592,""))</f>
        <v>0</v>
      </c>
      <c r="AH230" s="2"/>
      <c r="AI230" s="2"/>
      <c r="AJ230" s="2"/>
    </row>
    <row r="231" spans="1:36" x14ac:dyDescent="0.2">
      <c r="A231" s="306">
        <f>Crop!B264</f>
        <v>41855</v>
      </c>
      <c r="B231" s="307"/>
      <c r="C231" s="308"/>
      <c r="D231" s="304">
        <f>IF(OR($A231&lt;$A$3,$A231&gt;$A$7),"",Crop!$D264)</f>
        <v>6.8390477358111816</v>
      </c>
      <c r="E231" s="304">
        <f t="shared" si="48"/>
        <v>6.8390477358111816</v>
      </c>
      <c r="F231" s="304">
        <f>IF(OR(A231&lt;A$3,A231&gt;A$7),"",Crop!U264)</f>
        <v>1.2</v>
      </c>
      <c r="G231" s="304">
        <f t="shared" si="49"/>
        <v>8.2068572829734183</v>
      </c>
      <c r="H231" s="309">
        <f>IF(OR(A231&lt;A$3,A231&gt;A$7),"",YTD!E228)</f>
        <v>135</v>
      </c>
      <c r="I231" s="310">
        <f t="shared" si="50"/>
        <v>589.4165317740102</v>
      </c>
      <c r="J231" s="311"/>
      <c r="K231" s="309">
        <f t="shared" si="51"/>
        <v>0</v>
      </c>
      <c r="L231" s="312" t="str">
        <f t="shared" si="55"/>
        <v/>
      </c>
      <c r="M231" s="366" t="str">
        <f t="shared" si="56"/>
        <v/>
      </c>
      <c r="N231" s="328" t="str">
        <f t="shared" si="46"/>
        <v/>
      </c>
      <c r="O231" s="313" t="str">
        <f t="shared" si="47"/>
        <v/>
      </c>
      <c r="P231" s="307"/>
      <c r="Q231" s="309">
        <f t="shared" si="57"/>
        <v>0.8</v>
      </c>
      <c r="R231" s="307"/>
      <c r="S231" s="314">
        <f t="shared" si="58"/>
        <v>11.2</v>
      </c>
      <c r="T231" s="304" t="str">
        <f t="shared" si="52"/>
        <v/>
      </c>
      <c r="U231" s="304">
        <f>IF(A231=YTD!B$6,E231,IF(OR(A231&lt;YTD!B$6,A231&gt;YTD!B$10),"",U230+E231))</f>
        <v>830.82968793884311</v>
      </c>
      <c r="V231" s="304">
        <f t="shared" si="59"/>
        <v>979.41653177401008</v>
      </c>
      <c r="W231" s="315">
        <f>IF(I231="",#N/A,YTD!G$8-I231)</f>
        <v>-319.4165317740102</v>
      </c>
      <c r="X231" s="368">
        <f t="shared" si="53"/>
        <v>0</v>
      </c>
      <c r="Y231" s="368">
        <f t="shared" si="60"/>
        <v>3</v>
      </c>
      <c r="Z231" s="368" t="str">
        <f t="shared" si="54"/>
        <v/>
      </c>
      <c r="AA231" s="368">
        <v>216</v>
      </c>
      <c r="AB231" s="369">
        <f t="array" ref="AB231">SUM(IF(AA231=Z$16:Z$592,A$16:A$592,""))</f>
        <v>0</v>
      </c>
      <c r="AC231" s="370">
        <f t="array" ref="AC231">SUM(IF(AA231=Z$16:Z$592,J$16:J$592,""))</f>
        <v>0</v>
      </c>
      <c r="AD231" s="370">
        <f t="array" ref="AD231">SUM(IF($AA231=$Z$16:$Z$592,L$16:L$592,""))</f>
        <v>0</v>
      </c>
      <c r="AE231" s="370">
        <f t="array" ref="AE231">SUM(IF($AA231=$Z$16:$Z$592,M$16:M$592,""))</f>
        <v>0</v>
      </c>
      <c r="AF231" s="368">
        <f t="array" ref="AF231">SUM(IF($AA231=$Z$16:$Z$592,N$16:N$592,""))</f>
        <v>0</v>
      </c>
      <c r="AG231" s="370">
        <f t="array" ref="AG231">SUM(IF($AA231=$Z$16:$Z$592,O$16:O$592,""))</f>
        <v>0</v>
      </c>
      <c r="AH231" s="2"/>
      <c r="AI231" s="2"/>
      <c r="AJ231" s="2"/>
    </row>
    <row r="232" spans="1:36" x14ac:dyDescent="0.2">
      <c r="A232" s="306">
        <f>Crop!B265</f>
        <v>41856</v>
      </c>
      <c r="B232" s="307"/>
      <c r="C232" s="308"/>
      <c r="D232" s="304">
        <f>IF(OR($A232&lt;$A$3,$A232&gt;$A$7),"",Crop!$D265)</f>
        <v>6.8168152647575129</v>
      </c>
      <c r="E232" s="304">
        <f t="shared" si="48"/>
        <v>6.8168152647575129</v>
      </c>
      <c r="F232" s="304">
        <f>IF(OR(A232&lt;A$3,A232&gt;A$7),"",Crop!U265)</f>
        <v>1.2</v>
      </c>
      <c r="G232" s="304">
        <f t="shared" si="49"/>
        <v>8.1801783177090144</v>
      </c>
      <c r="H232" s="309">
        <f>IF(OR(A232&lt;A$3,A232&gt;A$7),"",YTD!E229)</f>
        <v>135</v>
      </c>
      <c r="I232" s="310">
        <f t="shared" si="50"/>
        <v>597.59671009171916</v>
      </c>
      <c r="J232" s="311"/>
      <c r="K232" s="309">
        <f t="shared" si="51"/>
        <v>0</v>
      </c>
      <c r="L232" s="312" t="str">
        <f t="shared" si="55"/>
        <v/>
      </c>
      <c r="M232" s="366" t="str">
        <f t="shared" si="56"/>
        <v/>
      </c>
      <c r="N232" s="328" t="str">
        <f t="shared" si="46"/>
        <v/>
      </c>
      <c r="O232" s="313" t="str">
        <f t="shared" si="47"/>
        <v/>
      </c>
      <c r="P232" s="307"/>
      <c r="Q232" s="309">
        <f t="shared" si="57"/>
        <v>0.8</v>
      </c>
      <c r="R232" s="307"/>
      <c r="S232" s="314">
        <f t="shared" si="58"/>
        <v>11.2</v>
      </c>
      <c r="T232" s="304" t="str">
        <f t="shared" si="52"/>
        <v/>
      </c>
      <c r="U232" s="304">
        <f>IF(A232=YTD!B$6,E232,IF(OR(A232&lt;YTD!B$6,A232&gt;YTD!B$10),"",U231+E232))</f>
        <v>837.64650320360067</v>
      </c>
      <c r="V232" s="304">
        <f t="shared" si="59"/>
        <v>987.59671009171905</v>
      </c>
      <c r="W232" s="315">
        <f>IF(I232="",#N/A,YTD!G$8-I232)</f>
        <v>-327.59671009171916</v>
      </c>
      <c r="X232" s="368">
        <f t="shared" si="53"/>
        <v>0</v>
      </c>
      <c r="Y232" s="368">
        <f t="shared" si="60"/>
        <v>3</v>
      </c>
      <c r="Z232" s="368" t="str">
        <f t="shared" si="54"/>
        <v/>
      </c>
      <c r="AA232" s="368">
        <v>217</v>
      </c>
      <c r="AB232" s="369">
        <f t="array" ref="AB232">SUM(IF(AA232=Z$16:Z$592,A$16:A$592,""))</f>
        <v>0</v>
      </c>
      <c r="AC232" s="370">
        <f t="array" ref="AC232">SUM(IF(AA232=Z$16:Z$592,J$16:J$592,""))</f>
        <v>0</v>
      </c>
      <c r="AD232" s="370">
        <f t="array" ref="AD232">SUM(IF($AA232=$Z$16:$Z$592,L$16:L$592,""))</f>
        <v>0</v>
      </c>
      <c r="AE232" s="370">
        <f t="array" ref="AE232">SUM(IF($AA232=$Z$16:$Z$592,M$16:M$592,""))</f>
        <v>0</v>
      </c>
      <c r="AF232" s="368">
        <f t="array" ref="AF232">SUM(IF($AA232=$Z$16:$Z$592,N$16:N$592,""))</f>
        <v>0</v>
      </c>
      <c r="AG232" s="370">
        <f t="array" ref="AG232">SUM(IF($AA232=$Z$16:$Z$592,O$16:O$592,""))</f>
        <v>0</v>
      </c>
      <c r="AH232" s="2"/>
      <c r="AI232" s="2"/>
      <c r="AJ232" s="2"/>
    </row>
    <row r="233" spans="1:36" x14ac:dyDescent="0.2">
      <c r="A233" s="306">
        <f>Crop!B266</f>
        <v>41857</v>
      </c>
      <c r="B233" s="307"/>
      <c r="C233" s="308"/>
      <c r="D233" s="304">
        <f>IF(OR($A233&lt;$A$3,$A233&gt;$A$7),"",Crop!$D266)</f>
        <v>6.7938216414714168</v>
      </c>
      <c r="E233" s="304">
        <f t="shared" si="48"/>
        <v>6.7938216414714168</v>
      </c>
      <c r="F233" s="304">
        <f>IF(OR(A233&lt;A$3,A233&gt;A$7),"",Crop!U266)</f>
        <v>1.2</v>
      </c>
      <c r="G233" s="304">
        <f t="shared" si="49"/>
        <v>8.152585969765699</v>
      </c>
      <c r="H233" s="309">
        <f>IF(OR(A233&lt;A$3,A233&gt;A$7),"",YTD!E230)</f>
        <v>135</v>
      </c>
      <c r="I233" s="310">
        <f t="shared" si="50"/>
        <v>605.74929606148487</v>
      </c>
      <c r="J233" s="311"/>
      <c r="K233" s="309">
        <f t="shared" si="51"/>
        <v>0</v>
      </c>
      <c r="L233" s="312" t="str">
        <f t="shared" si="55"/>
        <v/>
      </c>
      <c r="M233" s="366" t="str">
        <f t="shared" si="56"/>
        <v/>
      </c>
      <c r="N233" s="328" t="str">
        <f t="shared" si="46"/>
        <v/>
      </c>
      <c r="O233" s="313" t="str">
        <f t="shared" si="47"/>
        <v/>
      </c>
      <c r="P233" s="307"/>
      <c r="Q233" s="309">
        <f t="shared" si="57"/>
        <v>0.8</v>
      </c>
      <c r="R233" s="307"/>
      <c r="S233" s="314">
        <f t="shared" si="58"/>
        <v>11.2</v>
      </c>
      <c r="T233" s="304" t="str">
        <f t="shared" si="52"/>
        <v/>
      </c>
      <c r="U233" s="304">
        <f>IF(A233=YTD!B$6,E233,IF(OR(A233&lt;YTD!B$6,A233&gt;YTD!B$10),"",U232+E233))</f>
        <v>844.44032484507204</v>
      </c>
      <c r="V233" s="304">
        <f t="shared" si="59"/>
        <v>995.74929606148476</v>
      </c>
      <c r="W233" s="315">
        <f>IF(I233="",#N/A,YTD!G$8-I233)</f>
        <v>-335.74929606148487</v>
      </c>
      <c r="X233" s="368">
        <f t="shared" si="53"/>
        <v>0</v>
      </c>
      <c r="Y233" s="368">
        <f t="shared" si="60"/>
        <v>3</v>
      </c>
      <c r="Z233" s="368" t="str">
        <f t="shared" si="54"/>
        <v/>
      </c>
      <c r="AA233" s="368">
        <v>218</v>
      </c>
      <c r="AB233" s="369">
        <f t="array" ref="AB233">SUM(IF(AA233=Z$16:Z$592,A$16:A$592,""))</f>
        <v>0</v>
      </c>
      <c r="AC233" s="370">
        <f t="array" ref="AC233">SUM(IF(AA233=Z$16:Z$592,J$16:J$592,""))</f>
        <v>0</v>
      </c>
      <c r="AD233" s="370">
        <f t="array" ref="AD233">SUM(IF($AA233=$Z$16:$Z$592,L$16:L$592,""))</f>
        <v>0</v>
      </c>
      <c r="AE233" s="370">
        <f t="array" ref="AE233">SUM(IF($AA233=$Z$16:$Z$592,M$16:M$592,""))</f>
        <v>0</v>
      </c>
      <c r="AF233" s="368">
        <f t="array" ref="AF233">SUM(IF($AA233=$Z$16:$Z$592,N$16:N$592,""))</f>
        <v>0</v>
      </c>
      <c r="AG233" s="370">
        <f t="array" ref="AG233">SUM(IF($AA233=$Z$16:$Z$592,O$16:O$592,""))</f>
        <v>0</v>
      </c>
      <c r="AH233" s="2"/>
      <c r="AI233" s="2"/>
      <c r="AJ233" s="2"/>
    </row>
    <row r="234" spans="1:36" x14ac:dyDescent="0.2">
      <c r="A234" s="306">
        <f>Crop!B267</f>
        <v>41858</v>
      </c>
      <c r="B234" s="307"/>
      <c r="C234" s="308"/>
      <c r="D234" s="304">
        <f>IF(OR($A234&lt;$A$3,$A234&gt;$A$7),"",Crop!$D267)</f>
        <v>6.7700768320676987</v>
      </c>
      <c r="E234" s="304">
        <f t="shared" si="48"/>
        <v>6.7700768320676987</v>
      </c>
      <c r="F234" s="304">
        <f>IF(OR(A234&lt;A$3,A234&gt;A$7),"",Crop!U267)</f>
        <v>1.2</v>
      </c>
      <c r="G234" s="304">
        <f t="shared" si="49"/>
        <v>8.1240921984812378</v>
      </c>
      <c r="H234" s="309">
        <f>IF(OR(A234&lt;A$3,A234&gt;A$7),"",YTD!E231)</f>
        <v>135</v>
      </c>
      <c r="I234" s="310">
        <f t="shared" si="50"/>
        <v>513.87338825996608</v>
      </c>
      <c r="J234" s="311">
        <v>100</v>
      </c>
      <c r="K234" s="309">
        <f t="shared" si="51"/>
        <v>0</v>
      </c>
      <c r="L234" s="312">
        <f t="shared" si="55"/>
        <v>125</v>
      </c>
      <c r="M234" s="366">
        <f t="shared" si="56"/>
        <v>138.88888888888889</v>
      </c>
      <c r="N234" s="328">
        <f t="shared" si="46"/>
        <v>12</v>
      </c>
      <c r="O234" s="313">
        <f t="shared" si="47"/>
        <v>24.047619047619122</v>
      </c>
      <c r="P234" s="307"/>
      <c r="Q234" s="309">
        <f t="shared" si="57"/>
        <v>0.8</v>
      </c>
      <c r="R234" s="307"/>
      <c r="S234" s="314">
        <f t="shared" si="58"/>
        <v>11.2</v>
      </c>
      <c r="T234" s="304" t="str">
        <f t="shared" si="52"/>
        <v/>
      </c>
      <c r="U234" s="304">
        <f>IF(A234=YTD!B$6,E234,IF(OR(A234&lt;YTD!B$6,A234&gt;YTD!B$10),"",U233+E234))</f>
        <v>851.21040167713977</v>
      </c>
      <c r="V234" s="304">
        <f t="shared" si="59"/>
        <v>1003.873388259966</v>
      </c>
      <c r="W234" s="315">
        <f>IF(I234="",#N/A,YTD!G$8-I234)</f>
        <v>-243.87338825996608</v>
      </c>
      <c r="X234" s="368">
        <f t="shared" si="53"/>
        <v>1</v>
      </c>
      <c r="Y234" s="368">
        <f t="shared" si="60"/>
        <v>4</v>
      </c>
      <c r="Z234" s="368">
        <f t="shared" si="54"/>
        <v>4</v>
      </c>
      <c r="AA234" s="368">
        <v>219</v>
      </c>
      <c r="AB234" s="369">
        <f t="array" ref="AB234">SUM(IF(AA234=Z$16:Z$592,A$16:A$592,""))</f>
        <v>0</v>
      </c>
      <c r="AC234" s="370">
        <f t="array" ref="AC234">SUM(IF(AA234=Z$16:Z$592,J$16:J$592,""))</f>
        <v>0</v>
      </c>
      <c r="AD234" s="370">
        <f t="array" ref="AD234">SUM(IF($AA234=$Z$16:$Z$592,L$16:L$592,""))</f>
        <v>0</v>
      </c>
      <c r="AE234" s="370">
        <f t="array" ref="AE234">SUM(IF($AA234=$Z$16:$Z$592,M$16:M$592,""))</f>
        <v>0</v>
      </c>
      <c r="AF234" s="368">
        <f t="array" ref="AF234">SUM(IF($AA234=$Z$16:$Z$592,N$16:N$592,""))</f>
        <v>0</v>
      </c>
      <c r="AG234" s="370">
        <f t="array" ref="AG234">SUM(IF($AA234=$Z$16:$Z$592,O$16:O$592,""))</f>
        <v>0</v>
      </c>
      <c r="AH234" s="2"/>
      <c r="AI234" s="2"/>
      <c r="AJ234" s="2"/>
    </row>
    <row r="235" spans="1:36" x14ac:dyDescent="0.2">
      <c r="A235" s="306">
        <f>Crop!B268</f>
        <v>41859</v>
      </c>
      <c r="B235" s="307"/>
      <c r="C235" s="308"/>
      <c r="D235" s="304">
        <f>IF(OR($A235&lt;$A$3,$A235&gt;$A$7),"",Crop!$D268)</f>
        <v>6.7455908026611704</v>
      </c>
      <c r="E235" s="304">
        <f t="shared" si="48"/>
        <v>6.7455908026611704</v>
      </c>
      <c r="F235" s="304">
        <f>IF(OR(A235&lt;A$3,A235&gt;A$7),"",Crop!U268)</f>
        <v>1.2</v>
      </c>
      <c r="G235" s="304">
        <f t="shared" si="49"/>
        <v>8.0947089631934048</v>
      </c>
      <c r="H235" s="309">
        <f>IF(OR(A235&lt;A$3,A235&gt;A$7),"",YTD!E232)</f>
        <v>135</v>
      </c>
      <c r="I235" s="310">
        <f t="shared" si="50"/>
        <v>521.96809722315948</v>
      </c>
      <c r="J235" s="311"/>
      <c r="K235" s="309">
        <f t="shared" si="51"/>
        <v>0</v>
      </c>
      <c r="L235" s="312" t="str">
        <f t="shared" si="55"/>
        <v/>
      </c>
      <c r="M235" s="366" t="str">
        <f t="shared" si="56"/>
        <v/>
      </c>
      <c r="N235" s="328" t="str">
        <f t="shared" si="46"/>
        <v/>
      </c>
      <c r="O235" s="313" t="str">
        <f t="shared" si="47"/>
        <v/>
      </c>
      <c r="P235" s="307"/>
      <c r="Q235" s="309">
        <f t="shared" si="57"/>
        <v>0.8</v>
      </c>
      <c r="R235" s="307"/>
      <c r="S235" s="314">
        <f t="shared" si="58"/>
        <v>11.2</v>
      </c>
      <c r="T235" s="304" t="str">
        <f t="shared" si="52"/>
        <v/>
      </c>
      <c r="U235" s="304">
        <f>IF(A235=YTD!B$6,E235,IF(OR(A235&lt;YTD!B$6,A235&gt;YTD!B$10),"",U234+E235))</f>
        <v>857.9559924798009</v>
      </c>
      <c r="V235" s="304">
        <f t="shared" si="59"/>
        <v>1011.9680972231594</v>
      </c>
      <c r="W235" s="315">
        <f>IF(I235="",#N/A,YTD!G$8-I235)</f>
        <v>-251.96809722315948</v>
      </c>
      <c r="X235" s="368">
        <f t="shared" si="53"/>
        <v>0</v>
      </c>
      <c r="Y235" s="368">
        <f t="shared" si="60"/>
        <v>4</v>
      </c>
      <c r="Z235" s="368" t="str">
        <f t="shared" si="54"/>
        <v/>
      </c>
      <c r="AA235" s="368">
        <v>220</v>
      </c>
      <c r="AB235" s="369">
        <f t="array" ref="AB235">SUM(IF(AA235=Z$16:Z$592,A$16:A$592,""))</f>
        <v>0</v>
      </c>
      <c r="AC235" s="370">
        <f t="array" ref="AC235">SUM(IF(AA235=Z$16:Z$592,J$16:J$592,""))</f>
        <v>0</v>
      </c>
      <c r="AD235" s="370">
        <f t="array" ref="AD235">SUM(IF($AA235=$Z$16:$Z$592,L$16:L$592,""))</f>
        <v>0</v>
      </c>
      <c r="AE235" s="370">
        <f t="array" ref="AE235">SUM(IF($AA235=$Z$16:$Z$592,M$16:M$592,""))</f>
        <v>0</v>
      </c>
      <c r="AF235" s="368">
        <f t="array" ref="AF235">SUM(IF($AA235=$Z$16:$Z$592,N$16:N$592,""))</f>
        <v>0</v>
      </c>
      <c r="AG235" s="370">
        <f t="array" ref="AG235">SUM(IF($AA235=$Z$16:$Z$592,O$16:O$592,""))</f>
        <v>0</v>
      </c>
      <c r="AH235" s="2"/>
      <c r="AI235" s="2"/>
      <c r="AJ235" s="2"/>
    </row>
    <row r="236" spans="1:36" x14ac:dyDescent="0.2">
      <c r="A236" s="306">
        <f>Crop!B269</f>
        <v>41860</v>
      </c>
      <c r="B236" s="307"/>
      <c r="C236" s="308"/>
      <c r="D236" s="304">
        <f>IF(OR($A236&lt;$A$3,$A236&gt;$A$7),"",Crop!$D269)</f>
        <v>6.7203735193666381</v>
      </c>
      <c r="E236" s="304">
        <f t="shared" si="48"/>
        <v>6.7203735193666381</v>
      </c>
      <c r="F236" s="304">
        <f>IF(OR(A236&lt;A$3,A236&gt;A$7),"",Crop!U269)</f>
        <v>1.2</v>
      </c>
      <c r="G236" s="304">
        <f t="shared" si="49"/>
        <v>8.0644482232399657</v>
      </c>
      <c r="H236" s="309">
        <f>IF(OR(A236&lt;A$3,A236&gt;A$7),"",YTD!E233)</f>
        <v>135</v>
      </c>
      <c r="I236" s="310">
        <f t="shared" si="50"/>
        <v>530.03254544639947</v>
      </c>
      <c r="J236" s="311"/>
      <c r="K236" s="309">
        <f t="shared" si="51"/>
        <v>0</v>
      </c>
      <c r="L236" s="312" t="str">
        <f t="shared" si="55"/>
        <v/>
      </c>
      <c r="M236" s="366" t="str">
        <f t="shared" si="56"/>
        <v/>
      </c>
      <c r="N236" s="328" t="str">
        <f t="shared" si="46"/>
        <v/>
      </c>
      <c r="O236" s="313" t="str">
        <f t="shared" si="47"/>
        <v/>
      </c>
      <c r="P236" s="307"/>
      <c r="Q236" s="309">
        <f t="shared" si="57"/>
        <v>0.8</v>
      </c>
      <c r="R236" s="307"/>
      <c r="S236" s="314">
        <f t="shared" si="58"/>
        <v>11.2</v>
      </c>
      <c r="T236" s="304" t="str">
        <f t="shared" si="52"/>
        <v/>
      </c>
      <c r="U236" s="304">
        <f>IF(A236=YTD!B$6,E236,IF(OR(A236&lt;YTD!B$6,A236&gt;YTD!B$10),"",U235+E236))</f>
        <v>864.6763659991675</v>
      </c>
      <c r="V236" s="304">
        <f t="shared" si="59"/>
        <v>1020.0325454463994</v>
      </c>
      <c r="W236" s="315">
        <f>IF(I236="",#N/A,YTD!G$8-I236)</f>
        <v>-260.03254544639947</v>
      </c>
      <c r="X236" s="368">
        <f t="shared" si="53"/>
        <v>0</v>
      </c>
      <c r="Y236" s="368">
        <f t="shared" si="60"/>
        <v>4</v>
      </c>
      <c r="Z236" s="368" t="str">
        <f t="shared" si="54"/>
        <v/>
      </c>
      <c r="AA236" s="368">
        <v>221</v>
      </c>
      <c r="AB236" s="369">
        <f t="array" ref="AB236">SUM(IF(AA236=Z$16:Z$592,A$16:A$592,""))</f>
        <v>0</v>
      </c>
      <c r="AC236" s="370">
        <f t="array" ref="AC236">SUM(IF(AA236=Z$16:Z$592,J$16:J$592,""))</f>
        <v>0</v>
      </c>
      <c r="AD236" s="370">
        <f t="array" ref="AD236">SUM(IF($AA236=$Z$16:$Z$592,L$16:L$592,""))</f>
        <v>0</v>
      </c>
      <c r="AE236" s="370">
        <f t="array" ref="AE236">SUM(IF($AA236=$Z$16:$Z$592,M$16:M$592,""))</f>
        <v>0</v>
      </c>
      <c r="AF236" s="368">
        <f t="array" ref="AF236">SUM(IF($AA236=$Z$16:$Z$592,N$16:N$592,""))</f>
        <v>0</v>
      </c>
      <c r="AG236" s="370">
        <f t="array" ref="AG236">SUM(IF($AA236=$Z$16:$Z$592,O$16:O$592,""))</f>
        <v>0</v>
      </c>
      <c r="AH236" s="2"/>
      <c r="AI236" s="2"/>
      <c r="AJ236" s="2"/>
    </row>
    <row r="237" spans="1:36" x14ac:dyDescent="0.2">
      <c r="A237" s="306">
        <f>Crop!B270</f>
        <v>41861</v>
      </c>
      <c r="B237" s="307"/>
      <c r="C237" s="308"/>
      <c r="D237" s="304">
        <f>IF(OR($A237&lt;$A$3,$A237&gt;$A$7),"",Crop!$D270)</f>
        <v>6.6944349482989081</v>
      </c>
      <c r="E237" s="304">
        <f t="shared" si="48"/>
        <v>6.6944349482989081</v>
      </c>
      <c r="F237" s="304">
        <f>IF(OR(A237&lt;A$3,A237&gt;A$7),"",Crop!U270)</f>
        <v>1.2</v>
      </c>
      <c r="G237" s="304">
        <f t="shared" si="49"/>
        <v>8.0333219379586893</v>
      </c>
      <c r="H237" s="309">
        <f>IF(OR(A237&lt;A$3,A237&gt;A$7),"",YTD!E234)</f>
        <v>135</v>
      </c>
      <c r="I237" s="310">
        <f t="shared" si="50"/>
        <v>538.06586738435817</v>
      </c>
      <c r="J237" s="311"/>
      <c r="K237" s="309">
        <f t="shared" si="51"/>
        <v>0</v>
      </c>
      <c r="L237" s="312" t="str">
        <f t="shared" si="55"/>
        <v/>
      </c>
      <c r="M237" s="366" t="str">
        <f t="shared" si="56"/>
        <v/>
      </c>
      <c r="N237" s="328" t="str">
        <f t="shared" si="46"/>
        <v/>
      </c>
      <c r="O237" s="313" t="str">
        <f t="shared" si="47"/>
        <v/>
      </c>
      <c r="P237" s="307"/>
      <c r="Q237" s="309">
        <f t="shared" si="57"/>
        <v>0.8</v>
      </c>
      <c r="R237" s="307"/>
      <c r="S237" s="314">
        <f t="shared" si="58"/>
        <v>11.2</v>
      </c>
      <c r="T237" s="304" t="str">
        <f t="shared" si="52"/>
        <v/>
      </c>
      <c r="U237" s="304">
        <f>IF(A237=YTD!B$6,E237,IF(OR(A237&lt;YTD!B$6,A237&gt;YTD!B$10),"",U236+E237))</f>
        <v>871.37080094746636</v>
      </c>
      <c r="V237" s="304">
        <f t="shared" si="59"/>
        <v>1028.0658673843579</v>
      </c>
      <c r="W237" s="315">
        <f>IF(I237="",#N/A,YTD!G$8-I237)</f>
        <v>-268.06586738435817</v>
      </c>
      <c r="X237" s="368">
        <f t="shared" si="53"/>
        <v>0</v>
      </c>
      <c r="Y237" s="368">
        <f t="shared" si="60"/>
        <v>4</v>
      </c>
      <c r="Z237" s="368" t="str">
        <f t="shared" si="54"/>
        <v/>
      </c>
      <c r="AA237" s="368">
        <v>222</v>
      </c>
      <c r="AB237" s="369">
        <f t="array" ref="AB237">SUM(IF(AA237=Z$16:Z$592,A$16:A$592,""))</f>
        <v>0</v>
      </c>
      <c r="AC237" s="370">
        <f t="array" ref="AC237">SUM(IF(AA237=Z$16:Z$592,J$16:J$592,""))</f>
        <v>0</v>
      </c>
      <c r="AD237" s="370">
        <f t="array" ref="AD237">SUM(IF($AA237=$Z$16:$Z$592,L$16:L$592,""))</f>
        <v>0</v>
      </c>
      <c r="AE237" s="370">
        <f t="array" ref="AE237">SUM(IF($AA237=$Z$16:$Z$592,M$16:M$592,""))</f>
        <v>0</v>
      </c>
      <c r="AF237" s="368">
        <f t="array" ref="AF237">SUM(IF($AA237=$Z$16:$Z$592,N$16:N$592,""))</f>
        <v>0</v>
      </c>
      <c r="AG237" s="370">
        <f t="array" ref="AG237">SUM(IF($AA237=$Z$16:$Z$592,O$16:O$592,""))</f>
        <v>0</v>
      </c>
      <c r="AH237" s="2"/>
      <c r="AI237" s="2"/>
      <c r="AJ237" s="2"/>
    </row>
    <row r="238" spans="1:36" x14ac:dyDescent="0.2">
      <c r="A238" s="306">
        <f>Crop!B271</f>
        <v>41862</v>
      </c>
      <c r="B238" s="307"/>
      <c r="C238" s="308"/>
      <c r="D238" s="304">
        <f>IF(OR($A238&lt;$A$3,$A238&gt;$A$7),"",Crop!$D271)</f>
        <v>6.6677850555727929</v>
      </c>
      <c r="E238" s="304">
        <f t="shared" si="48"/>
        <v>6.6677850555727929</v>
      </c>
      <c r="F238" s="304">
        <f>IF(OR(A238&lt;A$3,A238&gt;A$7),"",Crop!U271)</f>
        <v>1.2</v>
      </c>
      <c r="G238" s="304">
        <f t="shared" si="49"/>
        <v>8.0013420666873518</v>
      </c>
      <c r="H238" s="309">
        <f>IF(OR(A238&lt;A$3,A238&gt;A$7),"",YTD!E235)</f>
        <v>135</v>
      </c>
      <c r="I238" s="310">
        <f t="shared" si="50"/>
        <v>546.06720945104553</v>
      </c>
      <c r="J238" s="311"/>
      <c r="K238" s="309">
        <f t="shared" si="51"/>
        <v>0</v>
      </c>
      <c r="L238" s="312" t="str">
        <f t="shared" si="55"/>
        <v/>
      </c>
      <c r="M238" s="366" t="str">
        <f t="shared" si="56"/>
        <v/>
      </c>
      <c r="N238" s="328" t="str">
        <f t="shared" si="46"/>
        <v/>
      </c>
      <c r="O238" s="313" t="str">
        <f t="shared" si="47"/>
        <v/>
      </c>
      <c r="P238" s="307"/>
      <c r="Q238" s="309">
        <f t="shared" si="57"/>
        <v>0.8</v>
      </c>
      <c r="R238" s="307"/>
      <c r="S238" s="314">
        <f t="shared" si="58"/>
        <v>11.2</v>
      </c>
      <c r="T238" s="304" t="str">
        <f t="shared" si="52"/>
        <v/>
      </c>
      <c r="U238" s="304">
        <f>IF(A238=YTD!B$6,E238,IF(OR(A238&lt;YTD!B$6,A238&gt;YTD!B$10),"",U237+E238))</f>
        <v>878.0385860030392</v>
      </c>
      <c r="V238" s="304">
        <f t="shared" si="59"/>
        <v>1036.0672094510453</v>
      </c>
      <c r="W238" s="315">
        <f>IF(I238="",#N/A,YTD!G$8-I238)</f>
        <v>-276.06720945104553</v>
      </c>
      <c r="X238" s="368">
        <f t="shared" si="53"/>
        <v>0</v>
      </c>
      <c r="Y238" s="368">
        <f t="shared" si="60"/>
        <v>4</v>
      </c>
      <c r="Z238" s="368" t="str">
        <f t="shared" si="54"/>
        <v/>
      </c>
      <c r="AA238" s="368">
        <v>223</v>
      </c>
      <c r="AB238" s="369">
        <f t="array" ref="AB238">SUM(IF(AA238=Z$16:Z$592,A$16:A$592,""))</f>
        <v>0</v>
      </c>
      <c r="AC238" s="370">
        <f t="array" ref="AC238">SUM(IF(AA238=Z$16:Z$592,J$16:J$592,""))</f>
        <v>0</v>
      </c>
      <c r="AD238" s="370">
        <f t="array" ref="AD238">SUM(IF($AA238=$Z$16:$Z$592,L$16:L$592,""))</f>
        <v>0</v>
      </c>
      <c r="AE238" s="370">
        <f t="array" ref="AE238">SUM(IF($AA238=$Z$16:$Z$592,M$16:M$592,""))</f>
        <v>0</v>
      </c>
      <c r="AF238" s="368">
        <f t="array" ref="AF238">SUM(IF($AA238=$Z$16:$Z$592,N$16:N$592,""))</f>
        <v>0</v>
      </c>
      <c r="AG238" s="370">
        <f t="array" ref="AG238">SUM(IF($AA238=$Z$16:$Z$592,O$16:O$592,""))</f>
        <v>0</v>
      </c>
      <c r="AH238" s="2"/>
      <c r="AI238" s="2"/>
      <c r="AJ238" s="2"/>
    </row>
    <row r="239" spans="1:36" x14ac:dyDescent="0.2">
      <c r="A239" s="306">
        <f>Crop!B272</f>
        <v>41863</v>
      </c>
      <c r="B239" s="307"/>
      <c r="C239" s="308"/>
      <c r="D239" s="304">
        <f>IF(OR($A239&lt;$A$3,$A239&gt;$A$7),"",Crop!$D272)</f>
        <v>6.640433807303098</v>
      </c>
      <c r="E239" s="304">
        <f t="shared" si="48"/>
        <v>6.640433807303098</v>
      </c>
      <c r="F239" s="304">
        <f>IF(OR(A239&lt;A$3,A239&gt;A$7),"",Crop!U272)</f>
        <v>1.2</v>
      </c>
      <c r="G239" s="304">
        <f t="shared" si="49"/>
        <v>7.9685205687637168</v>
      </c>
      <c r="H239" s="309">
        <f>IF(OR(A239&lt;A$3,A239&gt;A$7),"",YTD!E236)</f>
        <v>135</v>
      </c>
      <c r="I239" s="310">
        <f t="shared" si="50"/>
        <v>554.03573001980919</v>
      </c>
      <c r="J239" s="311"/>
      <c r="K239" s="309">
        <f t="shared" si="51"/>
        <v>0</v>
      </c>
      <c r="L239" s="312" t="str">
        <f t="shared" si="55"/>
        <v/>
      </c>
      <c r="M239" s="366" t="str">
        <f t="shared" si="56"/>
        <v/>
      </c>
      <c r="N239" s="328" t="str">
        <f t="shared" si="46"/>
        <v/>
      </c>
      <c r="O239" s="313" t="str">
        <f t="shared" si="47"/>
        <v/>
      </c>
      <c r="P239" s="307"/>
      <c r="Q239" s="309">
        <f t="shared" si="57"/>
        <v>0.8</v>
      </c>
      <c r="R239" s="307"/>
      <c r="S239" s="314">
        <f t="shared" si="58"/>
        <v>11.2</v>
      </c>
      <c r="T239" s="304" t="str">
        <f t="shared" si="52"/>
        <v/>
      </c>
      <c r="U239" s="304">
        <f>IF(A239=YTD!B$6,E239,IF(OR(A239&lt;YTD!B$6,A239&gt;YTD!B$10),"",U238+E239))</f>
        <v>884.67901981034231</v>
      </c>
      <c r="V239" s="304">
        <f t="shared" si="59"/>
        <v>1044.0357300198091</v>
      </c>
      <c r="W239" s="315">
        <f>IF(I239="",#N/A,YTD!G$8-I239)</f>
        <v>-284.03573001980919</v>
      </c>
      <c r="X239" s="368">
        <f t="shared" si="53"/>
        <v>0</v>
      </c>
      <c r="Y239" s="368">
        <f t="shared" si="60"/>
        <v>4</v>
      </c>
      <c r="Z239" s="368" t="str">
        <f t="shared" si="54"/>
        <v/>
      </c>
      <c r="AA239" s="368">
        <v>224</v>
      </c>
      <c r="AB239" s="369">
        <f t="array" ref="AB239">SUM(IF(AA239=Z$16:Z$592,A$16:A$592,""))</f>
        <v>0</v>
      </c>
      <c r="AC239" s="370">
        <f t="array" ref="AC239">SUM(IF(AA239=Z$16:Z$592,J$16:J$592,""))</f>
        <v>0</v>
      </c>
      <c r="AD239" s="370">
        <f t="array" ref="AD239">SUM(IF($AA239=$Z$16:$Z$592,L$16:L$592,""))</f>
        <v>0</v>
      </c>
      <c r="AE239" s="370">
        <f t="array" ref="AE239">SUM(IF($AA239=$Z$16:$Z$592,M$16:M$592,""))</f>
        <v>0</v>
      </c>
      <c r="AF239" s="368">
        <f t="array" ref="AF239">SUM(IF($AA239=$Z$16:$Z$592,N$16:N$592,""))</f>
        <v>0</v>
      </c>
      <c r="AG239" s="370">
        <f t="array" ref="AG239">SUM(IF($AA239=$Z$16:$Z$592,O$16:O$592,""))</f>
        <v>0</v>
      </c>
      <c r="AH239" s="2"/>
      <c r="AI239" s="2"/>
      <c r="AJ239" s="2"/>
    </row>
    <row r="240" spans="1:36" x14ac:dyDescent="0.2">
      <c r="A240" s="306">
        <f>Crop!B273</f>
        <v>41864</v>
      </c>
      <c r="B240" s="307"/>
      <c r="C240" s="308"/>
      <c r="D240" s="304">
        <f>IF(OR($A240&lt;$A$3,$A240&gt;$A$7),"",Crop!$D273)</f>
        <v>6.6123911696046314</v>
      </c>
      <c r="E240" s="304">
        <f t="shared" si="48"/>
        <v>6.6123911696046314</v>
      </c>
      <c r="F240" s="304">
        <f>IF(OR(A240&lt;A$3,A240&gt;A$7),"",Crop!U273)</f>
        <v>1.2</v>
      </c>
      <c r="G240" s="304">
        <f t="shared" si="49"/>
        <v>7.9348694035255569</v>
      </c>
      <c r="H240" s="309">
        <f>IF(OR(A240&lt;A$3,A240&gt;A$7),"",YTD!E237)</f>
        <v>135</v>
      </c>
      <c r="I240" s="310">
        <f t="shared" si="50"/>
        <v>561.97059942333476</v>
      </c>
      <c r="J240" s="311"/>
      <c r="K240" s="309">
        <f t="shared" si="51"/>
        <v>0</v>
      </c>
      <c r="L240" s="312" t="str">
        <f t="shared" si="55"/>
        <v/>
      </c>
      <c r="M240" s="366" t="str">
        <f t="shared" si="56"/>
        <v/>
      </c>
      <c r="N240" s="328" t="str">
        <f t="shared" si="46"/>
        <v/>
      </c>
      <c r="O240" s="313" t="str">
        <f t="shared" si="47"/>
        <v/>
      </c>
      <c r="P240" s="307"/>
      <c r="Q240" s="309">
        <f t="shared" si="57"/>
        <v>0.8</v>
      </c>
      <c r="R240" s="307"/>
      <c r="S240" s="314">
        <f t="shared" si="58"/>
        <v>11.2</v>
      </c>
      <c r="T240" s="304" t="str">
        <f t="shared" si="52"/>
        <v/>
      </c>
      <c r="U240" s="304">
        <f>IF(A240=YTD!B$6,E240,IF(OR(A240&lt;YTD!B$6,A240&gt;YTD!B$10),"",U239+E240))</f>
        <v>891.29141097994693</v>
      </c>
      <c r="V240" s="304">
        <f t="shared" si="59"/>
        <v>1051.9705994233345</v>
      </c>
      <c r="W240" s="315">
        <f>IF(I240="",#N/A,YTD!G$8-I240)</f>
        <v>-291.97059942333476</v>
      </c>
      <c r="X240" s="368">
        <f t="shared" si="53"/>
        <v>0</v>
      </c>
      <c r="Y240" s="368">
        <f t="shared" si="60"/>
        <v>4</v>
      </c>
      <c r="Z240" s="368" t="str">
        <f t="shared" si="54"/>
        <v/>
      </c>
      <c r="AA240" s="368">
        <v>225</v>
      </c>
      <c r="AB240" s="369">
        <f t="array" ref="AB240">SUM(IF(AA240=Z$16:Z$592,A$16:A$592,""))</f>
        <v>0</v>
      </c>
      <c r="AC240" s="370">
        <f t="array" ref="AC240">SUM(IF(AA240=Z$16:Z$592,J$16:J$592,""))</f>
        <v>0</v>
      </c>
      <c r="AD240" s="370">
        <f t="array" ref="AD240">SUM(IF($AA240=$Z$16:$Z$592,L$16:L$592,""))</f>
        <v>0</v>
      </c>
      <c r="AE240" s="370">
        <f t="array" ref="AE240">SUM(IF($AA240=$Z$16:$Z$592,M$16:M$592,""))</f>
        <v>0</v>
      </c>
      <c r="AF240" s="368">
        <f t="array" ref="AF240">SUM(IF($AA240=$Z$16:$Z$592,N$16:N$592,""))</f>
        <v>0</v>
      </c>
      <c r="AG240" s="370">
        <f t="array" ref="AG240">SUM(IF($AA240=$Z$16:$Z$592,O$16:O$592,""))</f>
        <v>0</v>
      </c>
      <c r="AH240" s="2"/>
      <c r="AI240" s="2"/>
      <c r="AJ240" s="2"/>
    </row>
    <row r="241" spans="1:36" x14ac:dyDescent="0.2">
      <c r="A241" s="306">
        <f>Crop!B274</f>
        <v>41865</v>
      </c>
      <c r="B241" s="307"/>
      <c r="C241" s="308"/>
      <c r="D241" s="304">
        <f>IF(OR($A241&lt;$A$3,$A241&gt;$A$7),"",Crop!$D274)</f>
        <v>6.5836671085922021</v>
      </c>
      <c r="E241" s="304">
        <f t="shared" si="48"/>
        <v>6.5836671085922021</v>
      </c>
      <c r="F241" s="304">
        <f>IF(OR(A241&lt;A$3,A241&gt;A$7),"",Crop!U274)</f>
        <v>1.2</v>
      </c>
      <c r="G241" s="304">
        <f t="shared" si="49"/>
        <v>7.9004005303106419</v>
      </c>
      <c r="H241" s="309">
        <f>IF(OR(A241&lt;A$3,A241&gt;A$7),"",YTD!E238)</f>
        <v>135</v>
      </c>
      <c r="I241" s="310">
        <f t="shared" si="50"/>
        <v>569.87099995364542</v>
      </c>
      <c r="J241" s="311"/>
      <c r="K241" s="309">
        <f t="shared" si="51"/>
        <v>0</v>
      </c>
      <c r="L241" s="312" t="str">
        <f t="shared" si="55"/>
        <v/>
      </c>
      <c r="M241" s="366" t="str">
        <f t="shared" si="56"/>
        <v/>
      </c>
      <c r="N241" s="328" t="str">
        <f t="shared" si="46"/>
        <v/>
      </c>
      <c r="O241" s="313" t="str">
        <f t="shared" si="47"/>
        <v/>
      </c>
      <c r="P241" s="307"/>
      <c r="Q241" s="309">
        <f t="shared" si="57"/>
        <v>0.8</v>
      </c>
      <c r="R241" s="307"/>
      <c r="S241" s="314">
        <f t="shared" si="58"/>
        <v>11.2</v>
      </c>
      <c r="T241" s="304" t="str">
        <f t="shared" si="52"/>
        <v/>
      </c>
      <c r="U241" s="304">
        <f>IF(A241=YTD!B$6,E241,IF(OR(A241&lt;YTD!B$6,A241&gt;YTD!B$10),"",U240+E241))</f>
        <v>897.87507808853911</v>
      </c>
      <c r="V241" s="304">
        <f t="shared" si="59"/>
        <v>1059.8709999536452</v>
      </c>
      <c r="W241" s="315">
        <f>IF(I241="",#N/A,YTD!G$8-I241)</f>
        <v>-299.87099995364542</v>
      </c>
      <c r="X241" s="368">
        <f t="shared" si="53"/>
        <v>0</v>
      </c>
      <c r="Y241" s="368">
        <f t="shared" si="60"/>
        <v>4</v>
      </c>
      <c r="Z241" s="368" t="str">
        <f t="shared" si="54"/>
        <v/>
      </c>
      <c r="AA241" s="368">
        <v>226</v>
      </c>
      <c r="AB241" s="369">
        <f t="array" ref="AB241">SUM(IF(AA241=Z$16:Z$592,A$16:A$592,""))</f>
        <v>0</v>
      </c>
      <c r="AC241" s="370">
        <f t="array" ref="AC241">SUM(IF(AA241=Z$16:Z$592,J$16:J$592,""))</f>
        <v>0</v>
      </c>
      <c r="AD241" s="370">
        <f t="array" ref="AD241">SUM(IF($AA241=$Z$16:$Z$592,L$16:L$592,""))</f>
        <v>0</v>
      </c>
      <c r="AE241" s="370">
        <f t="array" ref="AE241">SUM(IF($AA241=$Z$16:$Z$592,M$16:M$592,""))</f>
        <v>0</v>
      </c>
      <c r="AF241" s="368">
        <f t="array" ref="AF241">SUM(IF($AA241=$Z$16:$Z$592,N$16:N$592,""))</f>
        <v>0</v>
      </c>
      <c r="AG241" s="370">
        <f t="array" ref="AG241">SUM(IF($AA241=$Z$16:$Z$592,O$16:O$592,""))</f>
        <v>0</v>
      </c>
      <c r="AH241" s="2"/>
      <c r="AI241" s="2"/>
      <c r="AJ241" s="2"/>
    </row>
    <row r="242" spans="1:36" x14ac:dyDescent="0.2">
      <c r="A242" s="306">
        <f>Crop!B275</f>
        <v>41866</v>
      </c>
      <c r="B242" s="307"/>
      <c r="C242" s="308"/>
      <c r="D242" s="304">
        <f>IF(OR($A242&lt;$A$3,$A242&gt;$A$7),"",Crop!$D275)</f>
        <v>6.5542715903806164</v>
      </c>
      <c r="E242" s="304">
        <f t="shared" si="48"/>
        <v>6.5542715903806164</v>
      </c>
      <c r="F242" s="304">
        <f>IF(OR(A242&lt;A$3,A242&gt;A$7),"",Crop!U275)</f>
        <v>1.2</v>
      </c>
      <c r="G242" s="304">
        <f t="shared" si="49"/>
        <v>7.8651259084567391</v>
      </c>
      <c r="H242" s="309">
        <f>IF(OR(A242&lt;A$3,A242&gt;A$7),"",YTD!E239)</f>
        <v>135</v>
      </c>
      <c r="I242" s="310">
        <f t="shared" si="50"/>
        <v>577.7361258621022</v>
      </c>
      <c r="J242" s="311"/>
      <c r="K242" s="309">
        <f t="shared" si="51"/>
        <v>0</v>
      </c>
      <c r="L242" s="312" t="str">
        <f t="shared" si="55"/>
        <v/>
      </c>
      <c r="M242" s="366" t="str">
        <f t="shared" si="56"/>
        <v/>
      </c>
      <c r="N242" s="328" t="str">
        <f t="shared" si="46"/>
        <v/>
      </c>
      <c r="O242" s="313" t="str">
        <f t="shared" si="47"/>
        <v/>
      </c>
      <c r="P242" s="307"/>
      <c r="Q242" s="309">
        <f t="shared" si="57"/>
        <v>0.8</v>
      </c>
      <c r="R242" s="307"/>
      <c r="S242" s="314">
        <f t="shared" si="58"/>
        <v>11.2</v>
      </c>
      <c r="T242" s="304" t="str">
        <f t="shared" si="52"/>
        <v/>
      </c>
      <c r="U242" s="304">
        <f>IF(A242=YTD!B$6,E242,IF(OR(A242&lt;YTD!B$6,A242&gt;YTD!B$10),"",U241+E242))</f>
        <v>904.42934967891972</v>
      </c>
      <c r="V242" s="304">
        <f t="shared" si="59"/>
        <v>1067.736125862102</v>
      </c>
      <c r="W242" s="315">
        <f>IF(I242="",#N/A,YTD!G$8-I242)</f>
        <v>-307.7361258621022</v>
      </c>
      <c r="X242" s="368">
        <f t="shared" si="53"/>
        <v>0</v>
      </c>
      <c r="Y242" s="368">
        <f t="shared" si="60"/>
        <v>4</v>
      </c>
      <c r="Z242" s="368" t="str">
        <f t="shared" si="54"/>
        <v/>
      </c>
      <c r="AA242" s="368">
        <v>227</v>
      </c>
      <c r="AB242" s="369">
        <f t="array" ref="AB242">SUM(IF(AA242=Z$16:Z$592,A$16:A$592,""))</f>
        <v>0</v>
      </c>
      <c r="AC242" s="370">
        <f t="array" ref="AC242">SUM(IF(AA242=Z$16:Z$592,J$16:J$592,""))</f>
        <v>0</v>
      </c>
      <c r="AD242" s="370">
        <f t="array" ref="AD242">SUM(IF($AA242=$Z$16:$Z$592,L$16:L$592,""))</f>
        <v>0</v>
      </c>
      <c r="AE242" s="370">
        <f t="array" ref="AE242">SUM(IF($AA242=$Z$16:$Z$592,M$16:M$592,""))</f>
        <v>0</v>
      </c>
      <c r="AF242" s="368">
        <f t="array" ref="AF242">SUM(IF($AA242=$Z$16:$Z$592,N$16:N$592,""))</f>
        <v>0</v>
      </c>
      <c r="AG242" s="370">
        <f t="array" ref="AG242">SUM(IF($AA242=$Z$16:$Z$592,O$16:O$592,""))</f>
        <v>0</v>
      </c>
      <c r="AH242" s="2"/>
      <c r="AI242" s="2"/>
      <c r="AJ242" s="2"/>
    </row>
    <row r="243" spans="1:36" x14ac:dyDescent="0.2">
      <c r="A243" s="306">
        <f>Crop!B276</f>
        <v>41867</v>
      </c>
      <c r="B243" s="307"/>
      <c r="C243" s="308"/>
      <c r="D243" s="304">
        <f>IF(OR($A243&lt;$A$3,$A243&gt;$A$7),"",Crop!$D276)</f>
        <v>6.5242145810846859</v>
      </c>
      <c r="E243" s="304">
        <f t="shared" si="48"/>
        <v>6.5242145810846859</v>
      </c>
      <c r="F243" s="304">
        <f>IF(OR(A243&lt;A$3,A243&gt;A$7),"",Crop!U276)</f>
        <v>1.2</v>
      </c>
      <c r="G243" s="304">
        <f t="shared" si="49"/>
        <v>7.8290574973016227</v>
      </c>
      <c r="H243" s="309">
        <f>IF(OR(A243&lt;A$3,A243&gt;A$7),"",YTD!E240)</f>
        <v>135</v>
      </c>
      <c r="I243" s="310">
        <f t="shared" si="50"/>
        <v>585.56518335940382</v>
      </c>
      <c r="J243" s="311"/>
      <c r="K243" s="309">
        <f t="shared" si="51"/>
        <v>0</v>
      </c>
      <c r="L243" s="312" t="str">
        <f t="shared" si="55"/>
        <v/>
      </c>
      <c r="M243" s="366" t="str">
        <f t="shared" si="56"/>
        <v/>
      </c>
      <c r="N243" s="328" t="str">
        <f t="shared" si="46"/>
        <v/>
      </c>
      <c r="O243" s="313" t="str">
        <f t="shared" si="47"/>
        <v/>
      </c>
      <c r="P243" s="307"/>
      <c r="Q243" s="309">
        <f t="shared" si="57"/>
        <v>0.8</v>
      </c>
      <c r="R243" s="307"/>
      <c r="S243" s="314">
        <f t="shared" si="58"/>
        <v>11.2</v>
      </c>
      <c r="T243" s="304" t="str">
        <f t="shared" si="52"/>
        <v/>
      </c>
      <c r="U243" s="304">
        <f>IF(A243=YTD!B$6,E243,IF(OR(A243&lt;YTD!B$6,A243&gt;YTD!B$10),"",U242+E243))</f>
        <v>910.95356426000444</v>
      </c>
      <c r="V243" s="304">
        <f t="shared" si="59"/>
        <v>1075.5651833594036</v>
      </c>
      <c r="W243" s="315">
        <f>IF(I243="",#N/A,YTD!G$8-I243)</f>
        <v>-315.56518335940382</v>
      </c>
      <c r="X243" s="368">
        <f t="shared" si="53"/>
        <v>0</v>
      </c>
      <c r="Y243" s="368">
        <f t="shared" si="60"/>
        <v>4</v>
      </c>
      <c r="Z243" s="368" t="str">
        <f t="shared" si="54"/>
        <v/>
      </c>
      <c r="AA243" s="368">
        <v>228</v>
      </c>
      <c r="AB243" s="369">
        <f t="array" ref="AB243">SUM(IF(AA243=Z$16:Z$592,A$16:A$592,""))</f>
        <v>0</v>
      </c>
      <c r="AC243" s="370">
        <f t="array" ref="AC243">SUM(IF(AA243=Z$16:Z$592,J$16:J$592,""))</f>
        <v>0</v>
      </c>
      <c r="AD243" s="370">
        <f t="array" ref="AD243">SUM(IF($AA243=$Z$16:$Z$592,L$16:L$592,""))</f>
        <v>0</v>
      </c>
      <c r="AE243" s="370">
        <f t="array" ref="AE243">SUM(IF($AA243=$Z$16:$Z$592,M$16:M$592,""))</f>
        <v>0</v>
      </c>
      <c r="AF243" s="368">
        <f t="array" ref="AF243">SUM(IF($AA243=$Z$16:$Z$592,N$16:N$592,""))</f>
        <v>0</v>
      </c>
      <c r="AG243" s="370">
        <f t="array" ref="AG243">SUM(IF($AA243=$Z$16:$Z$592,O$16:O$592,""))</f>
        <v>0</v>
      </c>
      <c r="AH243" s="2"/>
      <c r="AI243" s="2"/>
      <c r="AJ243" s="2"/>
    </row>
    <row r="244" spans="1:36" x14ac:dyDescent="0.2">
      <c r="A244" s="306">
        <f>Crop!B277</f>
        <v>41868</v>
      </c>
      <c r="B244" s="307"/>
      <c r="C244" s="308"/>
      <c r="D244" s="304">
        <f>IF(OR($A244&lt;$A$3,$A244&gt;$A$7),"",Crop!$D277)</f>
        <v>6.4935060468192152</v>
      </c>
      <c r="E244" s="304">
        <f t="shared" si="48"/>
        <v>6.4935060468192152</v>
      </c>
      <c r="F244" s="304">
        <f>IF(OR(A244&lt;A$3,A244&gt;A$7),"",Crop!U277)</f>
        <v>1.2</v>
      </c>
      <c r="G244" s="304">
        <f t="shared" si="49"/>
        <v>7.7922072561830582</v>
      </c>
      <c r="H244" s="309">
        <f>IF(OR(A244&lt;A$3,A244&gt;A$7),"",YTD!E241)</f>
        <v>135</v>
      </c>
      <c r="I244" s="310">
        <f t="shared" si="50"/>
        <v>593.35739061558684</v>
      </c>
      <c r="J244" s="311"/>
      <c r="K244" s="309">
        <f t="shared" si="51"/>
        <v>0</v>
      </c>
      <c r="L244" s="312" t="str">
        <f t="shared" si="55"/>
        <v/>
      </c>
      <c r="M244" s="366" t="str">
        <f t="shared" si="56"/>
        <v/>
      </c>
      <c r="N244" s="328" t="str">
        <f t="shared" si="46"/>
        <v/>
      </c>
      <c r="O244" s="313" t="str">
        <f t="shared" si="47"/>
        <v/>
      </c>
      <c r="P244" s="307"/>
      <c r="Q244" s="309">
        <f t="shared" si="57"/>
        <v>0.8</v>
      </c>
      <c r="R244" s="307"/>
      <c r="S244" s="314">
        <f t="shared" si="58"/>
        <v>11.2</v>
      </c>
      <c r="T244" s="304" t="str">
        <f t="shared" si="52"/>
        <v/>
      </c>
      <c r="U244" s="304">
        <f>IF(A244=YTD!B$6,E244,IF(OR(A244&lt;YTD!B$6,A244&gt;YTD!B$10),"",U243+E244))</f>
        <v>917.44707030682366</v>
      </c>
      <c r="V244" s="304">
        <f t="shared" si="59"/>
        <v>1083.3573906155866</v>
      </c>
      <c r="W244" s="315">
        <f>IF(I244="",#N/A,YTD!G$8-I244)</f>
        <v>-323.35739061558684</v>
      </c>
      <c r="X244" s="368">
        <f t="shared" si="53"/>
        <v>0</v>
      </c>
      <c r="Y244" s="368">
        <f t="shared" si="60"/>
        <v>4</v>
      </c>
      <c r="Z244" s="368" t="str">
        <f t="shared" si="54"/>
        <v/>
      </c>
      <c r="AA244" s="368">
        <v>229</v>
      </c>
      <c r="AB244" s="369">
        <f t="array" ref="AB244">SUM(IF(AA244=Z$16:Z$592,A$16:A$592,""))</f>
        <v>0</v>
      </c>
      <c r="AC244" s="370">
        <f t="array" ref="AC244">SUM(IF(AA244=Z$16:Z$592,J$16:J$592,""))</f>
        <v>0</v>
      </c>
      <c r="AD244" s="370">
        <f t="array" ref="AD244">SUM(IF($AA244=$Z$16:$Z$592,L$16:L$592,""))</f>
        <v>0</v>
      </c>
      <c r="AE244" s="370">
        <f t="array" ref="AE244">SUM(IF($AA244=$Z$16:$Z$592,M$16:M$592,""))</f>
        <v>0</v>
      </c>
      <c r="AF244" s="368">
        <f t="array" ref="AF244">SUM(IF($AA244=$Z$16:$Z$592,N$16:N$592,""))</f>
        <v>0</v>
      </c>
      <c r="AG244" s="370">
        <f t="array" ref="AG244">SUM(IF($AA244=$Z$16:$Z$592,O$16:O$592,""))</f>
        <v>0</v>
      </c>
      <c r="AH244" s="2"/>
      <c r="AI244" s="2"/>
      <c r="AJ244" s="2"/>
    </row>
    <row r="245" spans="1:36" x14ac:dyDescent="0.2">
      <c r="A245" s="306">
        <f>Crop!B278</f>
        <v>41869</v>
      </c>
      <c r="B245" s="307"/>
      <c r="C245" s="308"/>
      <c r="D245" s="304">
        <f>IF(OR($A245&lt;$A$3,$A245&gt;$A$7),"",Crop!$D278)</f>
        <v>6.4621570499376428</v>
      </c>
      <c r="E245" s="304">
        <f t="shared" si="48"/>
        <v>6.4621570499376428</v>
      </c>
      <c r="F245" s="304">
        <f>IF(OR(A245&lt;A$3,A245&gt;A$7),"",Crop!U278)</f>
        <v>1.2</v>
      </c>
      <c r="G245" s="304">
        <f t="shared" si="49"/>
        <v>7.7545884599251709</v>
      </c>
      <c r="H245" s="309">
        <f>IF(OR(A245&lt;A$3,A245&gt;A$7),"",YTD!E242)</f>
        <v>135</v>
      </c>
      <c r="I245" s="310">
        <f t="shared" si="50"/>
        <v>601.11197907551195</v>
      </c>
      <c r="J245" s="311"/>
      <c r="K245" s="309">
        <f t="shared" si="51"/>
        <v>0</v>
      </c>
      <c r="L245" s="312" t="str">
        <f t="shared" si="55"/>
        <v/>
      </c>
      <c r="M245" s="366" t="str">
        <f t="shared" si="56"/>
        <v/>
      </c>
      <c r="N245" s="328" t="str">
        <f t="shared" si="46"/>
        <v/>
      </c>
      <c r="O245" s="313" t="str">
        <f t="shared" si="47"/>
        <v/>
      </c>
      <c r="P245" s="307"/>
      <c r="Q245" s="309">
        <f t="shared" si="57"/>
        <v>0.8</v>
      </c>
      <c r="R245" s="307"/>
      <c r="S245" s="314">
        <f t="shared" si="58"/>
        <v>11.2</v>
      </c>
      <c r="T245" s="304" t="str">
        <f t="shared" si="52"/>
        <v/>
      </c>
      <c r="U245" s="304">
        <f>IF(A245=YTD!B$6,E245,IF(OR(A245&lt;YTD!B$6,A245&gt;YTD!B$10),"",U244+E245))</f>
        <v>923.90922735676133</v>
      </c>
      <c r="V245" s="304">
        <f t="shared" si="59"/>
        <v>1091.1119790755117</v>
      </c>
      <c r="W245" s="315">
        <f>IF(I245="",#N/A,YTD!G$8-I245)</f>
        <v>-331.11197907551195</v>
      </c>
      <c r="X245" s="368">
        <f t="shared" si="53"/>
        <v>0</v>
      </c>
      <c r="Y245" s="368">
        <f t="shared" si="60"/>
        <v>4</v>
      </c>
      <c r="Z245" s="368" t="str">
        <f t="shared" si="54"/>
        <v/>
      </c>
      <c r="AA245" s="368">
        <v>230</v>
      </c>
      <c r="AB245" s="369">
        <f t="array" ref="AB245">SUM(IF(AA245=Z$16:Z$592,A$16:A$592,""))</f>
        <v>0</v>
      </c>
      <c r="AC245" s="370">
        <f t="array" ref="AC245">SUM(IF(AA245=Z$16:Z$592,J$16:J$592,""))</f>
        <v>0</v>
      </c>
      <c r="AD245" s="370">
        <f t="array" ref="AD245">SUM(IF($AA245=$Z$16:$Z$592,L$16:L$592,""))</f>
        <v>0</v>
      </c>
      <c r="AE245" s="370">
        <f t="array" ref="AE245">SUM(IF($AA245=$Z$16:$Z$592,M$16:M$592,""))</f>
        <v>0</v>
      </c>
      <c r="AF245" s="368">
        <f t="array" ref="AF245">SUM(IF($AA245=$Z$16:$Z$592,N$16:N$592,""))</f>
        <v>0</v>
      </c>
      <c r="AG245" s="370">
        <f t="array" ref="AG245">SUM(IF($AA245=$Z$16:$Z$592,O$16:O$592,""))</f>
        <v>0</v>
      </c>
      <c r="AH245" s="2"/>
      <c r="AI245" s="2"/>
      <c r="AJ245" s="2"/>
    </row>
    <row r="246" spans="1:36" x14ac:dyDescent="0.2">
      <c r="A246" s="306">
        <f>Crop!B279</f>
        <v>41870</v>
      </c>
      <c r="B246" s="307"/>
      <c r="C246" s="308"/>
      <c r="D246" s="304">
        <f>IF(OR($A246&lt;$A$3,$A246&gt;$A$7),"",Crop!$D279)</f>
        <v>6.4301830377479163</v>
      </c>
      <c r="E246" s="304">
        <f t="shared" si="48"/>
        <v>6.4301830377479163</v>
      </c>
      <c r="F246" s="304">
        <f>IF(OR(A246&lt;A$3,A246&gt;A$7),"",Crop!U279)</f>
        <v>1.2</v>
      </c>
      <c r="G246" s="304">
        <f t="shared" si="49"/>
        <v>7.7162196452974996</v>
      </c>
      <c r="H246" s="309">
        <f>IF(OR(A246&lt;A$3,A246&gt;A$7),"",YTD!E243)</f>
        <v>135</v>
      </c>
      <c r="I246" s="310">
        <f t="shared" si="50"/>
        <v>608.8281987208095</v>
      </c>
      <c r="J246" s="311"/>
      <c r="K246" s="309">
        <f t="shared" si="51"/>
        <v>0</v>
      </c>
      <c r="L246" s="312" t="str">
        <f t="shared" si="55"/>
        <v/>
      </c>
      <c r="M246" s="366" t="str">
        <f t="shared" si="56"/>
        <v/>
      </c>
      <c r="N246" s="328" t="str">
        <f t="shared" si="46"/>
        <v/>
      </c>
      <c r="O246" s="313" t="str">
        <f t="shared" si="47"/>
        <v/>
      </c>
      <c r="P246" s="307"/>
      <c r="Q246" s="309">
        <f t="shared" si="57"/>
        <v>0.8</v>
      </c>
      <c r="R246" s="307"/>
      <c r="S246" s="314">
        <f t="shared" si="58"/>
        <v>11.2</v>
      </c>
      <c r="T246" s="304" t="str">
        <f t="shared" si="52"/>
        <v/>
      </c>
      <c r="U246" s="304">
        <f>IF(A246=YTD!B$6,E246,IF(OR(A246&lt;YTD!B$6,A246&gt;YTD!B$10),"",U245+E246))</f>
        <v>930.33941039450929</v>
      </c>
      <c r="V246" s="304">
        <f t="shared" si="59"/>
        <v>1098.8281987208093</v>
      </c>
      <c r="W246" s="315">
        <f>IF(I246="",#N/A,YTD!G$8-I246)</f>
        <v>-338.8281987208095</v>
      </c>
      <c r="X246" s="368">
        <f t="shared" si="53"/>
        <v>0</v>
      </c>
      <c r="Y246" s="368">
        <f t="shared" si="60"/>
        <v>4</v>
      </c>
      <c r="Z246" s="368" t="str">
        <f t="shared" si="54"/>
        <v/>
      </c>
      <c r="AA246" s="368">
        <v>231</v>
      </c>
      <c r="AB246" s="369">
        <f t="array" ref="AB246">SUM(IF(AA246=Z$16:Z$592,A$16:A$592,""))</f>
        <v>0</v>
      </c>
      <c r="AC246" s="370">
        <f t="array" ref="AC246">SUM(IF(AA246=Z$16:Z$592,J$16:J$592,""))</f>
        <v>0</v>
      </c>
      <c r="AD246" s="370">
        <f t="array" ref="AD246">SUM(IF($AA246=$Z$16:$Z$592,L$16:L$592,""))</f>
        <v>0</v>
      </c>
      <c r="AE246" s="370">
        <f t="array" ref="AE246">SUM(IF($AA246=$Z$16:$Z$592,M$16:M$592,""))</f>
        <v>0</v>
      </c>
      <c r="AF246" s="368">
        <f t="array" ref="AF246">SUM(IF($AA246=$Z$16:$Z$592,N$16:N$592,""))</f>
        <v>0</v>
      </c>
      <c r="AG246" s="370">
        <f t="array" ref="AG246">SUM(IF($AA246=$Z$16:$Z$592,O$16:O$592,""))</f>
        <v>0</v>
      </c>
      <c r="AH246" s="2"/>
      <c r="AI246" s="2"/>
      <c r="AJ246" s="2"/>
    </row>
    <row r="247" spans="1:36" x14ac:dyDescent="0.2">
      <c r="A247" s="306">
        <f>Crop!B280</f>
        <v>41871</v>
      </c>
      <c r="B247" s="307"/>
      <c r="C247" s="308"/>
      <c r="D247" s="304">
        <f>IF(OR($A247&lt;$A$3,$A247&gt;$A$7),"",Crop!$D280)</f>
        <v>6.3976005537966154</v>
      </c>
      <c r="E247" s="304">
        <f t="shared" si="48"/>
        <v>6.3976005537966154</v>
      </c>
      <c r="F247" s="304">
        <f>IF(OR(A247&lt;A$3,A247&gt;A$7),"",Crop!U280)</f>
        <v>1.2</v>
      </c>
      <c r="G247" s="304">
        <f t="shared" si="49"/>
        <v>7.6771206645559378</v>
      </c>
      <c r="H247" s="309">
        <f>IF(OR(A247&lt;A$3,A247&gt;A$7),"",YTD!E244)</f>
        <v>135</v>
      </c>
      <c r="I247" s="310">
        <f t="shared" si="50"/>
        <v>616.5053193853654</v>
      </c>
      <c r="J247" s="311"/>
      <c r="K247" s="309">
        <f t="shared" si="51"/>
        <v>0</v>
      </c>
      <c r="L247" s="312" t="str">
        <f t="shared" si="55"/>
        <v/>
      </c>
      <c r="M247" s="366" t="str">
        <f t="shared" si="56"/>
        <v/>
      </c>
      <c r="N247" s="328" t="str">
        <f t="shared" si="46"/>
        <v/>
      </c>
      <c r="O247" s="313" t="str">
        <f t="shared" si="47"/>
        <v/>
      </c>
      <c r="P247" s="307"/>
      <c r="Q247" s="309">
        <f t="shared" si="57"/>
        <v>0.8</v>
      </c>
      <c r="R247" s="307"/>
      <c r="S247" s="314">
        <f t="shared" si="58"/>
        <v>11.2</v>
      </c>
      <c r="T247" s="304" t="str">
        <f t="shared" si="52"/>
        <v/>
      </c>
      <c r="U247" s="304">
        <f>IF(A247=YTD!B$6,E247,IF(OR(A247&lt;YTD!B$6,A247&gt;YTD!B$10),"",U246+E247))</f>
        <v>936.73701094830585</v>
      </c>
      <c r="V247" s="304">
        <f t="shared" si="59"/>
        <v>1106.5053193853653</v>
      </c>
      <c r="W247" s="315">
        <f>IF(I247="",#N/A,YTD!G$8-I247)</f>
        <v>-346.5053193853654</v>
      </c>
      <c r="X247" s="368">
        <f t="shared" si="53"/>
        <v>0</v>
      </c>
      <c r="Y247" s="368">
        <f t="shared" si="60"/>
        <v>4</v>
      </c>
      <c r="Z247" s="368" t="str">
        <f t="shared" si="54"/>
        <v/>
      </c>
      <c r="AA247" s="368">
        <v>232</v>
      </c>
      <c r="AB247" s="369">
        <f t="array" ref="AB247">SUM(IF(AA247=Z$16:Z$592,A$16:A$592,""))</f>
        <v>0</v>
      </c>
      <c r="AC247" s="370">
        <f t="array" ref="AC247">SUM(IF(AA247=Z$16:Z$592,J$16:J$592,""))</f>
        <v>0</v>
      </c>
      <c r="AD247" s="370">
        <f t="array" ref="AD247">SUM(IF($AA247=$Z$16:$Z$592,L$16:L$592,""))</f>
        <v>0</v>
      </c>
      <c r="AE247" s="370">
        <f t="array" ref="AE247">SUM(IF($AA247=$Z$16:$Z$592,M$16:M$592,""))</f>
        <v>0</v>
      </c>
      <c r="AF247" s="368">
        <f t="array" ref="AF247">SUM(IF($AA247=$Z$16:$Z$592,N$16:N$592,""))</f>
        <v>0</v>
      </c>
      <c r="AG247" s="370">
        <f t="array" ref="AG247">SUM(IF($AA247=$Z$16:$Z$592,O$16:O$592,""))</f>
        <v>0</v>
      </c>
      <c r="AH247" s="2"/>
      <c r="AI247" s="2"/>
      <c r="AJ247" s="2"/>
    </row>
    <row r="248" spans="1:36" x14ac:dyDescent="0.2">
      <c r="A248" s="306">
        <f>Crop!B281</f>
        <v>41872</v>
      </c>
      <c r="B248" s="307"/>
      <c r="C248" s="308"/>
      <c r="D248" s="304">
        <f>IF(OR($A248&lt;$A$3,$A248&gt;$A$7),"",Crop!$D281)</f>
        <v>6.3644261416303154</v>
      </c>
      <c r="E248" s="304">
        <f t="shared" si="48"/>
        <v>6.3644261416303154</v>
      </c>
      <c r="F248" s="304">
        <f>IF(OR(A248&lt;A$3,A248&gt;A$7),"",Crop!U281)</f>
        <v>1.2</v>
      </c>
      <c r="G248" s="304">
        <f t="shared" si="49"/>
        <v>7.6373113699563779</v>
      </c>
      <c r="H248" s="309">
        <f>IF(OR(A248&lt;A$3,A248&gt;A$7),"",YTD!E245)</f>
        <v>135</v>
      </c>
      <c r="I248" s="310">
        <f t="shared" si="50"/>
        <v>524.14263075532176</v>
      </c>
      <c r="J248" s="311">
        <v>100</v>
      </c>
      <c r="K248" s="309">
        <f t="shared" si="51"/>
        <v>0</v>
      </c>
      <c r="L248" s="312">
        <f t="shared" si="55"/>
        <v>125</v>
      </c>
      <c r="M248" s="366">
        <f t="shared" si="56"/>
        <v>138.88888888888889</v>
      </c>
      <c r="N248" s="328">
        <f t="shared" si="46"/>
        <v>12</v>
      </c>
      <c r="O248" s="313">
        <f t="shared" si="47"/>
        <v>24.047619047619122</v>
      </c>
      <c r="P248" s="307"/>
      <c r="Q248" s="309">
        <f t="shared" si="57"/>
        <v>0.8</v>
      </c>
      <c r="R248" s="307"/>
      <c r="S248" s="314">
        <f t="shared" si="58"/>
        <v>11.2</v>
      </c>
      <c r="T248" s="304" t="str">
        <f t="shared" si="52"/>
        <v/>
      </c>
      <c r="U248" s="304">
        <f>IF(A248=YTD!B$6,E248,IF(OR(A248&lt;YTD!B$6,A248&gt;YTD!B$10),"",U247+E248))</f>
        <v>943.10143708993621</v>
      </c>
      <c r="V248" s="304">
        <f t="shared" si="59"/>
        <v>1114.1426307553218</v>
      </c>
      <c r="W248" s="315">
        <f>IF(I248="",#N/A,YTD!G$8-I248)</f>
        <v>-254.14263075532176</v>
      </c>
      <c r="X248" s="368">
        <f t="shared" si="53"/>
        <v>1</v>
      </c>
      <c r="Y248" s="368">
        <f t="shared" si="60"/>
        <v>5</v>
      </c>
      <c r="Z248" s="368">
        <f t="shared" si="54"/>
        <v>5</v>
      </c>
      <c r="AA248" s="368">
        <v>233</v>
      </c>
      <c r="AB248" s="369">
        <f t="array" ref="AB248">SUM(IF(AA248=Z$16:Z$592,A$16:A$592,""))</f>
        <v>0</v>
      </c>
      <c r="AC248" s="370">
        <f t="array" ref="AC248">SUM(IF(AA248=Z$16:Z$592,J$16:J$592,""))</f>
        <v>0</v>
      </c>
      <c r="AD248" s="370">
        <f t="array" ref="AD248">SUM(IF($AA248=$Z$16:$Z$592,L$16:L$592,""))</f>
        <v>0</v>
      </c>
      <c r="AE248" s="370">
        <f t="array" ref="AE248">SUM(IF($AA248=$Z$16:$Z$592,M$16:M$592,""))</f>
        <v>0</v>
      </c>
      <c r="AF248" s="368">
        <f t="array" ref="AF248">SUM(IF($AA248=$Z$16:$Z$592,N$16:N$592,""))</f>
        <v>0</v>
      </c>
      <c r="AG248" s="370">
        <f t="array" ref="AG248">SUM(IF($AA248=$Z$16:$Z$592,O$16:O$592,""))</f>
        <v>0</v>
      </c>
      <c r="AH248" s="2"/>
      <c r="AI248" s="2"/>
      <c r="AJ248" s="2"/>
    </row>
    <row r="249" spans="1:36" x14ac:dyDescent="0.2">
      <c r="A249" s="306">
        <f>Crop!B282</f>
        <v>41873</v>
      </c>
      <c r="B249" s="307"/>
      <c r="C249" s="308"/>
      <c r="D249" s="304">
        <f>IF(OR($A249&lt;$A$3,$A249&gt;$A$7),"",Crop!$D282)</f>
        <v>6.3306763447955943</v>
      </c>
      <c r="E249" s="304">
        <f t="shared" si="48"/>
        <v>6.3306763447955943</v>
      </c>
      <c r="F249" s="304">
        <f>IF(OR(A249&lt;A$3,A249&gt;A$7),"",Crop!U282)</f>
        <v>1.2</v>
      </c>
      <c r="G249" s="304">
        <f t="shared" si="49"/>
        <v>7.5968116137547126</v>
      </c>
      <c r="H249" s="309">
        <f>IF(OR(A249&lt;A$3,A249&gt;A$7),"",YTD!E246)</f>
        <v>135</v>
      </c>
      <c r="I249" s="310">
        <f t="shared" si="50"/>
        <v>531.73944236907653</v>
      </c>
      <c r="J249" s="311"/>
      <c r="K249" s="309">
        <f t="shared" si="51"/>
        <v>0</v>
      </c>
      <c r="L249" s="312" t="str">
        <f t="shared" si="55"/>
        <v/>
      </c>
      <c r="M249" s="366" t="str">
        <f t="shared" si="56"/>
        <v/>
      </c>
      <c r="N249" s="328" t="str">
        <f t="shared" si="46"/>
        <v/>
      </c>
      <c r="O249" s="313" t="str">
        <f t="shared" si="47"/>
        <v/>
      </c>
      <c r="P249" s="307"/>
      <c r="Q249" s="309">
        <f t="shared" si="57"/>
        <v>0.8</v>
      </c>
      <c r="R249" s="307"/>
      <c r="S249" s="314">
        <f t="shared" si="58"/>
        <v>11.2</v>
      </c>
      <c r="T249" s="304" t="str">
        <f t="shared" si="52"/>
        <v/>
      </c>
      <c r="U249" s="304">
        <f>IF(A249=YTD!B$6,E249,IF(OR(A249&lt;YTD!B$6,A249&gt;YTD!B$10),"",U248+E249))</f>
        <v>949.43211343473183</v>
      </c>
      <c r="V249" s="304">
        <f t="shared" si="59"/>
        <v>1121.7394423690764</v>
      </c>
      <c r="W249" s="315">
        <f>IF(I249="",#N/A,YTD!G$8-I249)</f>
        <v>-261.73944236907653</v>
      </c>
      <c r="X249" s="368">
        <f t="shared" si="53"/>
        <v>0</v>
      </c>
      <c r="Y249" s="368">
        <f t="shared" si="60"/>
        <v>5</v>
      </c>
      <c r="Z249" s="368" t="str">
        <f t="shared" si="54"/>
        <v/>
      </c>
      <c r="AA249" s="368">
        <v>234</v>
      </c>
      <c r="AB249" s="369">
        <f t="array" ref="AB249">SUM(IF(AA249=Z$16:Z$592,A$16:A$592,""))</f>
        <v>0</v>
      </c>
      <c r="AC249" s="370">
        <f t="array" ref="AC249">SUM(IF(AA249=Z$16:Z$592,J$16:J$592,""))</f>
        <v>0</v>
      </c>
      <c r="AD249" s="370">
        <f t="array" ref="AD249">SUM(IF($AA249=$Z$16:$Z$592,L$16:L$592,""))</f>
        <v>0</v>
      </c>
      <c r="AE249" s="370">
        <f t="array" ref="AE249">SUM(IF($AA249=$Z$16:$Z$592,M$16:M$592,""))</f>
        <v>0</v>
      </c>
      <c r="AF249" s="368">
        <f t="array" ref="AF249">SUM(IF($AA249=$Z$16:$Z$592,N$16:N$592,""))</f>
        <v>0</v>
      </c>
      <c r="AG249" s="370">
        <f t="array" ref="AG249">SUM(IF($AA249=$Z$16:$Z$592,O$16:O$592,""))</f>
        <v>0</v>
      </c>
      <c r="AH249" s="2"/>
      <c r="AI249" s="2"/>
      <c r="AJ249" s="2"/>
    </row>
    <row r="250" spans="1:36" x14ac:dyDescent="0.2">
      <c r="A250" s="306">
        <f>Crop!B283</f>
        <v>41874</v>
      </c>
      <c r="B250" s="307"/>
      <c r="C250" s="308"/>
      <c r="D250" s="304">
        <f>IF(OR($A250&lt;$A$3,$A250&gt;$A$7),"",Crop!$D283)</f>
        <v>6.29636770683903</v>
      </c>
      <c r="E250" s="304">
        <f t="shared" si="48"/>
        <v>6.29636770683903</v>
      </c>
      <c r="F250" s="304">
        <f>IF(OR(A250&lt;A$3,A250&gt;A$7),"",Crop!U283)</f>
        <v>1.2</v>
      </c>
      <c r="G250" s="304">
        <f t="shared" si="49"/>
        <v>7.555641248206836</v>
      </c>
      <c r="H250" s="309">
        <f>IF(OR(A250&lt;A$3,A250&gt;A$7),"",YTD!E247)</f>
        <v>135</v>
      </c>
      <c r="I250" s="310">
        <f t="shared" si="50"/>
        <v>539.29508361728335</v>
      </c>
      <c r="J250" s="311"/>
      <c r="K250" s="309">
        <f t="shared" si="51"/>
        <v>0</v>
      </c>
      <c r="L250" s="312" t="str">
        <f t="shared" si="55"/>
        <v/>
      </c>
      <c r="M250" s="366" t="str">
        <f t="shared" si="56"/>
        <v/>
      </c>
      <c r="N250" s="328" t="str">
        <f t="shared" si="46"/>
        <v/>
      </c>
      <c r="O250" s="313" t="str">
        <f t="shared" si="47"/>
        <v/>
      </c>
      <c r="P250" s="307"/>
      <c r="Q250" s="309">
        <f t="shared" si="57"/>
        <v>0.8</v>
      </c>
      <c r="R250" s="307"/>
      <c r="S250" s="314">
        <f t="shared" si="58"/>
        <v>11.2</v>
      </c>
      <c r="T250" s="304" t="str">
        <f t="shared" si="52"/>
        <v/>
      </c>
      <c r="U250" s="304">
        <f>IF(A250=YTD!B$6,E250,IF(OR(A250&lt;YTD!B$6,A250&gt;YTD!B$10),"",U249+E250))</f>
        <v>955.72848114157091</v>
      </c>
      <c r="V250" s="304">
        <f t="shared" si="59"/>
        <v>1129.2950836172834</v>
      </c>
      <c r="W250" s="315">
        <f>IF(I250="",#N/A,YTD!G$8-I250)</f>
        <v>-269.29508361728335</v>
      </c>
      <c r="X250" s="368">
        <f t="shared" si="53"/>
        <v>0</v>
      </c>
      <c r="Y250" s="368">
        <f t="shared" si="60"/>
        <v>5</v>
      </c>
      <c r="Z250" s="368" t="str">
        <f t="shared" si="54"/>
        <v/>
      </c>
      <c r="AA250" s="368">
        <v>235</v>
      </c>
      <c r="AB250" s="369">
        <f t="array" ref="AB250">SUM(IF(AA250=Z$16:Z$592,A$16:A$592,""))</f>
        <v>0</v>
      </c>
      <c r="AC250" s="370">
        <f t="array" ref="AC250">SUM(IF(AA250=Z$16:Z$592,J$16:J$592,""))</f>
        <v>0</v>
      </c>
      <c r="AD250" s="370">
        <f t="array" ref="AD250">SUM(IF($AA250=$Z$16:$Z$592,L$16:L$592,""))</f>
        <v>0</v>
      </c>
      <c r="AE250" s="370">
        <f t="array" ref="AE250">SUM(IF($AA250=$Z$16:$Z$592,M$16:M$592,""))</f>
        <v>0</v>
      </c>
      <c r="AF250" s="368">
        <f t="array" ref="AF250">SUM(IF($AA250=$Z$16:$Z$592,N$16:N$592,""))</f>
        <v>0</v>
      </c>
      <c r="AG250" s="370">
        <f t="array" ref="AG250">SUM(IF($AA250=$Z$16:$Z$592,O$16:O$592,""))</f>
        <v>0</v>
      </c>
      <c r="AH250" s="2"/>
      <c r="AI250" s="2"/>
      <c r="AJ250" s="2"/>
    </row>
    <row r="251" spans="1:36" x14ac:dyDescent="0.2">
      <c r="A251" s="306">
        <f>Crop!B284</f>
        <v>41875</v>
      </c>
      <c r="B251" s="307"/>
      <c r="C251" s="308"/>
      <c r="D251" s="304">
        <f>IF(OR($A251&lt;$A$3,$A251&gt;$A$7),"",Crop!$D284)</f>
        <v>6.2615167713071997</v>
      </c>
      <c r="E251" s="304">
        <f t="shared" si="48"/>
        <v>6.2615167713071997</v>
      </c>
      <c r="F251" s="304">
        <f>IF(OR(A251&lt;A$3,A251&gt;A$7),"",Crop!U284)</f>
        <v>1.2</v>
      </c>
      <c r="G251" s="304">
        <f t="shared" si="49"/>
        <v>7.513820125568639</v>
      </c>
      <c r="H251" s="309">
        <f>IF(OR(A251&lt;A$3,A251&gt;A$7),"",YTD!E248)</f>
        <v>135</v>
      </c>
      <c r="I251" s="310">
        <f t="shared" si="50"/>
        <v>546.80890374285195</v>
      </c>
      <c r="J251" s="311"/>
      <c r="K251" s="309">
        <f t="shared" si="51"/>
        <v>0</v>
      </c>
      <c r="L251" s="312" t="str">
        <f t="shared" si="55"/>
        <v/>
      </c>
      <c r="M251" s="366" t="str">
        <f t="shared" si="56"/>
        <v/>
      </c>
      <c r="N251" s="328" t="str">
        <f t="shared" si="46"/>
        <v/>
      </c>
      <c r="O251" s="313" t="str">
        <f t="shared" si="47"/>
        <v/>
      </c>
      <c r="P251" s="307"/>
      <c r="Q251" s="309">
        <f t="shared" si="57"/>
        <v>0.8</v>
      </c>
      <c r="R251" s="307"/>
      <c r="S251" s="314">
        <f t="shared" si="58"/>
        <v>11.2</v>
      </c>
      <c r="T251" s="304" t="str">
        <f t="shared" si="52"/>
        <v/>
      </c>
      <c r="U251" s="304">
        <f>IF(A251=YTD!B$6,E251,IF(OR(A251&lt;YTD!B$6,A251&gt;YTD!B$10),"",U250+E251))</f>
        <v>961.98999791287815</v>
      </c>
      <c r="V251" s="304">
        <f t="shared" si="59"/>
        <v>1136.808903742852</v>
      </c>
      <c r="W251" s="315">
        <f>IF(I251="",#N/A,YTD!G$8-I251)</f>
        <v>-276.80890374285195</v>
      </c>
      <c r="X251" s="368">
        <f t="shared" si="53"/>
        <v>0</v>
      </c>
      <c r="Y251" s="368">
        <f t="shared" si="60"/>
        <v>5</v>
      </c>
      <c r="Z251" s="368" t="str">
        <f t="shared" si="54"/>
        <v/>
      </c>
      <c r="AA251" s="368">
        <v>236</v>
      </c>
      <c r="AB251" s="369">
        <f t="array" ref="AB251">SUM(IF(AA251=Z$16:Z$592,A$16:A$592,""))</f>
        <v>0</v>
      </c>
      <c r="AC251" s="370">
        <f t="array" ref="AC251">SUM(IF(AA251=Z$16:Z$592,J$16:J$592,""))</f>
        <v>0</v>
      </c>
      <c r="AD251" s="370">
        <f t="array" ref="AD251">SUM(IF($AA251=$Z$16:$Z$592,L$16:L$592,""))</f>
        <v>0</v>
      </c>
      <c r="AE251" s="370">
        <f t="array" ref="AE251">SUM(IF($AA251=$Z$16:$Z$592,M$16:M$592,""))</f>
        <v>0</v>
      </c>
      <c r="AF251" s="368">
        <f t="array" ref="AF251">SUM(IF($AA251=$Z$16:$Z$592,N$16:N$592,""))</f>
        <v>0</v>
      </c>
      <c r="AG251" s="370">
        <f t="array" ref="AG251">SUM(IF($AA251=$Z$16:$Z$592,O$16:O$592,""))</f>
        <v>0</v>
      </c>
      <c r="AH251" s="2"/>
      <c r="AI251" s="2"/>
      <c r="AJ251" s="2"/>
    </row>
    <row r="252" spans="1:36" x14ac:dyDescent="0.2">
      <c r="A252" s="306">
        <f>Crop!B285</f>
        <v>41876</v>
      </c>
      <c r="B252" s="307"/>
      <c r="C252" s="308"/>
      <c r="D252" s="304">
        <f>IF(OR($A252&lt;$A$3,$A252&gt;$A$7),"",Crop!$D285)</f>
        <v>6.2261400817466814</v>
      </c>
      <c r="E252" s="304">
        <f t="shared" si="48"/>
        <v>6.2261400817466814</v>
      </c>
      <c r="F252" s="304">
        <f>IF(OR(A252&lt;A$3,A252&gt;A$7),"",Crop!U285)</f>
        <v>1.2</v>
      </c>
      <c r="G252" s="304">
        <f t="shared" si="49"/>
        <v>7.4713680980960175</v>
      </c>
      <c r="H252" s="309">
        <f>IF(OR(A252&lt;A$3,A252&gt;A$7),"",YTD!E249)</f>
        <v>135</v>
      </c>
      <c r="I252" s="310">
        <f t="shared" si="50"/>
        <v>554.28027184094799</v>
      </c>
      <c r="J252" s="311"/>
      <c r="K252" s="309">
        <f t="shared" si="51"/>
        <v>0</v>
      </c>
      <c r="L252" s="312" t="str">
        <f t="shared" si="55"/>
        <v/>
      </c>
      <c r="M252" s="366" t="str">
        <f t="shared" si="56"/>
        <v/>
      </c>
      <c r="N252" s="328" t="str">
        <f t="shared" ref="N252:N315" si="61">IF(L252="","",INT(M252/S252))</f>
        <v/>
      </c>
      <c r="O252" s="313" t="str">
        <f t="shared" ref="O252:O315" si="62">IF(N252="","",MOD(M252/S252,N252)*60)</f>
        <v/>
      </c>
      <c r="P252" s="307"/>
      <c r="Q252" s="309">
        <f t="shared" si="57"/>
        <v>0.8</v>
      </c>
      <c r="R252" s="307"/>
      <c r="S252" s="314">
        <f t="shared" si="58"/>
        <v>11.2</v>
      </c>
      <c r="T252" s="304" t="str">
        <f t="shared" si="52"/>
        <v/>
      </c>
      <c r="U252" s="304">
        <f>IF(A252=YTD!B$6,E252,IF(OR(A252&lt;YTD!B$6,A252&gt;YTD!B$10),"",U251+E252))</f>
        <v>968.21613799462489</v>
      </c>
      <c r="V252" s="304">
        <f t="shared" si="59"/>
        <v>1144.280271840948</v>
      </c>
      <c r="W252" s="315">
        <f>IF(I252="",#N/A,YTD!G$8-I252)</f>
        <v>-284.28027184094799</v>
      </c>
      <c r="X252" s="368">
        <f t="shared" si="53"/>
        <v>0</v>
      </c>
      <c r="Y252" s="368">
        <f t="shared" si="60"/>
        <v>5</v>
      </c>
      <c r="Z252" s="368" t="str">
        <f t="shared" si="54"/>
        <v/>
      </c>
      <c r="AA252" s="368">
        <v>237</v>
      </c>
      <c r="AB252" s="369">
        <f t="array" ref="AB252">SUM(IF(AA252=Z$16:Z$592,A$16:A$592,""))</f>
        <v>0</v>
      </c>
      <c r="AC252" s="370">
        <f t="array" ref="AC252">SUM(IF(AA252=Z$16:Z$592,J$16:J$592,""))</f>
        <v>0</v>
      </c>
      <c r="AD252" s="370">
        <f t="array" ref="AD252">SUM(IF($AA252=$Z$16:$Z$592,L$16:L$592,""))</f>
        <v>0</v>
      </c>
      <c r="AE252" s="370">
        <f t="array" ref="AE252">SUM(IF($AA252=$Z$16:$Z$592,M$16:M$592,""))</f>
        <v>0</v>
      </c>
      <c r="AF252" s="368">
        <f t="array" ref="AF252">SUM(IF($AA252=$Z$16:$Z$592,N$16:N$592,""))</f>
        <v>0</v>
      </c>
      <c r="AG252" s="370">
        <f t="array" ref="AG252">SUM(IF($AA252=$Z$16:$Z$592,O$16:O$592,""))</f>
        <v>0</v>
      </c>
      <c r="AH252" s="2"/>
      <c r="AI252" s="2"/>
      <c r="AJ252" s="2"/>
    </row>
    <row r="253" spans="1:36" x14ac:dyDescent="0.2">
      <c r="A253" s="306">
        <f>Crop!B286</f>
        <v>41877</v>
      </c>
      <c r="B253" s="307"/>
      <c r="C253" s="308"/>
      <c r="D253" s="304">
        <f>IF(OR($A253&lt;$A$3,$A253&gt;$A$7),"",Crop!$D286)</f>
        <v>6.1902541817040513</v>
      </c>
      <c r="E253" s="304">
        <f t="shared" si="48"/>
        <v>6.1902541817040513</v>
      </c>
      <c r="F253" s="304">
        <f>IF(OR(A253&lt;A$3,A253&gt;A$7),"",Crop!U286)</f>
        <v>1.2</v>
      </c>
      <c r="G253" s="304">
        <f t="shared" si="49"/>
        <v>7.4283050180448615</v>
      </c>
      <c r="H253" s="309">
        <f>IF(OR(A253&lt;A$3,A253&gt;A$7),"",YTD!E250)</f>
        <v>135</v>
      </c>
      <c r="I253" s="310">
        <f t="shared" si="50"/>
        <v>561.70857685899284</v>
      </c>
      <c r="J253" s="311"/>
      <c r="K253" s="309">
        <f t="shared" si="51"/>
        <v>0</v>
      </c>
      <c r="L253" s="312" t="str">
        <f t="shared" si="55"/>
        <v/>
      </c>
      <c r="M253" s="366" t="str">
        <f t="shared" si="56"/>
        <v/>
      </c>
      <c r="N253" s="328" t="str">
        <f t="shared" si="61"/>
        <v/>
      </c>
      <c r="O253" s="313" t="str">
        <f t="shared" si="62"/>
        <v/>
      </c>
      <c r="P253" s="307"/>
      <c r="Q253" s="309">
        <f t="shared" si="57"/>
        <v>0.8</v>
      </c>
      <c r="R253" s="307"/>
      <c r="S253" s="314">
        <f t="shared" si="58"/>
        <v>11.2</v>
      </c>
      <c r="T253" s="304" t="str">
        <f t="shared" si="52"/>
        <v/>
      </c>
      <c r="U253" s="304">
        <f>IF(A253=YTD!B$6,E253,IF(OR(A253&lt;YTD!B$6,A253&gt;YTD!B$10),"",U252+E253))</f>
        <v>974.40639217632895</v>
      </c>
      <c r="V253" s="304">
        <f t="shared" si="59"/>
        <v>1151.708576858993</v>
      </c>
      <c r="W253" s="315">
        <f>IF(I253="",#N/A,YTD!G$8-I253)</f>
        <v>-291.70857685899284</v>
      </c>
      <c r="X253" s="368">
        <f t="shared" si="53"/>
        <v>0</v>
      </c>
      <c r="Y253" s="368">
        <f t="shared" si="60"/>
        <v>5</v>
      </c>
      <c r="Z253" s="368" t="str">
        <f t="shared" si="54"/>
        <v/>
      </c>
      <c r="AA253" s="368">
        <v>238</v>
      </c>
      <c r="AB253" s="369">
        <f t="array" ref="AB253">SUM(IF(AA253=Z$16:Z$592,A$16:A$592,""))</f>
        <v>0</v>
      </c>
      <c r="AC253" s="370">
        <f t="array" ref="AC253">SUM(IF(AA253=Z$16:Z$592,J$16:J$592,""))</f>
        <v>0</v>
      </c>
      <c r="AD253" s="370">
        <f t="array" ref="AD253">SUM(IF($AA253=$Z$16:$Z$592,L$16:L$592,""))</f>
        <v>0</v>
      </c>
      <c r="AE253" s="370">
        <f t="array" ref="AE253">SUM(IF($AA253=$Z$16:$Z$592,M$16:M$592,""))</f>
        <v>0</v>
      </c>
      <c r="AF253" s="368">
        <f t="array" ref="AF253">SUM(IF($AA253=$Z$16:$Z$592,N$16:N$592,""))</f>
        <v>0</v>
      </c>
      <c r="AG253" s="370">
        <f t="array" ref="AG253">SUM(IF($AA253=$Z$16:$Z$592,O$16:O$592,""))</f>
        <v>0</v>
      </c>
      <c r="AH253" s="2"/>
      <c r="AI253" s="2"/>
      <c r="AJ253" s="2"/>
    </row>
    <row r="254" spans="1:36" x14ac:dyDescent="0.2">
      <c r="A254" s="306">
        <f>Crop!B287</f>
        <v>41878</v>
      </c>
      <c r="B254" s="307"/>
      <c r="C254" s="308"/>
      <c r="D254" s="304">
        <f>IF(OR($A254&lt;$A$3,$A254&gt;$A$7),"",Crop!$D287)</f>
        <v>6.1538756147258864</v>
      </c>
      <c r="E254" s="304">
        <f t="shared" si="48"/>
        <v>6.1538756147258864</v>
      </c>
      <c r="F254" s="304">
        <f>IF(OR(A254&lt;A$3,A254&gt;A$7),"",Crop!U287)</f>
        <v>1.2</v>
      </c>
      <c r="G254" s="304">
        <f t="shared" si="49"/>
        <v>7.3846507376710635</v>
      </c>
      <c r="H254" s="309">
        <f>IF(OR(A254&lt;A$3,A254&gt;A$7),"",YTD!E251)</f>
        <v>135</v>
      </c>
      <c r="I254" s="310">
        <f t="shared" si="50"/>
        <v>569.09322759666395</v>
      </c>
      <c r="J254" s="311"/>
      <c r="K254" s="309">
        <f t="shared" si="51"/>
        <v>0</v>
      </c>
      <c r="L254" s="312" t="str">
        <f t="shared" si="55"/>
        <v/>
      </c>
      <c r="M254" s="366" t="str">
        <f t="shared" si="56"/>
        <v/>
      </c>
      <c r="N254" s="328" t="str">
        <f t="shared" si="61"/>
        <v/>
      </c>
      <c r="O254" s="313" t="str">
        <f t="shared" si="62"/>
        <v/>
      </c>
      <c r="P254" s="307"/>
      <c r="Q254" s="309">
        <f t="shared" si="57"/>
        <v>0.8</v>
      </c>
      <c r="R254" s="307"/>
      <c r="S254" s="314">
        <f t="shared" si="58"/>
        <v>11.2</v>
      </c>
      <c r="T254" s="304" t="str">
        <f t="shared" si="52"/>
        <v/>
      </c>
      <c r="U254" s="304">
        <f>IF(A254=YTD!B$6,E254,IF(OR(A254&lt;YTD!B$6,A254&gt;YTD!B$10),"",U253+E254))</f>
        <v>980.5602677910548</v>
      </c>
      <c r="V254" s="304">
        <f t="shared" si="59"/>
        <v>1159.0932275966641</v>
      </c>
      <c r="W254" s="315">
        <f>IF(I254="",#N/A,YTD!G$8-I254)</f>
        <v>-299.09322759666395</v>
      </c>
      <c r="X254" s="368">
        <f t="shared" si="53"/>
        <v>0</v>
      </c>
      <c r="Y254" s="368">
        <f t="shared" si="60"/>
        <v>5</v>
      </c>
      <c r="Z254" s="368" t="str">
        <f t="shared" si="54"/>
        <v/>
      </c>
      <c r="AA254" s="368">
        <v>239</v>
      </c>
      <c r="AB254" s="369">
        <f t="array" ref="AB254">SUM(IF(AA254=Z$16:Z$592,A$16:A$592,""))</f>
        <v>0</v>
      </c>
      <c r="AC254" s="370">
        <f t="array" ref="AC254">SUM(IF(AA254=Z$16:Z$592,J$16:J$592,""))</f>
        <v>0</v>
      </c>
      <c r="AD254" s="370">
        <f t="array" ref="AD254">SUM(IF($AA254=$Z$16:$Z$592,L$16:L$592,""))</f>
        <v>0</v>
      </c>
      <c r="AE254" s="370">
        <f t="array" ref="AE254">SUM(IF($AA254=$Z$16:$Z$592,M$16:M$592,""))</f>
        <v>0</v>
      </c>
      <c r="AF254" s="368">
        <f t="array" ref="AF254">SUM(IF($AA254=$Z$16:$Z$592,N$16:N$592,""))</f>
        <v>0</v>
      </c>
      <c r="AG254" s="370">
        <f t="array" ref="AG254">SUM(IF($AA254=$Z$16:$Z$592,O$16:O$592,""))</f>
        <v>0</v>
      </c>
      <c r="AH254" s="2"/>
      <c r="AI254" s="2"/>
      <c r="AJ254" s="2"/>
    </row>
    <row r="255" spans="1:36" x14ac:dyDescent="0.2">
      <c r="A255" s="306">
        <f>Crop!B288</f>
        <v>41879</v>
      </c>
      <c r="B255" s="307"/>
      <c r="C255" s="308"/>
      <c r="D255" s="304">
        <f>IF(OR($A255&lt;$A$3,$A255&gt;$A$7),"",Crop!$D288)</f>
        <v>6.1170209243587665</v>
      </c>
      <c r="E255" s="304">
        <f t="shared" si="48"/>
        <v>6.1170209243587665</v>
      </c>
      <c r="F255" s="304">
        <f>IF(OR(A255&lt;A$3,A255&gt;A$7),"",Crop!U288)</f>
        <v>1.2</v>
      </c>
      <c r="G255" s="304">
        <f t="shared" si="49"/>
        <v>7.3404251092305195</v>
      </c>
      <c r="H255" s="309">
        <f>IF(OR(A255&lt;A$3,A255&gt;A$7),"",YTD!E252)</f>
        <v>135</v>
      </c>
      <c r="I255" s="310">
        <f t="shared" si="50"/>
        <v>576.43365270589447</v>
      </c>
      <c r="J255" s="311"/>
      <c r="K255" s="309">
        <f t="shared" si="51"/>
        <v>0</v>
      </c>
      <c r="L255" s="312" t="str">
        <f t="shared" si="55"/>
        <v/>
      </c>
      <c r="M255" s="366" t="str">
        <f t="shared" si="56"/>
        <v/>
      </c>
      <c r="N255" s="328" t="str">
        <f t="shared" si="61"/>
        <v/>
      </c>
      <c r="O255" s="313" t="str">
        <f t="shared" si="62"/>
        <v/>
      </c>
      <c r="P255" s="307"/>
      <c r="Q255" s="309">
        <f t="shared" si="57"/>
        <v>0.8</v>
      </c>
      <c r="R255" s="307"/>
      <c r="S255" s="314">
        <f t="shared" si="58"/>
        <v>11.2</v>
      </c>
      <c r="T255" s="304" t="str">
        <f t="shared" si="52"/>
        <v/>
      </c>
      <c r="U255" s="304">
        <f>IF(A255=YTD!B$6,E255,IF(OR(A255&lt;YTD!B$6,A255&gt;YTD!B$10),"",U254+E255))</f>
        <v>986.67728871541351</v>
      </c>
      <c r="V255" s="304">
        <f t="shared" si="59"/>
        <v>1166.4336527058945</v>
      </c>
      <c r="W255" s="315">
        <f>IF(I255="",#N/A,YTD!G$8-I255)</f>
        <v>-306.43365270589447</v>
      </c>
      <c r="X255" s="368">
        <f t="shared" si="53"/>
        <v>0</v>
      </c>
      <c r="Y255" s="368">
        <f t="shared" si="60"/>
        <v>5</v>
      </c>
      <c r="Z255" s="368" t="str">
        <f t="shared" si="54"/>
        <v/>
      </c>
      <c r="AA255" s="368">
        <v>240</v>
      </c>
      <c r="AB255" s="369">
        <f t="array" ref="AB255">SUM(IF(AA255=Z$16:Z$592,A$16:A$592,""))</f>
        <v>0</v>
      </c>
      <c r="AC255" s="370">
        <f t="array" ref="AC255">SUM(IF(AA255=Z$16:Z$592,J$16:J$592,""))</f>
        <v>0</v>
      </c>
      <c r="AD255" s="370">
        <f t="array" ref="AD255">SUM(IF($AA255=$Z$16:$Z$592,L$16:L$592,""))</f>
        <v>0</v>
      </c>
      <c r="AE255" s="370">
        <f t="array" ref="AE255">SUM(IF($AA255=$Z$16:$Z$592,M$16:M$592,""))</f>
        <v>0</v>
      </c>
      <c r="AF255" s="368">
        <f t="array" ref="AF255">SUM(IF($AA255=$Z$16:$Z$592,N$16:N$592,""))</f>
        <v>0</v>
      </c>
      <c r="AG255" s="370">
        <f t="array" ref="AG255">SUM(IF($AA255=$Z$16:$Z$592,O$16:O$592,""))</f>
        <v>0</v>
      </c>
      <c r="AH255" s="2"/>
      <c r="AI255" s="2"/>
      <c r="AJ255" s="2"/>
    </row>
    <row r="256" spans="1:36" x14ac:dyDescent="0.2">
      <c r="A256" s="306">
        <f>Crop!B289</f>
        <v>41880</v>
      </c>
      <c r="B256" s="307"/>
      <c r="C256" s="308"/>
      <c r="D256" s="304">
        <f>IF(OR($A256&lt;$A$3,$A256&gt;$A$7),"",Crop!$D289)</f>
        <v>6.0797066541492688</v>
      </c>
      <c r="E256" s="304">
        <f t="shared" si="48"/>
        <v>6.0797066541492688</v>
      </c>
      <c r="F256" s="304">
        <f>IF(OR(A256&lt;A$3,A256&gt;A$7),"",Crop!U289)</f>
        <v>1.2</v>
      </c>
      <c r="G256" s="304">
        <f t="shared" si="49"/>
        <v>7.295647984979122</v>
      </c>
      <c r="H256" s="309">
        <f>IF(OR(A256&lt;A$3,A256&gt;A$7),"",YTD!E253)</f>
        <v>135</v>
      </c>
      <c r="I256" s="310">
        <f t="shared" si="50"/>
        <v>583.72930069087363</v>
      </c>
      <c r="J256" s="311"/>
      <c r="K256" s="309">
        <f t="shared" si="51"/>
        <v>0</v>
      </c>
      <c r="L256" s="312" t="str">
        <f t="shared" si="55"/>
        <v/>
      </c>
      <c r="M256" s="366" t="str">
        <f t="shared" si="56"/>
        <v/>
      </c>
      <c r="N256" s="328" t="str">
        <f t="shared" si="61"/>
        <v/>
      </c>
      <c r="O256" s="313" t="str">
        <f t="shared" si="62"/>
        <v/>
      </c>
      <c r="P256" s="307"/>
      <c r="Q256" s="309">
        <f t="shared" si="57"/>
        <v>0.8</v>
      </c>
      <c r="R256" s="307"/>
      <c r="S256" s="314">
        <f t="shared" si="58"/>
        <v>11.2</v>
      </c>
      <c r="T256" s="304" t="str">
        <f t="shared" si="52"/>
        <v/>
      </c>
      <c r="U256" s="304">
        <f>IF(A256=YTD!B$6,E256,IF(OR(A256&lt;YTD!B$6,A256&gt;YTD!B$10),"",U255+E256))</f>
        <v>992.75699536956279</v>
      </c>
      <c r="V256" s="304">
        <f t="shared" si="59"/>
        <v>1173.7293006908735</v>
      </c>
      <c r="W256" s="315">
        <f>IF(I256="",#N/A,YTD!G$8-I256)</f>
        <v>-313.72930069087363</v>
      </c>
      <c r="X256" s="368">
        <f t="shared" si="53"/>
        <v>0</v>
      </c>
      <c r="Y256" s="368">
        <f t="shared" si="60"/>
        <v>5</v>
      </c>
      <c r="Z256" s="368" t="str">
        <f t="shared" si="54"/>
        <v/>
      </c>
      <c r="AA256" s="368">
        <v>241</v>
      </c>
      <c r="AB256" s="369">
        <f t="array" ref="AB256">SUM(IF(AA256=Z$16:Z$592,A$16:A$592,""))</f>
        <v>0</v>
      </c>
      <c r="AC256" s="370">
        <f t="array" ref="AC256">SUM(IF(AA256=Z$16:Z$592,J$16:J$592,""))</f>
        <v>0</v>
      </c>
      <c r="AD256" s="370">
        <f t="array" ref="AD256">SUM(IF($AA256=$Z$16:$Z$592,L$16:L$592,""))</f>
        <v>0</v>
      </c>
      <c r="AE256" s="370">
        <f t="array" ref="AE256">SUM(IF($AA256=$Z$16:$Z$592,M$16:M$592,""))</f>
        <v>0</v>
      </c>
      <c r="AF256" s="368">
        <f t="array" ref="AF256">SUM(IF($AA256=$Z$16:$Z$592,N$16:N$592,""))</f>
        <v>0</v>
      </c>
      <c r="AG256" s="370">
        <f t="array" ref="AG256">SUM(IF($AA256=$Z$16:$Z$592,O$16:O$592,""))</f>
        <v>0</v>
      </c>
      <c r="AH256" s="2"/>
      <c r="AI256" s="2"/>
      <c r="AJ256" s="2"/>
    </row>
    <row r="257" spans="1:36" x14ac:dyDescent="0.2">
      <c r="A257" s="306">
        <f>Crop!B290</f>
        <v>41881</v>
      </c>
      <c r="B257" s="307"/>
      <c r="C257" s="308"/>
      <c r="D257" s="304">
        <f>IF(OR($A257&lt;$A$3,$A257&gt;$A$7),"",Crop!$D290)</f>
        <v>6.0419493476439676</v>
      </c>
      <c r="E257" s="304">
        <f t="shared" si="48"/>
        <v>6.0419493476439676</v>
      </c>
      <c r="F257" s="304">
        <f>IF(OR(A257&lt;A$3,A257&gt;A$7),"",Crop!U290)</f>
        <v>1.2</v>
      </c>
      <c r="G257" s="304">
        <f t="shared" si="49"/>
        <v>7.250339217172761</v>
      </c>
      <c r="H257" s="309">
        <f>IF(OR(A257&lt;A$3,A257&gt;A$7),"",YTD!E254)</f>
        <v>135</v>
      </c>
      <c r="I257" s="310">
        <f t="shared" si="50"/>
        <v>590.97963990804635</v>
      </c>
      <c r="J257" s="311"/>
      <c r="K257" s="309">
        <f t="shared" si="51"/>
        <v>0</v>
      </c>
      <c r="L257" s="312" t="str">
        <f t="shared" si="55"/>
        <v/>
      </c>
      <c r="M257" s="366" t="str">
        <f t="shared" si="56"/>
        <v/>
      </c>
      <c r="N257" s="328" t="str">
        <f t="shared" si="61"/>
        <v/>
      </c>
      <c r="O257" s="313" t="str">
        <f t="shared" si="62"/>
        <v/>
      </c>
      <c r="P257" s="307"/>
      <c r="Q257" s="309">
        <f t="shared" si="57"/>
        <v>0.8</v>
      </c>
      <c r="R257" s="307"/>
      <c r="S257" s="314">
        <f t="shared" si="58"/>
        <v>11.2</v>
      </c>
      <c r="T257" s="304" t="str">
        <f t="shared" si="52"/>
        <v/>
      </c>
      <c r="U257" s="304">
        <f>IF(A257=YTD!B$6,E257,IF(OR(A257&lt;YTD!B$6,A257&gt;YTD!B$10),"",U256+E257))</f>
        <v>998.79894471720672</v>
      </c>
      <c r="V257" s="304">
        <f t="shared" si="59"/>
        <v>1180.9796399080462</v>
      </c>
      <c r="W257" s="315">
        <f>IF(I257="",#N/A,YTD!G$8-I257)</f>
        <v>-320.97963990804635</v>
      </c>
      <c r="X257" s="368">
        <f t="shared" si="53"/>
        <v>0</v>
      </c>
      <c r="Y257" s="368">
        <f t="shared" si="60"/>
        <v>5</v>
      </c>
      <c r="Z257" s="368" t="str">
        <f t="shared" si="54"/>
        <v/>
      </c>
      <c r="AA257" s="368">
        <v>242</v>
      </c>
      <c r="AB257" s="369">
        <f t="array" ref="AB257">SUM(IF(AA257=Z$16:Z$592,A$16:A$592,""))</f>
        <v>0</v>
      </c>
      <c r="AC257" s="370">
        <f t="array" ref="AC257">SUM(IF(AA257=Z$16:Z$592,J$16:J$592,""))</f>
        <v>0</v>
      </c>
      <c r="AD257" s="370">
        <f t="array" ref="AD257">SUM(IF($AA257=$Z$16:$Z$592,L$16:L$592,""))</f>
        <v>0</v>
      </c>
      <c r="AE257" s="370">
        <f t="array" ref="AE257">SUM(IF($AA257=$Z$16:$Z$592,M$16:M$592,""))</f>
        <v>0</v>
      </c>
      <c r="AF257" s="368">
        <f t="array" ref="AF257">SUM(IF($AA257=$Z$16:$Z$592,N$16:N$592,""))</f>
        <v>0</v>
      </c>
      <c r="AG257" s="370">
        <f t="array" ref="AG257">SUM(IF($AA257=$Z$16:$Z$592,O$16:O$592,""))</f>
        <v>0</v>
      </c>
      <c r="AH257" s="2"/>
      <c r="AI257" s="2"/>
      <c r="AJ257" s="2"/>
    </row>
    <row r="258" spans="1:36" x14ac:dyDescent="0.2">
      <c r="A258" s="306">
        <f>Crop!B291</f>
        <v>41882</v>
      </c>
      <c r="B258" s="307"/>
      <c r="C258" s="308"/>
      <c r="D258" s="304">
        <f>IF(OR($A258&lt;$A$3,$A258&gt;$A$7),"",Crop!$D291)</f>
        <v>6.0037655483894437</v>
      </c>
      <c r="E258" s="304">
        <f t="shared" si="48"/>
        <v>6.0037655483894437</v>
      </c>
      <c r="F258" s="304">
        <f>IF(OR(A258&lt;A$3,A258&gt;A$7),"",Crop!U291)</f>
        <v>1.2</v>
      </c>
      <c r="G258" s="304">
        <f t="shared" si="49"/>
        <v>7.2045186580673324</v>
      </c>
      <c r="H258" s="309">
        <f>IF(OR(A258&lt;A$3,A258&gt;A$7),"",YTD!E255)</f>
        <v>135</v>
      </c>
      <c r="I258" s="310">
        <f t="shared" si="50"/>
        <v>598.18415856611364</v>
      </c>
      <c r="J258" s="311"/>
      <c r="K258" s="309">
        <f t="shared" si="51"/>
        <v>0</v>
      </c>
      <c r="L258" s="312" t="str">
        <f t="shared" si="55"/>
        <v/>
      </c>
      <c r="M258" s="366" t="str">
        <f t="shared" si="56"/>
        <v/>
      </c>
      <c r="N258" s="328" t="str">
        <f t="shared" si="61"/>
        <v/>
      </c>
      <c r="O258" s="313" t="str">
        <f t="shared" si="62"/>
        <v/>
      </c>
      <c r="P258" s="307"/>
      <c r="Q258" s="309">
        <f t="shared" si="57"/>
        <v>0.8</v>
      </c>
      <c r="R258" s="307"/>
      <c r="S258" s="314">
        <f t="shared" si="58"/>
        <v>11.2</v>
      </c>
      <c r="T258" s="304" t="str">
        <f t="shared" si="52"/>
        <v/>
      </c>
      <c r="U258" s="304">
        <f>IF(A258=YTD!B$6,E258,IF(OR(A258&lt;YTD!B$6,A258&gt;YTD!B$10),"",U257+E258))</f>
        <v>1004.8027102655961</v>
      </c>
      <c r="V258" s="304">
        <f t="shared" si="59"/>
        <v>1188.1841585661136</v>
      </c>
      <c r="W258" s="315">
        <f>IF(I258="",#N/A,YTD!G$8-I258)</f>
        <v>-328.18415856611364</v>
      </c>
      <c r="X258" s="368">
        <f t="shared" si="53"/>
        <v>0</v>
      </c>
      <c r="Y258" s="368">
        <f t="shared" si="60"/>
        <v>5</v>
      </c>
      <c r="Z258" s="368" t="str">
        <f t="shared" si="54"/>
        <v/>
      </c>
      <c r="AA258" s="368">
        <v>243</v>
      </c>
      <c r="AB258" s="369">
        <f t="array" ref="AB258">SUM(IF(AA258=Z$16:Z$592,A$16:A$592,""))</f>
        <v>0</v>
      </c>
      <c r="AC258" s="370">
        <f t="array" ref="AC258">SUM(IF(AA258=Z$16:Z$592,J$16:J$592,""))</f>
        <v>0</v>
      </c>
      <c r="AD258" s="370">
        <f t="array" ref="AD258">SUM(IF($AA258=$Z$16:$Z$592,L$16:L$592,""))</f>
        <v>0</v>
      </c>
      <c r="AE258" s="370">
        <f t="array" ref="AE258">SUM(IF($AA258=$Z$16:$Z$592,M$16:M$592,""))</f>
        <v>0</v>
      </c>
      <c r="AF258" s="368">
        <f t="array" ref="AF258">SUM(IF($AA258=$Z$16:$Z$592,N$16:N$592,""))</f>
        <v>0</v>
      </c>
      <c r="AG258" s="370">
        <f t="array" ref="AG258">SUM(IF($AA258=$Z$16:$Z$592,O$16:O$592,""))</f>
        <v>0</v>
      </c>
      <c r="AH258" s="2"/>
      <c r="AI258" s="2"/>
      <c r="AJ258" s="2"/>
    </row>
    <row r="259" spans="1:36" x14ac:dyDescent="0.2">
      <c r="A259" s="306">
        <f>Crop!B292</f>
        <v>41883</v>
      </c>
      <c r="B259" s="307"/>
      <c r="C259" s="308"/>
      <c r="D259" s="304">
        <f>IF(OR($A259&lt;$A$3,$A259&gt;$A$7),"",Crop!$D292)</f>
        <v>5.9651717999322722</v>
      </c>
      <c r="E259" s="304">
        <f t="shared" si="48"/>
        <v>5.9651717999322722</v>
      </c>
      <c r="F259" s="304">
        <f>IF(OR(A259&lt;A$3,A259&gt;A$7),"",Crop!U292)</f>
        <v>1.2</v>
      </c>
      <c r="G259" s="304">
        <f t="shared" si="49"/>
        <v>7.1582061599187261</v>
      </c>
      <c r="H259" s="309">
        <f>IF(OR(A259&lt;A$3,A259&gt;A$7),"",YTD!E256)</f>
        <v>135</v>
      </c>
      <c r="I259" s="310">
        <f t="shared" si="50"/>
        <v>605.34236472603232</v>
      </c>
      <c r="J259" s="311"/>
      <c r="K259" s="309">
        <f t="shared" si="51"/>
        <v>0</v>
      </c>
      <c r="L259" s="312" t="str">
        <f t="shared" si="55"/>
        <v/>
      </c>
      <c r="M259" s="366" t="str">
        <f t="shared" si="56"/>
        <v/>
      </c>
      <c r="N259" s="328" t="str">
        <f t="shared" si="61"/>
        <v/>
      </c>
      <c r="O259" s="313" t="str">
        <f t="shared" si="62"/>
        <v/>
      </c>
      <c r="P259" s="307"/>
      <c r="Q259" s="309">
        <f t="shared" si="57"/>
        <v>0.8</v>
      </c>
      <c r="R259" s="307"/>
      <c r="S259" s="314">
        <f t="shared" si="58"/>
        <v>11.2</v>
      </c>
      <c r="T259" s="304" t="str">
        <f t="shared" si="52"/>
        <v/>
      </c>
      <c r="U259" s="304">
        <f>IF(A259=YTD!B$6,E259,IF(OR(A259&lt;YTD!B$6,A259&gt;YTD!B$10),"",U258+E259))</f>
        <v>1010.7678820655284</v>
      </c>
      <c r="V259" s="304">
        <f t="shared" si="59"/>
        <v>1195.3423647260324</v>
      </c>
      <c r="W259" s="315">
        <f>IF(I259="",#N/A,YTD!G$8-I259)</f>
        <v>-335.34236472603232</v>
      </c>
      <c r="X259" s="368">
        <f t="shared" si="53"/>
        <v>0</v>
      </c>
      <c r="Y259" s="368">
        <f t="shared" si="60"/>
        <v>5</v>
      </c>
      <c r="Z259" s="368" t="str">
        <f t="shared" si="54"/>
        <v/>
      </c>
      <c r="AA259" s="368">
        <v>244</v>
      </c>
      <c r="AB259" s="369">
        <f t="array" ref="AB259">SUM(IF(AA259=Z$16:Z$592,A$16:A$592,""))</f>
        <v>0</v>
      </c>
      <c r="AC259" s="370">
        <f t="array" ref="AC259">SUM(IF(AA259=Z$16:Z$592,J$16:J$592,""))</f>
        <v>0</v>
      </c>
      <c r="AD259" s="370">
        <f t="array" ref="AD259">SUM(IF($AA259=$Z$16:$Z$592,L$16:L$592,""))</f>
        <v>0</v>
      </c>
      <c r="AE259" s="370">
        <f t="array" ref="AE259">SUM(IF($AA259=$Z$16:$Z$592,M$16:M$592,""))</f>
        <v>0</v>
      </c>
      <c r="AF259" s="368">
        <f t="array" ref="AF259">SUM(IF($AA259=$Z$16:$Z$592,N$16:N$592,""))</f>
        <v>0</v>
      </c>
      <c r="AG259" s="370">
        <f t="array" ref="AG259">SUM(IF($AA259=$Z$16:$Z$592,O$16:O$592,""))</f>
        <v>0</v>
      </c>
      <c r="AH259" s="2"/>
      <c r="AI259" s="2"/>
      <c r="AJ259" s="2"/>
    </row>
    <row r="260" spans="1:36" x14ac:dyDescent="0.2">
      <c r="A260" s="306">
        <f>Crop!B293</f>
        <v>41884</v>
      </c>
      <c r="B260" s="307"/>
      <c r="C260" s="308"/>
      <c r="D260" s="304">
        <f>IF(OR($A260&lt;$A$3,$A260&gt;$A$7),"",Crop!$D293)</f>
        <v>5.9261846458190321</v>
      </c>
      <c r="E260" s="304">
        <f t="shared" si="48"/>
        <v>5.9261846458190321</v>
      </c>
      <c r="F260" s="304">
        <f>IF(OR(A260&lt;A$3,A260&gt;A$7),"",Crop!U293)</f>
        <v>1.2</v>
      </c>
      <c r="G260" s="304">
        <f t="shared" si="49"/>
        <v>7.1114215749828382</v>
      </c>
      <c r="H260" s="309">
        <f>IF(OR(A260&lt;A$3,A260&gt;A$7),"",YTD!E257)</f>
        <v>135</v>
      </c>
      <c r="I260" s="310">
        <f t="shared" si="50"/>
        <v>612.45378630101516</v>
      </c>
      <c r="J260" s="311"/>
      <c r="K260" s="309">
        <f t="shared" si="51"/>
        <v>0</v>
      </c>
      <c r="L260" s="312" t="str">
        <f t="shared" si="55"/>
        <v/>
      </c>
      <c r="M260" s="366" t="str">
        <f t="shared" si="56"/>
        <v/>
      </c>
      <c r="N260" s="328" t="str">
        <f t="shared" si="61"/>
        <v/>
      </c>
      <c r="O260" s="313" t="str">
        <f t="shared" si="62"/>
        <v/>
      </c>
      <c r="P260" s="307"/>
      <c r="Q260" s="309">
        <f t="shared" si="57"/>
        <v>0.8</v>
      </c>
      <c r="R260" s="307"/>
      <c r="S260" s="314">
        <f t="shared" si="58"/>
        <v>11.2</v>
      </c>
      <c r="T260" s="304" t="str">
        <f t="shared" si="52"/>
        <v/>
      </c>
      <c r="U260" s="304">
        <f>IF(A260=YTD!B$6,E260,IF(OR(A260&lt;YTD!B$6,A260&gt;YTD!B$10),"",U259+E260))</f>
        <v>1016.6940667113474</v>
      </c>
      <c r="V260" s="304">
        <f t="shared" si="59"/>
        <v>1202.4537863010153</v>
      </c>
      <c r="W260" s="315">
        <f>IF(I260="",#N/A,YTD!G$8-I260)</f>
        <v>-342.45378630101516</v>
      </c>
      <c r="X260" s="368">
        <f t="shared" si="53"/>
        <v>0</v>
      </c>
      <c r="Y260" s="368">
        <f t="shared" si="60"/>
        <v>5</v>
      </c>
      <c r="Z260" s="368" t="str">
        <f t="shared" si="54"/>
        <v/>
      </c>
      <c r="AA260" s="368">
        <v>245</v>
      </c>
      <c r="AB260" s="369">
        <f t="array" ref="AB260">SUM(IF(AA260=Z$16:Z$592,A$16:A$592,""))</f>
        <v>0</v>
      </c>
      <c r="AC260" s="370">
        <f t="array" ref="AC260">SUM(IF(AA260=Z$16:Z$592,J$16:J$592,""))</f>
        <v>0</v>
      </c>
      <c r="AD260" s="370">
        <f t="array" ref="AD260">SUM(IF($AA260=$Z$16:$Z$592,L$16:L$592,""))</f>
        <v>0</v>
      </c>
      <c r="AE260" s="370">
        <f t="array" ref="AE260">SUM(IF($AA260=$Z$16:$Z$592,M$16:M$592,""))</f>
        <v>0</v>
      </c>
      <c r="AF260" s="368">
        <f t="array" ref="AF260">SUM(IF($AA260=$Z$16:$Z$592,N$16:N$592,""))</f>
        <v>0</v>
      </c>
      <c r="AG260" s="370">
        <f t="array" ref="AG260">SUM(IF($AA260=$Z$16:$Z$592,O$16:O$592,""))</f>
        <v>0</v>
      </c>
      <c r="AH260" s="2"/>
      <c r="AI260" s="2"/>
      <c r="AJ260" s="2"/>
    </row>
    <row r="261" spans="1:36" x14ac:dyDescent="0.2">
      <c r="A261" s="306">
        <f>Crop!B294</f>
        <v>41885</v>
      </c>
      <c r="B261" s="307"/>
      <c r="C261" s="308"/>
      <c r="D261" s="304">
        <f>IF(OR($A261&lt;$A$3,$A261&gt;$A$7),"",Crop!$D294)</f>
        <v>5.8868206295962997</v>
      </c>
      <c r="E261" s="304">
        <f t="shared" si="48"/>
        <v>5.8868206295962997</v>
      </c>
      <c r="F261" s="304">
        <f>IF(OR(A261&lt;A$3,A261&gt;A$7),"",Crop!U294)</f>
        <v>1.2</v>
      </c>
      <c r="G261" s="304">
        <f t="shared" si="49"/>
        <v>7.0641847555155595</v>
      </c>
      <c r="H261" s="309">
        <f>IF(OR(A261&lt;A$3,A261&gt;A$7),"",YTD!E258)</f>
        <v>135</v>
      </c>
      <c r="I261" s="310">
        <f t="shared" si="50"/>
        <v>619.51797105653077</v>
      </c>
      <c r="J261" s="311"/>
      <c r="K261" s="309">
        <f t="shared" si="51"/>
        <v>0</v>
      </c>
      <c r="L261" s="312" t="str">
        <f t="shared" si="55"/>
        <v/>
      </c>
      <c r="M261" s="366" t="str">
        <f t="shared" si="56"/>
        <v/>
      </c>
      <c r="N261" s="328" t="str">
        <f t="shared" si="61"/>
        <v/>
      </c>
      <c r="O261" s="313" t="str">
        <f t="shared" si="62"/>
        <v/>
      </c>
      <c r="P261" s="307"/>
      <c r="Q261" s="309">
        <f t="shared" si="57"/>
        <v>0.8</v>
      </c>
      <c r="R261" s="307"/>
      <c r="S261" s="314">
        <f t="shared" si="58"/>
        <v>11.2</v>
      </c>
      <c r="T261" s="304" t="str">
        <f t="shared" si="52"/>
        <v/>
      </c>
      <c r="U261" s="304">
        <f>IF(A261=YTD!B$6,E261,IF(OR(A261&lt;YTD!B$6,A261&gt;YTD!B$10),"",U260+E261))</f>
        <v>1022.5808873409437</v>
      </c>
      <c r="V261" s="304">
        <f t="shared" si="59"/>
        <v>1209.5179710565308</v>
      </c>
      <c r="W261" s="315">
        <f>IF(I261="",#N/A,YTD!G$8-I261)</f>
        <v>-349.51797105653077</v>
      </c>
      <c r="X261" s="368">
        <f t="shared" si="53"/>
        <v>0</v>
      </c>
      <c r="Y261" s="368">
        <f t="shared" si="60"/>
        <v>5</v>
      </c>
      <c r="Z261" s="368" t="str">
        <f t="shared" si="54"/>
        <v/>
      </c>
      <c r="AA261" s="368">
        <v>246</v>
      </c>
      <c r="AB261" s="369">
        <f t="array" ref="AB261">SUM(IF(AA261=Z$16:Z$592,A$16:A$592,""))</f>
        <v>0</v>
      </c>
      <c r="AC261" s="370">
        <f t="array" ref="AC261">SUM(IF(AA261=Z$16:Z$592,J$16:J$592,""))</f>
        <v>0</v>
      </c>
      <c r="AD261" s="370">
        <f t="array" ref="AD261">SUM(IF($AA261=$Z$16:$Z$592,L$16:L$592,""))</f>
        <v>0</v>
      </c>
      <c r="AE261" s="370">
        <f t="array" ref="AE261">SUM(IF($AA261=$Z$16:$Z$592,M$16:M$592,""))</f>
        <v>0</v>
      </c>
      <c r="AF261" s="368">
        <f t="array" ref="AF261">SUM(IF($AA261=$Z$16:$Z$592,N$16:N$592,""))</f>
        <v>0</v>
      </c>
      <c r="AG261" s="370">
        <f t="array" ref="AG261">SUM(IF($AA261=$Z$16:$Z$592,O$16:O$592,""))</f>
        <v>0</v>
      </c>
      <c r="AH261" s="2"/>
      <c r="AI261" s="2"/>
      <c r="AJ261" s="2"/>
    </row>
    <row r="262" spans="1:36" x14ac:dyDescent="0.2">
      <c r="A262" s="306">
        <f>Crop!B295</f>
        <v>41886</v>
      </c>
      <c r="B262" s="307"/>
      <c r="C262" s="308"/>
      <c r="D262" s="304">
        <f>IF(OR($A262&lt;$A$3,$A262&gt;$A$7),"",Crop!$D295)</f>
        <v>5.8470962948106537</v>
      </c>
      <c r="E262" s="304">
        <f t="shared" si="48"/>
        <v>5.8470962948106537</v>
      </c>
      <c r="F262" s="304">
        <f>IF(OR(A262&lt;A$3,A262&gt;A$7),"",Crop!U295)</f>
        <v>1.2</v>
      </c>
      <c r="G262" s="304">
        <f t="shared" si="49"/>
        <v>7.0165155537727841</v>
      </c>
      <c r="H262" s="309">
        <f>IF(OR(A262&lt;A$3,A262&gt;A$7),"",YTD!E259)</f>
        <v>135</v>
      </c>
      <c r="I262" s="310">
        <f t="shared" si="50"/>
        <v>626.53448661030359</v>
      </c>
      <c r="J262" s="311"/>
      <c r="K262" s="309">
        <f t="shared" si="51"/>
        <v>0</v>
      </c>
      <c r="L262" s="312" t="str">
        <f t="shared" si="55"/>
        <v/>
      </c>
      <c r="M262" s="366" t="str">
        <f t="shared" si="56"/>
        <v/>
      </c>
      <c r="N262" s="328" t="str">
        <f t="shared" si="61"/>
        <v/>
      </c>
      <c r="O262" s="313" t="str">
        <f t="shared" si="62"/>
        <v/>
      </c>
      <c r="P262" s="307"/>
      <c r="Q262" s="309">
        <f t="shared" si="57"/>
        <v>0.8</v>
      </c>
      <c r="R262" s="307"/>
      <c r="S262" s="314">
        <f t="shared" si="58"/>
        <v>11.2</v>
      </c>
      <c r="T262" s="304" t="str">
        <f t="shared" si="52"/>
        <v/>
      </c>
      <c r="U262" s="304">
        <f>IF(A262=YTD!B$6,E262,IF(OR(A262&lt;YTD!B$6,A262&gt;YTD!B$10),"",U261+E262))</f>
        <v>1028.4279836357543</v>
      </c>
      <c r="V262" s="304">
        <f t="shared" si="59"/>
        <v>1216.5344866103035</v>
      </c>
      <c r="W262" s="315">
        <f>IF(I262="",#N/A,YTD!G$8-I262)</f>
        <v>-356.53448661030359</v>
      </c>
      <c r="X262" s="368">
        <f t="shared" si="53"/>
        <v>0</v>
      </c>
      <c r="Y262" s="368">
        <f t="shared" si="60"/>
        <v>5</v>
      </c>
      <c r="Z262" s="368" t="str">
        <f t="shared" si="54"/>
        <v/>
      </c>
      <c r="AA262" s="368">
        <v>247</v>
      </c>
      <c r="AB262" s="369">
        <f t="array" ref="AB262">SUM(IF(AA262=Z$16:Z$592,A$16:A$592,""))</f>
        <v>0</v>
      </c>
      <c r="AC262" s="370">
        <f t="array" ref="AC262">SUM(IF(AA262=Z$16:Z$592,J$16:J$592,""))</f>
        <v>0</v>
      </c>
      <c r="AD262" s="370">
        <f t="array" ref="AD262">SUM(IF($AA262=$Z$16:$Z$592,L$16:L$592,""))</f>
        <v>0</v>
      </c>
      <c r="AE262" s="370">
        <f t="array" ref="AE262">SUM(IF($AA262=$Z$16:$Z$592,M$16:M$592,""))</f>
        <v>0</v>
      </c>
      <c r="AF262" s="368">
        <f t="array" ref="AF262">SUM(IF($AA262=$Z$16:$Z$592,N$16:N$592,""))</f>
        <v>0</v>
      </c>
      <c r="AG262" s="370">
        <f t="array" ref="AG262">SUM(IF($AA262=$Z$16:$Z$592,O$16:O$592,""))</f>
        <v>0</v>
      </c>
      <c r="AH262" s="2"/>
      <c r="AI262" s="2"/>
      <c r="AJ262" s="2"/>
    </row>
    <row r="263" spans="1:36" x14ac:dyDescent="0.2">
      <c r="A263" s="306">
        <f>Crop!B296</f>
        <v>41887</v>
      </c>
      <c r="B263" s="307"/>
      <c r="C263" s="308"/>
      <c r="D263" s="304">
        <f>IF(OR($A263&lt;$A$3,$A263&gt;$A$7),"",Crop!$D296)</f>
        <v>5.8070281850086696</v>
      </c>
      <c r="E263" s="304">
        <f t="shared" si="48"/>
        <v>5.8070281850086696</v>
      </c>
      <c r="F263" s="304">
        <f>IF(OR(A263&lt;A$3,A263&gt;A$7),"",Crop!U296)</f>
        <v>1.2</v>
      </c>
      <c r="G263" s="304">
        <f t="shared" si="49"/>
        <v>6.968433822010403</v>
      </c>
      <c r="H263" s="309">
        <f>IF(OR(A263&lt;A$3,A263&gt;A$7),"",YTD!E260)</f>
        <v>135</v>
      </c>
      <c r="I263" s="310">
        <f t="shared" si="50"/>
        <v>633.502920432314</v>
      </c>
      <c r="J263" s="311"/>
      <c r="K263" s="309">
        <f t="shared" si="51"/>
        <v>0</v>
      </c>
      <c r="L263" s="312" t="str">
        <f t="shared" si="55"/>
        <v/>
      </c>
      <c r="M263" s="366" t="str">
        <f t="shared" si="56"/>
        <v/>
      </c>
      <c r="N263" s="328" t="str">
        <f t="shared" si="61"/>
        <v/>
      </c>
      <c r="O263" s="313" t="str">
        <f t="shared" si="62"/>
        <v/>
      </c>
      <c r="P263" s="307"/>
      <c r="Q263" s="309">
        <f t="shared" si="57"/>
        <v>0.8</v>
      </c>
      <c r="R263" s="307"/>
      <c r="S263" s="314">
        <f t="shared" si="58"/>
        <v>11.2</v>
      </c>
      <c r="T263" s="304" t="str">
        <f t="shared" si="52"/>
        <v/>
      </c>
      <c r="U263" s="304">
        <f>IF(A263=YTD!B$6,E263,IF(OR(A263&lt;YTD!B$6,A263&gt;YTD!B$10),"",U262+E263))</f>
        <v>1034.235011820763</v>
      </c>
      <c r="V263" s="304">
        <f t="shared" si="59"/>
        <v>1223.5029204323139</v>
      </c>
      <c r="W263" s="315">
        <f>IF(I263="",#N/A,YTD!G$8-I263)</f>
        <v>-363.502920432314</v>
      </c>
      <c r="X263" s="368">
        <f t="shared" si="53"/>
        <v>0</v>
      </c>
      <c r="Y263" s="368">
        <f t="shared" si="60"/>
        <v>5</v>
      </c>
      <c r="Z263" s="368" t="str">
        <f t="shared" si="54"/>
        <v/>
      </c>
      <c r="AA263" s="368">
        <v>248</v>
      </c>
      <c r="AB263" s="369">
        <f t="array" ref="AB263">SUM(IF(AA263=Z$16:Z$592,A$16:A$592,""))</f>
        <v>0</v>
      </c>
      <c r="AC263" s="370">
        <f t="array" ref="AC263">SUM(IF(AA263=Z$16:Z$592,J$16:J$592,""))</f>
        <v>0</v>
      </c>
      <c r="AD263" s="370">
        <f t="array" ref="AD263">SUM(IF($AA263=$Z$16:$Z$592,L$16:L$592,""))</f>
        <v>0</v>
      </c>
      <c r="AE263" s="370">
        <f t="array" ref="AE263">SUM(IF($AA263=$Z$16:$Z$592,M$16:M$592,""))</f>
        <v>0</v>
      </c>
      <c r="AF263" s="368">
        <f t="array" ref="AF263">SUM(IF($AA263=$Z$16:$Z$592,N$16:N$592,""))</f>
        <v>0</v>
      </c>
      <c r="AG263" s="370">
        <f t="array" ref="AG263">SUM(IF($AA263=$Z$16:$Z$592,O$16:O$592,""))</f>
        <v>0</v>
      </c>
      <c r="AH263" s="2"/>
      <c r="AI263" s="2"/>
      <c r="AJ263" s="2"/>
    </row>
    <row r="264" spans="1:36" x14ac:dyDescent="0.2">
      <c r="A264" s="306">
        <f>Crop!B297</f>
        <v>41888</v>
      </c>
      <c r="B264" s="307"/>
      <c r="C264" s="308"/>
      <c r="D264" s="304">
        <f>IF(OR($A264&lt;$A$3,$A264&gt;$A$7),"",Crop!$D297)</f>
        <v>5.7666328437369261</v>
      </c>
      <c r="E264" s="304">
        <f t="shared" si="48"/>
        <v>5.7666328437369261</v>
      </c>
      <c r="F264" s="304">
        <f>IF(OR(A264&lt;A$3,A264&gt;A$7),"",Crop!U297)</f>
        <v>1.2</v>
      </c>
      <c r="G264" s="304">
        <f t="shared" si="49"/>
        <v>6.9199594124843111</v>
      </c>
      <c r="H264" s="309">
        <f>IF(OR(A264&lt;A$3,A264&gt;A$7),"",YTD!E261)</f>
        <v>135</v>
      </c>
      <c r="I264" s="310">
        <f t="shared" si="50"/>
        <v>640.42287984479833</v>
      </c>
      <c r="J264" s="311"/>
      <c r="K264" s="309">
        <f t="shared" si="51"/>
        <v>0</v>
      </c>
      <c r="L264" s="312" t="str">
        <f t="shared" si="55"/>
        <v/>
      </c>
      <c r="M264" s="366" t="str">
        <f t="shared" si="56"/>
        <v/>
      </c>
      <c r="N264" s="328" t="str">
        <f t="shared" si="61"/>
        <v/>
      </c>
      <c r="O264" s="313" t="str">
        <f t="shared" si="62"/>
        <v/>
      </c>
      <c r="P264" s="307"/>
      <c r="Q264" s="309">
        <f t="shared" si="57"/>
        <v>0.8</v>
      </c>
      <c r="R264" s="307"/>
      <c r="S264" s="314">
        <f t="shared" si="58"/>
        <v>11.2</v>
      </c>
      <c r="T264" s="304" t="str">
        <f t="shared" si="52"/>
        <v/>
      </c>
      <c r="U264" s="304">
        <f>IF(A264=YTD!B$6,E264,IF(OR(A264&lt;YTD!B$6,A264&gt;YTD!B$10),"",U263+E264))</f>
        <v>1040.0016446645</v>
      </c>
      <c r="V264" s="304">
        <f t="shared" si="59"/>
        <v>1230.4228798447982</v>
      </c>
      <c r="W264" s="315">
        <f>IF(I264="",#N/A,YTD!G$8-I264)</f>
        <v>-370.42287984479833</v>
      </c>
      <c r="X264" s="368">
        <f t="shared" si="53"/>
        <v>0</v>
      </c>
      <c r="Y264" s="368">
        <f t="shared" si="60"/>
        <v>5</v>
      </c>
      <c r="Z264" s="368" t="str">
        <f t="shared" si="54"/>
        <v/>
      </c>
      <c r="AA264" s="368">
        <v>249</v>
      </c>
      <c r="AB264" s="369">
        <f t="array" ref="AB264">SUM(IF(AA264=Z$16:Z$592,A$16:A$592,""))</f>
        <v>0</v>
      </c>
      <c r="AC264" s="370">
        <f t="array" ref="AC264">SUM(IF(AA264=Z$16:Z$592,J$16:J$592,""))</f>
        <v>0</v>
      </c>
      <c r="AD264" s="370">
        <f t="array" ref="AD264">SUM(IF($AA264=$Z$16:$Z$592,L$16:L$592,""))</f>
        <v>0</v>
      </c>
      <c r="AE264" s="370">
        <f t="array" ref="AE264">SUM(IF($AA264=$Z$16:$Z$592,M$16:M$592,""))</f>
        <v>0</v>
      </c>
      <c r="AF264" s="368">
        <f t="array" ref="AF264">SUM(IF($AA264=$Z$16:$Z$592,N$16:N$592,""))</f>
        <v>0</v>
      </c>
      <c r="AG264" s="370">
        <f t="array" ref="AG264">SUM(IF($AA264=$Z$16:$Z$592,O$16:O$592,""))</f>
        <v>0</v>
      </c>
      <c r="AH264" s="2"/>
      <c r="AI264" s="2"/>
      <c r="AJ264" s="2"/>
    </row>
    <row r="265" spans="1:36" x14ac:dyDescent="0.2">
      <c r="A265" s="306">
        <f>Crop!B298</f>
        <v>41889</v>
      </c>
      <c r="B265" s="307"/>
      <c r="C265" s="308"/>
      <c r="D265" s="304">
        <f>IF(OR($A265&lt;$A$3,$A265&gt;$A$7),"",Crop!$D298)</f>
        <v>5.7259268145420013</v>
      </c>
      <c r="E265" s="304">
        <f t="shared" si="48"/>
        <v>5.7259268145420013</v>
      </c>
      <c r="F265" s="304">
        <f>IF(OR(A265&lt;A$3,A265&gt;A$7),"",Crop!U298)</f>
        <v>1.2</v>
      </c>
      <c r="G265" s="304">
        <f t="shared" si="49"/>
        <v>6.8711121774504011</v>
      </c>
      <c r="H265" s="309">
        <f>IF(OR(A265&lt;A$3,A265&gt;A$7),"",YTD!E262)</f>
        <v>135</v>
      </c>
      <c r="I265" s="310">
        <f t="shared" si="50"/>
        <v>547.29399202224874</v>
      </c>
      <c r="J265" s="311">
        <v>100</v>
      </c>
      <c r="K265" s="309">
        <f t="shared" si="51"/>
        <v>0</v>
      </c>
      <c r="L265" s="312">
        <f t="shared" si="55"/>
        <v>125</v>
      </c>
      <c r="M265" s="366">
        <f t="shared" si="56"/>
        <v>138.88888888888889</v>
      </c>
      <c r="N265" s="328">
        <f t="shared" si="61"/>
        <v>12</v>
      </c>
      <c r="O265" s="313">
        <f t="shared" si="62"/>
        <v>24.047619047619122</v>
      </c>
      <c r="P265" s="307"/>
      <c r="Q265" s="309">
        <f t="shared" si="57"/>
        <v>0.8</v>
      </c>
      <c r="R265" s="307"/>
      <c r="S265" s="314">
        <f t="shared" si="58"/>
        <v>11.2</v>
      </c>
      <c r="T265" s="304" t="str">
        <f t="shared" si="52"/>
        <v/>
      </c>
      <c r="U265" s="304">
        <f>IF(A265=YTD!B$6,E265,IF(OR(A265&lt;YTD!B$6,A265&gt;YTD!B$10),"",U264+E265))</f>
        <v>1045.7275714790419</v>
      </c>
      <c r="V265" s="304">
        <f t="shared" si="59"/>
        <v>1237.2939920222486</v>
      </c>
      <c r="W265" s="315">
        <f>IF(I265="",#N/A,YTD!G$8-I265)</f>
        <v>-277.29399202224874</v>
      </c>
      <c r="X265" s="368">
        <f t="shared" si="53"/>
        <v>1</v>
      </c>
      <c r="Y265" s="368">
        <f t="shared" si="60"/>
        <v>6</v>
      </c>
      <c r="Z265" s="368">
        <f t="shared" si="54"/>
        <v>6</v>
      </c>
      <c r="AA265" s="368">
        <v>250</v>
      </c>
      <c r="AB265" s="369">
        <f t="array" ref="AB265">SUM(IF(AA265=Z$16:Z$592,A$16:A$592,""))</f>
        <v>0</v>
      </c>
      <c r="AC265" s="370">
        <f t="array" ref="AC265">SUM(IF(AA265=Z$16:Z$592,J$16:J$592,""))</f>
        <v>0</v>
      </c>
      <c r="AD265" s="370">
        <f t="array" ref="AD265">SUM(IF($AA265=$Z$16:$Z$592,L$16:L$592,""))</f>
        <v>0</v>
      </c>
      <c r="AE265" s="370">
        <f t="array" ref="AE265">SUM(IF($AA265=$Z$16:$Z$592,M$16:M$592,""))</f>
        <v>0</v>
      </c>
      <c r="AF265" s="368">
        <f t="array" ref="AF265">SUM(IF($AA265=$Z$16:$Z$592,N$16:N$592,""))</f>
        <v>0</v>
      </c>
      <c r="AG265" s="370">
        <f t="array" ref="AG265">SUM(IF($AA265=$Z$16:$Z$592,O$16:O$592,""))</f>
        <v>0</v>
      </c>
      <c r="AH265" s="2"/>
      <c r="AI265" s="2"/>
      <c r="AJ265" s="2"/>
    </row>
    <row r="266" spans="1:36" x14ac:dyDescent="0.2">
      <c r="A266" s="306">
        <f>Crop!B299</f>
        <v>41890</v>
      </c>
      <c r="B266" s="307"/>
      <c r="C266" s="308"/>
      <c r="D266" s="304">
        <f>IF(OR($A266&lt;$A$3,$A266&gt;$A$7),"",Crop!$D299)</f>
        <v>5.6849266409704722</v>
      </c>
      <c r="E266" s="304">
        <f t="shared" si="48"/>
        <v>5.6849266409704722</v>
      </c>
      <c r="F266" s="304">
        <f>IF(OR(A266&lt;A$3,A266&gt;A$7),"",Crop!U299)</f>
        <v>1.2</v>
      </c>
      <c r="G266" s="304">
        <f t="shared" si="49"/>
        <v>6.8219119691645664</v>
      </c>
      <c r="H266" s="309">
        <f>IF(OR(A266&lt;A$3,A266&gt;A$7),"",YTD!E263)</f>
        <v>135</v>
      </c>
      <c r="I266" s="310">
        <f t="shared" si="50"/>
        <v>554.11590399141335</v>
      </c>
      <c r="J266" s="311"/>
      <c r="K266" s="309">
        <f t="shared" si="51"/>
        <v>0</v>
      </c>
      <c r="L266" s="312" t="str">
        <f t="shared" si="55"/>
        <v/>
      </c>
      <c r="M266" s="366" t="str">
        <f t="shared" si="56"/>
        <v/>
      </c>
      <c r="N266" s="328" t="str">
        <f t="shared" si="61"/>
        <v/>
      </c>
      <c r="O266" s="313" t="str">
        <f t="shared" si="62"/>
        <v/>
      </c>
      <c r="P266" s="307"/>
      <c r="Q266" s="309">
        <f t="shared" si="57"/>
        <v>0.8</v>
      </c>
      <c r="R266" s="307"/>
      <c r="S266" s="314">
        <f t="shared" si="58"/>
        <v>11.2</v>
      </c>
      <c r="T266" s="304" t="str">
        <f t="shared" si="52"/>
        <v/>
      </c>
      <c r="U266" s="304">
        <f>IF(A266=YTD!B$6,E266,IF(OR(A266&lt;YTD!B$6,A266&gt;YTD!B$10),"",U265+E266))</f>
        <v>1051.4124981200123</v>
      </c>
      <c r="V266" s="304">
        <f t="shared" si="59"/>
        <v>1244.1159039914132</v>
      </c>
      <c r="W266" s="315">
        <f>IF(I266="",#N/A,YTD!G$8-I266)</f>
        <v>-284.11590399141335</v>
      </c>
      <c r="X266" s="368">
        <f t="shared" si="53"/>
        <v>0</v>
      </c>
      <c r="Y266" s="368">
        <f t="shared" si="60"/>
        <v>6</v>
      </c>
      <c r="Z266" s="368" t="str">
        <f t="shared" si="54"/>
        <v/>
      </c>
      <c r="AA266" s="368">
        <v>251</v>
      </c>
      <c r="AB266" s="369">
        <f t="array" ref="AB266">SUM(IF(AA266=Z$16:Z$592,A$16:A$592,""))</f>
        <v>0</v>
      </c>
      <c r="AC266" s="370">
        <f t="array" ref="AC266">SUM(IF(AA266=Z$16:Z$592,J$16:J$592,""))</f>
        <v>0</v>
      </c>
      <c r="AD266" s="370">
        <f t="array" ref="AD266">SUM(IF($AA266=$Z$16:$Z$592,L$16:L$592,""))</f>
        <v>0</v>
      </c>
      <c r="AE266" s="370">
        <f t="array" ref="AE266">SUM(IF($AA266=$Z$16:$Z$592,M$16:M$592,""))</f>
        <v>0</v>
      </c>
      <c r="AF266" s="368">
        <f t="array" ref="AF266">SUM(IF($AA266=$Z$16:$Z$592,N$16:N$592,""))</f>
        <v>0</v>
      </c>
      <c r="AG266" s="370">
        <f t="array" ref="AG266">SUM(IF($AA266=$Z$16:$Z$592,O$16:O$592,""))</f>
        <v>0</v>
      </c>
      <c r="AH266" s="2"/>
      <c r="AI266" s="2"/>
      <c r="AJ266" s="2"/>
    </row>
    <row r="267" spans="1:36" x14ac:dyDescent="0.2">
      <c r="A267" s="306">
        <f>Crop!B300</f>
        <v>41891</v>
      </c>
      <c r="B267" s="307"/>
      <c r="C267" s="308"/>
      <c r="D267" s="304">
        <f>IF(OR($A267&lt;$A$3,$A267&gt;$A$7),"",Crop!$D300)</f>
        <v>5.6436488665689151</v>
      </c>
      <c r="E267" s="304">
        <f t="shared" si="48"/>
        <v>5.6436488665689151</v>
      </c>
      <c r="F267" s="304">
        <f>IF(OR(A267&lt;A$3,A267&gt;A$7),"",Crop!U300)</f>
        <v>1.2</v>
      </c>
      <c r="G267" s="304">
        <f t="shared" si="49"/>
        <v>6.7723786398826977</v>
      </c>
      <c r="H267" s="309">
        <f>IF(OR(A267&lt;A$3,A267&gt;A$7),"",YTD!E264)</f>
        <v>135</v>
      </c>
      <c r="I267" s="310">
        <f t="shared" si="50"/>
        <v>560.88828263129608</v>
      </c>
      <c r="J267" s="311"/>
      <c r="K267" s="309">
        <f t="shared" si="51"/>
        <v>0</v>
      </c>
      <c r="L267" s="312" t="str">
        <f t="shared" si="55"/>
        <v/>
      </c>
      <c r="M267" s="366" t="str">
        <f t="shared" si="56"/>
        <v/>
      </c>
      <c r="N267" s="328" t="str">
        <f t="shared" si="61"/>
        <v/>
      </c>
      <c r="O267" s="313" t="str">
        <f t="shared" si="62"/>
        <v/>
      </c>
      <c r="P267" s="307"/>
      <c r="Q267" s="309">
        <f t="shared" si="57"/>
        <v>0.8</v>
      </c>
      <c r="R267" s="307"/>
      <c r="S267" s="314">
        <f t="shared" si="58"/>
        <v>11.2</v>
      </c>
      <c r="T267" s="304" t="str">
        <f t="shared" si="52"/>
        <v/>
      </c>
      <c r="U267" s="304">
        <f>IF(A267=YTD!B$6,E267,IF(OR(A267&lt;YTD!B$6,A267&gt;YTD!B$10),"",U266+E267))</f>
        <v>1057.0561469865811</v>
      </c>
      <c r="V267" s="304">
        <f t="shared" si="59"/>
        <v>1250.8882826312959</v>
      </c>
      <c r="W267" s="315">
        <f>IF(I267="",#N/A,YTD!G$8-I267)</f>
        <v>-290.88828263129608</v>
      </c>
      <c r="X267" s="368">
        <f t="shared" si="53"/>
        <v>0</v>
      </c>
      <c r="Y267" s="368">
        <f t="shared" si="60"/>
        <v>6</v>
      </c>
      <c r="Z267" s="368" t="str">
        <f t="shared" si="54"/>
        <v/>
      </c>
      <c r="AA267" s="368">
        <v>252</v>
      </c>
      <c r="AB267" s="369">
        <f t="array" ref="AB267">SUM(IF(AA267=Z$16:Z$592,A$16:A$592,""))</f>
        <v>0</v>
      </c>
      <c r="AC267" s="370">
        <f t="array" ref="AC267">SUM(IF(AA267=Z$16:Z$592,J$16:J$592,""))</f>
        <v>0</v>
      </c>
      <c r="AD267" s="370">
        <f t="array" ref="AD267">SUM(IF($AA267=$Z$16:$Z$592,L$16:L$592,""))</f>
        <v>0</v>
      </c>
      <c r="AE267" s="370">
        <f t="array" ref="AE267">SUM(IF($AA267=$Z$16:$Z$592,M$16:M$592,""))</f>
        <v>0</v>
      </c>
      <c r="AF267" s="368">
        <f t="array" ref="AF267">SUM(IF($AA267=$Z$16:$Z$592,N$16:N$592,""))</f>
        <v>0</v>
      </c>
      <c r="AG267" s="370">
        <f t="array" ref="AG267">SUM(IF($AA267=$Z$16:$Z$592,O$16:O$592,""))</f>
        <v>0</v>
      </c>
      <c r="AH267" s="2"/>
      <c r="AI267" s="2"/>
      <c r="AJ267" s="2"/>
    </row>
    <row r="268" spans="1:36" x14ac:dyDescent="0.2">
      <c r="A268" s="306">
        <f>Crop!B301</f>
        <v>41892</v>
      </c>
      <c r="B268" s="307"/>
      <c r="C268" s="308"/>
      <c r="D268" s="304">
        <f>IF(OR($A268&lt;$A$3,$A268&gt;$A$7),"",Crop!$D301)</f>
        <v>5.6021100348839088</v>
      </c>
      <c r="E268" s="304">
        <f t="shared" si="48"/>
        <v>5.6021100348839088</v>
      </c>
      <c r="F268" s="304">
        <f>IF(OR(A268&lt;A$3,A268&gt;A$7),"",Crop!U301)</f>
        <v>1.2</v>
      </c>
      <c r="G268" s="304">
        <f t="shared" si="49"/>
        <v>6.7225320418606902</v>
      </c>
      <c r="H268" s="309">
        <f>IF(OR(A268&lt;A$3,A268&gt;A$7),"",YTD!E265)</f>
        <v>135</v>
      </c>
      <c r="I268" s="310">
        <f t="shared" si="50"/>
        <v>567.61081467315682</v>
      </c>
      <c r="J268" s="311"/>
      <c r="K268" s="309">
        <f t="shared" si="51"/>
        <v>0</v>
      </c>
      <c r="L268" s="312" t="str">
        <f t="shared" si="55"/>
        <v/>
      </c>
      <c r="M268" s="366" t="str">
        <f t="shared" si="56"/>
        <v/>
      </c>
      <c r="N268" s="328" t="str">
        <f t="shared" si="61"/>
        <v/>
      </c>
      <c r="O268" s="313" t="str">
        <f t="shared" si="62"/>
        <v/>
      </c>
      <c r="P268" s="307"/>
      <c r="Q268" s="309">
        <f t="shared" si="57"/>
        <v>0.8</v>
      </c>
      <c r="R268" s="307"/>
      <c r="S268" s="314">
        <f t="shared" si="58"/>
        <v>11.2</v>
      </c>
      <c r="T268" s="304" t="str">
        <f t="shared" si="52"/>
        <v/>
      </c>
      <c r="U268" s="304">
        <f>IF(A268=YTD!B$6,E268,IF(OR(A268&lt;YTD!B$6,A268&gt;YTD!B$10),"",U267+E268))</f>
        <v>1062.658257021465</v>
      </c>
      <c r="V268" s="304">
        <f t="shared" si="59"/>
        <v>1257.6108146731565</v>
      </c>
      <c r="W268" s="315">
        <f>IF(I268="",#N/A,YTD!G$8-I268)</f>
        <v>-297.61081467315682</v>
      </c>
      <c r="X268" s="368">
        <f t="shared" si="53"/>
        <v>0</v>
      </c>
      <c r="Y268" s="368">
        <f t="shared" si="60"/>
        <v>6</v>
      </c>
      <c r="Z268" s="368" t="str">
        <f t="shared" si="54"/>
        <v/>
      </c>
      <c r="AA268" s="368">
        <v>253</v>
      </c>
      <c r="AB268" s="369">
        <f t="array" ref="AB268">SUM(IF(AA268=Z$16:Z$592,A$16:A$592,""))</f>
        <v>0</v>
      </c>
      <c r="AC268" s="370">
        <f t="array" ref="AC268">SUM(IF(AA268=Z$16:Z$592,J$16:J$592,""))</f>
        <v>0</v>
      </c>
      <c r="AD268" s="370">
        <f t="array" ref="AD268">SUM(IF($AA268=$Z$16:$Z$592,L$16:L$592,""))</f>
        <v>0</v>
      </c>
      <c r="AE268" s="370">
        <f t="array" ref="AE268">SUM(IF($AA268=$Z$16:$Z$592,M$16:M$592,""))</f>
        <v>0</v>
      </c>
      <c r="AF268" s="368">
        <f t="array" ref="AF268">SUM(IF($AA268=$Z$16:$Z$592,N$16:N$592,""))</f>
        <v>0</v>
      </c>
      <c r="AG268" s="370">
        <f t="array" ref="AG268">SUM(IF($AA268=$Z$16:$Z$592,O$16:O$592,""))</f>
        <v>0</v>
      </c>
      <c r="AH268" s="2"/>
      <c r="AI268" s="2"/>
      <c r="AJ268" s="2"/>
    </row>
    <row r="269" spans="1:36" x14ac:dyDescent="0.2">
      <c r="A269" s="306">
        <f>Crop!B302</f>
        <v>41893</v>
      </c>
      <c r="B269" s="307"/>
      <c r="C269" s="308"/>
      <c r="D269" s="304">
        <f>IF(OR($A269&lt;$A$3,$A269&gt;$A$7),"",Crop!$D302)</f>
        <v>5.5603266894620305</v>
      </c>
      <c r="E269" s="304">
        <f t="shared" si="48"/>
        <v>5.5603266894620305</v>
      </c>
      <c r="F269" s="304">
        <f>IF(OR(A269&lt;A$3,A269&gt;A$7),"",Crop!U302)</f>
        <v>1.2</v>
      </c>
      <c r="G269" s="304">
        <f t="shared" si="49"/>
        <v>6.6723920273544364</v>
      </c>
      <c r="H269" s="309">
        <f>IF(OR(A269&lt;A$3,A269&gt;A$7),"",YTD!E266)</f>
        <v>135</v>
      </c>
      <c r="I269" s="310">
        <f t="shared" si="50"/>
        <v>574.2832067005113</v>
      </c>
      <c r="J269" s="311"/>
      <c r="K269" s="309">
        <f t="shared" si="51"/>
        <v>0</v>
      </c>
      <c r="L269" s="312" t="str">
        <f t="shared" si="55"/>
        <v/>
      </c>
      <c r="M269" s="366" t="str">
        <f t="shared" si="56"/>
        <v/>
      </c>
      <c r="N269" s="328" t="str">
        <f t="shared" si="61"/>
        <v/>
      </c>
      <c r="O269" s="313" t="str">
        <f t="shared" si="62"/>
        <v/>
      </c>
      <c r="P269" s="307"/>
      <c r="Q269" s="309">
        <f t="shared" si="57"/>
        <v>0.8</v>
      </c>
      <c r="R269" s="307"/>
      <c r="S269" s="314">
        <f t="shared" si="58"/>
        <v>11.2</v>
      </c>
      <c r="T269" s="304" t="str">
        <f t="shared" si="52"/>
        <v/>
      </c>
      <c r="U269" s="304">
        <f>IF(A269=YTD!B$6,E269,IF(OR(A269&lt;YTD!B$6,A269&gt;YTD!B$10),"",U268+E269))</f>
        <v>1068.2185837109271</v>
      </c>
      <c r="V269" s="304">
        <f t="shared" si="59"/>
        <v>1264.2832067005108</v>
      </c>
      <c r="W269" s="315">
        <f>IF(I269="",#N/A,YTD!G$8-I269)</f>
        <v>-304.2832067005113</v>
      </c>
      <c r="X269" s="368">
        <f t="shared" si="53"/>
        <v>0</v>
      </c>
      <c r="Y269" s="368">
        <f t="shared" si="60"/>
        <v>6</v>
      </c>
      <c r="Z269" s="368" t="str">
        <f t="shared" si="54"/>
        <v/>
      </c>
      <c r="AA269" s="368">
        <v>254</v>
      </c>
      <c r="AB269" s="369">
        <f t="array" ref="AB269">SUM(IF(AA269=Z$16:Z$592,A$16:A$592,""))</f>
        <v>0</v>
      </c>
      <c r="AC269" s="370">
        <f t="array" ref="AC269">SUM(IF(AA269=Z$16:Z$592,J$16:J$592,""))</f>
        <v>0</v>
      </c>
      <c r="AD269" s="370">
        <f t="array" ref="AD269">SUM(IF($AA269=$Z$16:$Z$592,L$16:L$592,""))</f>
        <v>0</v>
      </c>
      <c r="AE269" s="370">
        <f t="array" ref="AE269">SUM(IF($AA269=$Z$16:$Z$592,M$16:M$592,""))</f>
        <v>0</v>
      </c>
      <c r="AF269" s="368">
        <f t="array" ref="AF269">SUM(IF($AA269=$Z$16:$Z$592,N$16:N$592,""))</f>
        <v>0</v>
      </c>
      <c r="AG269" s="370">
        <f t="array" ref="AG269">SUM(IF($AA269=$Z$16:$Z$592,O$16:O$592,""))</f>
        <v>0</v>
      </c>
      <c r="AH269" s="2"/>
      <c r="AI269" s="2"/>
      <c r="AJ269" s="2"/>
    </row>
    <row r="270" spans="1:36" x14ac:dyDescent="0.2">
      <c r="A270" s="306">
        <f>Crop!B303</f>
        <v>41894</v>
      </c>
      <c r="B270" s="307"/>
      <c r="C270" s="308"/>
      <c r="D270" s="304">
        <f>IF(OR($A270&lt;$A$3,$A270&gt;$A$7),"",Crop!$D303)</f>
        <v>5.5183153738498554</v>
      </c>
      <c r="E270" s="304">
        <f t="shared" si="48"/>
        <v>5.5183153738498554</v>
      </c>
      <c r="F270" s="304">
        <f>IF(OR(A270&lt;A$3,A270&gt;A$7),"",Crop!U303)</f>
        <v>1.2</v>
      </c>
      <c r="G270" s="304">
        <f t="shared" si="49"/>
        <v>6.6219784486198261</v>
      </c>
      <c r="H270" s="309">
        <f>IF(OR(A270&lt;A$3,A270&gt;A$7),"",YTD!E267)</f>
        <v>135</v>
      </c>
      <c r="I270" s="310">
        <f t="shared" si="50"/>
        <v>580.90518514913117</v>
      </c>
      <c r="J270" s="311"/>
      <c r="K270" s="309">
        <f t="shared" si="51"/>
        <v>0</v>
      </c>
      <c r="L270" s="312" t="str">
        <f t="shared" si="55"/>
        <v/>
      </c>
      <c r="M270" s="366" t="str">
        <f t="shared" si="56"/>
        <v/>
      </c>
      <c r="N270" s="328" t="str">
        <f t="shared" si="61"/>
        <v/>
      </c>
      <c r="O270" s="313" t="str">
        <f t="shared" si="62"/>
        <v/>
      </c>
      <c r="P270" s="307"/>
      <c r="Q270" s="309">
        <f t="shared" si="57"/>
        <v>0.8</v>
      </c>
      <c r="R270" s="307"/>
      <c r="S270" s="314">
        <f t="shared" si="58"/>
        <v>11.2</v>
      </c>
      <c r="T270" s="304" t="str">
        <f t="shared" si="52"/>
        <v/>
      </c>
      <c r="U270" s="304">
        <f>IF(A270=YTD!B$6,E270,IF(OR(A270&lt;YTD!B$6,A270&gt;YTD!B$10),"",U269+E270))</f>
        <v>1073.736899084777</v>
      </c>
      <c r="V270" s="304">
        <f t="shared" si="59"/>
        <v>1270.9051851491306</v>
      </c>
      <c r="W270" s="315">
        <f>IF(I270="",#N/A,YTD!G$8-I270)</f>
        <v>-310.90518514913117</v>
      </c>
      <c r="X270" s="368">
        <f t="shared" si="53"/>
        <v>0</v>
      </c>
      <c r="Y270" s="368">
        <f t="shared" si="60"/>
        <v>6</v>
      </c>
      <c r="Z270" s="368" t="str">
        <f t="shared" si="54"/>
        <v/>
      </c>
      <c r="AA270" s="368">
        <v>255</v>
      </c>
      <c r="AB270" s="369">
        <f t="array" ref="AB270">SUM(IF(AA270=Z$16:Z$592,A$16:A$592,""))</f>
        <v>0</v>
      </c>
      <c r="AC270" s="370">
        <f t="array" ref="AC270">SUM(IF(AA270=Z$16:Z$592,J$16:J$592,""))</f>
        <v>0</v>
      </c>
      <c r="AD270" s="370">
        <f t="array" ref="AD270">SUM(IF($AA270=$Z$16:$Z$592,L$16:L$592,""))</f>
        <v>0</v>
      </c>
      <c r="AE270" s="370">
        <f t="array" ref="AE270">SUM(IF($AA270=$Z$16:$Z$592,M$16:M$592,""))</f>
        <v>0</v>
      </c>
      <c r="AF270" s="368">
        <f t="array" ref="AF270">SUM(IF($AA270=$Z$16:$Z$592,N$16:N$592,""))</f>
        <v>0</v>
      </c>
      <c r="AG270" s="370">
        <f t="array" ref="AG270">SUM(IF($AA270=$Z$16:$Z$592,O$16:O$592,""))</f>
        <v>0</v>
      </c>
      <c r="AH270" s="2"/>
      <c r="AI270" s="2"/>
      <c r="AJ270" s="2"/>
    </row>
    <row r="271" spans="1:36" x14ac:dyDescent="0.2">
      <c r="A271" s="306">
        <f>Crop!B304</f>
        <v>41895</v>
      </c>
      <c r="B271" s="307"/>
      <c r="C271" s="308"/>
      <c r="D271" s="304">
        <f>IF(OR($A271&lt;$A$3,$A271&gt;$A$7),"",Crop!$D304)</f>
        <v>5.4760926315939642</v>
      </c>
      <c r="E271" s="304">
        <f t="shared" si="48"/>
        <v>5.4760926315939642</v>
      </c>
      <c r="F271" s="304">
        <f>IF(OR(A271&lt;A$3,A271&gt;A$7),"",Crop!U304)</f>
        <v>1.2</v>
      </c>
      <c r="G271" s="304">
        <f t="shared" si="49"/>
        <v>6.5713111579127572</v>
      </c>
      <c r="H271" s="309">
        <f>IF(OR(A271&lt;A$3,A271&gt;A$7),"",YTD!E268)</f>
        <v>135</v>
      </c>
      <c r="I271" s="310">
        <f t="shared" si="50"/>
        <v>587.47649630704393</v>
      </c>
      <c r="J271" s="311"/>
      <c r="K271" s="309">
        <f t="shared" si="51"/>
        <v>0</v>
      </c>
      <c r="L271" s="312" t="str">
        <f t="shared" si="55"/>
        <v/>
      </c>
      <c r="M271" s="366" t="str">
        <f t="shared" si="56"/>
        <v/>
      </c>
      <c r="N271" s="328" t="str">
        <f t="shared" si="61"/>
        <v/>
      </c>
      <c r="O271" s="313" t="str">
        <f t="shared" si="62"/>
        <v/>
      </c>
      <c r="P271" s="307"/>
      <c r="Q271" s="309">
        <f t="shared" si="57"/>
        <v>0.8</v>
      </c>
      <c r="R271" s="307"/>
      <c r="S271" s="314">
        <f t="shared" si="58"/>
        <v>11.2</v>
      </c>
      <c r="T271" s="304" t="str">
        <f t="shared" si="52"/>
        <v/>
      </c>
      <c r="U271" s="304">
        <f>IF(A271=YTD!B$6,E271,IF(OR(A271&lt;YTD!B$6,A271&gt;YTD!B$10),"",U270+E271))</f>
        <v>1079.2129917163709</v>
      </c>
      <c r="V271" s="304">
        <f t="shared" si="59"/>
        <v>1277.4764963070434</v>
      </c>
      <c r="W271" s="315">
        <f>IF(I271="",#N/A,YTD!G$8-I271)</f>
        <v>-317.47649630704393</v>
      </c>
      <c r="X271" s="368">
        <f t="shared" si="53"/>
        <v>0</v>
      </c>
      <c r="Y271" s="368">
        <f t="shared" si="60"/>
        <v>6</v>
      </c>
      <c r="Z271" s="368" t="str">
        <f t="shared" si="54"/>
        <v/>
      </c>
      <c r="AA271" s="368">
        <v>256</v>
      </c>
      <c r="AB271" s="369">
        <f t="array" ref="AB271">SUM(IF(AA271=Z$16:Z$592,A$16:A$592,""))</f>
        <v>0</v>
      </c>
      <c r="AC271" s="370">
        <f t="array" ref="AC271">SUM(IF(AA271=Z$16:Z$592,J$16:J$592,""))</f>
        <v>0</v>
      </c>
      <c r="AD271" s="370">
        <f t="array" ref="AD271">SUM(IF($AA271=$Z$16:$Z$592,L$16:L$592,""))</f>
        <v>0</v>
      </c>
      <c r="AE271" s="370">
        <f t="array" ref="AE271">SUM(IF($AA271=$Z$16:$Z$592,M$16:M$592,""))</f>
        <v>0</v>
      </c>
      <c r="AF271" s="368">
        <f t="array" ref="AF271">SUM(IF($AA271=$Z$16:$Z$592,N$16:N$592,""))</f>
        <v>0</v>
      </c>
      <c r="AG271" s="370">
        <f t="array" ref="AG271">SUM(IF($AA271=$Z$16:$Z$592,O$16:O$592,""))</f>
        <v>0</v>
      </c>
      <c r="AH271" s="2"/>
      <c r="AI271" s="2"/>
      <c r="AJ271" s="2"/>
    </row>
    <row r="272" spans="1:36" x14ac:dyDescent="0.2">
      <c r="A272" s="306">
        <f>Crop!B305</f>
        <v>41896</v>
      </c>
      <c r="B272" s="307"/>
      <c r="C272" s="308"/>
      <c r="D272" s="304">
        <f>IF(OR($A272&lt;$A$3,$A272&gt;$A$7),"",Crop!$D305)</f>
        <v>5.4336750062409322</v>
      </c>
      <c r="E272" s="304">
        <f t="shared" ref="E272:E335" si="63">IF(C272="",D272,C272)</f>
        <v>5.4336750062409322</v>
      </c>
      <c r="F272" s="304">
        <f>IF(OR(A272&lt;A$3,A272&gt;A$7),"",Crop!U305)</f>
        <v>1.2</v>
      </c>
      <c r="G272" s="304">
        <f t="shared" ref="G272:G335" si="64">IF(OR(A272&lt;A$3,A272&gt;A$7),"",E272*F272)</f>
        <v>6.5204100074891187</v>
      </c>
      <c r="H272" s="309">
        <f>IF(OR(A272&lt;A$3,A272&gt;A$7),"",YTD!E269)</f>
        <v>135</v>
      </c>
      <c r="I272" s="310">
        <f t="shared" ref="I272:I335" si="65">IF(A272=A$3-1,I$13,IF(OR(A272&lt;A$3,A272&gt;A$7),"",IF(T272="A",I271+G272-K272-J272,IF(J272&gt;0,I271+G272-K272-J272,I271+G272-K272))))</f>
        <v>593.99690631453302</v>
      </c>
      <c r="J272" s="311"/>
      <c r="K272" s="309">
        <f t="shared" ref="K272:K335" si="66">IF(U272="","",IF(AND(E272="",B272=""),"",IF(B272="",0,IF(B272&gt;I271+G272,I271+G272,B272))))</f>
        <v>0</v>
      </c>
      <c r="L272" s="312" t="str">
        <f t="shared" si="55"/>
        <v/>
      </c>
      <c r="M272" s="366" t="str">
        <f t="shared" si="56"/>
        <v/>
      </c>
      <c r="N272" s="328" t="str">
        <f t="shared" si="61"/>
        <v/>
      </c>
      <c r="O272" s="313" t="str">
        <f t="shared" si="62"/>
        <v/>
      </c>
      <c r="P272" s="307"/>
      <c r="Q272" s="309">
        <f t="shared" si="57"/>
        <v>0.8</v>
      </c>
      <c r="R272" s="307"/>
      <c r="S272" s="314">
        <f t="shared" si="58"/>
        <v>11.2</v>
      </c>
      <c r="T272" s="304" t="str">
        <f t="shared" ref="T272:T335" si="67">IF(A272=A$3,"A",IF(A272=A$4,"B",IF(A272=A$5,"C",IF(A272=A$6,"D",IF(A272=A$7,"E","")))))</f>
        <v/>
      </c>
      <c r="U272" s="304">
        <f>IF(A272=YTD!B$6,E272,IF(OR(A272&lt;YTD!B$6,A272&gt;YTD!B$10),"",U271+E272))</f>
        <v>1084.6466667226118</v>
      </c>
      <c r="V272" s="304">
        <f t="shared" si="59"/>
        <v>1283.9969063145325</v>
      </c>
      <c r="W272" s="315">
        <f>IF(I272="",#N/A,YTD!G$8-I272)</f>
        <v>-323.99690631453302</v>
      </c>
      <c r="X272" s="368">
        <f t="shared" ref="X272:X335" si="68">IF(J272="",0,1)</f>
        <v>0</v>
      </c>
      <c r="Y272" s="368">
        <f t="shared" si="60"/>
        <v>6</v>
      </c>
      <c r="Z272" s="368" t="str">
        <f t="shared" ref="Z272:Z335" si="69">IF(X272=1,Y272,"")</f>
        <v/>
      </c>
      <c r="AA272" s="368">
        <v>257</v>
      </c>
      <c r="AB272" s="369">
        <f t="array" ref="AB272">SUM(IF(AA272=Z$16:Z$592,A$16:A$592,""))</f>
        <v>0</v>
      </c>
      <c r="AC272" s="370">
        <f t="array" ref="AC272">SUM(IF(AA272=Z$16:Z$592,J$16:J$592,""))</f>
        <v>0</v>
      </c>
      <c r="AD272" s="370">
        <f t="array" ref="AD272">SUM(IF($AA272=$Z$16:$Z$592,L$16:L$592,""))</f>
        <v>0</v>
      </c>
      <c r="AE272" s="370">
        <f t="array" ref="AE272">SUM(IF($AA272=$Z$16:$Z$592,M$16:M$592,""))</f>
        <v>0</v>
      </c>
      <c r="AF272" s="368">
        <f t="array" ref="AF272">SUM(IF($AA272=$Z$16:$Z$592,N$16:N$592,""))</f>
        <v>0</v>
      </c>
      <c r="AG272" s="370">
        <f t="array" ref="AG272">SUM(IF($AA272=$Z$16:$Z$592,O$16:O$592,""))</f>
        <v>0</v>
      </c>
      <c r="AH272" s="2"/>
      <c r="AI272" s="2"/>
      <c r="AJ272" s="2"/>
    </row>
    <row r="273" spans="1:36" x14ac:dyDescent="0.2">
      <c r="A273" s="306">
        <f>Crop!B306</f>
        <v>41897</v>
      </c>
      <c r="B273" s="307"/>
      <c r="C273" s="308"/>
      <c r="D273" s="304">
        <f>IF(OR($A273&lt;$A$3,$A273&gt;$A$7),"",Crop!$D306)</f>
        <v>5.3910790413373384</v>
      </c>
      <c r="E273" s="304">
        <f t="shared" si="63"/>
        <v>5.3910790413373384</v>
      </c>
      <c r="F273" s="304">
        <f>IF(OR(A273&lt;A$3,A273&gt;A$7),"",Crop!U306)</f>
        <v>1.2</v>
      </c>
      <c r="G273" s="304">
        <f t="shared" si="64"/>
        <v>6.4692948496048057</v>
      </c>
      <c r="H273" s="309">
        <f>IF(OR(A273&lt;A$3,A273&gt;A$7),"",YTD!E270)</f>
        <v>135</v>
      </c>
      <c r="I273" s="310">
        <f t="shared" si="65"/>
        <v>600.46620116413783</v>
      </c>
      <c r="J273" s="311"/>
      <c r="K273" s="309">
        <f t="shared" si="66"/>
        <v>0</v>
      </c>
      <c r="L273" s="312" t="str">
        <f t="shared" ref="L273:L336" si="70">IF(J273="","",J273/Q273)</f>
        <v/>
      </c>
      <c r="M273" s="366" t="str">
        <f t="shared" ref="M273:M336" si="71">IF(L273="","",L273/(1-$I$8))</f>
        <v/>
      </c>
      <c r="N273" s="328" t="str">
        <f t="shared" si="61"/>
        <v/>
      </c>
      <c r="O273" s="313" t="str">
        <f t="shared" si="62"/>
        <v/>
      </c>
      <c r="P273" s="307"/>
      <c r="Q273" s="309">
        <f t="shared" ref="Q273:Q336" si="72">IF(P273="",Q272,P273)</f>
        <v>0.8</v>
      </c>
      <c r="R273" s="307"/>
      <c r="S273" s="314">
        <f t="shared" ref="S273:S336" si="73">IF(R273="",S272,R273)</f>
        <v>11.2</v>
      </c>
      <c r="T273" s="304" t="str">
        <f t="shared" si="67"/>
        <v/>
      </c>
      <c r="U273" s="304">
        <f>IF(A273=YTD!B$6,E273,IF(OR(A273&lt;YTD!B$6,A273&gt;YTD!B$10),"",U272+E273))</f>
        <v>1090.0377457639493</v>
      </c>
      <c r="V273" s="304">
        <f t="shared" ref="V273:V336" si="74">IF(G273="","",IF(G272="",G273,V272+G273))</f>
        <v>1290.4662011641371</v>
      </c>
      <c r="W273" s="315">
        <f>IF(I273="",#N/A,YTD!G$8-I273)</f>
        <v>-330.46620116413783</v>
      </c>
      <c r="X273" s="368">
        <f t="shared" si="68"/>
        <v>0</v>
      </c>
      <c r="Y273" s="368">
        <f t="shared" si="60"/>
        <v>6</v>
      </c>
      <c r="Z273" s="368" t="str">
        <f t="shared" si="69"/>
        <v/>
      </c>
      <c r="AA273" s="368">
        <v>258</v>
      </c>
      <c r="AB273" s="369">
        <f t="array" ref="AB273">SUM(IF(AA273=Z$16:Z$592,A$16:A$592,""))</f>
        <v>0</v>
      </c>
      <c r="AC273" s="370">
        <f t="array" ref="AC273">SUM(IF(AA273=Z$16:Z$592,J$16:J$592,""))</f>
        <v>0</v>
      </c>
      <c r="AD273" s="370">
        <f t="array" ref="AD273">SUM(IF($AA273=$Z$16:$Z$592,L$16:L$592,""))</f>
        <v>0</v>
      </c>
      <c r="AE273" s="370">
        <f t="array" ref="AE273">SUM(IF($AA273=$Z$16:$Z$592,M$16:M$592,""))</f>
        <v>0</v>
      </c>
      <c r="AF273" s="368">
        <f t="array" ref="AF273">SUM(IF($AA273=$Z$16:$Z$592,N$16:N$592,""))</f>
        <v>0</v>
      </c>
      <c r="AG273" s="370">
        <f t="array" ref="AG273">SUM(IF($AA273=$Z$16:$Z$592,O$16:O$592,""))</f>
        <v>0</v>
      </c>
      <c r="AH273" s="2"/>
      <c r="AI273" s="2"/>
      <c r="AJ273" s="2"/>
    </row>
    <row r="274" spans="1:36" x14ac:dyDescent="0.2">
      <c r="A274" s="306">
        <f>Crop!B307</f>
        <v>41898</v>
      </c>
      <c r="B274" s="307"/>
      <c r="C274" s="308"/>
      <c r="D274" s="304">
        <f>IF(OR($A274&lt;$A$3,$A274&gt;$A$7),"",Crop!$D307)</f>
        <v>5.3483212804297589</v>
      </c>
      <c r="E274" s="304">
        <f t="shared" si="63"/>
        <v>5.3483212804297589</v>
      </c>
      <c r="F274" s="304">
        <f>IF(OR(A274&lt;A$3,A274&gt;A$7),"",Crop!U307)</f>
        <v>1.2</v>
      </c>
      <c r="G274" s="304">
        <f t="shared" si="64"/>
        <v>6.4179855365157108</v>
      </c>
      <c r="H274" s="309">
        <f>IF(OR(A274&lt;A$3,A274&gt;A$7),"",YTD!E271)</f>
        <v>135</v>
      </c>
      <c r="I274" s="310">
        <f t="shared" si="65"/>
        <v>606.88418670065357</v>
      </c>
      <c r="J274" s="311"/>
      <c r="K274" s="309">
        <f t="shared" si="66"/>
        <v>0</v>
      </c>
      <c r="L274" s="312" t="str">
        <f t="shared" si="70"/>
        <v/>
      </c>
      <c r="M274" s="366" t="str">
        <f t="shared" si="71"/>
        <v/>
      </c>
      <c r="N274" s="328" t="str">
        <f t="shared" si="61"/>
        <v/>
      </c>
      <c r="O274" s="313" t="str">
        <f t="shared" si="62"/>
        <v/>
      </c>
      <c r="P274" s="307"/>
      <c r="Q274" s="309">
        <f t="shared" si="72"/>
        <v>0.8</v>
      </c>
      <c r="R274" s="307"/>
      <c r="S274" s="314">
        <f t="shared" si="73"/>
        <v>11.2</v>
      </c>
      <c r="T274" s="304" t="str">
        <f t="shared" si="67"/>
        <v/>
      </c>
      <c r="U274" s="304">
        <f>IF(A274=YTD!B$6,E274,IF(OR(A274&lt;YTD!B$6,A274&gt;YTD!B$10),"",U273+E274))</f>
        <v>1095.3860670443789</v>
      </c>
      <c r="V274" s="304">
        <f t="shared" si="74"/>
        <v>1296.8841867006529</v>
      </c>
      <c r="W274" s="315">
        <f>IF(I274="",#N/A,YTD!G$8-I274)</f>
        <v>-336.88418670065357</v>
      </c>
      <c r="X274" s="368">
        <f t="shared" si="68"/>
        <v>0</v>
      </c>
      <c r="Y274" s="368">
        <f t="shared" ref="Y274:Y337" si="75">Y273+X274</f>
        <v>6</v>
      </c>
      <c r="Z274" s="368" t="str">
        <f t="shared" si="69"/>
        <v/>
      </c>
      <c r="AA274" s="368">
        <v>259</v>
      </c>
      <c r="AB274" s="369">
        <f t="array" ref="AB274">SUM(IF(AA274=Z$16:Z$592,A$16:A$592,""))</f>
        <v>0</v>
      </c>
      <c r="AC274" s="370">
        <f t="array" ref="AC274">SUM(IF(AA274=Z$16:Z$592,J$16:J$592,""))</f>
        <v>0</v>
      </c>
      <c r="AD274" s="370">
        <f t="array" ref="AD274">SUM(IF($AA274=$Z$16:$Z$592,L$16:L$592,""))</f>
        <v>0</v>
      </c>
      <c r="AE274" s="370">
        <f t="array" ref="AE274">SUM(IF($AA274=$Z$16:$Z$592,M$16:M$592,""))</f>
        <v>0</v>
      </c>
      <c r="AF274" s="368">
        <f t="array" ref="AF274">SUM(IF($AA274=$Z$16:$Z$592,N$16:N$592,""))</f>
        <v>0</v>
      </c>
      <c r="AG274" s="370">
        <f t="array" ref="AG274">SUM(IF($AA274=$Z$16:$Z$592,O$16:O$592,""))</f>
        <v>0</v>
      </c>
      <c r="AH274" s="2"/>
      <c r="AI274" s="2"/>
      <c r="AJ274" s="2"/>
    </row>
    <row r="275" spans="1:36" x14ac:dyDescent="0.2">
      <c r="A275" s="306">
        <f>Crop!B308</f>
        <v>41899</v>
      </c>
      <c r="B275" s="307"/>
      <c r="C275" s="308"/>
      <c r="D275" s="304">
        <f>IF(OR($A275&lt;$A$3,$A275&gt;$A$7),"",Crop!$D308)</f>
        <v>5.3054120163729168</v>
      </c>
      <c r="E275" s="304">
        <f t="shared" si="63"/>
        <v>5.3054120163729168</v>
      </c>
      <c r="F275" s="304">
        <f>IF(OR(A275&lt;A$3,A275&gt;A$7),"",Crop!U308)</f>
        <v>1.2</v>
      </c>
      <c r="G275" s="304">
        <f t="shared" si="64"/>
        <v>6.3664944196475002</v>
      </c>
      <c r="H275" s="309">
        <f>IF(OR(A275&lt;A$3,A275&gt;A$7),"",YTD!E272)</f>
        <v>135</v>
      </c>
      <c r="I275" s="310">
        <f t="shared" si="65"/>
        <v>613.25068112030112</v>
      </c>
      <c r="J275" s="311"/>
      <c r="K275" s="309">
        <f t="shared" si="66"/>
        <v>0</v>
      </c>
      <c r="L275" s="312" t="str">
        <f t="shared" si="70"/>
        <v/>
      </c>
      <c r="M275" s="366" t="str">
        <f t="shared" si="71"/>
        <v/>
      </c>
      <c r="N275" s="328" t="str">
        <f t="shared" si="61"/>
        <v/>
      </c>
      <c r="O275" s="313" t="str">
        <f t="shared" si="62"/>
        <v/>
      </c>
      <c r="P275" s="307"/>
      <c r="Q275" s="309">
        <f t="shared" si="72"/>
        <v>0.8</v>
      </c>
      <c r="R275" s="307"/>
      <c r="S275" s="314">
        <f t="shared" si="73"/>
        <v>11.2</v>
      </c>
      <c r="T275" s="304" t="str">
        <f t="shared" si="67"/>
        <v/>
      </c>
      <c r="U275" s="304">
        <f>IF(A275=YTD!B$6,E275,IF(OR(A275&lt;YTD!B$6,A275&gt;YTD!B$10),"",U274+E275))</f>
        <v>1100.6914790607518</v>
      </c>
      <c r="V275" s="304">
        <f t="shared" si="74"/>
        <v>1303.2506811203004</v>
      </c>
      <c r="W275" s="315">
        <f>IF(I275="",#N/A,YTD!G$8-I275)</f>
        <v>-343.25068112030112</v>
      </c>
      <c r="X275" s="368">
        <f t="shared" si="68"/>
        <v>0</v>
      </c>
      <c r="Y275" s="368">
        <f t="shared" si="75"/>
        <v>6</v>
      </c>
      <c r="Z275" s="368" t="str">
        <f t="shared" si="69"/>
        <v/>
      </c>
      <c r="AA275" s="368">
        <v>260</v>
      </c>
      <c r="AB275" s="369">
        <f t="array" ref="AB275">SUM(IF(AA275=Z$16:Z$592,A$16:A$592,""))</f>
        <v>0</v>
      </c>
      <c r="AC275" s="370">
        <f t="array" ref="AC275">SUM(IF(AA275=Z$16:Z$592,J$16:J$592,""))</f>
        <v>0</v>
      </c>
      <c r="AD275" s="370">
        <f t="array" ref="AD275">SUM(IF($AA275=$Z$16:$Z$592,L$16:L$592,""))</f>
        <v>0</v>
      </c>
      <c r="AE275" s="370">
        <f t="array" ref="AE275">SUM(IF($AA275=$Z$16:$Z$592,M$16:M$592,""))</f>
        <v>0</v>
      </c>
      <c r="AF275" s="368">
        <f t="array" ref="AF275">SUM(IF($AA275=$Z$16:$Z$592,N$16:N$592,""))</f>
        <v>0</v>
      </c>
      <c r="AG275" s="370">
        <f t="array" ref="AG275">SUM(IF($AA275=$Z$16:$Z$592,O$16:O$592,""))</f>
        <v>0</v>
      </c>
      <c r="AH275" s="2"/>
      <c r="AI275" s="2"/>
      <c r="AJ275" s="2"/>
    </row>
    <row r="276" spans="1:36" x14ac:dyDescent="0.2">
      <c r="A276" s="306">
        <f>Crop!B309</f>
        <v>41900</v>
      </c>
      <c r="B276" s="307"/>
      <c r="C276" s="308"/>
      <c r="D276" s="304">
        <f>IF(OR($A276&lt;$A$3,$A276&gt;$A$7),"",Crop!$D309)</f>
        <v>5.2623365392541182</v>
      </c>
      <c r="E276" s="304">
        <f t="shared" si="63"/>
        <v>5.2623365392541182</v>
      </c>
      <c r="F276" s="304">
        <f>IF(OR(A276&lt;A$3,A276&gt;A$7),"",Crop!U309)</f>
        <v>1.2</v>
      </c>
      <c r="G276" s="304">
        <f t="shared" si="64"/>
        <v>6.3148038471049412</v>
      </c>
      <c r="H276" s="309">
        <f>IF(OR(A276&lt;A$3,A276&gt;A$7),"",YTD!E273)</f>
        <v>135</v>
      </c>
      <c r="I276" s="310">
        <f t="shared" si="65"/>
        <v>619.56548496740606</v>
      </c>
      <c r="J276" s="311"/>
      <c r="K276" s="309">
        <f t="shared" si="66"/>
        <v>0</v>
      </c>
      <c r="L276" s="312" t="str">
        <f t="shared" si="70"/>
        <v/>
      </c>
      <c r="M276" s="366" t="str">
        <f t="shared" si="71"/>
        <v/>
      </c>
      <c r="N276" s="328" t="str">
        <f t="shared" si="61"/>
        <v/>
      </c>
      <c r="O276" s="313" t="str">
        <f t="shared" si="62"/>
        <v/>
      </c>
      <c r="P276" s="307"/>
      <c r="Q276" s="309">
        <f t="shared" si="72"/>
        <v>0.8</v>
      </c>
      <c r="R276" s="307"/>
      <c r="S276" s="314">
        <f t="shared" si="73"/>
        <v>11.2</v>
      </c>
      <c r="T276" s="304" t="str">
        <f t="shared" si="67"/>
        <v/>
      </c>
      <c r="U276" s="304">
        <f>IF(A276=YTD!B$6,E276,IF(OR(A276&lt;YTD!B$6,A276&gt;YTD!B$10),"",U275+E276))</f>
        <v>1105.953815600006</v>
      </c>
      <c r="V276" s="304">
        <f t="shared" si="74"/>
        <v>1309.5654849674054</v>
      </c>
      <c r="W276" s="315">
        <f>IF(I276="",#N/A,YTD!G$8-I276)</f>
        <v>-349.56548496740606</v>
      </c>
      <c r="X276" s="368">
        <f t="shared" si="68"/>
        <v>0</v>
      </c>
      <c r="Y276" s="368">
        <f t="shared" si="75"/>
        <v>6</v>
      </c>
      <c r="Z276" s="368" t="str">
        <f t="shared" si="69"/>
        <v/>
      </c>
      <c r="AA276" s="368">
        <v>261</v>
      </c>
      <c r="AB276" s="369">
        <f t="array" ref="AB276">SUM(IF(AA276=Z$16:Z$592,A$16:A$592,""))</f>
        <v>0</v>
      </c>
      <c r="AC276" s="370">
        <f t="array" ref="AC276">SUM(IF(AA276=Z$16:Z$592,J$16:J$592,""))</f>
        <v>0</v>
      </c>
      <c r="AD276" s="370">
        <f t="array" ref="AD276">SUM(IF($AA276=$Z$16:$Z$592,L$16:L$592,""))</f>
        <v>0</v>
      </c>
      <c r="AE276" s="370">
        <f t="array" ref="AE276">SUM(IF($AA276=$Z$16:$Z$592,M$16:M$592,""))</f>
        <v>0</v>
      </c>
      <c r="AF276" s="368">
        <f t="array" ref="AF276">SUM(IF($AA276=$Z$16:$Z$592,N$16:N$592,""))</f>
        <v>0</v>
      </c>
      <c r="AG276" s="370">
        <f t="array" ref="AG276">SUM(IF($AA276=$Z$16:$Z$592,O$16:O$592,""))</f>
        <v>0</v>
      </c>
      <c r="AH276" s="2"/>
      <c r="AI276" s="2"/>
      <c r="AJ276" s="2"/>
    </row>
    <row r="277" spans="1:36" x14ac:dyDescent="0.2">
      <c r="A277" s="306">
        <f>Crop!B310</f>
        <v>41901</v>
      </c>
      <c r="B277" s="307"/>
      <c r="C277" s="308"/>
      <c r="D277" s="304">
        <f>IF(OR($A277&lt;$A$3,$A277&gt;$A$7),"",Crop!$D310)</f>
        <v>5.2190738884688122</v>
      </c>
      <c r="E277" s="304">
        <f t="shared" si="63"/>
        <v>5.2190738884688122</v>
      </c>
      <c r="F277" s="304">
        <f>IF(OR(A277&lt;A$3,A277&gt;A$7),"",Crop!U310)</f>
        <v>1.2</v>
      </c>
      <c r="G277" s="304">
        <f t="shared" si="64"/>
        <v>6.2628886661625742</v>
      </c>
      <c r="H277" s="309">
        <f>IF(OR(A277&lt;A$3,A277&gt;A$7),"",YTD!E274)</f>
        <v>135</v>
      </c>
      <c r="I277" s="310">
        <f t="shared" si="65"/>
        <v>625.82837363356862</v>
      </c>
      <c r="J277" s="311"/>
      <c r="K277" s="309">
        <f t="shared" si="66"/>
        <v>0</v>
      </c>
      <c r="L277" s="312" t="str">
        <f t="shared" si="70"/>
        <v/>
      </c>
      <c r="M277" s="366" t="str">
        <f t="shared" si="71"/>
        <v/>
      </c>
      <c r="N277" s="328" t="str">
        <f t="shared" si="61"/>
        <v/>
      </c>
      <c r="O277" s="313" t="str">
        <f t="shared" si="62"/>
        <v/>
      </c>
      <c r="P277" s="307"/>
      <c r="Q277" s="309">
        <f t="shared" si="72"/>
        <v>0.8</v>
      </c>
      <c r="R277" s="307"/>
      <c r="S277" s="314">
        <f t="shared" si="73"/>
        <v>11.2</v>
      </c>
      <c r="T277" s="304" t="str">
        <f t="shared" si="67"/>
        <v/>
      </c>
      <c r="U277" s="304">
        <f>IF(A277=YTD!B$6,E277,IF(OR(A277&lt;YTD!B$6,A277&gt;YTD!B$10),"",U276+E277))</f>
        <v>1111.1728894884748</v>
      </c>
      <c r="V277" s="304">
        <f t="shared" si="74"/>
        <v>1315.8283736335679</v>
      </c>
      <c r="W277" s="315">
        <f>IF(I277="",#N/A,YTD!G$8-I277)</f>
        <v>-355.82837363356862</v>
      </c>
      <c r="X277" s="368">
        <f t="shared" si="68"/>
        <v>0</v>
      </c>
      <c r="Y277" s="368">
        <f t="shared" si="75"/>
        <v>6</v>
      </c>
      <c r="Z277" s="368" t="str">
        <f t="shared" si="69"/>
        <v/>
      </c>
      <c r="AA277" s="368">
        <v>262</v>
      </c>
      <c r="AB277" s="369">
        <f t="array" ref="AB277">SUM(IF(AA277=Z$16:Z$592,A$16:A$592,""))</f>
        <v>0</v>
      </c>
      <c r="AC277" s="370">
        <f t="array" ref="AC277">SUM(IF(AA277=Z$16:Z$592,J$16:J$592,""))</f>
        <v>0</v>
      </c>
      <c r="AD277" s="370">
        <f t="array" ref="AD277">SUM(IF($AA277=$Z$16:$Z$592,L$16:L$592,""))</f>
        <v>0</v>
      </c>
      <c r="AE277" s="370">
        <f t="array" ref="AE277">SUM(IF($AA277=$Z$16:$Z$592,M$16:M$592,""))</f>
        <v>0</v>
      </c>
      <c r="AF277" s="368">
        <f t="array" ref="AF277">SUM(IF($AA277=$Z$16:$Z$592,N$16:N$592,""))</f>
        <v>0</v>
      </c>
      <c r="AG277" s="370">
        <f t="array" ref="AG277">SUM(IF($AA277=$Z$16:$Z$592,O$16:O$592,""))</f>
        <v>0</v>
      </c>
      <c r="AH277" s="2"/>
      <c r="AI277" s="2"/>
      <c r="AJ277" s="2"/>
    </row>
    <row r="278" spans="1:36" x14ac:dyDescent="0.2">
      <c r="A278" s="306">
        <f>Crop!B311</f>
        <v>41902</v>
      </c>
      <c r="B278" s="307"/>
      <c r="C278" s="308"/>
      <c r="D278" s="304">
        <f>IF(OR($A278&lt;$A$3,$A278&gt;$A$7),"",Crop!$D311)</f>
        <v>5.1756031034124526</v>
      </c>
      <c r="E278" s="304">
        <f t="shared" si="63"/>
        <v>5.1756031034124526</v>
      </c>
      <c r="F278" s="304">
        <f>IF(OR(A278&lt;A$3,A278&gt;A$7),"",Crop!U311)</f>
        <v>1.2</v>
      </c>
      <c r="G278" s="304">
        <f t="shared" si="64"/>
        <v>6.2107237240949429</v>
      </c>
      <c r="H278" s="309">
        <f>IF(OR(A278&lt;A$3,A278&gt;A$7),"",YTD!E275)</f>
        <v>135</v>
      </c>
      <c r="I278" s="310">
        <f t="shared" si="65"/>
        <v>632.03909735766354</v>
      </c>
      <c r="J278" s="311"/>
      <c r="K278" s="309">
        <f t="shared" si="66"/>
        <v>0</v>
      </c>
      <c r="L278" s="312" t="str">
        <f t="shared" si="70"/>
        <v/>
      </c>
      <c r="M278" s="366" t="str">
        <f t="shared" si="71"/>
        <v/>
      </c>
      <c r="N278" s="328" t="str">
        <f t="shared" si="61"/>
        <v/>
      </c>
      <c r="O278" s="313" t="str">
        <f t="shared" si="62"/>
        <v/>
      </c>
      <c r="P278" s="307"/>
      <c r="Q278" s="309">
        <f t="shared" si="72"/>
        <v>0.8</v>
      </c>
      <c r="R278" s="307"/>
      <c r="S278" s="314">
        <f t="shared" si="73"/>
        <v>11.2</v>
      </c>
      <c r="T278" s="304" t="str">
        <f t="shared" si="67"/>
        <v/>
      </c>
      <c r="U278" s="304">
        <f>IF(A278=YTD!B$6,E278,IF(OR(A278&lt;YTD!B$6,A278&gt;YTD!B$10),"",U277+E278))</f>
        <v>1116.3484925918872</v>
      </c>
      <c r="V278" s="304">
        <f t="shared" si="74"/>
        <v>1322.039097357663</v>
      </c>
      <c r="W278" s="315">
        <f>IF(I278="",#N/A,YTD!G$8-I278)</f>
        <v>-362.03909735766354</v>
      </c>
      <c r="X278" s="368">
        <f t="shared" si="68"/>
        <v>0</v>
      </c>
      <c r="Y278" s="368">
        <f t="shared" si="75"/>
        <v>6</v>
      </c>
      <c r="Z278" s="368" t="str">
        <f t="shared" si="69"/>
        <v/>
      </c>
      <c r="AA278" s="368">
        <v>263</v>
      </c>
      <c r="AB278" s="369">
        <f t="array" ref="AB278">SUM(IF(AA278=Z$16:Z$592,A$16:A$592,""))</f>
        <v>0</v>
      </c>
      <c r="AC278" s="370">
        <f t="array" ref="AC278">SUM(IF(AA278=Z$16:Z$592,J$16:J$592,""))</f>
        <v>0</v>
      </c>
      <c r="AD278" s="370">
        <f t="array" ref="AD278">SUM(IF($AA278=$Z$16:$Z$592,L$16:L$592,""))</f>
        <v>0</v>
      </c>
      <c r="AE278" s="370">
        <f t="array" ref="AE278">SUM(IF($AA278=$Z$16:$Z$592,M$16:M$592,""))</f>
        <v>0</v>
      </c>
      <c r="AF278" s="368">
        <f t="array" ref="AF278">SUM(IF($AA278=$Z$16:$Z$592,N$16:N$592,""))</f>
        <v>0</v>
      </c>
      <c r="AG278" s="370">
        <f t="array" ref="AG278">SUM(IF($AA278=$Z$16:$Z$592,O$16:O$592,""))</f>
        <v>0</v>
      </c>
      <c r="AH278" s="2"/>
      <c r="AI278" s="2"/>
      <c r="AJ278" s="2"/>
    </row>
    <row r="279" spans="1:36" x14ac:dyDescent="0.2">
      <c r="A279" s="306">
        <f>Crop!B312</f>
        <v>41903</v>
      </c>
      <c r="B279" s="307"/>
      <c r="C279" s="308"/>
      <c r="D279" s="304">
        <f>IF(OR($A279&lt;$A$3,$A279&gt;$A$7),"",Crop!$D312)</f>
        <v>5.1319032234804869</v>
      </c>
      <c r="E279" s="304">
        <f t="shared" si="63"/>
        <v>5.1319032234804869</v>
      </c>
      <c r="F279" s="304">
        <f>IF(OR(A279&lt;A$3,A279&gt;A$7),"",Crop!U312)</f>
        <v>1.2</v>
      </c>
      <c r="G279" s="304">
        <f t="shared" si="64"/>
        <v>6.1582838681765839</v>
      </c>
      <c r="H279" s="309">
        <f>IF(OR(A279&lt;A$3,A279&gt;A$7),"",YTD!E276)</f>
        <v>135</v>
      </c>
      <c r="I279" s="310">
        <f t="shared" si="65"/>
        <v>638.1973812258401</v>
      </c>
      <c r="J279" s="311"/>
      <c r="K279" s="309">
        <f t="shared" si="66"/>
        <v>0</v>
      </c>
      <c r="L279" s="312" t="str">
        <f t="shared" si="70"/>
        <v/>
      </c>
      <c r="M279" s="366" t="str">
        <f t="shared" si="71"/>
        <v/>
      </c>
      <c r="N279" s="328" t="str">
        <f t="shared" si="61"/>
        <v/>
      </c>
      <c r="O279" s="313" t="str">
        <f t="shared" si="62"/>
        <v/>
      </c>
      <c r="P279" s="307"/>
      <c r="Q279" s="309">
        <f t="shared" si="72"/>
        <v>0.8</v>
      </c>
      <c r="R279" s="307"/>
      <c r="S279" s="314">
        <f t="shared" si="73"/>
        <v>11.2</v>
      </c>
      <c r="T279" s="304" t="str">
        <f t="shared" si="67"/>
        <v/>
      </c>
      <c r="U279" s="304">
        <f>IF(A279=YTD!B$6,E279,IF(OR(A279&lt;YTD!B$6,A279&gt;YTD!B$10),"",U278+E279))</f>
        <v>1121.4803958153677</v>
      </c>
      <c r="V279" s="304">
        <f t="shared" si="74"/>
        <v>1328.1973812258395</v>
      </c>
      <c r="W279" s="315">
        <f>IF(I279="",#N/A,YTD!G$8-I279)</f>
        <v>-368.1973812258401</v>
      </c>
      <c r="X279" s="368">
        <f t="shared" si="68"/>
        <v>0</v>
      </c>
      <c r="Y279" s="368">
        <f t="shared" si="75"/>
        <v>6</v>
      </c>
      <c r="Z279" s="368" t="str">
        <f t="shared" si="69"/>
        <v/>
      </c>
      <c r="AA279" s="368">
        <v>264</v>
      </c>
      <c r="AB279" s="369">
        <f t="array" ref="AB279">SUM(IF(AA279=Z$16:Z$592,A$16:A$592,""))</f>
        <v>0</v>
      </c>
      <c r="AC279" s="370">
        <f t="array" ref="AC279">SUM(IF(AA279=Z$16:Z$592,J$16:J$592,""))</f>
        <v>0</v>
      </c>
      <c r="AD279" s="370">
        <f t="array" ref="AD279">SUM(IF($AA279=$Z$16:$Z$592,L$16:L$592,""))</f>
        <v>0</v>
      </c>
      <c r="AE279" s="370">
        <f t="array" ref="AE279">SUM(IF($AA279=$Z$16:$Z$592,M$16:M$592,""))</f>
        <v>0</v>
      </c>
      <c r="AF279" s="368">
        <f t="array" ref="AF279">SUM(IF($AA279=$Z$16:$Z$592,N$16:N$592,""))</f>
        <v>0</v>
      </c>
      <c r="AG279" s="370">
        <f t="array" ref="AG279">SUM(IF($AA279=$Z$16:$Z$592,O$16:O$592,""))</f>
        <v>0</v>
      </c>
      <c r="AH279" s="2"/>
      <c r="AI279" s="2"/>
      <c r="AJ279" s="2"/>
    </row>
    <row r="280" spans="1:36" x14ac:dyDescent="0.2">
      <c r="A280" s="306">
        <f>Crop!B313</f>
        <v>41904</v>
      </c>
      <c r="B280" s="307"/>
      <c r="C280" s="308"/>
      <c r="D280" s="304">
        <f>IF(OR($A280&lt;$A$3,$A280&gt;$A$7),"",Crop!$D313)</f>
        <v>5.0879532880683662</v>
      </c>
      <c r="E280" s="304">
        <f t="shared" si="63"/>
        <v>5.0879532880683662</v>
      </c>
      <c r="F280" s="304">
        <f>IF(OR(A280&lt;A$3,A280&gt;A$7),"",Crop!U313)</f>
        <v>1.2</v>
      </c>
      <c r="G280" s="304">
        <f t="shared" si="64"/>
        <v>6.1055439456820393</v>
      </c>
      <c r="H280" s="309">
        <f>IF(OR(A280&lt;A$3,A280&gt;A$7),"",YTD!E277)</f>
        <v>135</v>
      </c>
      <c r="I280" s="310">
        <f t="shared" si="65"/>
        <v>644.30292517152213</v>
      </c>
      <c r="J280" s="311"/>
      <c r="K280" s="309">
        <f t="shared" si="66"/>
        <v>0</v>
      </c>
      <c r="L280" s="312" t="str">
        <f t="shared" si="70"/>
        <v/>
      </c>
      <c r="M280" s="366" t="str">
        <f t="shared" si="71"/>
        <v/>
      </c>
      <c r="N280" s="328" t="str">
        <f t="shared" si="61"/>
        <v/>
      </c>
      <c r="O280" s="313" t="str">
        <f t="shared" si="62"/>
        <v/>
      </c>
      <c r="P280" s="307"/>
      <c r="Q280" s="309">
        <f t="shared" si="72"/>
        <v>0.8</v>
      </c>
      <c r="R280" s="307"/>
      <c r="S280" s="314">
        <f t="shared" si="73"/>
        <v>11.2</v>
      </c>
      <c r="T280" s="304" t="str">
        <f t="shared" si="67"/>
        <v/>
      </c>
      <c r="U280" s="304">
        <f>IF(A280=YTD!B$6,E280,IF(OR(A280&lt;YTD!B$6,A280&gt;YTD!B$10),"",U279+E280))</f>
        <v>1126.568349103436</v>
      </c>
      <c r="V280" s="304">
        <f t="shared" si="74"/>
        <v>1334.3029251715216</v>
      </c>
      <c r="W280" s="315">
        <f>IF(I280="",#N/A,YTD!G$8-I280)</f>
        <v>-374.30292517152213</v>
      </c>
      <c r="X280" s="368">
        <f t="shared" si="68"/>
        <v>0</v>
      </c>
      <c r="Y280" s="368">
        <f t="shared" si="75"/>
        <v>6</v>
      </c>
      <c r="Z280" s="368" t="str">
        <f t="shared" si="69"/>
        <v/>
      </c>
      <c r="AA280" s="368">
        <v>265</v>
      </c>
      <c r="AB280" s="369">
        <f t="array" ref="AB280">SUM(IF(AA280=Z$16:Z$592,A$16:A$592,""))</f>
        <v>0</v>
      </c>
      <c r="AC280" s="370">
        <f t="array" ref="AC280">SUM(IF(AA280=Z$16:Z$592,J$16:J$592,""))</f>
        <v>0</v>
      </c>
      <c r="AD280" s="370">
        <f t="array" ref="AD280">SUM(IF($AA280=$Z$16:$Z$592,L$16:L$592,""))</f>
        <v>0</v>
      </c>
      <c r="AE280" s="370">
        <f t="array" ref="AE280">SUM(IF($AA280=$Z$16:$Z$592,M$16:M$592,""))</f>
        <v>0</v>
      </c>
      <c r="AF280" s="368">
        <f t="array" ref="AF280">SUM(IF($AA280=$Z$16:$Z$592,N$16:N$592,""))</f>
        <v>0</v>
      </c>
      <c r="AG280" s="370">
        <f t="array" ref="AG280">SUM(IF($AA280=$Z$16:$Z$592,O$16:O$592,""))</f>
        <v>0</v>
      </c>
      <c r="AH280" s="2"/>
      <c r="AI280" s="2"/>
      <c r="AJ280" s="2"/>
    </row>
    <row r="281" spans="1:36" x14ac:dyDescent="0.2">
      <c r="A281" s="306">
        <f>Crop!B314</f>
        <v>41905</v>
      </c>
      <c r="B281" s="307"/>
      <c r="C281" s="308"/>
      <c r="D281" s="304">
        <f>IF(OR($A281&lt;$A$3,$A281&gt;$A$7),"",Crop!$D314)</f>
        <v>5.0437323365715425</v>
      </c>
      <c r="E281" s="304">
        <f t="shared" si="63"/>
        <v>5.0437323365715425</v>
      </c>
      <c r="F281" s="304">
        <f>IF(OR(A281&lt;A$3,A281&gt;A$7),"",Crop!U314)</f>
        <v>1.2</v>
      </c>
      <c r="G281" s="304">
        <f t="shared" si="64"/>
        <v>6.052478803885851</v>
      </c>
      <c r="H281" s="309">
        <f>IF(OR(A281&lt;A$3,A281&gt;A$7),"",YTD!E278)</f>
        <v>135</v>
      </c>
      <c r="I281" s="310">
        <f t="shared" si="65"/>
        <v>650.35540397540797</v>
      </c>
      <c r="J281" s="311"/>
      <c r="K281" s="309">
        <f t="shared" si="66"/>
        <v>0</v>
      </c>
      <c r="L281" s="312" t="str">
        <f t="shared" si="70"/>
        <v/>
      </c>
      <c r="M281" s="366" t="str">
        <f t="shared" si="71"/>
        <v/>
      </c>
      <c r="N281" s="328" t="str">
        <f t="shared" si="61"/>
        <v/>
      </c>
      <c r="O281" s="313" t="str">
        <f t="shared" si="62"/>
        <v/>
      </c>
      <c r="P281" s="307"/>
      <c r="Q281" s="309">
        <f t="shared" si="72"/>
        <v>0.8</v>
      </c>
      <c r="R281" s="307"/>
      <c r="S281" s="314">
        <f t="shared" si="73"/>
        <v>11.2</v>
      </c>
      <c r="T281" s="304" t="str">
        <f t="shared" si="67"/>
        <v>D</v>
      </c>
      <c r="U281" s="304">
        <f>IF(A281=YTD!B$6,E281,IF(OR(A281&lt;YTD!B$6,A281&gt;YTD!B$10),"",U280+E281))</f>
        <v>1131.6120814400076</v>
      </c>
      <c r="V281" s="304">
        <f t="shared" si="74"/>
        <v>1340.3554039754074</v>
      </c>
      <c r="W281" s="315">
        <f>IF(I281="",#N/A,YTD!G$8-I281)</f>
        <v>-380.35540397540797</v>
      </c>
      <c r="X281" s="368">
        <f t="shared" si="68"/>
        <v>0</v>
      </c>
      <c r="Y281" s="368">
        <f t="shared" si="75"/>
        <v>6</v>
      </c>
      <c r="Z281" s="368" t="str">
        <f t="shared" si="69"/>
        <v/>
      </c>
      <c r="AA281" s="368">
        <v>266</v>
      </c>
      <c r="AB281" s="369">
        <f t="array" ref="AB281">SUM(IF(AA281=Z$16:Z$592,A$16:A$592,""))</f>
        <v>0</v>
      </c>
      <c r="AC281" s="370">
        <f t="array" ref="AC281">SUM(IF(AA281=Z$16:Z$592,J$16:J$592,""))</f>
        <v>0</v>
      </c>
      <c r="AD281" s="370">
        <f t="array" ref="AD281">SUM(IF($AA281=$Z$16:$Z$592,L$16:L$592,""))</f>
        <v>0</v>
      </c>
      <c r="AE281" s="370">
        <f t="array" ref="AE281">SUM(IF($AA281=$Z$16:$Z$592,M$16:M$592,""))</f>
        <v>0</v>
      </c>
      <c r="AF281" s="368">
        <f t="array" ref="AF281">SUM(IF($AA281=$Z$16:$Z$592,N$16:N$592,""))</f>
        <v>0</v>
      </c>
      <c r="AG281" s="370">
        <f t="array" ref="AG281">SUM(IF($AA281=$Z$16:$Z$592,O$16:O$592,""))</f>
        <v>0</v>
      </c>
      <c r="AH281" s="2"/>
      <c r="AI281" s="2"/>
      <c r="AJ281" s="2"/>
    </row>
    <row r="282" spans="1:36" x14ac:dyDescent="0.2">
      <c r="A282" s="306">
        <f>Crop!B315</f>
        <v>41906</v>
      </c>
      <c r="B282" s="307"/>
      <c r="C282" s="308"/>
      <c r="D282" s="304">
        <f>IF(OR($A282&lt;$A$3,$A282&gt;$A$7),"",Crop!$D315)</f>
        <v>4.9992194083854669</v>
      </c>
      <c r="E282" s="304">
        <f t="shared" si="63"/>
        <v>4.9992194083854669</v>
      </c>
      <c r="F282" s="304">
        <f>IF(OR(A282&lt;A$3,A282&gt;A$7),"",Crop!U315)</f>
        <v>1.2</v>
      </c>
      <c r="G282" s="304">
        <f t="shared" si="64"/>
        <v>5.9990632900625602</v>
      </c>
      <c r="H282" s="309">
        <f>IF(OR(A282&lt;A$3,A282&gt;A$7),"",YTD!E279)</f>
        <v>135</v>
      </c>
      <c r="I282" s="310">
        <f t="shared" si="65"/>
        <v>656.35446726547048</v>
      </c>
      <c r="J282" s="311"/>
      <c r="K282" s="309">
        <f t="shared" si="66"/>
        <v>0</v>
      </c>
      <c r="L282" s="312" t="str">
        <f t="shared" si="70"/>
        <v/>
      </c>
      <c r="M282" s="366" t="str">
        <f t="shared" si="71"/>
        <v/>
      </c>
      <c r="N282" s="328" t="str">
        <f t="shared" si="61"/>
        <v/>
      </c>
      <c r="O282" s="313" t="str">
        <f t="shared" si="62"/>
        <v/>
      </c>
      <c r="P282" s="307"/>
      <c r="Q282" s="309">
        <f t="shared" si="72"/>
        <v>0.8</v>
      </c>
      <c r="R282" s="307"/>
      <c r="S282" s="314">
        <f t="shared" si="73"/>
        <v>11.2</v>
      </c>
      <c r="T282" s="304" t="str">
        <f t="shared" si="67"/>
        <v/>
      </c>
      <c r="U282" s="304">
        <f>IF(A282=YTD!B$6,E282,IF(OR(A282&lt;YTD!B$6,A282&gt;YTD!B$10),"",U281+E282))</f>
        <v>1136.6113008483931</v>
      </c>
      <c r="V282" s="304">
        <f t="shared" si="74"/>
        <v>1346.35446726547</v>
      </c>
      <c r="W282" s="315">
        <f>IF(I282="",#N/A,YTD!G$8-I282)</f>
        <v>-386.35446726547048</v>
      </c>
      <c r="X282" s="368">
        <f t="shared" si="68"/>
        <v>0</v>
      </c>
      <c r="Y282" s="368">
        <f t="shared" si="75"/>
        <v>6</v>
      </c>
      <c r="Z282" s="368" t="str">
        <f t="shared" si="69"/>
        <v/>
      </c>
      <c r="AA282" s="368">
        <v>267</v>
      </c>
      <c r="AB282" s="369">
        <f t="array" ref="AB282">SUM(IF(AA282=Z$16:Z$592,A$16:A$592,""))</f>
        <v>0</v>
      </c>
      <c r="AC282" s="370">
        <f t="array" ref="AC282">SUM(IF(AA282=Z$16:Z$592,J$16:J$592,""))</f>
        <v>0</v>
      </c>
      <c r="AD282" s="370">
        <f t="array" ref="AD282">SUM(IF($AA282=$Z$16:$Z$592,L$16:L$592,""))</f>
        <v>0</v>
      </c>
      <c r="AE282" s="370">
        <f t="array" ref="AE282">SUM(IF($AA282=$Z$16:$Z$592,M$16:M$592,""))</f>
        <v>0</v>
      </c>
      <c r="AF282" s="368">
        <f t="array" ref="AF282">SUM(IF($AA282=$Z$16:$Z$592,N$16:N$592,""))</f>
        <v>0</v>
      </c>
      <c r="AG282" s="370">
        <f t="array" ref="AG282">SUM(IF($AA282=$Z$16:$Z$592,O$16:O$592,""))</f>
        <v>0</v>
      </c>
      <c r="AH282" s="2"/>
      <c r="AI282" s="2"/>
      <c r="AJ282" s="2"/>
    </row>
    <row r="283" spans="1:36" x14ac:dyDescent="0.2">
      <c r="A283" s="306">
        <f>Crop!B316</f>
        <v>41907</v>
      </c>
      <c r="B283" s="307"/>
      <c r="C283" s="308"/>
      <c r="D283" s="304">
        <f>IF(OR($A283&lt;$A$3,$A283&gt;$A$7),"",Crop!$D316)</f>
        <v>4.9543935429055885</v>
      </c>
      <c r="E283" s="304">
        <f t="shared" si="63"/>
        <v>4.9543935429055885</v>
      </c>
      <c r="F283" s="304">
        <f>IF(OR(A283&lt;A$3,A283&gt;A$7),"",Crop!U316)</f>
        <v>1.2</v>
      </c>
      <c r="G283" s="304">
        <f t="shared" si="64"/>
        <v>5.9452722514867062</v>
      </c>
      <c r="H283" s="309">
        <f>IF(OR(A283&lt;A$3,A283&gt;A$7),"",YTD!E280)</f>
        <v>135</v>
      </c>
      <c r="I283" s="310">
        <f t="shared" si="65"/>
        <v>662.29973951695717</v>
      </c>
      <c r="J283" s="311"/>
      <c r="K283" s="309">
        <f t="shared" si="66"/>
        <v>0</v>
      </c>
      <c r="L283" s="312" t="str">
        <f t="shared" si="70"/>
        <v/>
      </c>
      <c r="M283" s="366" t="str">
        <f t="shared" si="71"/>
        <v/>
      </c>
      <c r="N283" s="328" t="str">
        <f t="shared" si="61"/>
        <v/>
      </c>
      <c r="O283" s="313" t="str">
        <f t="shared" si="62"/>
        <v/>
      </c>
      <c r="P283" s="307"/>
      <c r="Q283" s="309">
        <f t="shared" si="72"/>
        <v>0.8</v>
      </c>
      <c r="R283" s="307"/>
      <c r="S283" s="314">
        <f t="shared" si="73"/>
        <v>11.2</v>
      </c>
      <c r="T283" s="304" t="str">
        <f t="shared" si="67"/>
        <v/>
      </c>
      <c r="U283" s="304">
        <f>IF(A283=YTD!B$6,E283,IF(OR(A283&lt;YTD!B$6,A283&gt;YTD!B$10),"",U282+E283))</f>
        <v>1141.5656943912986</v>
      </c>
      <c r="V283" s="304">
        <f t="shared" si="74"/>
        <v>1352.2997395169568</v>
      </c>
      <c r="W283" s="315">
        <f>IF(I283="",#N/A,YTD!G$8-I283)</f>
        <v>-392.29973951695717</v>
      </c>
      <c r="X283" s="368">
        <f t="shared" si="68"/>
        <v>0</v>
      </c>
      <c r="Y283" s="368">
        <f t="shared" si="75"/>
        <v>6</v>
      </c>
      <c r="Z283" s="368" t="str">
        <f t="shared" si="69"/>
        <v/>
      </c>
      <c r="AA283" s="368">
        <v>268</v>
      </c>
      <c r="AB283" s="369">
        <f t="array" ref="AB283">SUM(IF(AA283=Z$16:Z$592,A$16:A$592,""))</f>
        <v>0</v>
      </c>
      <c r="AC283" s="370">
        <f t="array" ref="AC283">SUM(IF(AA283=Z$16:Z$592,J$16:J$592,""))</f>
        <v>0</v>
      </c>
      <c r="AD283" s="370">
        <f t="array" ref="AD283">SUM(IF($AA283=$Z$16:$Z$592,L$16:L$592,""))</f>
        <v>0</v>
      </c>
      <c r="AE283" s="370">
        <f t="array" ref="AE283">SUM(IF($AA283=$Z$16:$Z$592,M$16:M$592,""))</f>
        <v>0</v>
      </c>
      <c r="AF283" s="368">
        <f t="array" ref="AF283">SUM(IF($AA283=$Z$16:$Z$592,N$16:N$592,""))</f>
        <v>0</v>
      </c>
      <c r="AG283" s="370">
        <f t="array" ref="AG283">SUM(IF($AA283=$Z$16:$Z$592,O$16:O$592,""))</f>
        <v>0</v>
      </c>
      <c r="AH283" s="2"/>
      <c r="AI283" s="2"/>
      <c r="AJ283" s="2"/>
    </row>
    <row r="284" spans="1:36" x14ac:dyDescent="0.2">
      <c r="A284" s="306">
        <f>Crop!B317</f>
        <v>41908</v>
      </c>
      <c r="B284" s="307"/>
      <c r="C284" s="308"/>
      <c r="D284" s="304">
        <f>IF(OR($A284&lt;$A$3,$A284&gt;$A$7),"",Crop!$D317)</f>
        <v>4.9092337795273586</v>
      </c>
      <c r="E284" s="304">
        <f t="shared" si="63"/>
        <v>4.9092337795273586</v>
      </c>
      <c r="F284" s="304">
        <f>IF(OR(A284&lt;A$3,A284&gt;A$7),"",Crop!U317)</f>
        <v>1.2</v>
      </c>
      <c r="G284" s="304">
        <f t="shared" si="64"/>
        <v>5.8910805354328302</v>
      </c>
      <c r="H284" s="309">
        <f>IF(OR(A284&lt;A$3,A284&gt;A$7),"",YTD!E281)</f>
        <v>135</v>
      </c>
      <c r="I284" s="310">
        <f t="shared" si="65"/>
        <v>668.19082005238999</v>
      </c>
      <c r="J284" s="311"/>
      <c r="K284" s="309">
        <f t="shared" si="66"/>
        <v>0</v>
      </c>
      <c r="L284" s="312" t="str">
        <f t="shared" si="70"/>
        <v/>
      </c>
      <c r="M284" s="366" t="str">
        <f t="shared" si="71"/>
        <v/>
      </c>
      <c r="N284" s="328" t="str">
        <f t="shared" si="61"/>
        <v/>
      </c>
      <c r="O284" s="313" t="str">
        <f t="shared" si="62"/>
        <v/>
      </c>
      <c r="P284" s="307"/>
      <c r="Q284" s="309">
        <f t="shared" si="72"/>
        <v>0.8</v>
      </c>
      <c r="R284" s="307"/>
      <c r="S284" s="314">
        <f t="shared" si="73"/>
        <v>11.2</v>
      </c>
      <c r="T284" s="304" t="str">
        <f t="shared" si="67"/>
        <v/>
      </c>
      <c r="U284" s="304">
        <f>IF(A284=YTD!B$6,E284,IF(OR(A284&lt;YTD!B$6,A284&gt;YTD!B$10),"",U283+E284))</f>
        <v>1146.4749281708259</v>
      </c>
      <c r="V284" s="304">
        <f t="shared" si="74"/>
        <v>1358.1908200523897</v>
      </c>
      <c r="W284" s="315">
        <f>IF(I284="",#N/A,YTD!G$8-I284)</f>
        <v>-398.19082005238999</v>
      </c>
      <c r="X284" s="368">
        <f t="shared" si="68"/>
        <v>0</v>
      </c>
      <c r="Y284" s="368">
        <f t="shared" si="75"/>
        <v>6</v>
      </c>
      <c r="Z284" s="368" t="str">
        <f t="shared" si="69"/>
        <v/>
      </c>
      <c r="AA284" s="368">
        <v>269</v>
      </c>
      <c r="AB284" s="369">
        <f t="array" ref="AB284">SUM(IF(AA284=Z$16:Z$592,A$16:A$592,""))</f>
        <v>0</v>
      </c>
      <c r="AC284" s="370">
        <f t="array" ref="AC284">SUM(IF(AA284=Z$16:Z$592,J$16:J$592,""))</f>
        <v>0</v>
      </c>
      <c r="AD284" s="370">
        <f t="array" ref="AD284">SUM(IF($AA284=$Z$16:$Z$592,L$16:L$592,""))</f>
        <v>0</v>
      </c>
      <c r="AE284" s="370">
        <f t="array" ref="AE284">SUM(IF($AA284=$Z$16:$Z$592,M$16:M$592,""))</f>
        <v>0</v>
      </c>
      <c r="AF284" s="368">
        <f t="array" ref="AF284">SUM(IF($AA284=$Z$16:$Z$592,N$16:N$592,""))</f>
        <v>0</v>
      </c>
      <c r="AG284" s="370">
        <f t="array" ref="AG284">SUM(IF($AA284=$Z$16:$Z$592,O$16:O$592,""))</f>
        <v>0</v>
      </c>
      <c r="AH284" s="2"/>
      <c r="AI284" s="2"/>
      <c r="AJ284" s="2"/>
    </row>
    <row r="285" spans="1:36" x14ac:dyDescent="0.2">
      <c r="A285" s="306">
        <f>Crop!B318</f>
        <v>41909</v>
      </c>
      <c r="B285" s="307"/>
      <c r="C285" s="308"/>
      <c r="D285" s="304">
        <f>IF(OR($A285&lt;$A$3,$A285&gt;$A$7),"",Crop!$D318)</f>
        <v>4.86371915764623</v>
      </c>
      <c r="E285" s="304">
        <f t="shared" si="63"/>
        <v>4.86371915764623</v>
      </c>
      <c r="F285" s="304">
        <f>IF(OR(A285&lt;A$3,A285&gt;A$7),"",Crop!U318)</f>
        <v>1.2</v>
      </c>
      <c r="G285" s="304">
        <f t="shared" si="64"/>
        <v>5.8364629891754758</v>
      </c>
      <c r="H285" s="309">
        <f>IF(OR(A285&lt;A$3,A285&gt;A$7),"",YTD!E282)</f>
        <v>135</v>
      </c>
      <c r="I285" s="310">
        <f t="shared" si="65"/>
        <v>674.02728304156551</v>
      </c>
      <c r="J285" s="311"/>
      <c r="K285" s="309">
        <f t="shared" si="66"/>
        <v>0</v>
      </c>
      <c r="L285" s="312" t="str">
        <f t="shared" si="70"/>
        <v/>
      </c>
      <c r="M285" s="366" t="str">
        <f t="shared" si="71"/>
        <v/>
      </c>
      <c r="N285" s="328" t="str">
        <f t="shared" si="61"/>
        <v/>
      </c>
      <c r="O285" s="313" t="str">
        <f t="shared" si="62"/>
        <v/>
      </c>
      <c r="P285" s="307"/>
      <c r="Q285" s="309">
        <f t="shared" si="72"/>
        <v>0.8</v>
      </c>
      <c r="R285" s="307"/>
      <c r="S285" s="314">
        <f t="shared" si="73"/>
        <v>11.2</v>
      </c>
      <c r="T285" s="304" t="str">
        <f t="shared" si="67"/>
        <v/>
      </c>
      <c r="U285" s="304">
        <f>IF(A285=YTD!B$6,E285,IF(OR(A285&lt;YTD!B$6,A285&gt;YTD!B$10),"",U284+E285))</f>
        <v>1151.3386473284722</v>
      </c>
      <c r="V285" s="304">
        <f t="shared" si="74"/>
        <v>1364.0272830415652</v>
      </c>
      <c r="W285" s="315">
        <f>IF(I285="",#N/A,YTD!G$8-I285)</f>
        <v>-404.02728304156551</v>
      </c>
      <c r="X285" s="368">
        <f t="shared" si="68"/>
        <v>0</v>
      </c>
      <c r="Y285" s="368">
        <f t="shared" si="75"/>
        <v>6</v>
      </c>
      <c r="Z285" s="368" t="str">
        <f t="shared" si="69"/>
        <v/>
      </c>
      <c r="AA285" s="368">
        <v>270</v>
      </c>
      <c r="AB285" s="369">
        <f t="array" ref="AB285">SUM(IF(AA285=Z$16:Z$592,A$16:A$592,""))</f>
        <v>0</v>
      </c>
      <c r="AC285" s="370">
        <f t="array" ref="AC285">SUM(IF(AA285=Z$16:Z$592,J$16:J$592,""))</f>
        <v>0</v>
      </c>
      <c r="AD285" s="370">
        <f t="array" ref="AD285">SUM(IF($AA285=$Z$16:$Z$592,L$16:L$592,""))</f>
        <v>0</v>
      </c>
      <c r="AE285" s="370">
        <f t="array" ref="AE285">SUM(IF($AA285=$Z$16:$Z$592,M$16:M$592,""))</f>
        <v>0</v>
      </c>
      <c r="AF285" s="368">
        <f t="array" ref="AF285">SUM(IF($AA285=$Z$16:$Z$592,N$16:N$592,""))</f>
        <v>0</v>
      </c>
      <c r="AG285" s="370">
        <f t="array" ref="AG285">SUM(IF($AA285=$Z$16:$Z$592,O$16:O$592,""))</f>
        <v>0</v>
      </c>
      <c r="AH285" s="2"/>
      <c r="AI285" s="2"/>
      <c r="AJ285" s="2"/>
    </row>
    <row r="286" spans="1:36" x14ac:dyDescent="0.2">
      <c r="A286" s="306">
        <f>Crop!B319</f>
        <v>41910</v>
      </c>
      <c r="B286" s="307"/>
      <c r="C286" s="308"/>
      <c r="D286" s="304">
        <f>IF(OR($A286&lt;$A$3,$A286&gt;$A$7),"",Crop!$D319)</f>
        <v>4.8178287166576492</v>
      </c>
      <c r="E286" s="304">
        <f t="shared" si="63"/>
        <v>4.8178287166576492</v>
      </c>
      <c r="F286" s="304">
        <f>IF(OR(A286&lt;A$3,A286&gt;A$7),"",Crop!U319)</f>
        <v>1.2</v>
      </c>
      <c r="G286" s="304">
        <f t="shared" si="64"/>
        <v>5.7813944599891789</v>
      </c>
      <c r="H286" s="309">
        <f>IF(OR(A286&lt;A$3,A286&gt;A$7),"",YTD!E283)</f>
        <v>135</v>
      </c>
      <c r="I286" s="310">
        <f t="shared" si="65"/>
        <v>679.80867750155471</v>
      </c>
      <c r="J286" s="311"/>
      <c r="K286" s="309">
        <f t="shared" si="66"/>
        <v>0</v>
      </c>
      <c r="L286" s="312" t="str">
        <f t="shared" si="70"/>
        <v/>
      </c>
      <c r="M286" s="366" t="str">
        <f t="shared" si="71"/>
        <v/>
      </c>
      <c r="N286" s="328" t="str">
        <f t="shared" si="61"/>
        <v/>
      </c>
      <c r="O286" s="313" t="str">
        <f t="shared" si="62"/>
        <v/>
      </c>
      <c r="P286" s="307"/>
      <c r="Q286" s="309">
        <f t="shared" si="72"/>
        <v>0.8</v>
      </c>
      <c r="R286" s="307"/>
      <c r="S286" s="314">
        <f t="shared" si="73"/>
        <v>11.2</v>
      </c>
      <c r="T286" s="304" t="str">
        <f t="shared" si="67"/>
        <v/>
      </c>
      <c r="U286" s="304">
        <f>IF(A286=YTD!B$6,E286,IF(OR(A286&lt;YTD!B$6,A286&gt;YTD!B$10),"",U285+E286))</f>
        <v>1156.1564760451299</v>
      </c>
      <c r="V286" s="304">
        <f t="shared" si="74"/>
        <v>1369.8086775015543</v>
      </c>
      <c r="W286" s="315">
        <f>IF(I286="",#N/A,YTD!G$8-I286)</f>
        <v>-409.80867750155471</v>
      </c>
      <c r="X286" s="368">
        <f t="shared" si="68"/>
        <v>0</v>
      </c>
      <c r="Y286" s="368">
        <f t="shared" si="75"/>
        <v>6</v>
      </c>
      <c r="Z286" s="368" t="str">
        <f t="shared" si="69"/>
        <v/>
      </c>
      <c r="AA286" s="368">
        <v>271</v>
      </c>
      <c r="AB286" s="369">
        <f t="array" ref="AB286">SUM(IF(AA286=Z$16:Z$592,A$16:A$592,""))</f>
        <v>0</v>
      </c>
      <c r="AC286" s="370">
        <f t="array" ref="AC286">SUM(IF(AA286=Z$16:Z$592,J$16:J$592,""))</f>
        <v>0</v>
      </c>
      <c r="AD286" s="370">
        <f t="array" ref="AD286">SUM(IF($AA286=$Z$16:$Z$592,L$16:L$592,""))</f>
        <v>0</v>
      </c>
      <c r="AE286" s="370">
        <f t="array" ref="AE286">SUM(IF($AA286=$Z$16:$Z$592,M$16:M$592,""))</f>
        <v>0</v>
      </c>
      <c r="AF286" s="368">
        <f t="array" ref="AF286">SUM(IF($AA286=$Z$16:$Z$592,N$16:N$592,""))</f>
        <v>0</v>
      </c>
      <c r="AG286" s="370">
        <f t="array" ref="AG286">SUM(IF($AA286=$Z$16:$Z$592,O$16:O$592,""))</f>
        <v>0</v>
      </c>
      <c r="AH286" s="2"/>
      <c r="AI286" s="2"/>
      <c r="AJ286" s="2"/>
    </row>
    <row r="287" spans="1:36" x14ac:dyDescent="0.2">
      <c r="A287" s="306">
        <f>Crop!B320</f>
        <v>41911</v>
      </c>
      <c r="B287" s="307"/>
      <c r="C287" s="308"/>
      <c r="D287" s="304">
        <f>IF(OR($A287&lt;$A$3,$A287&gt;$A$7),"",Crop!$D320)</f>
        <v>4.7715414959570701</v>
      </c>
      <c r="E287" s="304">
        <f t="shared" si="63"/>
        <v>4.7715414959570701</v>
      </c>
      <c r="F287" s="304">
        <f>IF(OR(A287&lt;A$3,A287&gt;A$7),"",Crop!U320)</f>
        <v>1.2</v>
      </c>
      <c r="G287" s="304">
        <f t="shared" si="64"/>
        <v>5.7258497951484841</v>
      </c>
      <c r="H287" s="309">
        <f>IF(OR(A287&lt;A$3,A287&gt;A$7),"",YTD!E284)</f>
        <v>135</v>
      </c>
      <c r="I287" s="310">
        <f t="shared" si="65"/>
        <v>685.53452729670323</v>
      </c>
      <c r="J287" s="311"/>
      <c r="K287" s="309">
        <f t="shared" si="66"/>
        <v>0</v>
      </c>
      <c r="L287" s="312" t="str">
        <f t="shared" si="70"/>
        <v/>
      </c>
      <c r="M287" s="366" t="str">
        <f t="shared" si="71"/>
        <v/>
      </c>
      <c r="N287" s="328" t="str">
        <f t="shared" si="61"/>
        <v/>
      </c>
      <c r="O287" s="313" t="str">
        <f t="shared" si="62"/>
        <v/>
      </c>
      <c r="P287" s="307"/>
      <c r="Q287" s="309">
        <f t="shared" si="72"/>
        <v>0.8</v>
      </c>
      <c r="R287" s="307"/>
      <c r="S287" s="314">
        <f t="shared" si="73"/>
        <v>11.2</v>
      </c>
      <c r="T287" s="304" t="str">
        <f t="shared" si="67"/>
        <v/>
      </c>
      <c r="U287" s="304">
        <f>IF(A287=YTD!B$6,E287,IF(OR(A287&lt;YTD!B$6,A287&gt;YTD!B$10),"",U286+E287))</f>
        <v>1160.928017541087</v>
      </c>
      <c r="V287" s="304">
        <f t="shared" si="74"/>
        <v>1375.5345272967027</v>
      </c>
      <c r="W287" s="315">
        <f>IF(I287="",#N/A,YTD!G$8-I287)</f>
        <v>-415.53452729670323</v>
      </c>
      <c r="X287" s="368">
        <f t="shared" si="68"/>
        <v>0</v>
      </c>
      <c r="Y287" s="368">
        <f t="shared" si="75"/>
        <v>6</v>
      </c>
      <c r="Z287" s="368" t="str">
        <f t="shared" si="69"/>
        <v/>
      </c>
      <c r="AA287" s="368">
        <v>272</v>
      </c>
      <c r="AB287" s="369">
        <f t="array" ref="AB287">SUM(IF(AA287=Z$16:Z$592,A$16:A$592,""))</f>
        <v>0</v>
      </c>
      <c r="AC287" s="370">
        <f t="array" ref="AC287">SUM(IF(AA287=Z$16:Z$592,J$16:J$592,""))</f>
        <v>0</v>
      </c>
      <c r="AD287" s="370">
        <f t="array" ref="AD287">SUM(IF($AA287=$Z$16:$Z$592,L$16:L$592,""))</f>
        <v>0</v>
      </c>
      <c r="AE287" s="370">
        <f t="array" ref="AE287">SUM(IF($AA287=$Z$16:$Z$592,M$16:M$592,""))</f>
        <v>0</v>
      </c>
      <c r="AF287" s="368">
        <f t="array" ref="AF287">SUM(IF($AA287=$Z$16:$Z$592,N$16:N$592,""))</f>
        <v>0</v>
      </c>
      <c r="AG287" s="370">
        <f t="array" ref="AG287">SUM(IF($AA287=$Z$16:$Z$592,O$16:O$592,""))</f>
        <v>0</v>
      </c>
      <c r="AH287" s="2"/>
      <c r="AI287" s="2"/>
      <c r="AJ287" s="2"/>
    </row>
    <row r="288" spans="1:36" x14ac:dyDescent="0.2">
      <c r="A288" s="306">
        <f>Crop!B321</f>
        <v>41912</v>
      </c>
      <c r="B288" s="307"/>
      <c r="C288" s="308"/>
      <c r="D288" s="304">
        <f>IF(OR($A288&lt;$A$3,$A288&gt;$A$7),"",Crop!$D321)</f>
        <v>4.7248365349399419</v>
      </c>
      <c r="E288" s="304">
        <f t="shared" si="63"/>
        <v>4.7248365349399419</v>
      </c>
      <c r="F288" s="304">
        <f>IF(OR(A288&lt;A$3,A288&gt;A$7),"",Crop!U321)</f>
        <v>1.2</v>
      </c>
      <c r="G288" s="304">
        <f t="shared" si="64"/>
        <v>5.66980384192793</v>
      </c>
      <c r="H288" s="309">
        <f>IF(OR(A288&lt;A$3,A288&gt;A$7),"",YTD!E285)</f>
        <v>135</v>
      </c>
      <c r="I288" s="310">
        <f t="shared" si="65"/>
        <v>691.20433113863112</v>
      </c>
      <c r="J288" s="311"/>
      <c r="K288" s="309">
        <f t="shared" si="66"/>
        <v>0</v>
      </c>
      <c r="L288" s="312" t="str">
        <f t="shared" si="70"/>
        <v/>
      </c>
      <c r="M288" s="366" t="str">
        <f t="shared" si="71"/>
        <v/>
      </c>
      <c r="N288" s="328" t="str">
        <f t="shared" si="61"/>
        <v/>
      </c>
      <c r="O288" s="313" t="str">
        <f t="shared" si="62"/>
        <v/>
      </c>
      <c r="P288" s="307"/>
      <c r="Q288" s="309">
        <f t="shared" si="72"/>
        <v>0.8</v>
      </c>
      <c r="R288" s="307"/>
      <c r="S288" s="314">
        <f t="shared" si="73"/>
        <v>11.2</v>
      </c>
      <c r="T288" s="304" t="str">
        <f t="shared" si="67"/>
        <v/>
      </c>
      <c r="U288" s="304">
        <f>IF(A288=YTD!B$6,E288,IF(OR(A288&lt;YTD!B$6,A288&gt;YTD!B$10),"",U287+E288))</f>
        <v>1165.6528540760269</v>
      </c>
      <c r="V288" s="304">
        <f t="shared" si="74"/>
        <v>1381.2043311386306</v>
      </c>
      <c r="W288" s="315">
        <f>IF(I288="",#N/A,YTD!G$8-I288)</f>
        <v>-421.20433113863112</v>
      </c>
      <c r="X288" s="368">
        <f t="shared" si="68"/>
        <v>0</v>
      </c>
      <c r="Y288" s="368">
        <f t="shared" si="75"/>
        <v>6</v>
      </c>
      <c r="Z288" s="368" t="str">
        <f t="shared" si="69"/>
        <v/>
      </c>
      <c r="AA288" s="368">
        <v>273</v>
      </c>
      <c r="AB288" s="369">
        <f t="array" ref="AB288">SUM(IF(AA288=Z$16:Z$592,A$16:A$592,""))</f>
        <v>0</v>
      </c>
      <c r="AC288" s="370">
        <f t="array" ref="AC288">SUM(IF(AA288=Z$16:Z$592,J$16:J$592,""))</f>
        <v>0</v>
      </c>
      <c r="AD288" s="370">
        <f t="array" ref="AD288">SUM(IF($AA288=$Z$16:$Z$592,L$16:L$592,""))</f>
        <v>0</v>
      </c>
      <c r="AE288" s="370">
        <f t="array" ref="AE288">SUM(IF($AA288=$Z$16:$Z$592,M$16:M$592,""))</f>
        <v>0</v>
      </c>
      <c r="AF288" s="368">
        <f t="array" ref="AF288">SUM(IF($AA288=$Z$16:$Z$592,N$16:N$592,""))</f>
        <v>0</v>
      </c>
      <c r="AG288" s="370">
        <f t="array" ref="AG288">SUM(IF($AA288=$Z$16:$Z$592,O$16:O$592,""))</f>
        <v>0</v>
      </c>
      <c r="AH288" s="2"/>
      <c r="AI288" s="2"/>
      <c r="AJ288" s="2"/>
    </row>
    <row r="289" spans="1:36" x14ac:dyDescent="0.2">
      <c r="A289" s="306">
        <f>Crop!B322</f>
        <v>41913</v>
      </c>
      <c r="B289" s="307"/>
      <c r="C289" s="308"/>
      <c r="D289" s="304">
        <f>IF(OR($A289&lt;$A$3,$A289&gt;$A$7),"",Crop!$D322)</f>
        <v>4.6776928730017175</v>
      </c>
      <c r="E289" s="304">
        <f t="shared" si="63"/>
        <v>4.6776928730017175</v>
      </c>
      <c r="F289" s="304">
        <f>IF(OR(A289&lt;A$3,A289&gt;A$7),"",Crop!U322)</f>
        <v>1.2</v>
      </c>
      <c r="G289" s="304">
        <f t="shared" si="64"/>
        <v>5.6132314476020611</v>
      </c>
      <c r="H289" s="309">
        <f>IF(OR(A289&lt;A$3,A289&gt;A$7),"",YTD!E286)</f>
        <v>135</v>
      </c>
      <c r="I289" s="310">
        <f t="shared" si="65"/>
        <v>696.81756258623318</v>
      </c>
      <c r="J289" s="311"/>
      <c r="K289" s="309">
        <f t="shared" si="66"/>
        <v>0</v>
      </c>
      <c r="L289" s="312" t="str">
        <f t="shared" si="70"/>
        <v/>
      </c>
      <c r="M289" s="366" t="str">
        <f t="shared" si="71"/>
        <v/>
      </c>
      <c r="N289" s="328" t="str">
        <f t="shared" si="61"/>
        <v/>
      </c>
      <c r="O289" s="313" t="str">
        <f t="shared" si="62"/>
        <v/>
      </c>
      <c r="P289" s="307"/>
      <c r="Q289" s="309">
        <f t="shared" si="72"/>
        <v>0.8</v>
      </c>
      <c r="R289" s="307"/>
      <c r="S289" s="314">
        <f t="shared" si="73"/>
        <v>11.2</v>
      </c>
      <c r="T289" s="304" t="str">
        <f t="shared" si="67"/>
        <v/>
      </c>
      <c r="U289" s="304">
        <f>IF(A289=YTD!B$6,E289,IF(OR(A289&lt;YTD!B$6,A289&gt;YTD!B$10),"",U288+E289))</f>
        <v>1170.3305469490285</v>
      </c>
      <c r="V289" s="304">
        <f t="shared" si="74"/>
        <v>1386.8175625862327</v>
      </c>
      <c r="W289" s="315">
        <f>IF(I289="",#N/A,YTD!G$8-I289)</f>
        <v>-426.81756258623318</v>
      </c>
      <c r="X289" s="368">
        <f t="shared" si="68"/>
        <v>0</v>
      </c>
      <c r="Y289" s="368">
        <f t="shared" si="75"/>
        <v>6</v>
      </c>
      <c r="Z289" s="368" t="str">
        <f t="shared" si="69"/>
        <v/>
      </c>
      <c r="AA289" s="368">
        <v>274</v>
      </c>
      <c r="AB289" s="369">
        <f t="array" ref="AB289">SUM(IF(AA289=Z$16:Z$592,A$16:A$592,""))</f>
        <v>0</v>
      </c>
      <c r="AC289" s="370">
        <f t="array" ref="AC289">SUM(IF(AA289=Z$16:Z$592,J$16:J$592,""))</f>
        <v>0</v>
      </c>
      <c r="AD289" s="370">
        <f t="array" ref="AD289">SUM(IF($AA289=$Z$16:$Z$592,L$16:L$592,""))</f>
        <v>0</v>
      </c>
      <c r="AE289" s="370">
        <f t="array" ref="AE289">SUM(IF($AA289=$Z$16:$Z$592,M$16:M$592,""))</f>
        <v>0</v>
      </c>
      <c r="AF289" s="368">
        <f t="array" ref="AF289">SUM(IF($AA289=$Z$16:$Z$592,N$16:N$592,""))</f>
        <v>0</v>
      </c>
      <c r="AG289" s="370">
        <f t="array" ref="AG289">SUM(IF($AA289=$Z$16:$Z$592,O$16:O$592,""))</f>
        <v>0</v>
      </c>
      <c r="AH289" s="2"/>
      <c r="AI289" s="2"/>
      <c r="AJ289" s="2"/>
    </row>
    <row r="290" spans="1:36" x14ac:dyDescent="0.2">
      <c r="A290" s="306">
        <f>Crop!B323</f>
        <v>41914</v>
      </c>
      <c r="B290" s="307"/>
      <c r="C290" s="308"/>
      <c r="D290" s="304">
        <f>IF(OR($A290&lt;$A$3,$A290&gt;$A$7),"",Crop!$D323)</f>
        <v>4.6300895495378454</v>
      </c>
      <c r="E290" s="304">
        <f t="shared" si="63"/>
        <v>4.6300895495378454</v>
      </c>
      <c r="F290" s="304">
        <f>IF(OR(A290&lt;A$3,A290&gt;A$7),"",Crop!U323)</f>
        <v>1.2</v>
      </c>
      <c r="G290" s="304">
        <f t="shared" si="64"/>
        <v>5.5561074594454141</v>
      </c>
      <c r="H290" s="309">
        <f>IF(OR(A290&lt;A$3,A290&gt;A$7),"",YTD!E287)</f>
        <v>135</v>
      </c>
      <c r="I290" s="310">
        <f t="shared" si="65"/>
        <v>702.37367004567864</v>
      </c>
      <c r="J290" s="311"/>
      <c r="K290" s="309">
        <f t="shared" si="66"/>
        <v>0</v>
      </c>
      <c r="L290" s="312" t="str">
        <f t="shared" si="70"/>
        <v/>
      </c>
      <c r="M290" s="366" t="str">
        <f t="shared" si="71"/>
        <v/>
      </c>
      <c r="N290" s="328" t="str">
        <f t="shared" si="61"/>
        <v/>
      </c>
      <c r="O290" s="313" t="str">
        <f t="shared" si="62"/>
        <v/>
      </c>
      <c r="P290" s="307"/>
      <c r="Q290" s="309">
        <f t="shared" si="72"/>
        <v>0.8</v>
      </c>
      <c r="R290" s="307"/>
      <c r="S290" s="314">
        <f t="shared" si="73"/>
        <v>11.2</v>
      </c>
      <c r="T290" s="304" t="str">
        <f t="shared" si="67"/>
        <v/>
      </c>
      <c r="U290" s="304">
        <f>IF(A290=YTD!B$6,E290,IF(OR(A290&lt;YTD!B$6,A290&gt;YTD!B$10),"",U289+E290))</f>
        <v>1174.9606364985664</v>
      </c>
      <c r="V290" s="304">
        <f t="shared" si="74"/>
        <v>1392.3736700456782</v>
      </c>
      <c r="W290" s="315">
        <f>IF(I290="",#N/A,YTD!G$8-I290)</f>
        <v>-432.37367004567864</v>
      </c>
      <c r="X290" s="368">
        <f t="shared" si="68"/>
        <v>0</v>
      </c>
      <c r="Y290" s="368">
        <f t="shared" si="75"/>
        <v>6</v>
      </c>
      <c r="Z290" s="368" t="str">
        <f t="shared" si="69"/>
        <v/>
      </c>
      <c r="AA290" s="368">
        <v>275</v>
      </c>
      <c r="AB290" s="369">
        <f t="array" ref="AB290">SUM(IF(AA290=Z$16:Z$592,A$16:A$592,""))</f>
        <v>0</v>
      </c>
      <c r="AC290" s="370">
        <f t="array" ref="AC290">SUM(IF(AA290=Z$16:Z$592,J$16:J$592,""))</f>
        <v>0</v>
      </c>
      <c r="AD290" s="370">
        <f t="array" ref="AD290">SUM(IF($AA290=$Z$16:$Z$592,L$16:L$592,""))</f>
        <v>0</v>
      </c>
      <c r="AE290" s="370">
        <f t="array" ref="AE290">SUM(IF($AA290=$Z$16:$Z$592,M$16:M$592,""))</f>
        <v>0</v>
      </c>
      <c r="AF290" s="368">
        <f t="array" ref="AF290">SUM(IF($AA290=$Z$16:$Z$592,N$16:N$592,""))</f>
        <v>0</v>
      </c>
      <c r="AG290" s="370">
        <f t="array" ref="AG290">SUM(IF($AA290=$Z$16:$Z$592,O$16:O$592,""))</f>
        <v>0</v>
      </c>
      <c r="AH290" s="2"/>
      <c r="AI290" s="2"/>
      <c r="AJ290" s="2"/>
    </row>
    <row r="291" spans="1:36" x14ac:dyDescent="0.2">
      <c r="A291" s="306">
        <f>Crop!B324</f>
        <v>41915</v>
      </c>
      <c r="B291" s="307"/>
      <c r="C291" s="308"/>
      <c r="D291" s="304">
        <f>IF(OR($A291&lt;$A$3,$A291&gt;$A$7),"",Crop!$D324)</f>
        <v>4.5820056039437764</v>
      </c>
      <c r="E291" s="304">
        <f t="shared" si="63"/>
        <v>4.5820056039437764</v>
      </c>
      <c r="F291" s="304">
        <f>IF(OR(A291&lt;A$3,A291&gt;A$7),"",Crop!U324)</f>
        <v>1.2</v>
      </c>
      <c r="G291" s="304">
        <f t="shared" si="64"/>
        <v>5.4984067247325319</v>
      </c>
      <c r="H291" s="309">
        <f>IF(OR(A291&lt;A$3,A291&gt;A$7),"",YTD!E288)</f>
        <v>135</v>
      </c>
      <c r="I291" s="310">
        <f t="shared" si="65"/>
        <v>707.87207677041113</v>
      </c>
      <c r="J291" s="311"/>
      <c r="K291" s="309">
        <f t="shared" si="66"/>
        <v>0</v>
      </c>
      <c r="L291" s="312" t="str">
        <f t="shared" si="70"/>
        <v/>
      </c>
      <c r="M291" s="366" t="str">
        <f t="shared" si="71"/>
        <v/>
      </c>
      <c r="N291" s="328" t="str">
        <f t="shared" si="61"/>
        <v/>
      </c>
      <c r="O291" s="313" t="str">
        <f t="shared" si="62"/>
        <v/>
      </c>
      <c r="P291" s="307"/>
      <c r="Q291" s="309">
        <f t="shared" si="72"/>
        <v>0.8</v>
      </c>
      <c r="R291" s="307"/>
      <c r="S291" s="314">
        <f t="shared" si="73"/>
        <v>11.2</v>
      </c>
      <c r="T291" s="304" t="str">
        <f t="shared" si="67"/>
        <v/>
      </c>
      <c r="U291" s="304">
        <f>IF(A291=YTD!B$6,E291,IF(OR(A291&lt;YTD!B$6,A291&gt;YTD!B$10),"",U290+E291))</f>
        <v>1179.5426421025102</v>
      </c>
      <c r="V291" s="304">
        <f t="shared" si="74"/>
        <v>1397.8720767704108</v>
      </c>
      <c r="W291" s="315">
        <f>IF(I291="",#N/A,YTD!G$8-I291)</f>
        <v>-437.87207677041113</v>
      </c>
      <c r="X291" s="368">
        <f t="shared" si="68"/>
        <v>0</v>
      </c>
      <c r="Y291" s="368">
        <f t="shared" si="75"/>
        <v>6</v>
      </c>
      <c r="Z291" s="368" t="str">
        <f t="shared" si="69"/>
        <v/>
      </c>
      <c r="AA291" s="368">
        <v>276</v>
      </c>
      <c r="AB291" s="369">
        <f t="array" ref="AB291">SUM(IF(AA291=Z$16:Z$592,A$16:A$592,""))</f>
        <v>0</v>
      </c>
      <c r="AC291" s="370">
        <f t="array" ref="AC291">SUM(IF(AA291=Z$16:Z$592,J$16:J$592,""))</f>
        <v>0</v>
      </c>
      <c r="AD291" s="370">
        <f t="array" ref="AD291">SUM(IF($AA291=$Z$16:$Z$592,L$16:L$592,""))</f>
        <v>0</v>
      </c>
      <c r="AE291" s="370">
        <f t="array" ref="AE291">SUM(IF($AA291=$Z$16:$Z$592,M$16:M$592,""))</f>
        <v>0</v>
      </c>
      <c r="AF291" s="368">
        <f t="array" ref="AF291">SUM(IF($AA291=$Z$16:$Z$592,N$16:N$592,""))</f>
        <v>0</v>
      </c>
      <c r="AG291" s="370">
        <f t="array" ref="AG291">SUM(IF($AA291=$Z$16:$Z$592,O$16:O$592,""))</f>
        <v>0</v>
      </c>
      <c r="AH291" s="2"/>
      <c r="AI291" s="2"/>
      <c r="AJ291" s="2"/>
    </row>
    <row r="292" spans="1:36" x14ac:dyDescent="0.2">
      <c r="A292" s="306">
        <f>Crop!B325</f>
        <v>41916</v>
      </c>
      <c r="B292" s="307"/>
      <c r="C292" s="308"/>
      <c r="D292" s="304">
        <f>IF(OR($A292&lt;$A$3,$A292&gt;$A$7),"",Crop!$D325)</f>
        <v>4.5334200756149645</v>
      </c>
      <c r="E292" s="304">
        <f t="shared" si="63"/>
        <v>4.5334200756149645</v>
      </c>
      <c r="F292" s="304">
        <f>IF(OR(A292&lt;A$3,A292&gt;A$7),"",Crop!U325)</f>
        <v>1.2</v>
      </c>
      <c r="G292" s="304">
        <f t="shared" si="64"/>
        <v>5.4401040907379574</v>
      </c>
      <c r="H292" s="309">
        <f>IF(OR(A292&lt;A$3,A292&gt;A$7),"",YTD!E289)</f>
        <v>135</v>
      </c>
      <c r="I292" s="310">
        <f t="shared" si="65"/>
        <v>713.31218086114905</v>
      </c>
      <c r="J292" s="311"/>
      <c r="K292" s="309">
        <f t="shared" si="66"/>
        <v>0</v>
      </c>
      <c r="L292" s="312" t="str">
        <f t="shared" si="70"/>
        <v/>
      </c>
      <c r="M292" s="366" t="str">
        <f t="shared" si="71"/>
        <v/>
      </c>
      <c r="N292" s="328" t="str">
        <f t="shared" si="61"/>
        <v/>
      </c>
      <c r="O292" s="313" t="str">
        <f t="shared" si="62"/>
        <v/>
      </c>
      <c r="P292" s="307"/>
      <c r="Q292" s="309">
        <f t="shared" si="72"/>
        <v>0.8</v>
      </c>
      <c r="R292" s="307"/>
      <c r="S292" s="314">
        <f t="shared" si="73"/>
        <v>11.2</v>
      </c>
      <c r="T292" s="304" t="str">
        <f t="shared" si="67"/>
        <v/>
      </c>
      <c r="U292" s="304">
        <f>IF(A292=YTD!B$6,E292,IF(OR(A292&lt;YTD!B$6,A292&gt;YTD!B$10),"",U291+E292))</f>
        <v>1184.0760621781251</v>
      </c>
      <c r="V292" s="304">
        <f t="shared" si="74"/>
        <v>1403.3121808611488</v>
      </c>
      <c r="W292" s="315">
        <f>IF(I292="",#N/A,YTD!G$8-I292)</f>
        <v>-443.31218086114905</v>
      </c>
      <c r="X292" s="368">
        <f t="shared" si="68"/>
        <v>0</v>
      </c>
      <c r="Y292" s="368">
        <f t="shared" si="75"/>
        <v>6</v>
      </c>
      <c r="Z292" s="368" t="str">
        <f t="shared" si="69"/>
        <v/>
      </c>
      <c r="AA292" s="368">
        <v>277</v>
      </c>
      <c r="AB292" s="369">
        <f t="array" ref="AB292">SUM(IF(AA292=Z$16:Z$592,A$16:A$592,""))</f>
        <v>0</v>
      </c>
      <c r="AC292" s="370">
        <f t="array" ref="AC292">SUM(IF(AA292=Z$16:Z$592,J$16:J$592,""))</f>
        <v>0</v>
      </c>
      <c r="AD292" s="370">
        <f t="array" ref="AD292">SUM(IF($AA292=$Z$16:$Z$592,L$16:L$592,""))</f>
        <v>0</v>
      </c>
      <c r="AE292" s="370">
        <f t="array" ref="AE292">SUM(IF($AA292=$Z$16:$Z$592,M$16:M$592,""))</f>
        <v>0</v>
      </c>
      <c r="AF292" s="368">
        <f t="array" ref="AF292">SUM(IF($AA292=$Z$16:$Z$592,N$16:N$592,""))</f>
        <v>0</v>
      </c>
      <c r="AG292" s="370">
        <f t="array" ref="AG292">SUM(IF($AA292=$Z$16:$Z$592,O$16:O$592,""))</f>
        <v>0</v>
      </c>
      <c r="AH292" s="2"/>
      <c r="AI292" s="2"/>
      <c r="AJ292" s="2"/>
    </row>
    <row r="293" spans="1:36" x14ac:dyDescent="0.2">
      <c r="A293" s="306">
        <f>Crop!B326</f>
        <v>41917</v>
      </c>
      <c r="B293" s="307"/>
      <c r="C293" s="308"/>
      <c r="D293" s="304">
        <f>IF(OR($A293&lt;$A$3,$A293&gt;$A$7),"",Crop!$D326)</f>
        <v>4.4843120039468545</v>
      </c>
      <c r="E293" s="304">
        <f t="shared" si="63"/>
        <v>4.4843120039468545</v>
      </c>
      <c r="F293" s="304">
        <f>IF(OR(A293&lt;A$3,A293&gt;A$7),"",Crop!U326)</f>
        <v>1.2</v>
      </c>
      <c r="G293" s="304">
        <f t="shared" si="64"/>
        <v>5.3811744047362255</v>
      </c>
      <c r="H293" s="309">
        <f>IF(OR(A293&lt;A$3,A293&gt;A$7),"",YTD!E290)</f>
        <v>135</v>
      </c>
      <c r="I293" s="310">
        <f t="shared" si="65"/>
        <v>718.69335526588532</v>
      </c>
      <c r="J293" s="311"/>
      <c r="K293" s="309">
        <f t="shared" si="66"/>
        <v>0</v>
      </c>
      <c r="L293" s="312" t="str">
        <f t="shared" si="70"/>
        <v/>
      </c>
      <c r="M293" s="366" t="str">
        <f t="shared" si="71"/>
        <v/>
      </c>
      <c r="N293" s="328" t="str">
        <f t="shared" si="61"/>
        <v/>
      </c>
      <c r="O293" s="313" t="str">
        <f t="shared" si="62"/>
        <v/>
      </c>
      <c r="P293" s="307"/>
      <c r="Q293" s="309">
        <f t="shared" si="72"/>
        <v>0.8</v>
      </c>
      <c r="R293" s="307"/>
      <c r="S293" s="314">
        <f t="shared" si="73"/>
        <v>11.2</v>
      </c>
      <c r="T293" s="304" t="str">
        <f t="shared" si="67"/>
        <v/>
      </c>
      <c r="U293" s="304">
        <f>IF(A293=YTD!B$6,E293,IF(OR(A293&lt;YTD!B$6,A293&gt;YTD!B$10),"",U292+E293))</f>
        <v>1188.5603741820719</v>
      </c>
      <c r="V293" s="304">
        <f t="shared" si="74"/>
        <v>1408.693355265885</v>
      </c>
      <c r="W293" s="315">
        <f>IF(I293="",#N/A,YTD!G$8-I293)</f>
        <v>-448.69335526588532</v>
      </c>
      <c r="X293" s="368">
        <f t="shared" si="68"/>
        <v>0</v>
      </c>
      <c r="Y293" s="368">
        <f t="shared" si="75"/>
        <v>6</v>
      </c>
      <c r="Z293" s="368" t="str">
        <f t="shared" si="69"/>
        <v/>
      </c>
      <c r="AA293" s="368">
        <v>278</v>
      </c>
      <c r="AB293" s="369">
        <f t="array" ref="AB293">SUM(IF(AA293=Z$16:Z$592,A$16:A$592,""))</f>
        <v>0</v>
      </c>
      <c r="AC293" s="370">
        <f t="array" ref="AC293">SUM(IF(AA293=Z$16:Z$592,J$16:J$592,""))</f>
        <v>0</v>
      </c>
      <c r="AD293" s="370">
        <f t="array" ref="AD293">SUM(IF($AA293=$Z$16:$Z$592,L$16:L$592,""))</f>
        <v>0</v>
      </c>
      <c r="AE293" s="370">
        <f t="array" ref="AE293">SUM(IF($AA293=$Z$16:$Z$592,M$16:M$592,""))</f>
        <v>0</v>
      </c>
      <c r="AF293" s="368">
        <f t="array" ref="AF293">SUM(IF($AA293=$Z$16:$Z$592,N$16:N$592,""))</f>
        <v>0</v>
      </c>
      <c r="AG293" s="370">
        <f t="array" ref="AG293">SUM(IF($AA293=$Z$16:$Z$592,O$16:O$592,""))</f>
        <v>0</v>
      </c>
      <c r="AH293" s="2"/>
      <c r="AI293" s="2"/>
      <c r="AJ293" s="2"/>
    </row>
    <row r="294" spans="1:36" x14ac:dyDescent="0.2">
      <c r="A294" s="306">
        <f>Crop!B327</f>
        <v>41918</v>
      </c>
      <c r="B294" s="307"/>
      <c r="C294" s="308"/>
      <c r="D294" s="304">
        <f>IF(OR($A294&lt;$A$3,$A294&gt;$A$7),"",Crop!$D327)</f>
        <v>4.4346604283349027</v>
      </c>
      <c r="E294" s="304">
        <f t="shared" si="63"/>
        <v>4.4346604283349027</v>
      </c>
      <c r="F294" s="304">
        <f>IF(OR(A294&lt;A$3,A294&gt;A$7),"",Crop!U327)</f>
        <v>1.2</v>
      </c>
      <c r="G294" s="304">
        <f t="shared" si="64"/>
        <v>5.3215925140018827</v>
      </c>
      <c r="H294" s="309">
        <f>IF(OR(A294&lt;A$3,A294&gt;A$7),"",YTD!E291)</f>
        <v>135</v>
      </c>
      <c r="I294" s="310">
        <f t="shared" si="65"/>
        <v>724.01494777988717</v>
      </c>
      <c r="J294" s="311"/>
      <c r="K294" s="309">
        <f t="shared" si="66"/>
        <v>0</v>
      </c>
      <c r="L294" s="312" t="str">
        <f t="shared" si="70"/>
        <v/>
      </c>
      <c r="M294" s="366" t="str">
        <f t="shared" si="71"/>
        <v/>
      </c>
      <c r="N294" s="328" t="str">
        <f t="shared" si="61"/>
        <v/>
      </c>
      <c r="O294" s="313" t="str">
        <f t="shared" si="62"/>
        <v/>
      </c>
      <c r="P294" s="307"/>
      <c r="Q294" s="309">
        <f t="shared" si="72"/>
        <v>0.8</v>
      </c>
      <c r="R294" s="307"/>
      <c r="S294" s="314">
        <f t="shared" si="73"/>
        <v>11.2</v>
      </c>
      <c r="T294" s="304" t="str">
        <f t="shared" si="67"/>
        <v/>
      </c>
      <c r="U294" s="304">
        <f>IF(A294=YTD!B$6,E294,IF(OR(A294&lt;YTD!B$6,A294&gt;YTD!B$10),"",U293+E294))</f>
        <v>1192.9950346104067</v>
      </c>
      <c r="V294" s="304">
        <f t="shared" si="74"/>
        <v>1414.0149477798868</v>
      </c>
      <c r="W294" s="315">
        <f>IF(I294="",#N/A,YTD!G$8-I294)</f>
        <v>-454.01494777988717</v>
      </c>
      <c r="X294" s="368">
        <f t="shared" si="68"/>
        <v>0</v>
      </c>
      <c r="Y294" s="368">
        <f t="shared" si="75"/>
        <v>6</v>
      </c>
      <c r="Z294" s="368" t="str">
        <f t="shared" si="69"/>
        <v/>
      </c>
      <c r="AA294" s="368">
        <v>279</v>
      </c>
      <c r="AB294" s="369">
        <f t="array" ref="AB294">SUM(IF(AA294=Z$16:Z$592,A$16:A$592,""))</f>
        <v>0</v>
      </c>
      <c r="AC294" s="370">
        <f t="array" ref="AC294">SUM(IF(AA294=Z$16:Z$592,J$16:J$592,""))</f>
        <v>0</v>
      </c>
      <c r="AD294" s="370">
        <f t="array" ref="AD294">SUM(IF($AA294=$Z$16:$Z$592,L$16:L$592,""))</f>
        <v>0</v>
      </c>
      <c r="AE294" s="370">
        <f t="array" ref="AE294">SUM(IF($AA294=$Z$16:$Z$592,M$16:M$592,""))</f>
        <v>0</v>
      </c>
      <c r="AF294" s="368">
        <f t="array" ref="AF294">SUM(IF($AA294=$Z$16:$Z$592,N$16:N$592,""))</f>
        <v>0</v>
      </c>
      <c r="AG294" s="370">
        <f t="array" ref="AG294">SUM(IF($AA294=$Z$16:$Z$592,O$16:O$592,""))</f>
        <v>0</v>
      </c>
      <c r="AH294" s="2"/>
      <c r="AI294" s="2"/>
      <c r="AJ294" s="2"/>
    </row>
    <row r="295" spans="1:36" x14ac:dyDescent="0.2">
      <c r="A295" s="306">
        <f>Crop!B328</f>
        <v>41919</v>
      </c>
      <c r="B295" s="307"/>
      <c r="C295" s="308"/>
      <c r="D295" s="304">
        <f>IF(OR($A295&lt;$A$3,$A295&gt;$A$7),"",Crop!$D328)</f>
        <v>4.3844443881745558</v>
      </c>
      <c r="E295" s="304">
        <f t="shared" si="63"/>
        <v>4.3844443881745558</v>
      </c>
      <c r="F295" s="304">
        <f>IF(OR(A295&lt;A$3,A295&gt;A$7),"",Crop!U328)</f>
        <v>1.1777452094674263</v>
      </c>
      <c r="G295" s="304">
        <f t="shared" si="64"/>
        <v>5.1637583743489239</v>
      </c>
      <c r="H295" s="309">
        <f>IF(OR(A295&lt;A$3,A295&gt;A$7),"",YTD!E292)</f>
        <v>135</v>
      </c>
      <c r="I295" s="310">
        <f t="shared" si="65"/>
        <v>729.17870615423612</v>
      </c>
      <c r="J295" s="311"/>
      <c r="K295" s="309">
        <f t="shared" si="66"/>
        <v>0</v>
      </c>
      <c r="L295" s="312" t="str">
        <f t="shared" si="70"/>
        <v/>
      </c>
      <c r="M295" s="366" t="str">
        <f t="shared" si="71"/>
        <v/>
      </c>
      <c r="N295" s="328" t="str">
        <f t="shared" si="61"/>
        <v/>
      </c>
      <c r="O295" s="313" t="str">
        <f t="shared" si="62"/>
        <v/>
      </c>
      <c r="P295" s="307"/>
      <c r="Q295" s="309">
        <f t="shared" si="72"/>
        <v>0.8</v>
      </c>
      <c r="R295" s="307"/>
      <c r="S295" s="314">
        <f t="shared" si="73"/>
        <v>11.2</v>
      </c>
      <c r="T295" s="304" t="str">
        <f t="shared" si="67"/>
        <v/>
      </c>
      <c r="U295" s="304">
        <f>IF(A295=YTD!B$6,E295,IF(OR(A295&lt;YTD!B$6,A295&gt;YTD!B$10),"",U294+E295))</f>
        <v>1197.3794789985814</v>
      </c>
      <c r="V295" s="304">
        <f t="shared" si="74"/>
        <v>1419.1787061542357</v>
      </c>
      <c r="W295" s="315">
        <f>IF(I295="",#N/A,YTD!G$8-I295)</f>
        <v>-459.17870615423612</v>
      </c>
      <c r="X295" s="368">
        <f t="shared" si="68"/>
        <v>0</v>
      </c>
      <c r="Y295" s="368">
        <f t="shared" si="75"/>
        <v>6</v>
      </c>
      <c r="Z295" s="368" t="str">
        <f t="shared" si="69"/>
        <v/>
      </c>
      <c r="AA295" s="368">
        <v>280</v>
      </c>
      <c r="AB295" s="369">
        <f t="array" ref="AB295">SUM(IF(AA295=Z$16:Z$592,A$16:A$592,""))</f>
        <v>0</v>
      </c>
      <c r="AC295" s="370">
        <f t="array" ref="AC295">SUM(IF(AA295=Z$16:Z$592,J$16:J$592,""))</f>
        <v>0</v>
      </c>
      <c r="AD295" s="370">
        <f t="array" ref="AD295">SUM(IF($AA295=$Z$16:$Z$592,L$16:L$592,""))</f>
        <v>0</v>
      </c>
      <c r="AE295" s="370">
        <f t="array" ref="AE295">SUM(IF($AA295=$Z$16:$Z$592,M$16:M$592,""))</f>
        <v>0</v>
      </c>
      <c r="AF295" s="368">
        <f t="array" ref="AF295">SUM(IF($AA295=$Z$16:$Z$592,N$16:N$592,""))</f>
        <v>0</v>
      </c>
      <c r="AG295" s="370">
        <f t="array" ref="AG295">SUM(IF($AA295=$Z$16:$Z$592,O$16:O$592,""))</f>
        <v>0</v>
      </c>
      <c r="AH295" s="2"/>
      <c r="AI295" s="2"/>
      <c r="AJ295" s="2"/>
    </row>
    <row r="296" spans="1:36" x14ac:dyDescent="0.2">
      <c r="A296" s="306">
        <f>Crop!B329</f>
        <v>41920</v>
      </c>
      <c r="B296" s="307"/>
      <c r="C296" s="308"/>
      <c r="D296" s="304">
        <f>IF(OR($A296&lt;$A$3,$A296&gt;$A$7),"",Crop!$D329)</f>
        <v>4.3336429228612676</v>
      </c>
      <c r="E296" s="304">
        <f t="shared" si="63"/>
        <v>4.3336429228612676</v>
      </c>
      <c r="F296" s="304">
        <f>IF(OR(A296&lt;A$3,A296&gt;A$7),"",Crop!U329)</f>
        <v>1.1549141592391174</v>
      </c>
      <c r="G296" s="304">
        <f t="shared" si="64"/>
        <v>5.0049855726988728</v>
      </c>
      <c r="H296" s="309">
        <f>IF(OR(A296&lt;A$3,A296&gt;A$7),"",YTD!E293)</f>
        <v>135</v>
      </c>
      <c r="I296" s="310">
        <f t="shared" si="65"/>
        <v>734.18369172693497</v>
      </c>
      <c r="J296" s="311"/>
      <c r="K296" s="309">
        <f t="shared" si="66"/>
        <v>0</v>
      </c>
      <c r="L296" s="312" t="str">
        <f t="shared" si="70"/>
        <v/>
      </c>
      <c r="M296" s="366" t="str">
        <f t="shared" si="71"/>
        <v/>
      </c>
      <c r="N296" s="328" t="str">
        <f t="shared" si="61"/>
        <v/>
      </c>
      <c r="O296" s="313" t="str">
        <f t="shared" si="62"/>
        <v/>
      </c>
      <c r="P296" s="307"/>
      <c r="Q296" s="309">
        <f t="shared" si="72"/>
        <v>0.8</v>
      </c>
      <c r="R296" s="307"/>
      <c r="S296" s="314">
        <f t="shared" si="73"/>
        <v>11.2</v>
      </c>
      <c r="T296" s="304" t="str">
        <f t="shared" si="67"/>
        <v/>
      </c>
      <c r="U296" s="304">
        <f>IF(A296=YTD!B$6,E296,IF(OR(A296&lt;YTD!B$6,A296&gt;YTD!B$10),"",U295+E296))</f>
        <v>1201.7131219214427</v>
      </c>
      <c r="V296" s="304">
        <f t="shared" si="74"/>
        <v>1424.1836917269345</v>
      </c>
      <c r="W296" s="315">
        <f>IF(I296="",#N/A,YTD!G$8-I296)</f>
        <v>-464.18369172693497</v>
      </c>
      <c r="X296" s="368">
        <f t="shared" si="68"/>
        <v>0</v>
      </c>
      <c r="Y296" s="368">
        <f t="shared" si="75"/>
        <v>6</v>
      </c>
      <c r="Z296" s="368" t="str">
        <f t="shared" si="69"/>
        <v/>
      </c>
      <c r="AA296" s="368">
        <v>281</v>
      </c>
      <c r="AB296" s="369">
        <f t="array" ref="AB296">SUM(IF(AA296=Z$16:Z$592,A$16:A$592,""))</f>
        <v>0</v>
      </c>
      <c r="AC296" s="370">
        <f t="array" ref="AC296">SUM(IF(AA296=Z$16:Z$592,J$16:J$592,""))</f>
        <v>0</v>
      </c>
      <c r="AD296" s="370">
        <f t="array" ref="AD296">SUM(IF($AA296=$Z$16:$Z$592,L$16:L$592,""))</f>
        <v>0</v>
      </c>
      <c r="AE296" s="370">
        <f t="array" ref="AE296">SUM(IF($AA296=$Z$16:$Z$592,M$16:M$592,""))</f>
        <v>0</v>
      </c>
      <c r="AF296" s="368">
        <f t="array" ref="AF296">SUM(IF($AA296=$Z$16:$Z$592,N$16:N$592,""))</f>
        <v>0</v>
      </c>
      <c r="AG296" s="370">
        <f t="array" ref="AG296">SUM(IF($AA296=$Z$16:$Z$592,O$16:O$592,""))</f>
        <v>0</v>
      </c>
      <c r="AH296" s="2"/>
      <c r="AI296" s="2"/>
      <c r="AJ296" s="2"/>
    </row>
    <row r="297" spans="1:36" x14ac:dyDescent="0.2">
      <c r="A297" s="306">
        <f>Crop!B330</f>
        <v>41921</v>
      </c>
      <c r="B297" s="307"/>
      <c r="C297" s="308"/>
      <c r="D297" s="304">
        <f>IF(OR($A297&lt;$A$3,$A297&gt;$A$7),"",Crop!$D330)</f>
        <v>4.2822350717904873</v>
      </c>
      <c r="E297" s="304">
        <f t="shared" si="63"/>
        <v>4.2822350717904873</v>
      </c>
      <c r="F297" s="304">
        <f>IF(OR(A297&lt;A$3,A297&gt;A$7),"",Crop!U330)</f>
        <v>1.1320831090108086</v>
      </c>
      <c r="G297" s="304">
        <f t="shared" si="64"/>
        <v>4.8478459935876979</v>
      </c>
      <c r="H297" s="309">
        <f>IF(OR(A297&lt;A$3,A297&gt;A$7),"",YTD!E294)</f>
        <v>135</v>
      </c>
      <c r="I297" s="310">
        <f t="shared" si="65"/>
        <v>739.03153772052269</v>
      </c>
      <c r="J297" s="311"/>
      <c r="K297" s="309">
        <f t="shared" si="66"/>
        <v>0</v>
      </c>
      <c r="L297" s="312" t="str">
        <f t="shared" si="70"/>
        <v/>
      </c>
      <c r="M297" s="366" t="str">
        <f t="shared" si="71"/>
        <v/>
      </c>
      <c r="N297" s="328" t="str">
        <f t="shared" si="61"/>
        <v/>
      </c>
      <c r="O297" s="313" t="str">
        <f t="shared" si="62"/>
        <v/>
      </c>
      <c r="P297" s="307"/>
      <c r="Q297" s="309">
        <f t="shared" si="72"/>
        <v>0.8</v>
      </c>
      <c r="R297" s="307"/>
      <c r="S297" s="314">
        <f t="shared" si="73"/>
        <v>11.2</v>
      </c>
      <c r="T297" s="304" t="str">
        <f t="shared" si="67"/>
        <v/>
      </c>
      <c r="U297" s="304">
        <f>IF(A297=YTD!B$6,E297,IF(OR(A297&lt;YTD!B$6,A297&gt;YTD!B$10),"",U296+E297))</f>
        <v>1205.9953569932331</v>
      </c>
      <c r="V297" s="304">
        <f t="shared" si="74"/>
        <v>1429.0315377205222</v>
      </c>
      <c r="W297" s="315">
        <f>IF(I297="",#N/A,YTD!G$8-I297)</f>
        <v>-469.03153772052269</v>
      </c>
      <c r="X297" s="368">
        <f t="shared" si="68"/>
        <v>0</v>
      </c>
      <c r="Y297" s="368">
        <f t="shared" si="75"/>
        <v>6</v>
      </c>
      <c r="Z297" s="368" t="str">
        <f t="shared" si="69"/>
        <v/>
      </c>
      <c r="AA297" s="368">
        <v>282</v>
      </c>
      <c r="AB297" s="369">
        <f t="array" ref="AB297">SUM(IF(AA297=Z$16:Z$592,A$16:A$592,""))</f>
        <v>0</v>
      </c>
      <c r="AC297" s="370">
        <f t="array" ref="AC297">SUM(IF(AA297=Z$16:Z$592,J$16:J$592,""))</f>
        <v>0</v>
      </c>
      <c r="AD297" s="370">
        <f t="array" ref="AD297">SUM(IF($AA297=$Z$16:$Z$592,L$16:L$592,""))</f>
        <v>0</v>
      </c>
      <c r="AE297" s="370">
        <f t="array" ref="AE297">SUM(IF($AA297=$Z$16:$Z$592,M$16:M$592,""))</f>
        <v>0</v>
      </c>
      <c r="AF297" s="368">
        <f t="array" ref="AF297">SUM(IF($AA297=$Z$16:$Z$592,N$16:N$592,""))</f>
        <v>0</v>
      </c>
      <c r="AG297" s="370">
        <f t="array" ref="AG297">SUM(IF($AA297=$Z$16:$Z$592,O$16:O$592,""))</f>
        <v>0</v>
      </c>
      <c r="AH297" s="2"/>
      <c r="AI297" s="2"/>
      <c r="AJ297" s="2"/>
    </row>
    <row r="298" spans="1:36" x14ac:dyDescent="0.2">
      <c r="A298" s="306">
        <f>Crop!B331</f>
        <v>41922</v>
      </c>
      <c r="B298" s="307"/>
      <c r="C298" s="308"/>
      <c r="D298" s="304">
        <f>IF(OR($A298&lt;$A$3,$A298&gt;$A$7),"",Crop!$D331)</f>
        <v>4.2301998743576643</v>
      </c>
      <c r="E298" s="304">
        <f t="shared" si="63"/>
        <v>4.2301998743576643</v>
      </c>
      <c r="F298" s="304">
        <f>IF(OR(A298&lt;A$3,A298&gt;A$7),"",Crop!U331)</f>
        <v>1.1092520587824994</v>
      </c>
      <c r="G298" s="304">
        <f t="shared" si="64"/>
        <v>4.6923579196927099</v>
      </c>
      <c r="H298" s="309">
        <f>IF(OR(A298&lt;A$3,A298&gt;A$7),"",YTD!E295)</f>
        <v>135</v>
      </c>
      <c r="I298" s="310">
        <f t="shared" si="65"/>
        <v>743.72389564021535</v>
      </c>
      <c r="J298" s="311"/>
      <c r="K298" s="309">
        <f t="shared" si="66"/>
        <v>0</v>
      </c>
      <c r="L298" s="312" t="str">
        <f t="shared" si="70"/>
        <v/>
      </c>
      <c r="M298" s="366" t="str">
        <f t="shared" si="71"/>
        <v/>
      </c>
      <c r="N298" s="328" t="str">
        <f t="shared" si="61"/>
        <v/>
      </c>
      <c r="O298" s="313" t="str">
        <f t="shared" si="62"/>
        <v/>
      </c>
      <c r="P298" s="307"/>
      <c r="Q298" s="309">
        <f t="shared" si="72"/>
        <v>0.8</v>
      </c>
      <c r="R298" s="307"/>
      <c r="S298" s="314">
        <f t="shared" si="73"/>
        <v>11.2</v>
      </c>
      <c r="T298" s="304" t="str">
        <f t="shared" si="67"/>
        <v/>
      </c>
      <c r="U298" s="304">
        <f>IF(A298=YTD!B$6,E298,IF(OR(A298&lt;YTD!B$6,A298&gt;YTD!B$10),"",U297+E298))</f>
        <v>1210.2255568675907</v>
      </c>
      <c r="V298" s="304">
        <f t="shared" si="74"/>
        <v>1433.723895640215</v>
      </c>
      <c r="W298" s="315">
        <f>IF(I298="",#N/A,YTD!G$8-I298)</f>
        <v>-473.72389564021535</v>
      </c>
      <c r="X298" s="368">
        <f t="shared" si="68"/>
        <v>0</v>
      </c>
      <c r="Y298" s="368">
        <f t="shared" si="75"/>
        <v>6</v>
      </c>
      <c r="Z298" s="368" t="str">
        <f t="shared" si="69"/>
        <v/>
      </c>
      <c r="AA298" s="368">
        <v>283</v>
      </c>
      <c r="AB298" s="369">
        <f t="array" ref="AB298">SUM(IF(AA298=Z$16:Z$592,A$16:A$592,""))</f>
        <v>0</v>
      </c>
      <c r="AC298" s="370">
        <f t="array" ref="AC298">SUM(IF(AA298=Z$16:Z$592,J$16:J$592,""))</f>
        <v>0</v>
      </c>
      <c r="AD298" s="370">
        <f t="array" ref="AD298">SUM(IF($AA298=$Z$16:$Z$592,L$16:L$592,""))</f>
        <v>0</v>
      </c>
      <c r="AE298" s="370">
        <f t="array" ref="AE298">SUM(IF($AA298=$Z$16:$Z$592,M$16:M$592,""))</f>
        <v>0</v>
      </c>
      <c r="AF298" s="368">
        <f t="array" ref="AF298">SUM(IF($AA298=$Z$16:$Z$592,N$16:N$592,""))</f>
        <v>0</v>
      </c>
      <c r="AG298" s="370">
        <f t="array" ref="AG298">SUM(IF($AA298=$Z$16:$Z$592,O$16:O$592,""))</f>
        <v>0</v>
      </c>
      <c r="AH298" s="2"/>
      <c r="AI298" s="2"/>
      <c r="AJ298" s="2"/>
    </row>
    <row r="299" spans="1:36" x14ac:dyDescent="0.2">
      <c r="A299" s="306">
        <f>Crop!B332</f>
        <v>41923</v>
      </c>
      <c r="B299" s="307"/>
      <c r="C299" s="308"/>
      <c r="D299" s="304">
        <f>IF(OR($A299&lt;$A$3,$A299&gt;$A$7),"",Crop!$D332)</f>
        <v>4.1775163699582532</v>
      </c>
      <c r="E299" s="304">
        <f t="shared" si="63"/>
        <v>4.1775163699582532</v>
      </c>
      <c r="F299" s="304">
        <f>IF(OR(A299&lt;A$3,A299&gt;A$7),"",Crop!U332)</f>
        <v>1.0864210085541903</v>
      </c>
      <c r="G299" s="304">
        <f t="shared" si="64"/>
        <v>4.5385415479016853</v>
      </c>
      <c r="H299" s="309">
        <f>IF(OR(A299&lt;A$3,A299&gt;A$7),"",YTD!E296)</f>
        <v>135</v>
      </c>
      <c r="I299" s="310">
        <f t="shared" si="65"/>
        <v>748.26243718811702</v>
      </c>
      <c r="J299" s="311"/>
      <c r="K299" s="309">
        <f t="shared" si="66"/>
        <v>0</v>
      </c>
      <c r="L299" s="312" t="str">
        <f t="shared" si="70"/>
        <v/>
      </c>
      <c r="M299" s="366" t="str">
        <f t="shared" si="71"/>
        <v/>
      </c>
      <c r="N299" s="328" t="str">
        <f t="shared" si="61"/>
        <v/>
      </c>
      <c r="O299" s="313" t="str">
        <f t="shared" si="62"/>
        <v/>
      </c>
      <c r="P299" s="307"/>
      <c r="Q299" s="309">
        <f t="shared" si="72"/>
        <v>0.8</v>
      </c>
      <c r="R299" s="307"/>
      <c r="S299" s="314">
        <f t="shared" si="73"/>
        <v>11.2</v>
      </c>
      <c r="T299" s="304" t="str">
        <f t="shared" si="67"/>
        <v/>
      </c>
      <c r="U299" s="304">
        <f>IF(A299=YTD!B$6,E299,IF(OR(A299&lt;YTD!B$6,A299&gt;YTD!B$10),"",U298+E299))</f>
        <v>1214.4030732375491</v>
      </c>
      <c r="V299" s="304">
        <f t="shared" si="74"/>
        <v>1438.2624371881168</v>
      </c>
      <c r="W299" s="315">
        <f>IF(I299="",#N/A,YTD!G$8-I299)</f>
        <v>-478.26243718811702</v>
      </c>
      <c r="X299" s="368">
        <f t="shared" si="68"/>
        <v>0</v>
      </c>
      <c r="Y299" s="368">
        <f t="shared" si="75"/>
        <v>6</v>
      </c>
      <c r="Z299" s="368" t="str">
        <f t="shared" si="69"/>
        <v/>
      </c>
      <c r="AA299" s="368">
        <v>284</v>
      </c>
      <c r="AB299" s="369">
        <f t="array" ref="AB299">SUM(IF(AA299=Z$16:Z$592,A$16:A$592,""))</f>
        <v>0</v>
      </c>
      <c r="AC299" s="370">
        <f t="array" ref="AC299">SUM(IF(AA299=Z$16:Z$592,J$16:J$592,""))</f>
        <v>0</v>
      </c>
      <c r="AD299" s="370">
        <f t="array" ref="AD299">SUM(IF($AA299=$Z$16:$Z$592,L$16:L$592,""))</f>
        <v>0</v>
      </c>
      <c r="AE299" s="370">
        <f t="array" ref="AE299">SUM(IF($AA299=$Z$16:$Z$592,M$16:M$592,""))</f>
        <v>0</v>
      </c>
      <c r="AF299" s="368">
        <f t="array" ref="AF299">SUM(IF($AA299=$Z$16:$Z$592,N$16:N$592,""))</f>
        <v>0</v>
      </c>
      <c r="AG299" s="370">
        <f t="array" ref="AG299">SUM(IF($AA299=$Z$16:$Z$592,O$16:O$592,""))</f>
        <v>0</v>
      </c>
      <c r="AH299" s="2"/>
      <c r="AI299" s="2"/>
      <c r="AJ299" s="2"/>
    </row>
    <row r="300" spans="1:36" x14ac:dyDescent="0.2">
      <c r="A300" s="306">
        <f>Crop!B333</f>
        <v>41924</v>
      </c>
      <c r="B300" s="307"/>
      <c r="C300" s="308"/>
      <c r="D300" s="304">
        <f>IF(OR($A300&lt;$A$3,$A300&gt;$A$7),"",Crop!$D333)</f>
        <v>4.1241635979877023</v>
      </c>
      <c r="E300" s="304">
        <f t="shared" si="63"/>
        <v>4.1241635979877023</v>
      </c>
      <c r="F300" s="304">
        <f>IF(OR(A300&lt;A$3,A300&gt;A$7),"",Crop!U333)</f>
        <v>1.0635899583258814</v>
      </c>
      <c r="G300" s="304">
        <f t="shared" si="64"/>
        <v>4.3864189893128573</v>
      </c>
      <c r="H300" s="309">
        <f>IF(OR(A300&lt;A$3,A300&gt;A$7),"",YTD!E297)</f>
        <v>135</v>
      </c>
      <c r="I300" s="310">
        <f t="shared" si="65"/>
        <v>752.64885617742982</v>
      </c>
      <c r="J300" s="311"/>
      <c r="K300" s="309">
        <f t="shared" si="66"/>
        <v>0</v>
      </c>
      <c r="L300" s="312" t="str">
        <f t="shared" si="70"/>
        <v/>
      </c>
      <c r="M300" s="366" t="str">
        <f t="shared" si="71"/>
        <v/>
      </c>
      <c r="N300" s="328" t="str">
        <f t="shared" si="61"/>
        <v/>
      </c>
      <c r="O300" s="313" t="str">
        <f t="shared" si="62"/>
        <v/>
      </c>
      <c r="P300" s="307"/>
      <c r="Q300" s="309">
        <f t="shared" si="72"/>
        <v>0.8</v>
      </c>
      <c r="R300" s="307"/>
      <c r="S300" s="314">
        <f t="shared" si="73"/>
        <v>11.2</v>
      </c>
      <c r="T300" s="304" t="str">
        <f t="shared" si="67"/>
        <v/>
      </c>
      <c r="U300" s="304">
        <f>IF(A300=YTD!B$6,E300,IF(OR(A300&lt;YTD!B$6,A300&gt;YTD!B$10),"",U299+E300))</f>
        <v>1218.5272368355368</v>
      </c>
      <c r="V300" s="304">
        <f t="shared" si="74"/>
        <v>1442.6488561774297</v>
      </c>
      <c r="W300" s="315">
        <f>IF(I300="",#N/A,YTD!G$8-I300)</f>
        <v>-482.64885617742982</v>
      </c>
      <c r="X300" s="368">
        <f t="shared" si="68"/>
        <v>0</v>
      </c>
      <c r="Y300" s="368">
        <f t="shared" si="75"/>
        <v>6</v>
      </c>
      <c r="Z300" s="368" t="str">
        <f t="shared" si="69"/>
        <v/>
      </c>
      <c r="AA300" s="368">
        <v>285</v>
      </c>
      <c r="AB300" s="369">
        <f t="array" ref="AB300">SUM(IF(AA300=Z$16:Z$592,A$16:A$592,""))</f>
        <v>0</v>
      </c>
      <c r="AC300" s="370">
        <f t="array" ref="AC300">SUM(IF(AA300=Z$16:Z$592,J$16:J$592,""))</f>
        <v>0</v>
      </c>
      <c r="AD300" s="370">
        <f t="array" ref="AD300">SUM(IF($AA300=$Z$16:$Z$592,L$16:L$592,""))</f>
        <v>0</v>
      </c>
      <c r="AE300" s="370">
        <f t="array" ref="AE300">SUM(IF($AA300=$Z$16:$Z$592,M$16:M$592,""))</f>
        <v>0</v>
      </c>
      <c r="AF300" s="368">
        <f t="array" ref="AF300">SUM(IF($AA300=$Z$16:$Z$592,N$16:N$592,""))</f>
        <v>0</v>
      </c>
      <c r="AG300" s="370">
        <f t="array" ref="AG300">SUM(IF($AA300=$Z$16:$Z$592,O$16:O$592,""))</f>
        <v>0</v>
      </c>
      <c r="AH300" s="2"/>
      <c r="AI300" s="2"/>
      <c r="AJ300" s="2"/>
    </row>
    <row r="301" spans="1:36" x14ac:dyDescent="0.2">
      <c r="A301" s="306">
        <f>Crop!B334</f>
        <v>41925</v>
      </c>
      <c r="B301" s="307"/>
      <c r="C301" s="308"/>
      <c r="D301" s="304">
        <f>IF(OR($A301&lt;$A$3,$A301&gt;$A$7),"",Crop!$D334)</f>
        <v>4.0701205978414601</v>
      </c>
      <c r="E301" s="304">
        <f t="shared" si="63"/>
        <v>4.0701205978414601</v>
      </c>
      <c r="F301" s="304">
        <f>IF(OR(A301&lt;A$3,A301&gt;A$7),"",Crop!U334)</f>
        <v>1.0407589080975725</v>
      </c>
      <c r="G301" s="304">
        <f t="shared" si="64"/>
        <v>4.236014269234917</v>
      </c>
      <c r="H301" s="309">
        <f>IF(OR(A301&lt;A$3,A301&gt;A$7),"",YTD!E298)</f>
        <v>135</v>
      </c>
      <c r="I301" s="310">
        <f t="shared" si="65"/>
        <v>756.88487044666476</v>
      </c>
      <c r="J301" s="311"/>
      <c r="K301" s="309">
        <f t="shared" si="66"/>
        <v>0</v>
      </c>
      <c r="L301" s="312" t="str">
        <f t="shared" si="70"/>
        <v/>
      </c>
      <c r="M301" s="366" t="str">
        <f t="shared" si="71"/>
        <v/>
      </c>
      <c r="N301" s="328" t="str">
        <f t="shared" si="61"/>
        <v/>
      </c>
      <c r="O301" s="313" t="str">
        <f t="shared" si="62"/>
        <v/>
      </c>
      <c r="P301" s="307"/>
      <c r="Q301" s="309">
        <f t="shared" si="72"/>
        <v>0.8</v>
      </c>
      <c r="R301" s="307"/>
      <c r="S301" s="314">
        <f t="shared" si="73"/>
        <v>11.2</v>
      </c>
      <c r="T301" s="304" t="str">
        <f t="shared" si="67"/>
        <v/>
      </c>
      <c r="U301" s="304">
        <f>IF(A301=YTD!B$6,E301,IF(OR(A301&lt;YTD!B$6,A301&gt;YTD!B$10),"",U300+E301))</f>
        <v>1222.5973574333782</v>
      </c>
      <c r="V301" s="304">
        <f t="shared" si="74"/>
        <v>1446.8848704466645</v>
      </c>
      <c r="W301" s="315">
        <f>IF(I301="",#N/A,YTD!G$8-I301)</f>
        <v>-486.88487044666476</v>
      </c>
      <c r="X301" s="368">
        <f t="shared" si="68"/>
        <v>0</v>
      </c>
      <c r="Y301" s="368">
        <f t="shared" si="75"/>
        <v>6</v>
      </c>
      <c r="Z301" s="368" t="str">
        <f t="shared" si="69"/>
        <v/>
      </c>
      <c r="AA301" s="368">
        <v>286</v>
      </c>
      <c r="AB301" s="369">
        <f t="array" ref="AB301">SUM(IF(AA301=Z$16:Z$592,A$16:A$592,""))</f>
        <v>0</v>
      </c>
      <c r="AC301" s="370">
        <f t="array" ref="AC301">SUM(IF(AA301=Z$16:Z$592,J$16:J$592,""))</f>
        <v>0</v>
      </c>
      <c r="AD301" s="370">
        <f t="array" ref="AD301">SUM(IF($AA301=$Z$16:$Z$592,L$16:L$592,""))</f>
        <v>0</v>
      </c>
      <c r="AE301" s="370">
        <f t="array" ref="AE301">SUM(IF($AA301=$Z$16:$Z$592,M$16:M$592,""))</f>
        <v>0</v>
      </c>
      <c r="AF301" s="368">
        <f t="array" ref="AF301">SUM(IF($AA301=$Z$16:$Z$592,N$16:N$592,""))</f>
        <v>0</v>
      </c>
      <c r="AG301" s="370">
        <f t="array" ref="AG301">SUM(IF($AA301=$Z$16:$Z$592,O$16:O$592,""))</f>
        <v>0</v>
      </c>
      <c r="AH301" s="2"/>
      <c r="AI301" s="2"/>
      <c r="AJ301" s="2"/>
    </row>
    <row r="302" spans="1:36" x14ac:dyDescent="0.2">
      <c r="A302" s="306">
        <f>Crop!B335</f>
        <v>41926</v>
      </c>
      <c r="B302" s="307"/>
      <c r="C302" s="308"/>
      <c r="D302" s="304">
        <f>IF(OR($A302&lt;$A$3,$A302&gt;$A$7),"",Crop!$D335)</f>
        <v>4.0153664089149812</v>
      </c>
      <c r="E302" s="304">
        <f t="shared" si="63"/>
        <v>4.0153664089149812</v>
      </c>
      <c r="F302" s="304">
        <f>IF(OR(A302&lt;A$3,A302&gt;A$7),"",Crop!U335)</f>
        <v>1.0179278578692634</v>
      </c>
      <c r="G302" s="304">
        <f t="shared" si="64"/>
        <v>4.0873533271870235</v>
      </c>
      <c r="H302" s="309">
        <f>IF(OR(A302&lt;A$3,A302&gt;A$7),"",YTD!E299)</f>
        <v>135</v>
      </c>
      <c r="I302" s="310">
        <f t="shared" si="65"/>
        <v>760.97222377385174</v>
      </c>
      <c r="J302" s="311"/>
      <c r="K302" s="309">
        <f t="shared" si="66"/>
        <v>0</v>
      </c>
      <c r="L302" s="312" t="str">
        <f t="shared" si="70"/>
        <v/>
      </c>
      <c r="M302" s="366" t="str">
        <f t="shared" si="71"/>
        <v/>
      </c>
      <c r="N302" s="328" t="str">
        <f t="shared" si="61"/>
        <v/>
      </c>
      <c r="O302" s="313" t="str">
        <f t="shared" si="62"/>
        <v/>
      </c>
      <c r="P302" s="307"/>
      <c r="Q302" s="309">
        <f t="shared" si="72"/>
        <v>0.8</v>
      </c>
      <c r="R302" s="307"/>
      <c r="S302" s="314">
        <f t="shared" si="73"/>
        <v>11.2</v>
      </c>
      <c r="T302" s="304" t="str">
        <f t="shared" si="67"/>
        <v/>
      </c>
      <c r="U302" s="304">
        <f>IF(A302=YTD!B$6,E302,IF(OR(A302&lt;YTD!B$6,A302&gt;YTD!B$10),"",U301+E302))</f>
        <v>1226.6127238422932</v>
      </c>
      <c r="V302" s="304">
        <f t="shared" si="74"/>
        <v>1450.9722237738515</v>
      </c>
      <c r="W302" s="315">
        <f>IF(I302="",#N/A,YTD!G$8-I302)</f>
        <v>-490.97222377385174</v>
      </c>
      <c r="X302" s="368">
        <f t="shared" si="68"/>
        <v>0</v>
      </c>
      <c r="Y302" s="368">
        <f t="shared" si="75"/>
        <v>6</v>
      </c>
      <c r="Z302" s="368" t="str">
        <f t="shared" si="69"/>
        <v/>
      </c>
      <c r="AA302" s="368">
        <v>287</v>
      </c>
      <c r="AB302" s="369">
        <f t="array" ref="AB302">SUM(IF(AA302=Z$16:Z$592,A$16:A$592,""))</f>
        <v>0</v>
      </c>
      <c r="AC302" s="370">
        <f t="array" ref="AC302">SUM(IF(AA302=Z$16:Z$592,J$16:J$592,""))</f>
        <v>0</v>
      </c>
      <c r="AD302" s="370">
        <f t="array" ref="AD302">SUM(IF($AA302=$Z$16:$Z$592,L$16:L$592,""))</f>
        <v>0</v>
      </c>
      <c r="AE302" s="370">
        <f t="array" ref="AE302">SUM(IF($AA302=$Z$16:$Z$592,M$16:M$592,""))</f>
        <v>0</v>
      </c>
      <c r="AF302" s="368">
        <f t="array" ref="AF302">SUM(IF($AA302=$Z$16:$Z$592,N$16:N$592,""))</f>
        <v>0</v>
      </c>
      <c r="AG302" s="370">
        <f t="array" ref="AG302">SUM(IF($AA302=$Z$16:$Z$592,O$16:O$592,""))</f>
        <v>0</v>
      </c>
      <c r="AH302" s="2"/>
      <c r="AI302" s="2"/>
      <c r="AJ302" s="2"/>
    </row>
    <row r="303" spans="1:36" x14ac:dyDescent="0.2">
      <c r="A303" s="306">
        <f>Crop!B336</f>
        <v>41927</v>
      </c>
      <c r="B303" s="307"/>
      <c r="C303" s="308"/>
      <c r="D303" s="304">
        <f>IF(OR($A303&lt;$A$3,$A303&gt;$A$7),"",Crop!$D336)</f>
        <v>3.9598800706037145</v>
      </c>
      <c r="E303" s="304">
        <f t="shared" si="63"/>
        <v>3.9598800706037145</v>
      </c>
      <c r="F303" s="304">
        <f>IF(OR(A303&lt;A$3,A303&gt;A$7),"",Crop!U336)</f>
        <v>0.99509680764095443</v>
      </c>
      <c r="G303" s="304">
        <f t="shared" si="64"/>
        <v>3.9404640168987934</v>
      </c>
      <c r="H303" s="309">
        <f>IF(OR(A303&lt;A$3,A303&gt;A$7),"",YTD!E300)</f>
        <v>135</v>
      </c>
      <c r="I303" s="310">
        <f t="shared" si="65"/>
        <v>764.91268779075051</v>
      </c>
      <c r="J303" s="311"/>
      <c r="K303" s="309">
        <f t="shared" si="66"/>
        <v>0</v>
      </c>
      <c r="L303" s="312" t="str">
        <f t="shared" si="70"/>
        <v/>
      </c>
      <c r="M303" s="366" t="str">
        <f t="shared" si="71"/>
        <v/>
      </c>
      <c r="N303" s="328" t="str">
        <f t="shared" si="61"/>
        <v/>
      </c>
      <c r="O303" s="313" t="str">
        <f t="shared" si="62"/>
        <v/>
      </c>
      <c r="P303" s="307"/>
      <c r="Q303" s="309">
        <f t="shared" si="72"/>
        <v>0.8</v>
      </c>
      <c r="R303" s="307"/>
      <c r="S303" s="314">
        <f t="shared" si="73"/>
        <v>11.2</v>
      </c>
      <c r="T303" s="304" t="str">
        <f t="shared" si="67"/>
        <v>E</v>
      </c>
      <c r="U303" s="304">
        <f>IF(A303=YTD!B$6,E303,IF(OR(A303&lt;YTD!B$6,A303&gt;YTD!B$10),"",U302+E303))</f>
        <v>1230.572603912897</v>
      </c>
      <c r="V303" s="304">
        <f t="shared" si="74"/>
        <v>1454.9126877907504</v>
      </c>
      <c r="W303" s="315">
        <f>IF(I303="",#N/A,YTD!G$8-I303)</f>
        <v>-494.91268779075051</v>
      </c>
      <c r="X303" s="368">
        <f t="shared" si="68"/>
        <v>0</v>
      </c>
      <c r="Y303" s="368">
        <f t="shared" si="75"/>
        <v>6</v>
      </c>
      <c r="Z303" s="368" t="str">
        <f t="shared" si="69"/>
        <v/>
      </c>
      <c r="AA303" s="368">
        <v>288</v>
      </c>
      <c r="AB303" s="369">
        <f t="array" ref="AB303">SUM(IF(AA303=Z$16:Z$592,A$16:A$592,""))</f>
        <v>0</v>
      </c>
      <c r="AC303" s="370">
        <f t="array" ref="AC303">SUM(IF(AA303=Z$16:Z$592,J$16:J$592,""))</f>
        <v>0</v>
      </c>
      <c r="AD303" s="370">
        <f t="array" ref="AD303">SUM(IF($AA303=$Z$16:$Z$592,L$16:L$592,""))</f>
        <v>0</v>
      </c>
      <c r="AE303" s="370">
        <f t="array" ref="AE303">SUM(IF($AA303=$Z$16:$Z$592,M$16:M$592,""))</f>
        <v>0</v>
      </c>
      <c r="AF303" s="368">
        <f t="array" ref="AF303">SUM(IF($AA303=$Z$16:$Z$592,N$16:N$592,""))</f>
        <v>0</v>
      </c>
      <c r="AG303" s="370">
        <f t="array" ref="AG303">SUM(IF($AA303=$Z$16:$Z$592,O$16:O$592,""))</f>
        <v>0</v>
      </c>
      <c r="AH303" s="2"/>
      <c r="AI303" s="2"/>
      <c r="AJ303" s="2"/>
    </row>
    <row r="304" spans="1:36" x14ac:dyDescent="0.2">
      <c r="A304" s="306">
        <f>Crop!B337</f>
        <v>41928</v>
      </c>
      <c r="B304" s="307"/>
      <c r="C304" s="308"/>
      <c r="D304" s="304" t="str">
        <f>IF(OR($A304&lt;$A$3,$A304&gt;$A$7),"",Crop!$D337)</f>
        <v/>
      </c>
      <c r="E304" s="304" t="str">
        <f t="shared" si="63"/>
        <v/>
      </c>
      <c r="F304" s="304" t="str">
        <f>IF(OR(A304&lt;A$3,A304&gt;A$7),"",Crop!U337)</f>
        <v/>
      </c>
      <c r="G304" s="304" t="str">
        <f t="shared" si="64"/>
        <v/>
      </c>
      <c r="H304" s="309" t="str">
        <f>IF(OR(A304&lt;A$3,A304&gt;A$7),"",YTD!E301)</f>
        <v/>
      </c>
      <c r="I304" s="310" t="str">
        <f t="shared" si="65"/>
        <v/>
      </c>
      <c r="J304" s="311"/>
      <c r="K304" s="309" t="str">
        <f t="shared" si="66"/>
        <v/>
      </c>
      <c r="L304" s="312" t="str">
        <f t="shared" si="70"/>
        <v/>
      </c>
      <c r="M304" s="366" t="str">
        <f t="shared" si="71"/>
        <v/>
      </c>
      <c r="N304" s="328" t="str">
        <f t="shared" si="61"/>
        <v/>
      </c>
      <c r="O304" s="313" t="str">
        <f t="shared" si="62"/>
        <v/>
      </c>
      <c r="P304" s="307"/>
      <c r="Q304" s="309">
        <f t="shared" si="72"/>
        <v>0.8</v>
      </c>
      <c r="R304" s="307"/>
      <c r="S304" s="314">
        <f t="shared" si="73"/>
        <v>11.2</v>
      </c>
      <c r="T304" s="304" t="str">
        <f t="shared" si="67"/>
        <v/>
      </c>
      <c r="U304" s="304" t="str">
        <f>IF(A304=YTD!B$6,E304,IF(OR(A304&lt;YTD!B$6,A304&gt;YTD!B$10),"",U303+E304))</f>
        <v/>
      </c>
      <c r="V304" s="304" t="str">
        <f t="shared" si="74"/>
        <v/>
      </c>
      <c r="W304" s="315" t="e">
        <f>IF(I304="",#N/A,YTD!G$8-I304)</f>
        <v>#N/A</v>
      </c>
      <c r="X304" s="368">
        <f t="shared" si="68"/>
        <v>0</v>
      </c>
      <c r="Y304" s="368">
        <f t="shared" si="75"/>
        <v>6</v>
      </c>
      <c r="Z304" s="368" t="str">
        <f t="shared" si="69"/>
        <v/>
      </c>
      <c r="AA304" s="368">
        <v>289</v>
      </c>
      <c r="AB304" s="369">
        <f t="array" ref="AB304">SUM(IF(AA304=Z$16:Z$592,A$16:A$592,""))</f>
        <v>0</v>
      </c>
      <c r="AC304" s="370">
        <f t="array" ref="AC304">SUM(IF(AA304=Z$16:Z$592,J$16:J$592,""))</f>
        <v>0</v>
      </c>
      <c r="AD304" s="370">
        <f t="array" ref="AD304">SUM(IF($AA304=$Z$16:$Z$592,L$16:L$592,""))</f>
        <v>0</v>
      </c>
      <c r="AE304" s="370">
        <f t="array" ref="AE304">SUM(IF($AA304=$Z$16:$Z$592,M$16:M$592,""))</f>
        <v>0</v>
      </c>
      <c r="AF304" s="368">
        <f t="array" ref="AF304">SUM(IF($AA304=$Z$16:$Z$592,N$16:N$592,""))</f>
        <v>0</v>
      </c>
      <c r="AG304" s="370">
        <f t="array" ref="AG304">SUM(IF($AA304=$Z$16:$Z$592,O$16:O$592,""))</f>
        <v>0</v>
      </c>
      <c r="AH304" s="2"/>
      <c r="AI304" s="2"/>
      <c r="AJ304" s="2"/>
    </row>
    <row r="305" spans="1:36" x14ac:dyDescent="0.2">
      <c r="A305" s="306">
        <f>Crop!B338</f>
        <v>41929</v>
      </c>
      <c r="B305" s="307"/>
      <c r="C305" s="308"/>
      <c r="D305" s="304" t="str">
        <f>IF(OR($A305&lt;$A$3,$A305&gt;$A$7),"",Crop!$D338)</f>
        <v/>
      </c>
      <c r="E305" s="304" t="str">
        <f t="shared" si="63"/>
        <v/>
      </c>
      <c r="F305" s="304" t="str">
        <f>IF(OR(A305&lt;A$3,A305&gt;A$7),"",Crop!U338)</f>
        <v/>
      </c>
      <c r="G305" s="304" t="str">
        <f t="shared" si="64"/>
        <v/>
      </c>
      <c r="H305" s="309" t="str">
        <f>IF(OR(A305&lt;A$3,A305&gt;A$7),"",YTD!E302)</f>
        <v/>
      </c>
      <c r="I305" s="310" t="str">
        <f t="shared" si="65"/>
        <v/>
      </c>
      <c r="J305" s="311"/>
      <c r="K305" s="309" t="str">
        <f t="shared" si="66"/>
        <v/>
      </c>
      <c r="L305" s="312" t="str">
        <f t="shared" si="70"/>
        <v/>
      </c>
      <c r="M305" s="366" t="str">
        <f t="shared" si="71"/>
        <v/>
      </c>
      <c r="N305" s="328" t="str">
        <f t="shared" si="61"/>
        <v/>
      </c>
      <c r="O305" s="313" t="str">
        <f t="shared" si="62"/>
        <v/>
      </c>
      <c r="P305" s="307"/>
      <c r="Q305" s="309">
        <f t="shared" si="72"/>
        <v>0.8</v>
      </c>
      <c r="R305" s="307"/>
      <c r="S305" s="314">
        <f t="shared" si="73"/>
        <v>11.2</v>
      </c>
      <c r="T305" s="304" t="str">
        <f t="shared" si="67"/>
        <v/>
      </c>
      <c r="U305" s="304" t="str">
        <f>IF(A305=YTD!B$6,E305,IF(OR(A305&lt;YTD!B$6,A305&gt;YTD!B$10),"",U304+E305))</f>
        <v/>
      </c>
      <c r="V305" s="304" t="str">
        <f t="shared" si="74"/>
        <v/>
      </c>
      <c r="W305" s="315" t="e">
        <f>IF(I305="",#N/A,YTD!G$8-I305)</f>
        <v>#N/A</v>
      </c>
      <c r="X305" s="368">
        <f t="shared" si="68"/>
        <v>0</v>
      </c>
      <c r="Y305" s="368">
        <f t="shared" si="75"/>
        <v>6</v>
      </c>
      <c r="Z305" s="368" t="str">
        <f t="shared" si="69"/>
        <v/>
      </c>
      <c r="AA305" s="368">
        <v>290</v>
      </c>
      <c r="AB305" s="369">
        <f t="array" ref="AB305">SUM(IF(AA305=Z$16:Z$592,A$16:A$592,""))</f>
        <v>0</v>
      </c>
      <c r="AC305" s="370">
        <f t="array" ref="AC305">SUM(IF(AA305=Z$16:Z$592,J$16:J$592,""))</f>
        <v>0</v>
      </c>
      <c r="AD305" s="370">
        <f t="array" ref="AD305">SUM(IF($AA305=$Z$16:$Z$592,L$16:L$592,""))</f>
        <v>0</v>
      </c>
      <c r="AE305" s="370">
        <f t="array" ref="AE305">SUM(IF($AA305=$Z$16:$Z$592,M$16:M$592,""))</f>
        <v>0</v>
      </c>
      <c r="AF305" s="368">
        <f t="array" ref="AF305">SUM(IF($AA305=$Z$16:$Z$592,N$16:N$592,""))</f>
        <v>0</v>
      </c>
      <c r="AG305" s="370">
        <f t="array" ref="AG305">SUM(IF($AA305=$Z$16:$Z$592,O$16:O$592,""))</f>
        <v>0</v>
      </c>
      <c r="AH305" s="2"/>
      <c r="AI305" s="2"/>
      <c r="AJ305" s="2"/>
    </row>
    <row r="306" spans="1:36" x14ac:dyDescent="0.2">
      <c r="A306" s="306">
        <f>Crop!B339</f>
        <v>41930</v>
      </c>
      <c r="B306" s="307"/>
      <c r="C306" s="308"/>
      <c r="D306" s="304" t="str">
        <f>IF(OR($A306&lt;$A$3,$A306&gt;$A$7),"",Crop!$D339)</f>
        <v/>
      </c>
      <c r="E306" s="304" t="str">
        <f t="shared" si="63"/>
        <v/>
      </c>
      <c r="F306" s="304" t="str">
        <f>IF(OR(A306&lt;A$3,A306&gt;A$7),"",Crop!U339)</f>
        <v/>
      </c>
      <c r="G306" s="304" t="str">
        <f t="shared" si="64"/>
        <v/>
      </c>
      <c r="H306" s="309" t="str">
        <f>IF(OR(A306&lt;A$3,A306&gt;A$7),"",YTD!E303)</f>
        <v/>
      </c>
      <c r="I306" s="310" t="str">
        <f t="shared" si="65"/>
        <v/>
      </c>
      <c r="J306" s="311"/>
      <c r="K306" s="309" t="str">
        <f t="shared" si="66"/>
        <v/>
      </c>
      <c r="L306" s="312" t="str">
        <f t="shared" si="70"/>
        <v/>
      </c>
      <c r="M306" s="366" t="str">
        <f t="shared" si="71"/>
        <v/>
      </c>
      <c r="N306" s="328" t="str">
        <f t="shared" si="61"/>
        <v/>
      </c>
      <c r="O306" s="313" t="str">
        <f t="shared" si="62"/>
        <v/>
      </c>
      <c r="P306" s="307"/>
      <c r="Q306" s="309">
        <f t="shared" si="72"/>
        <v>0.8</v>
      </c>
      <c r="R306" s="307"/>
      <c r="S306" s="314">
        <f t="shared" si="73"/>
        <v>11.2</v>
      </c>
      <c r="T306" s="304" t="str">
        <f t="shared" si="67"/>
        <v/>
      </c>
      <c r="U306" s="304" t="str">
        <f>IF(A306=YTD!B$6,E306,IF(OR(A306&lt;YTD!B$6,A306&gt;YTD!B$10),"",U305+E306))</f>
        <v/>
      </c>
      <c r="V306" s="304" t="str">
        <f t="shared" si="74"/>
        <v/>
      </c>
      <c r="W306" s="315" t="e">
        <f>IF(I306="",#N/A,YTD!G$8-I306)</f>
        <v>#N/A</v>
      </c>
      <c r="X306" s="368">
        <f t="shared" si="68"/>
        <v>0</v>
      </c>
      <c r="Y306" s="368">
        <f t="shared" si="75"/>
        <v>6</v>
      </c>
      <c r="Z306" s="368" t="str">
        <f t="shared" si="69"/>
        <v/>
      </c>
      <c r="AA306" s="368">
        <v>291</v>
      </c>
      <c r="AB306" s="369">
        <f t="array" ref="AB306">SUM(IF(AA306=Z$16:Z$592,A$16:A$592,""))</f>
        <v>0</v>
      </c>
      <c r="AC306" s="370">
        <f t="array" ref="AC306">SUM(IF(AA306=Z$16:Z$592,J$16:J$592,""))</f>
        <v>0</v>
      </c>
      <c r="AD306" s="370">
        <f t="array" ref="AD306">SUM(IF($AA306=$Z$16:$Z$592,L$16:L$592,""))</f>
        <v>0</v>
      </c>
      <c r="AE306" s="370">
        <f t="array" ref="AE306">SUM(IF($AA306=$Z$16:$Z$592,M$16:M$592,""))</f>
        <v>0</v>
      </c>
      <c r="AF306" s="368">
        <f t="array" ref="AF306">SUM(IF($AA306=$Z$16:$Z$592,N$16:N$592,""))</f>
        <v>0</v>
      </c>
      <c r="AG306" s="370">
        <f t="array" ref="AG306">SUM(IF($AA306=$Z$16:$Z$592,O$16:O$592,""))</f>
        <v>0</v>
      </c>
      <c r="AH306" s="2"/>
      <c r="AI306" s="2"/>
      <c r="AJ306" s="2"/>
    </row>
    <row r="307" spans="1:36" x14ac:dyDescent="0.2">
      <c r="A307" s="306">
        <f>Crop!B340</f>
        <v>41931</v>
      </c>
      <c r="B307" s="307"/>
      <c r="C307" s="308"/>
      <c r="D307" s="304" t="str">
        <f>IF(OR($A307&lt;$A$3,$A307&gt;$A$7),"",Crop!$D340)</f>
        <v/>
      </c>
      <c r="E307" s="304" t="str">
        <f t="shared" si="63"/>
        <v/>
      </c>
      <c r="F307" s="304" t="str">
        <f>IF(OR(A307&lt;A$3,A307&gt;A$7),"",Crop!U340)</f>
        <v/>
      </c>
      <c r="G307" s="304" t="str">
        <f t="shared" si="64"/>
        <v/>
      </c>
      <c r="H307" s="309" t="str">
        <f>IF(OR(A307&lt;A$3,A307&gt;A$7),"",YTD!E304)</f>
        <v/>
      </c>
      <c r="I307" s="310" t="str">
        <f t="shared" si="65"/>
        <v/>
      </c>
      <c r="J307" s="311"/>
      <c r="K307" s="309" t="str">
        <f t="shared" si="66"/>
        <v/>
      </c>
      <c r="L307" s="312" t="str">
        <f t="shared" si="70"/>
        <v/>
      </c>
      <c r="M307" s="366" t="str">
        <f t="shared" si="71"/>
        <v/>
      </c>
      <c r="N307" s="328" t="str">
        <f t="shared" si="61"/>
        <v/>
      </c>
      <c r="O307" s="313" t="str">
        <f t="shared" si="62"/>
        <v/>
      </c>
      <c r="P307" s="307"/>
      <c r="Q307" s="309">
        <f t="shared" si="72"/>
        <v>0.8</v>
      </c>
      <c r="R307" s="307"/>
      <c r="S307" s="314">
        <f t="shared" si="73"/>
        <v>11.2</v>
      </c>
      <c r="T307" s="304" t="str">
        <f t="shared" si="67"/>
        <v/>
      </c>
      <c r="U307" s="304" t="str">
        <f>IF(A307=YTD!B$6,E307,IF(OR(A307&lt;YTD!B$6,A307&gt;YTD!B$10),"",U306+E307))</f>
        <v/>
      </c>
      <c r="V307" s="304" t="str">
        <f t="shared" si="74"/>
        <v/>
      </c>
      <c r="W307" s="315" t="e">
        <f>IF(I307="",#N/A,YTD!G$8-I307)</f>
        <v>#N/A</v>
      </c>
      <c r="X307" s="368">
        <f t="shared" si="68"/>
        <v>0</v>
      </c>
      <c r="Y307" s="368">
        <f t="shared" si="75"/>
        <v>6</v>
      </c>
      <c r="Z307" s="368" t="str">
        <f t="shared" si="69"/>
        <v/>
      </c>
      <c r="AA307" s="368">
        <v>292</v>
      </c>
      <c r="AB307" s="369">
        <f t="array" ref="AB307">SUM(IF(AA307=Z$16:Z$592,A$16:A$592,""))</f>
        <v>0</v>
      </c>
      <c r="AC307" s="370">
        <f t="array" ref="AC307">SUM(IF(AA307=Z$16:Z$592,J$16:J$592,""))</f>
        <v>0</v>
      </c>
      <c r="AD307" s="370">
        <f t="array" ref="AD307">SUM(IF($AA307=$Z$16:$Z$592,L$16:L$592,""))</f>
        <v>0</v>
      </c>
      <c r="AE307" s="370">
        <f t="array" ref="AE307">SUM(IF($AA307=$Z$16:$Z$592,M$16:M$592,""))</f>
        <v>0</v>
      </c>
      <c r="AF307" s="368">
        <f t="array" ref="AF307">SUM(IF($AA307=$Z$16:$Z$592,N$16:N$592,""))</f>
        <v>0</v>
      </c>
      <c r="AG307" s="370">
        <f t="array" ref="AG307">SUM(IF($AA307=$Z$16:$Z$592,O$16:O$592,""))</f>
        <v>0</v>
      </c>
      <c r="AH307" s="2"/>
      <c r="AI307" s="2"/>
      <c r="AJ307" s="2"/>
    </row>
    <row r="308" spans="1:36" x14ac:dyDescent="0.2">
      <c r="A308" s="306">
        <f>Crop!B341</f>
        <v>41932</v>
      </c>
      <c r="B308" s="307"/>
      <c r="C308" s="308"/>
      <c r="D308" s="304" t="str">
        <f>IF(OR($A308&lt;$A$3,$A308&gt;$A$7),"",Crop!$D341)</f>
        <v/>
      </c>
      <c r="E308" s="304" t="str">
        <f t="shared" si="63"/>
        <v/>
      </c>
      <c r="F308" s="304" t="str">
        <f>IF(OR(A308&lt;A$3,A308&gt;A$7),"",Crop!U341)</f>
        <v/>
      </c>
      <c r="G308" s="304" t="str">
        <f t="shared" si="64"/>
        <v/>
      </c>
      <c r="H308" s="309" t="str">
        <f>IF(OR(A308&lt;A$3,A308&gt;A$7),"",YTD!E305)</f>
        <v/>
      </c>
      <c r="I308" s="310" t="str">
        <f t="shared" si="65"/>
        <v/>
      </c>
      <c r="J308" s="311"/>
      <c r="K308" s="309" t="str">
        <f t="shared" si="66"/>
        <v/>
      </c>
      <c r="L308" s="312" t="str">
        <f t="shared" si="70"/>
        <v/>
      </c>
      <c r="M308" s="366" t="str">
        <f t="shared" si="71"/>
        <v/>
      </c>
      <c r="N308" s="328" t="str">
        <f t="shared" si="61"/>
        <v/>
      </c>
      <c r="O308" s="313" t="str">
        <f t="shared" si="62"/>
        <v/>
      </c>
      <c r="P308" s="307"/>
      <c r="Q308" s="309">
        <f t="shared" si="72"/>
        <v>0.8</v>
      </c>
      <c r="R308" s="307"/>
      <c r="S308" s="314">
        <f t="shared" si="73"/>
        <v>11.2</v>
      </c>
      <c r="T308" s="304" t="str">
        <f t="shared" si="67"/>
        <v/>
      </c>
      <c r="U308" s="304" t="str">
        <f>IF(A308=YTD!B$6,E308,IF(OR(A308&lt;YTD!B$6,A308&gt;YTD!B$10),"",U307+E308))</f>
        <v/>
      </c>
      <c r="V308" s="304" t="str">
        <f t="shared" si="74"/>
        <v/>
      </c>
      <c r="W308" s="315" t="e">
        <f>IF(I308="",#N/A,YTD!G$8-I308)</f>
        <v>#N/A</v>
      </c>
      <c r="X308" s="368">
        <f t="shared" si="68"/>
        <v>0</v>
      </c>
      <c r="Y308" s="368">
        <f t="shared" si="75"/>
        <v>6</v>
      </c>
      <c r="Z308" s="368" t="str">
        <f t="shared" si="69"/>
        <v/>
      </c>
      <c r="AA308" s="368">
        <v>293</v>
      </c>
      <c r="AB308" s="369">
        <f t="array" ref="AB308">SUM(IF(AA308=Z$16:Z$592,A$16:A$592,""))</f>
        <v>0</v>
      </c>
      <c r="AC308" s="370">
        <f t="array" ref="AC308">SUM(IF(AA308=Z$16:Z$592,J$16:J$592,""))</f>
        <v>0</v>
      </c>
      <c r="AD308" s="370">
        <f t="array" ref="AD308">SUM(IF($AA308=$Z$16:$Z$592,L$16:L$592,""))</f>
        <v>0</v>
      </c>
      <c r="AE308" s="370">
        <f t="array" ref="AE308">SUM(IF($AA308=$Z$16:$Z$592,M$16:M$592,""))</f>
        <v>0</v>
      </c>
      <c r="AF308" s="368">
        <f t="array" ref="AF308">SUM(IF($AA308=$Z$16:$Z$592,N$16:N$592,""))</f>
        <v>0</v>
      </c>
      <c r="AG308" s="370">
        <f t="array" ref="AG308">SUM(IF($AA308=$Z$16:$Z$592,O$16:O$592,""))</f>
        <v>0</v>
      </c>
      <c r="AH308" s="2"/>
      <c r="AI308" s="2"/>
      <c r="AJ308" s="2"/>
    </row>
    <row r="309" spans="1:36" x14ac:dyDescent="0.2">
      <c r="A309" s="306">
        <f>Crop!B342</f>
        <v>41933</v>
      </c>
      <c r="B309" s="307"/>
      <c r="C309" s="308"/>
      <c r="D309" s="304" t="str">
        <f>IF(OR($A309&lt;$A$3,$A309&gt;$A$7),"",Crop!$D342)</f>
        <v/>
      </c>
      <c r="E309" s="304" t="str">
        <f t="shared" si="63"/>
        <v/>
      </c>
      <c r="F309" s="304" t="str">
        <f>IF(OR(A309&lt;A$3,A309&gt;A$7),"",Crop!U342)</f>
        <v/>
      </c>
      <c r="G309" s="304" t="str">
        <f t="shared" si="64"/>
        <v/>
      </c>
      <c r="H309" s="309" t="str">
        <f>IF(OR(A309&lt;A$3,A309&gt;A$7),"",YTD!E306)</f>
        <v/>
      </c>
      <c r="I309" s="310" t="str">
        <f t="shared" si="65"/>
        <v/>
      </c>
      <c r="J309" s="311"/>
      <c r="K309" s="309" t="str">
        <f t="shared" si="66"/>
        <v/>
      </c>
      <c r="L309" s="312" t="str">
        <f t="shared" si="70"/>
        <v/>
      </c>
      <c r="M309" s="366" t="str">
        <f t="shared" si="71"/>
        <v/>
      </c>
      <c r="N309" s="328" t="str">
        <f t="shared" si="61"/>
        <v/>
      </c>
      <c r="O309" s="313" t="str">
        <f t="shared" si="62"/>
        <v/>
      </c>
      <c r="P309" s="307"/>
      <c r="Q309" s="309">
        <f t="shared" si="72"/>
        <v>0.8</v>
      </c>
      <c r="R309" s="307"/>
      <c r="S309" s="314">
        <f t="shared" si="73"/>
        <v>11.2</v>
      </c>
      <c r="T309" s="304" t="str">
        <f t="shared" si="67"/>
        <v/>
      </c>
      <c r="U309" s="304" t="str">
        <f>IF(A309=YTD!B$6,E309,IF(OR(A309&lt;YTD!B$6,A309&gt;YTD!B$10),"",U308+E309))</f>
        <v/>
      </c>
      <c r="V309" s="304" t="str">
        <f t="shared" si="74"/>
        <v/>
      </c>
      <c r="W309" s="315" t="e">
        <f>IF(I309="",#N/A,YTD!G$8-I309)</f>
        <v>#N/A</v>
      </c>
      <c r="X309" s="368">
        <f t="shared" si="68"/>
        <v>0</v>
      </c>
      <c r="Y309" s="368">
        <f t="shared" si="75"/>
        <v>6</v>
      </c>
      <c r="Z309" s="368" t="str">
        <f t="shared" si="69"/>
        <v/>
      </c>
      <c r="AA309" s="368">
        <v>294</v>
      </c>
      <c r="AB309" s="369">
        <f t="array" ref="AB309">SUM(IF(AA309=Z$16:Z$592,A$16:A$592,""))</f>
        <v>0</v>
      </c>
      <c r="AC309" s="370">
        <f t="array" ref="AC309">SUM(IF(AA309=Z$16:Z$592,J$16:J$592,""))</f>
        <v>0</v>
      </c>
      <c r="AD309" s="370">
        <f t="array" ref="AD309">SUM(IF($AA309=$Z$16:$Z$592,L$16:L$592,""))</f>
        <v>0</v>
      </c>
      <c r="AE309" s="370">
        <f t="array" ref="AE309">SUM(IF($AA309=$Z$16:$Z$592,M$16:M$592,""))</f>
        <v>0</v>
      </c>
      <c r="AF309" s="368">
        <f t="array" ref="AF309">SUM(IF($AA309=$Z$16:$Z$592,N$16:N$592,""))</f>
        <v>0</v>
      </c>
      <c r="AG309" s="370">
        <f t="array" ref="AG309">SUM(IF($AA309=$Z$16:$Z$592,O$16:O$592,""))</f>
        <v>0</v>
      </c>
      <c r="AH309" s="2"/>
      <c r="AI309" s="2"/>
      <c r="AJ309" s="2"/>
    </row>
    <row r="310" spans="1:36" x14ac:dyDescent="0.2">
      <c r="A310" s="306">
        <f>Crop!B343</f>
        <v>41934</v>
      </c>
      <c r="B310" s="307"/>
      <c r="C310" s="308"/>
      <c r="D310" s="304" t="str">
        <f>IF(OR($A310&lt;$A$3,$A310&gt;$A$7),"",Crop!$D343)</f>
        <v/>
      </c>
      <c r="E310" s="304" t="str">
        <f t="shared" si="63"/>
        <v/>
      </c>
      <c r="F310" s="304" t="str">
        <f>IF(OR(A310&lt;A$3,A310&gt;A$7),"",Crop!U343)</f>
        <v/>
      </c>
      <c r="G310" s="304" t="str">
        <f t="shared" si="64"/>
        <v/>
      </c>
      <c r="H310" s="309" t="str">
        <f>IF(OR(A310&lt;A$3,A310&gt;A$7),"",YTD!E307)</f>
        <v/>
      </c>
      <c r="I310" s="310" t="str">
        <f t="shared" si="65"/>
        <v/>
      </c>
      <c r="J310" s="311"/>
      <c r="K310" s="309" t="str">
        <f t="shared" si="66"/>
        <v/>
      </c>
      <c r="L310" s="312" t="str">
        <f t="shared" si="70"/>
        <v/>
      </c>
      <c r="M310" s="366" t="str">
        <f t="shared" si="71"/>
        <v/>
      </c>
      <c r="N310" s="328" t="str">
        <f t="shared" si="61"/>
        <v/>
      </c>
      <c r="O310" s="313" t="str">
        <f t="shared" si="62"/>
        <v/>
      </c>
      <c r="P310" s="307"/>
      <c r="Q310" s="309">
        <f t="shared" si="72"/>
        <v>0.8</v>
      </c>
      <c r="R310" s="307"/>
      <c r="S310" s="314">
        <f t="shared" si="73"/>
        <v>11.2</v>
      </c>
      <c r="T310" s="304" t="str">
        <f t="shared" si="67"/>
        <v/>
      </c>
      <c r="U310" s="304" t="str">
        <f>IF(A310=YTD!B$6,E310,IF(OR(A310&lt;YTD!B$6,A310&gt;YTD!B$10),"",U309+E310))</f>
        <v/>
      </c>
      <c r="V310" s="304" t="str">
        <f t="shared" si="74"/>
        <v/>
      </c>
      <c r="W310" s="315" t="e">
        <f>IF(I310="",#N/A,YTD!G$8-I310)</f>
        <v>#N/A</v>
      </c>
      <c r="X310" s="368">
        <f t="shared" si="68"/>
        <v>0</v>
      </c>
      <c r="Y310" s="368">
        <f t="shared" si="75"/>
        <v>6</v>
      </c>
      <c r="Z310" s="368" t="str">
        <f t="shared" si="69"/>
        <v/>
      </c>
      <c r="AA310" s="368">
        <v>295</v>
      </c>
      <c r="AB310" s="369">
        <f t="array" ref="AB310">SUM(IF(AA310=Z$16:Z$592,A$16:A$592,""))</f>
        <v>0</v>
      </c>
      <c r="AC310" s="370">
        <f t="array" ref="AC310">SUM(IF(AA310=Z$16:Z$592,J$16:J$592,""))</f>
        <v>0</v>
      </c>
      <c r="AD310" s="370">
        <f t="array" ref="AD310">SUM(IF($AA310=$Z$16:$Z$592,L$16:L$592,""))</f>
        <v>0</v>
      </c>
      <c r="AE310" s="370">
        <f t="array" ref="AE310">SUM(IF($AA310=$Z$16:$Z$592,M$16:M$592,""))</f>
        <v>0</v>
      </c>
      <c r="AF310" s="368">
        <f t="array" ref="AF310">SUM(IF($AA310=$Z$16:$Z$592,N$16:N$592,""))</f>
        <v>0</v>
      </c>
      <c r="AG310" s="370">
        <f t="array" ref="AG310">SUM(IF($AA310=$Z$16:$Z$592,O$16:O$592,""))</f>
        <v>0</v>
      </c>
      <c r="AH310" s="2"/>
      <c r="AI310" s="2"/>
      <c r="AJ310" s="2"/>
    </row>
    <row r="311" spans="1:36" x14ac:dyDescent="0.2">
      <c r="A311" s="306">
        <f>Crop!B344</f>
        <v>41935</v>
      </c>
      <c r="B311" s="307"/>
      <c r="C311" s="308"/>
      <c r="D311" s="304" t="str">
        <f>IF(OR($A311&lt;$A$3,$A311&gt;$A$7),"",Crop!$D344)</f>
        <v/>
      </c>
      <c r="E311" s="304" t="str">
        <f t="shared" si="63"/>
        <v/>
      </c>
      <c r="F311" s="304" t="str">
        <f>IF(OR(A311&lt;A$3,A311&gt;A$7),"",Crop!U344)</f>
        <v/>
      </c>
      <c r="G311" s="304" t="str">
        <f t="shared" si="64"/>
        <v/>
      </c>
      <c r="H311" s="309" t="str">
        <f>IF(OR(A311&lt;A$3,A311&gt;A$7),"",YTD!E308)</f>
        <v/>
      </c>
      <c r="I311" s="310" t="str">
        <f t="shared" si="65"/>
        <v/>
      </c>
      <c r="J311" s="311"/>
      <c r="K311" s="309" t="str">
        <f t="shared" si="66"/>
        <v/>
      </c>
      <c r="L311" s="312" t="str">
        <f t="shared" si="70"/>
        <v/>
      </c>
      <c r="M311" s="366" t="str">
        <f t="shared" si="71"/>
        <v/>
      </c>
      <c r="N311" s="328" t="str">
        <f t="shared" si="61"/>
        <v/>
      </c>
      <c r="O311" s="313" t="str">
        <f t="shared" si="62"/>
        <v/>
      </c>
      <c r="P311" s="307"/>
      <c r="Q311" s="309">
        <f t="shared" si="72"/>
        <v>0.8</v>
      </c>
      <c r="R311" s="307"/>
      <c r="S311" s="314">
        <f t="shared" si="73"/>
        <v>11.2</v>
      </c>
      <c r="T311" s="304" t="str">
        <f t="shared" si="67"/>
        <v/>
      </c>
      <c r="U311" s="304" t="str">
        <f>IF(A311=YTD!B$6,E311,IF(OR(A311&lt;YTD!B$6,A311&gt;YTD!B$10),"",U310+E311))</f>
        <v/>
      </c>
      <c r="V311" s="304" t="str">
        <f t="shared" si="74"/>
        <v/>
      </c>
      <c r="W311" s="315" t="e">
        <f>IF(I311="",#N/A,YTD!G$8-I311)</f>
        <v>#N/A</v>
      </c>
      <c r="X311" s="368">
        <f t="shared" si="68"/>
        <v>0</v>
      </c>
      <c r="Y311" s="368">
        <f t="shared" si="75"/>
        <v>6</v>
      </c>
      <c r="Z311" s="368" t="str">
        <f t="shared" si="69"/>
        <v/>
      </c>
      <c r="AA311" s="368">
        <v>296</v>
      </c>
      <c r="AB311" s="369">
        <f t="array" ref="AB311">SUM(IF(AA311=Z$16:Z$592,A$16:A$592,""))</f>
        <v>0</v>
      </c>
      <c r="AC311" s="370">
        <f t="array" ref="AC311">SUM(IF(AA311=Z$16:Z$592,J$16:J$592,""))</f>
        <v>0</v>
      </c>
      <c r="AD311" s="370">
        <f t="array" ref="AD311">SUM(IF($AA311=$Z$16:$Z$592,L$16:L$592,""))</f>
        <v>0</v>
      </c>
      <c r="AE311" s="370">
        <f t="array" ref="AE311">SUM(IF($AA311=$Z$16:$Z$592,M$16:M$592,""))</f>
        <v>0</v>
      </c>
      <c r="AF311" s="368">
        <f t="array" ref="AF311">SUM(IF($AA311=$Z$16:$Z$592,N$16:N$592,""))</f>
        <v>0</v>
      </c>
      <c r="AG311" s="370">
        <f t="array" ref="AG311">SUM(IF($AA311=$Z$16:$Z$592,O$16:O$592,""))</f>
        <v>0</v>
      </c>
      <c r="AH311" s="2"/>
      <c r="AI311" s="2"/>
      <c r="AJ311" s="2"/>
    </row>
    <row r="312" spans="1:36" x14ac:dyDescent="0.2">
      <c r="A312" s="306">
        <f>Crop!B345</f>
        <v>41936</v>
      </c>
      <c r="B312" s="307"/>
      <c r="C312" s="308"/>
      <c r="D312" s="304" t="str">
        <f>IF(OR($A312&lt;$A$3,$A312&gt;$A$7),"",Crop!$D345)</f>
        <v/>
      </c>
      <c r="E312" s="304" t="str">
        <f t="shared" si="63"/>
        <v/>
      </c>
      <c r="F312" s="304" t="str">
        <f>IF(OR(A312&lt;A$3,A312&gt;A$7),"",Crop!U345)</f>
        <v/>
      </c>
      <c r="G312" s="304" t="str">
        <f t="shared" si="64"/>
        <v/>
      </c>
      <c r="H312" s="309" t="str">
        <f>IF(OR(A312&lt;A$3,A312&gt;A$7),"",YTD!E309)</f>
        <v/>
      </c>
      <c r="I312" s="310" t="str">
        <f t="shared" si="65"/>
        <v/>
      </c>
      <c r="J312" s="311"/>
      <c r="K312" s="309" t="str">
        <f t="shared" si="66"/>
        <v/>
      </c>
      <c r="L312" s="312" t="str">
        <f t="shared" si="70"/>
        <v/>
      </c>
      <c r="M312" s="366" t="str">
        <f t="shared" si="71"/>
        <v/>
      </c>
      <c r="N312" s="328" t="str">
        <f t="shared" si="61"/>
        <v/>
      </c>
      <c r="O312" s="313" t="str">
        <f t="shared" si="62"/>
        <v/>
      </c>
      <c r="P312" s="307"/>
      <c r="Q312" s="309">
        <f t="shared" si="72"/>
        <v>0.8</v>
      </c>
      <c r="R312" s="307"/>
      <c r="S312" s="314">
        <f t="shared" si="73"/>
        <v>11.2</v>
      </c>
      <c r="T312" s="304" t="str">
        <f t="shared" si="67"/>
        <v/>
      </c>
      <c r="U312" s="304" t="str">
        <f>IF(A312=YTD!B$6,E312,IF(OR(A312&lt;YTD!B$6,A312&gt;YTD!B$10),"",U311+E312))</f>
        <v/>
      </c>
      <c r="V312" s="304" t="str">
        <f t="shared" si="74"/>
        <v/>
      </c>
      <c r="W312" s="315" t="e">
        <f>IF(I312="",#N/A,YTD!G$8-I312)</f>
        <v>#N/A</v>
      </c>
      <c r="X312" s="368">
        <f t="shared" si="68"/>
        <v>0</v>
      </c>
      <c r="Y312" s="368">
        <f t="shared" si="75"/>
        <v>6</v>
      </c>
      <c r="Z312" s="368" t="str">
        <f t="shared" si="69"/>
        <v/>
      </c>
      <c r="AA312" s="368">
        <v>297</v>
      </c>
      <c r="AB312" s="369">
        <f t="array" ref="AB312">SUM(IF(AA312=Z$16:Z$592,A$16:A$592,""))</f>
        <v>0</v>
      </c>
      <c r="AC312" s="370">
        <f t="array" ref="AC312">SUM(IF(AA312=Z$16:Z$592,J$16:J$592,""))</f>
        <v>0</v>
      </c>
      <c r="AD312" s="370">
        <f t="array" ref="AD312">SUM(IF($AA312=$Z$16:$Z$592,L$16:L$592,""))</f>
        <v>0</v>
      </c>
      <c r="AE312" s="370">
        <f t="array" ref="AE312">SUM(IF($AA312=$Z$16:$Z$592,M$16:M$592,""))</f>
        <v>0</v>
      </c>
      <c r="AF312" s="368">
        <f t="array" ref="AF312">SUM(IF($AA312=$Z$16:$Z$592,N$16:N$592,""))</f>
        <v>0</v>
      </c>
      <c r="AG312" s="370">
        <f t="array" ref="AG312">SUM(IF($AA312=$Z$16:$Z$592,O$16:O$592,""))</f>
        <v>0</v>
      </c>
      <c r="AH312" s="2"/>
      <c r="AI312" s="2"/>
      <c r="AJ312" s="2"/>
    </row>
    <row r="313" spans="1:36" x14ac:dyDescent="0.2">
      <c r="A313" s="306">
        <f>Crop!B346</f>
        <v>41937</v>
      </c>
      <c r="B313" s="307"/>
      <c r="C313" s="308"/>
      <c r="D313" s="304" t="str">
        <f>IF(OR($A313&lt;$A$3,$A313&gt;$A$7),"",Crop!$D346)</f>
        <v/>
      </c>
      <c r="E313" s="304" t="str">
        <f t="shared" si="63"/>
        <v/>
      </c>
      <c r="F313" s="304" t="str">
        <f>IF(OR(A313&lt;A$3,A313&gt;A$7),"",Crop!U346)</f>
        <v/>
      </c>
      <c r="G313" s="304" t="str">
        <f t="shared" si="64"/>
        <v/>
      </c>
      <c r="H313" s="309" t="str">
        <f>IF(OR(A313&lt;A$3,A313&gt;A$7),"",YTD!E310)</f>
        <v/>
      </c>
      <c r="I313" s="310" t="str">
        <f t="shared" si="65"/>
        <v/>
      </c>
      <c r="J313" s="311"/>
      <c r="K313" s="309" t="str">
        <f t="shared" si="66"/>
        <v/>
      </c>
      <c r="L313" s="312" t="str">
        <f t="shared" si="70"/>
        <v/>
      </c>
      <c r="M313" s="366" t="str">
        <f t="shared" si="71"/>
        <v/>
      </c>
      <c r="N313" s="328" t="str">
        <f t="shared" si="61"/>
        <v/>
      </c>
      <c r="O313" s="313" t="str">
        <f t="shared" si="62"/>
        <v/>
      </c>
      <c r="P313" s="307"/>
      <c r="Q313" s="309">
        <f t="shared" si="72"/>
        <v>0.8</v>
      </c>
      <c r="R313" s="307"/>
      <c r="S313" s="314">
        <f t="shared" si="73"/>
        <v>11.2</v>
      </c>
      <c r="T313" s="304" t="str">
        <f t="shared" si="67"/>
        <v/>
      </c>
      <c r="U313" s="304" t="str">
        <f>IF(A313=YTD!B$6,E313,IF(OR(A313&lt;YTD!B$6,A313&gt;YTD!B$10),"",U312+E313))</f>
        <v/>
      </c>
      <c r="V313" s="304" t="str">
        <f t="shared" si="74"/>
        <v/>
      </c>
      <c r="W313" s="315" t="e">
        <f>IF(I313="",#N/A,YTD!G$8-I313)</f>
        <v>#N/A</v>
      </c>
      <c r="X313" s="368">
        <f t="shared" si="68"/>
        <v>0</v>
      </c>
      <c r="Y313" s="368">
        <f t="shared" si="75"/>
        <v>6</v>
      </c>
      <c r="Z313" s="368" t="str">
        <f t="shared" si="69"/>
        <v/>
      </c>
      <c r="AA313" s="368">
        <v>298</v>
      </c>
      <c r="AB313" s="369">
        <f t="array" ref="AB313">SUM(IF(AA313=Z$16:Z$592,A$16:A$592,""))</f>
        <v>0</v>
      </c>
      <c r="AC313" s="370">
        <f t="array" ref="AC313">SUM(IF(AA313=Z$16:Z$592,J$16:J$592,""))</f>
        <v>0</v>
      </c>
      <c r="AD313" s="370">
        <f t="array" ref="AD313">SUM(IF($AA313=$Z$16:$Z$592,L$16:L$592,""))</f>
        <v>0</v>
      </c>
      <c r="AE313" s="370">
        <f t="array" ref="AE313">SUM(IF($AA313=$Z$16:$Z$592,M$16:M$592,""))</f>
        <v>0</v>
      </c>
      <c r="AF313" s="368">
        <f t="array" ref="AF313">SUM(IF($AA313=$Z$16:$Z$592,N$16:N$592,""))</f>
        <v>0</v>
      </c>
      <c r="AG313" s="370">
        <f t="array" ref="AG313">SUM(IF($AA313=$Z$16:$Z$592,O$16:O$592,""))</f>
        <v>0</v>
      </c>
      <c r="AH313" s="2"/>
      <c r="AI313" s="2"/>
      <c r="AJ313" s="2"/>
    </row>
    <row r="314" spans="1:36" x14ac:dyDescent="0.2">
      <c r="A314" s="306">
        <f>Crop!B347</f>
        <v>41938</v>
      </c>
      <c r="B314" s="307"/>
      <c r="C314" s="308"/>
      <c r="D314" s="304" t="str">
        <f>IF(OR($A314&lt;$A$3,$A314&gt;$A$7),"",Crop!$D347)</f>
        <v/>
      </c>
      <c r="E314" s="304" t="str">
        <f t="shared" si="63"/>
        <v/>
      </c>
      <c r="F314" s="304" t="str">
        <f>IF(OR(A314&lt;A$3,A314&gt;A$7),"",Crop!U347)</f>
        <v/>
      </c>
      <c r="G314" s="304" t="str">
        <f t="shared" si="64"/>
        <v/>
      </c>
      <c r="H314" s="309" t="str">
        <f>IF(OR(A314&lt;A$3,A314&gt;A$7),"",YTD!E311)</f>
        <v/>
      </c>
      <c r="I314" s="310" t="str">
        <f t="shared" si="65"/>
        <v/>
      </c>
      <c r="J314" s="311"/>
      <c r="K314" s="309" t="str">
        <f t="shared" si="66"/>
        <v/>
      </c>
      <c r="L314" s="312" t="str">
        <f t="shared" si="70"/>
        <v/>
      </c>
      <c r="M314" s="366" t="str">
        <f t="shared" si="71"/>
        <v/>
      </c>
      <c r="N314" s="328" t="str">
        <f t="shared" si="61"/>
        <v/>
      </c>
      <c r="O314" s="313" t="str">
        <f t="shared" si="62"/>
        <v/>
      </c>
      <c r="P314" s="307"/>
      <c r="Q314" s="309">
        <f t="shared" si="72"/>
        <v>0.8</v>
      </c>
      <c r="R314" s="307"/>
      <c r="S314" s="314">
        <f t="shared" si="73"/>
        <v>11.2</v>
      </c>
      <c r="T314" s="304" t="str">
        <f t="shared" si="67"/>
        <v/>
      </c>
      <c r="U314" s="304" t="str">
        <f>IF(A314=YTD!B$6,E314,IF(OR(A314&lt;YTD!B$6,A314&gt;YTD!B$10),"",U313+E314))</f>
        <v/>
      </c>
      <c r="V314" s="304" t="str">
        <f t="shared" si="74"/>
        <v/>
      </c>
      <c r="W314" s="315" t="e">
        <f>IF(I314="",#N/A,YTD!G$8-I314)</f>
        <v>#N/A</v>
      </c>
      <c r="X314" s="368">
        <f t="shared" si="68"/>
        <v>0</v>
      </c>
      <c r="Y314" s="368">
        <f t="shared" si="75"/>
        <v>6</v>
      </c>
      <c r="Z314" s="368" t="str">
        <f t="shared" si="69"/>
        <v/>
      </c>
      <c r="AA314" s="368">
        <v>299</v>
      </c>
      <c r="AB314" s="369">
        <f t="array" ref="AB314">SUM(IF(AA314=Z$16:Z$592,A$16:A$592,""))</f>
        <v>0</v>
      </c>
      <c r="AC314" s="370">
        <f t="array" ref="AC314">SUM(IF(AA314=Z$16:Z$592,J$16:J$592,""))</f>
        <v>0</v>
      </c>
      <c r="AD314" s="370">
        <f t="array" ref="AD314">SUM(IF($AA314=$Z$16:$Z$592,L$16:L$592,""))</f>
        <v>0</v>
      </c>
      <c r="AE314" s="370">
        <f t="array" ref="AE314">SUM(IF($AA314=$Z$16:$Z$592,M$16:M$592,""))</f>
        <v>0</v>
      </c>
      <c r="AF314" s="368">
        <f t="array" ref="AF314">SUM(IF($AA314=$Z$16:$Z$592,N$16:N$592,""))</f>
        <v>0</v>
      </c>
      <c r="AG314" s="370">
        <f t="array" ref="AG314">SUM(IF($AA314=$Z$16:$Z$592,O$16:O$592,""))</f>
        <v>0</v>
      </c>
      <c r="AH314" s="2"/>
      <c r="AI314" s="2"/>
      <c r="AJ314" s="2"/>
    </row>
    <row r="315" spans="1:36" x14ac:dyDescent="0.2">
      <c r="A315" s="306">
        <f>Crop!B348</f>
        <v>41939</v>
      </c>
      <c r="B315" s="307"/>
      <c r="C315" s="308"/>
      <c r="D315" s="304" t="str">
        <f>IF(OR($A315&lt;$A$3,$A315&gt;$A$7),"",Crop!$D348)</f>
        <v/>
      </c>
      <c r="E315" s="304" t="str">
        <f t="shared" si="63"/>
        <v/>
      </c>
      <c r="F315" s="304" t="str">
        <f>IF(OR(A315&lt;A$3,A315&gt;A$7),"",Crop!U348)</f>
        <v/>
      </c>
      <c r="G315" s="304" t="str">
        <f t="shared" si="64"/>
        <v/>
      </c>
      <c r="H315" s="309" t="str">
        <f>IF(OR(A315&lt;A$3,A315&gt;A$7),"",YTD!E312)</f>
        <v/>
      </c>
      <c r="I315" s="310" t="str">
        <f t="shared" si="65"/>
        <v/>
      </c>
      <c r="J315" s="311"/>
      <c r="K315" s="309" t="str">
        <f t="shared" si="66"/>
        <v/>
      </c>
      <c r="L315" s="312" t="str">
        <f t="shared" si="70"/>
        <v/>
      </c>
      <c r="M315" s="366" t="str">
        <f t="shared" si="71"/>
        <v/>
      </c>
      <c r="N315" s="328" t="str">
        <f t="shared" si="61"/>
        <v/>
      </c>
      <c r="O315" s="313" t="str">
        <f t="shared" si="62"/>
        <v/>
      </c>
      <c r="P315" s="307"/>
      <c r="Q315" s="309">
        <f t="shared" si="72"/>
        <v>0.8</v>
      </c>
      <c r="R315" s="307"/>
      <c r="S315" s="314">
        <f t="shared" si="73"/>
        <v>11.2</v>
      </c>
      <c r="T315" s="304" t="str">
        <f t="shared" si="67"/>
        <v/>
      </c>
      <c r="U315" s="304" t="str">
        <f>IF(A315=YTD!B$6,E315,IF(OR(A315&lt;YTD!B$6,A315&gt;YTD!B$10),"",U314+E315))</f>
        <v/>
      </c>
      <c r="V315" s="304" t="str">
        <f t="shared" si="74"/>
        <v/>
      </c>
      <c r="W315" s="315" t="e">
        <f>IF(I315="",#N/A,YTD!G$8-I315)</f>
        <v>#N/A</v>
      </c>
      <c r="X315" s="368">
        <f t="shared" si="68"/>
        <v>0</v>
      </c>
      <c r="Y315" s="368">
        <f t="shared" si="75"/>
        <v>6</v>
      </c>
      <c r="Z315" s="368" t="str">
        <f t="shared" si="69"/>
        <v/>
      </c>
      <c r="AA315" s="368">
        <v>300</v>
      </c>
      <c r="AB315" s="369">
        <f t="array" ref="AB315">SUM(IF(AA315=Z$16:Z$592,A$16:A$592,""))</f>
        <v>0</v>
      </c>
      <c r="AC315" s="370">
        <f t="array" ref="AC315">SUM(IF(AA315=Z$16:Z$592,J$16:J$592,""))</f>
        <v>0</v>
      </c>
      <c r="AD315" s="370">
        <f t="array" ref="AD315">SUM(IF($AA315=$Z$16:$Z$592,L$16:L$592,""))</f>
        <v>0</v>
      </c>
      <c r="AE315" s="370">
        <f t="array" ref="AE315">SUM(IF($AA315=$Z$16:$Z$592,M$16:M$592,""))</f>
        <v>0</v>
      </c>
      <c r="AF315" s="368">
        <f t="array" ref="AF315">SUM(IF($AA315=$Z$16:$Z$592,N$16:N$592,""))</f>
        <v>0</v>
      </c>
      <c r="AG315" s="370">
        <f t="array" ref="AG315">SUM(IF($AA315=$Z$16:$Z$592,O$16:O$592,""))</f>
        <v>0</v>
      </c>
      <c r="AH315" s="2"/>
      <c r="AI315" s="2"/>
      <c r="AJ315" s="2"/>
    </row>
    <row r="316" spans="1:36" x14ac:dyDescent="0.2">
      <c r="A316" s="306">
        <f>Crop!B349</f>
        <v>41940</v>
      </c>
      <c r="B316" s="307"/>
      <c r="C316" s="308"/>
      <c r="D316" s="304" t="str">
        <f>IF(OR($A316&lt;$A$3,$A316&gt;$A$7),"",Crop!$D349)</f>
        <v/>
      </c>
      <c r="E316" s="304" t="str">
        <f t="shared" si="63"/>
        <v/>
      </c>
      <c r="F316" s="304" t="str">
        <f>IF(OR(A316&lt;A$3,A316&gt;A$7),"",Crop!U349)</f>
        <v/>
      </c>
      <c r="G316" s="304" t="str">
        <f t="shared" si="64"/>
        <v/>
      </c>
      <c r="H316" s="309" t="str">
        <f>IF(OR(A316&lt;A$3,A316&gt;A$7),"",YTD!E313)</f>
        <v/>
      </c>
      <c r="I316" s="310" t="str">
        <f t="shared" si="65"/>
        <v/>
      </c>
      <c r="J316" s="311"/>
      <c r="K316" s="309" t="str">
        <f t="shared" si="66"/>
        <v/>
      </c>
      <c r="L316" s="312" t="str">
        <f t="shared" si="70"/>
        <v/>
      </c>
      <c r="M316" s="366" t="str">
        <f t="shared" si="71"/>
        <v/>
      </c>
      <c r="N316" s="328" t="str">
        <f t="shared" ref="N316:N379" si="76">IF(L316="","",INT(M316/S316))</f>
        <v/>
      </c>
      <c r="O316" s="313" t="str">
        <f t="shared" ref="O316:O379" si="77">IF(N316="","",MOD(M316/S316,N316)*60)</f>
        <v/>
      </c>
      <c r="P316" s="307"/>
      <c r="Q316" s="309">
        <f t="shared" si="72"/>
        <v>0.8</v>
      </c>
      <c r="R316" s="307"/>
      <c r="S316" s="314">
        <f t="shared" si="73"/>
        <v>11.2</v>
      </c>
      <c r="T316" s="304" t="str">
        <f t="shared" si="67"/>
        <v/>
      </c>
      <c r="U316" s="304" t="str">
        <f>IF(A316=YTD!B$6,E316,IF(OR(A316&lt;YTD!B$6,A316&gt;YTD!B$10),"",U315+E316))</f>
        <v/>
      </c>
      <c r="V316" s="304" t="str">
        <f t="shared" si="74"/>
        <v/>
      </c>
      <c r="W316" s="315" t="e">
        <f>IF(I316="",#N/A,YTD!G$8-I316)</f>
        <v>#N/A</v>
      </c>
      <c r="X316" s="368">
        <f t="shared" si="68"/>
        <v>0</v>
      </c>
      <c r="Y316" s="368">
        <f t="shared" si="75"/>
        <v>6</v>
      </c>
      <c r="Z316" s="368" t="str">
        <f t="shared" si="69"/>
        <v/>
      </c>
      <c r="AA316" s="368">
        <v>301</v>
      </c>
      <c r="AB316" s="369">
        <f t="array" ref="AB316">SUM(IF(AA316=Z$16:Z$592,A$16:A$592,""))</f>
        <v>0</v>
      </c>
      <c r="AC316" s="370">
        <f t="array" ref="AC316">SUM(IF(AA316=Z$16:Z$592,J$16:J$592,""))</f>
        <v>0</v>
      </c>
      <c r="AD316" s="370">
        <f t="array" ref="AD316">SUM(IF($AA316=$Z$16:$Z$592,L$16:L$592,""))</f>
        <v>0</v>
      </c>
      <c r="AE316" s="370">
        <f t="array" ref="AE316">SUM(IF($AA316=$Z$16:$Z$592,M$16:M$592,""))</f>
        <v>0</v>
      </c>
      <c r="AF316" s="368">
        <f t="array" ref="AF316">SUM(IF($AA316=$Z$16:$Z$592,N$16:N$592,""))</f>
        <v>0</v>
      </c>
      <c r="AG316" s="370">
        <f t="array" ref="AG316">SUM(IF($AA316=$Z$16:$Z$592,O$16:O$592,""))</f>
        <v>0</v>
      </c>
      <c r="AH316" s="2"/>
      <c r="AI316" s="2"/>
      <c r="AJ316" s="2"/>
    </row>
    <row r="317" spans="1:36" x14ac:dyDescent="0.2">
      <c r="A317" s="306">
        <f>Crop!B350</f>
        <v>41941</v>
      </c>
      <c r="B317" s="307"/>
      <c r="C317" s="308"/>
      <c r="D317" s="304" t="str">
        <f>IF(OR($A317&lt;$A$3,$A317&gt;$A$7),"",Crop!$D350)</f>
        <v/>
      </c>
      <c r="E317" s="304" t="str">
        <f t="shared" si="63"/>
        <v/>
      </c>
      <c r="F317" s="304" t="str">
        <f>IF(OR(A317&lt;A$3,A317&gt;A$7),"",Crop!U350)</f>
        <v/>
      </c>
      <c r="G317" s="304" t="str">
        <f t="shared" si="64"/>
        <v/>
      </c>
      <c r="H317" s="309" t="str">
        <f>IF(OR(A317&lt;A$3,A317&gt;A$7),"",YTD!E314)</f>
        <v/>
      </c>
      <c r="I317" s="310" t="str">
        <f t="shared" si="65"/>
        <v/>
      </c>
      <c r="J317" s="311"/>
      <c r="K317" s="309" t="str">
        <f t="shared" si="66"/>
        <v/>
      </c>
      <c r="L317" s="312" t="str">
        <f t="shared" si="70"/>
        <v/>
      </c>
      <c r="M317" s="366" t="str">
        <f t="shared" si="71"/>
        <v/>
      </c>
      <c r="N317" s="328" t="str">
        <f t="shared" si="76"/>
        <v/>
      </c>
      <c r="O317" s="313" t="str">
        <f t="shared" si="77"/>
        <v/>
      </c>
      <c r="P317" s="307"/>
      <c r="Q317" s="309">
        <f t="shared" si="72"/>
        <v>0.8</v>
      </c>
      <c r="R317" s="307"/>
      <c r="S317" s="314">
        <f t="shared" si="73"/>
        <v>11.2</v>
      </c>
      <c r="T317" s="304" t="str">
        <f t="shared" si="67"/>
        <v/>
      </c>
      <c r="U317" s="304" t="str">
        <f>IF(A317=YTD!B$6,E317,IF(OR(A317&lt;YTD!B$6,A317&gt;YTD!B$10),"",U316+E317))</f>
        <v/>
      </c>
      <c r="V317" s="304" t="str">
        <f t="shared" si="74"/>
        <v/>
      </c>
      <c r="W317" s="315" t="e">
        <f>IF(I317="",#N/A,YTD!G$8-I317)</f>
        <v>#N/A</v>
      </c>
      <c r="X317" s="368">
        <f t="shared" si="68"/>
        <v>0</v>
      </c>
      <c r="Y317" s="368">
        <f t="shared" si="75"/>
        <v>6</v>
      </c>
      <c r="Z317" s="368" t="str">
        <f t="shared" si="69"/>
        <v/>
      </c>
      <c r="AA317" s="368">
        <v>302</v>
      </c>
      <c r="AB317" s="369">
        <f t="array" ref="AB317">SUM(IF(AA317=Z$16:Z$592,A$16:A$592,""))</f>
        <v>0</v>
      </c>
      <c r="AC317" s="370">
        <f t="array" ref="AC317">SUM(IF(AA317=Z$16:Z$592,J$16:J$592,""))</f>
        <v>0</v>
      </c>
      <c r="AD317" s="370">
        <f t="array" ref="AD317">SUM(IF($AA317=$Z$16:$Z$592,L$16:L$592,""))</f>
        <v>0</v>
      </c>
      <c r="AE317" s="370">
        <f t="array" ref="AE317">SUM(IF($AA317=$Z$16:$Z$592,M$16:M$592,""))</f>
        <v>0</v>
      </c>
      <c r="AF317" s="368">
        <f t="array" ref="AF317">SUM(IF($AA317=$Z$16:$Z$592,N$16:N$592,""))</f>
        <v>0</v>
      </c>
      <c r="AG317" s="370">
        <f t="array" ref="AG317">SUM(IF($AA317=$Z$16:$Z$592,O$16:O$592,""))</f>
        <v>0</v>
      </c>
      <c r="AH317" s="2"/>
      <c r="AI317" s="2"/>
      <c r="AJ317" s="2"/>
    </row>
    <row r="318" spans="1:36" x14ac:dyDescent="0.2">
      <c r="A318" s="306">
        <f>Crop!B351</f>
        <v>41942</v>
      </c>
      <c r="B318" s="307"/>
      <c r="C318" s="308"/>
      <c r="D318" s="304" t="str">
        <f>IF(OR($A318&lt;$A$3,$A318&gt;$A$7),"",Crop!$D351)</f>
        <v/>
      </c>
      <c r="E318" s="304" t="str">
        <f t="shared" si="63"/>
        <v/>
      </c>
      <c r="F318" s="304" t="str">
        <f>IF(OR(A318&lt;A$3,A318&gt;A$7),"",Crop!U351)</f>
        <v/>
      </c>
      <c r="G318" s="304" t="str">
        <f t="shared" si="64"/>
        <v/>
      </c>
      <c r="H318" s="309" t="str">
        <f>IF(OR(A318&lt;A$3,A318&gt;A$7),"",YTD!E315)</f>
        <v/>
      </c>
      <c r="I318" s="310" t="str">
        <f t="shared" si="65"/>
        <v/>
      </c>
      <c r="J318" s="311"/>
      <c r="K318" s="309" t="str">
        <f t="shared" si="66"/>
        <v/>
      </c>
      <c r="L318" s="312" t="str">
        <f t="shared" si="70"/>
        <v/>
      </c>
      <c r="M318" s="366" t="str">
        <f t="shared" si="71"/>
        <v/>
      </c>
      <c r="N318" s="328" t="str">
        <f t="shared" si="76"/>
        <v/>
      </c>
      <c r="O318" s="313" t="str">
        <f t="shared" si="77"/>
        <v/>
      </c>
      <c r="P318" s="307"/>
      <c r="Q318" s="309">
        <f t="shared" si="72"/>
        <v>0.8</v>
      </c>
      <c r="R318" s="307"/>
      <c r="S318" s="314">
        <f t="shared" si="73"/>
        <v>11.2</v>
      </c>
      <c r="T318" s="304" t="str">
        <f t="shared" si="67"/>
        <v/>
      </c>
      <c r="U318" s="304" t="str">
        <f>IF(A318=YTD!B$6,E318,IF(OR(A318&lt;YTD!B$6,A318&gt;YTD!B$10),"",U317+E318))</f>
        <v/>
      </c>
      <c r="V318" s="304" t="str">
        <f t="shared" si="74"/>
        <v/>
      </c>
      <c r="W318" s="315" t="e">
        <f>IF(I318="",#N/A,YTD!G$8-I318)</f>
        <v>#N/A</v>
      </c>
      <c r="X318" s="368">
        <f t="shared" si="68"/>
        <v>0</v>
      </c>
      <c r="Y318" s="368">
        <f t="shared" si="75"/>
        <v>6</v>
      </c>
      <c r="Z318" s="368" t="str">
        <f t="shared" si="69"/>
        <v/>
      </c>
      <c r="AA318" s="368">
        <v>303</v>
      </c>
      <c r="AB318" s="369">
        <f t="array" ref="AB318">SUM(IF(AA318=Z$16:Z$592,A$16:A$592,""))</f>
        <v>0</v>
      </c>
      <c r="AC318" s="370">
        <f t="array" ref="AC318">SUM(IF(AA318=Z$16:Z$592,J$16:J$592,""))</f>
        <v>0</v>
      </c>
      <c r="AD318" s="370">
        <f t="array" ref="AD318">SUM(IF($AA318=$Z$16:$Z$592,L$16:L$592,""))</f>
        <v>0</v>
      </c>
      <c r="AE318" s="370">
        <f t="array" ref="AE318">SUM(IF($AA318=$Z$16:$Z$592,M$16:M$592,""))</f>
        <v>0</v>
      </c>
      <c r="AF318" s="368">
        <f t="array" ref="AF318">SUM(IF($AA318=$Z$16:$Z$592,N$16:N$592,""))</f>
        <v>0</v>
      </c>
      <c r="AG318" s="370">
        <f t="array" ref="AG318">SUM(IF($AA318=$Z$16:$Z$592,O$16:O$592,""))</f>
        <v>0</v>
      </c>
      <c r="AH318" s="2"/>
      <c r="AI318" s="2"/>
      <c r="AJ318" s="2"/>
    </row>
    <row r="319" spans="1:36" x14ac:dyDescent="0.2">
      <c r="A319" s="306">
        <f>Crop!B352</f>
        <v>41943</v>
      </c>
      <c r="B319" s="307"/>
      <c r="C319" s="308"/>
      <c r="D319" s="304" t="str">
        <f>IF(OR($A319&lt;$A$3,$A319&gt;$A$7),"",Crop!$D352)</f>
        <v/>
      </c>
      <c r="E319" s="304" t="str">
        <f t="shared" si="63"/>
        <v/>
      </c>
      <c r="F319" s="304" t="str">
        <f>IF(OR(A319&lt;A$3,A319&gt;A$7),"",Crop!U352)</f>
        <v/>
      </c>
      <c r="G319" s="304" t="str">
        <f t="shared" si="64"/>
        <v/>
      </c>
      <c r="H319" s="309" t="str">
        <f>IF(OR(A319&lt;A$3,A319&gt;A$7),"",YTD!E316)</f>
        <v/>
      </c>
      <c r="I319" s="310" t="str">
        <f t="shared" si="65"/>
        <v/>
      </c>
      <c r="J319" s="311"/>
      <c r="K319" s="309" t="str">
        <f t="shared" si="66"/>
        <v/>
      </c>
      <c r="L319" s="312" t="str">
        <f t="shared" si="70"/>
        <v/>
      </c>
      <c r="M319" s="366" t="str">
        <f t="shared" si="71"/>
        <v/>
      </c>
      <c r="N319" s="328" t="str">
        <f t="shared" si="76"/>
        <v/>
      </c>
      <c r="O319" s="313" t="str">
        <f t="shared" si="77"/>
        <v/>
      </c>
      <c r="P319" s="307"/>
      <c r="Q319" s="309">
        <f t="shared" si="72"/>
        <v>0.8</v>
      </c>
      <c r="R319" s="307"/>
      <c r="S319" s="314">
        <f t="shared" si="73"/>
        <v>11.2</v>
      </c>
      <c r="T319" s="304" t="str">
        <f t="shared" si="67"/>
        <v/>
      </c>
      <c r="U319" s="304" t="str">
        <f>IF(A319=YTD!B$6,E319,IF(OR(A319&lt;YTD!B$6,A319&gt;YTD!B$10),"",U318+E319))</f>
        <v/>
      </c>
      <c r="V319" s="304" t="str">
        <f t="shared" si="74"/>
        <v/>
      </c>
      <c r="W319" s="315" t="e">
        <f>IF(I319="",#N/A,YTD!G$8-I319)</f>
        <v>#N/A</v>
      </c>
      <c r="X319" s="368">
        <f t="shared" si="68"/>
        <v>0</v>
      </c>
      <c r="Y319" s="368">
        <f t="shared" si="75"/>
        <v>6</v>
      </c>
      <c r="Z319" s="368" t="str">
        <f t="shared" si="69"/>
        <v/>
      </c>
      <c r="AA319" s="368">
        <v>304</v>
      </c>
      <c r="AB319" s="369">
        <f t="array" ref="AB319">SUM(IF(AA319=Z$16:Z$592,A$16:A$592,""))</f>
        <v>0</v>
      </c>
      <c r="AC319" s="370">
        <f t="array" ref="AC319">SUM(IF(AA319=Z$16:Z$592,J$16:J$592,""))</f>
        <v>0</v>
      </c>
      <c r="AD319" s="370">
        <f t="array" ref="AD319">SUM(IF($AA319=$Z$16:$Z$592,L$16:L$592,""))</f>
        <v>0</v>
      </c>
      <c r="AE319" s="370">
        <f t="array" ref="AE319">SUM(IF($AA319=$Z$16:$Z$592,M$16:M$592,""))</f>
        <v>0</v>
      </c>
      <c r="AF319" s="368">
        <f t="array" ref="AF319">SUM(IF($AA319=$Z$16:$Z$592,N$16:N$592,""))</f>
        <v>0</v>
      </c>
      <c r="AG319" s="370">
        <f t="array" ref="AG319">SUM(IF($AA319=$Z$16:$Z$592,O$16:O$592,""))</f>
        <v>0</v>
      </c>
      <c r="AH319" s="2"/>
      <c r="AI319" s="2"/>
      <c r="AJ319" s="2"/>
    </row>
    <row r="320" spans="1:36" x14ac:dyDescent="0.2">
      <c r="A320" s="306">
        <f>Crop!B353</f>
        <v>41944</v>
      </c>
      <c r="B320" s="307"/>
      <c r="C320" s="308"/>
      <c r="D320" s="304" t="str">
        <f>IF(OR($A320&lt;$A$3,$A320&gt;$A$7),"",Crop!$D353)</f>
        <v/>
      </c>
      <c r="E320" s="304" t="str">
        <f t="shared" si="63"/>
        <v/>
      </c>
      <c r="F320" s="304" t="str">
        <f>IF(OR(A320&lt;A$3,A320&gt;A$7),"",Crop!U353)</f>
        <v/>
      </c>
      <c r="G320" s="304" t="str">
        <f t="shared" si="64"/>
        <v/>
      </c>
      <c r="H320" s="309" t="str">
        <f>IF(OR(A320&lt;A$3,A320&gt;A$7),"",YTD!E317)</f>
        <v/>
      </c>
      <c r="I320" s="310" t="str">
        <f t="shared" si="65"/>
        <v/>
      </c>
      <c r="J320" s="311"/>
      <c r="K320" s="309" t="str">
        <f t="shared" si="66"/>
        <v/>
      </c>
      <c r="L320" s="312" t="str">
        <f t="shared" si="70"/>
        <v/>
      </c>
      <c r="M320" s="366" t="str">
        <f t="shared" si="71"/>
        <v/>
      </c>
      <c r="N320" s="328" t="str">
        <f t="shared" si="76"/>
        <v/>
      </c>
      <c r="O320" s="313" t="str">
        <f t="shared" si="77"/>
        <v/>
      </c>
      <c r="P320" s="307"/>
      <c r="Q320" s="309">
        <f t="shared" si="72"/>
        <v>0.8</v>
      </c>
      <c r="R320" s="307"/>
      <c r="S320" s="314">
        <f t="shared" si="73"/>
        <v>11.2</v>
      </c>
      <c r="T320" s="304" t="str">
        <f t="shared" si="67"/>
        <v/>
      </c>
      <c r="U320" s="304" t="str">
        <f>IF(A320=YTD!B$6,E320,IF(OR(A320&lt;YTD!B$6,A320&gt;YTD!B$10),"",U319+E320))</f>
        <v/>
      </c>
      <c r="V320" s="304" t="str">
        <f t="shared" si="74"/>
        <v/>
      </c>
      <c r="W320" s="315" t="e">
        <f>IF(I320="",#N/A,YTD!G$8-I320)</f>
        <v>#N/A</v>
      </c>
      <c r="X320" s="368">
        <f t="shared" si="68"/>
        <v>0</v>
      </c>
      <c r="Y320" s="368">
        <f t="shared" si="75"/>
        <v>6</v>
      </c>
      <c r="Z320" s="368" t="str">
        <f t="shared" si="69"/>
        <v/>
      </c>
      <c r="AA320" s="368">
        <v>305</v>
      </c>
      <c r="AB320" s="369">
        <f t="array" ref="AB320">SUM(IF(AA320=Z$16:Z$592,A$16:A$592,""))</f>
        <v>0</v>
      </c>
      <c r="AC320" s="370">
        <f t="array" ref="AC320">SUM(IF(AA320=Z$16:Z$592,J$16:J$592,""))</f>
        <v>0</v>
      </c>
      <c r="AD320" s="370">
        <f t="array" ref="AD320">SUM(IF($AA320=$Z$16:$Z$592,L$16:L$592,""))</f>
        <v>0</v>
      </c>
      <c r="AE320" s="370">
        <f t="array" ref="AE320">SUM(IF($AA320=$Z$16:$Z$592,M$16:M$592,""))</f>
        <v>0</v>
      </c>
      <c r="AF320" s="368">
        <f t="array" ref="AF320">SUM(IF($AA320=$Z$16:$Z$592,N$16:N$592,""))</f>
        <v>0</v>
      </c>
      <c r="AG320" s="370">
        <f t="array" ref="AG320">SUM(IF($AA320=$Z$16:$Z$592,O$16:O$592,""))</f>
        <v>0</v>
      </c>
      <c r="AH320" s="2"/>
      <c r="AI320" s="2"/>
      <c r="AJ320" s="2"/>
    </row>
    <row r="321" spans="1:36" x14ac:dyDescent="0.2">
      <c r="A321" s="306">
        <f>Crop!B354</f>
        <v>41945</v>
      </c>
      <c r="B321" s="307"/>
      <c r="C321" s="308"/>
      <c r="D321" s="304" t="str">
        <f>IF(OR($A321&lt;$A$3,$A321&gt;$A$7),"",Crop!$D354)</f>
        <v/>
      </c>
      <c r="E321" s="304" t="str">
        <f t="shared" si="63"/>
        <v/>
      </c>
      <c r="F321" s="304" t="str">
        <f>IF(OR(A321&lt;A$3,A321&gt;A$7),"",Crop!U354)</f>
        <v/>
      </c>
      <c r="G321" s="304" t="str">
        <f t="shared" si="64"/>
        <v/>
      </c>
      <c r="H321" s="309" t="str">
        <f>IF(OR(A321&lt;A$3,A321&gt;A$7),"",YTD!E318)</f>
        <v/>
      </c>
      <c r="I321" s="310" t="str">
        <f t="shared" si="65"/>
        <v/>
      </c>
      <c r="J321" s="311"/>
      <c r="K321" s="309" t="str">
        <f t="shared" si="66"/>
        <v/>
      </c>
      <c r="L321" s="312" t="str">
        <f t="shared" si="70"/>
        <v/>
      </c>
      <c r="M321" s="366" t="str">
        <f t="shared" si="71"/>
        <v/>
      </c>
      <c r="N321" s="328" t="str">
        <f t="shared" si="76"/>
        <v/>
      </c>
      <c r="O321" s="313" t="str">
        <f t="shared" si="77"/>
        <v/>
      </c>
      <c r="P321" s="307"/>
      <c r="Q321" s="309">
        <f t="shared" si="72"/>
        <v>0.8</v>
      </c>
      <c r="R321" s="307"/>
      <c r="S321" s="314">
        <f t="shared" si="73"/>
        <v>11.2</v>
      </c>
      <c r="T321" s="304" t="str">
        <f t="shared" si="67"/>
        <v/>
      </c>
      <c r="U321" s="304" t="str">
        <f>IF(A321=YTD!B$6,E321,IF(OR(A321&lt;YTD!B$6,A321&gt;YTD!B$10),"",U320+E321))</f>
        <v/>
      </c>
      <c r="V321" s="304" t="str">
        <f t="shared" si="74"/>
        <v/>
      </c>
      <c r="W321" s="315" t="e">
        <f>IF(I321="",#N/A,YTD!G$8-I321)</f>
        <v>#N/A</v>
      </c>
      <c r="X321" s="368">
        <f t="shared" si="68"/>
        <v>0</v>
      </c>
      <c r="Y321" s="368">
        <f t="shared" si="75"/>
        <v>6</v>
      </c>
      <c r="Z321" s="368" t="str">
        <f t="shared" si="69"/>
        <v/>
      </c>
      <c r="AA321" s="368">
        <v>306</v>
      </c>
      <c r="AB321" s="369">
        <f t="array" ref="AB321">SUM(IF(AA321=Z$16:Z$592,A$16:A$592,""))</f>
        <v>0</v>
      </c>
      <c r="AC321" s="370">
        <f t="array" ref="AC321">SUM(IF(AA321=Z$16:Z$592,J$16:J$592,""))</f>
        <v>0</v>
      </c>
      <c r="AD321" s="370">
        <f t="array" ref="AD321">SUM(IF($AA321=$Z$16:$Z$592,L$16:L$592,""))</f>
        <v>0</v>
      </c>
      <c r="AE321" s="370">
        <f t="array" ref="AE321">SUM(IF($AA321=$Z$16:$Z$592,M$16:M$592,""))</f>
        <v>0</v>
      </c>
      <c r="AF321" s="368">
        <f t="array" ref="AF321">SUM(IF($AA321=$Z$16:$Z$592,N$16:N$592,""))</f>
        <v>0</v>
      </c>
      <c r="AG321" s="370">
        <f t="array" ref="AG321">SUM(IF($AA321=$Z$16:$Z$592,O$16:O$592,""))</f>
        <v>0</v>
      </c>
      <c r="AH321" s="2"/>
      <c r="AI321" s="2"/>
      <c r="AJ321" s="2"/>
    </row>
    <row r="322" spans="1:36" x14ac:dyDescent="0.2">
      <c r="A322" s="306">
        <f>Crop!B355</f>
        <v>41946</v>
      </c>
      <c r="B322" s="307"/>
      <c r="C322" s="308"/>
      <c r="D322" s="304" t="str">
        <f>IF(OR($A322&lt;$A$3,$A322&gt;$A$7),"",Crop!$D355)</f>
        <v/>
      </c>
      <c r="E322" s="304" t="str">
        <f t="shared" si="63"/>
        <v/>
      </c>
      <c r="F322" s="304" t="str">
        <f>IF(OR(A322&lt;A$3,A322&gt;A$7),"",Crop!U355)</f>
        <v/>
      </c>
      <c r="G322" s="304" t="str">
        <f t="shared" si="64"/>
        <v/>
      </c>
      <c r="H322" s="309" t="str">
        <f>IF(OR(A322&lt;A$3,A322&gt;A$7),"",YTD!E319)</f>
        <v/>
      </c>
      <c r="I322" s="310" t="str">
        <f t="shared" si="65"/>
        <v/>
      </c>
      <c r="J322" s="311"/>
      <c r="K322" s="309" t="str">
        <f t="shared" si="66"/>
        <v/>
      </c>
      <c r="L322" s="312" t="str">
        <f t="shared" si="70"/>
        <v/>
      </c>
      <c r="M322" s="366" t="str">
        <f t="shared" si="71"/>
        <v/>
      </c>
      <c r="N322" s="328" t="str">
        <f t="shared" si="76"/>
        <v/>
      </c>
      <c r="O322" s="313" t="str">
        <f t="shared" si="77"/>
        <v/>
      </c>
      <c r="P322" s="307"/>
      <c r="Q322" s="309">
        <f t="shared" si="72"/>
        <v>0.8</v>
      </c>
      <c r="R322" s="307"/>
      <c r="S322" s="314">
        <f t="shared" si="73"/>
        <v>11.2</v>
      </c>
      <c r="T322" s="304" t="str">
        <f t="shared" si="67"/>
        <v/>
      </c>
      <c r="U322" s="304" t="str">
        <f>IF(A322=YTD!B$6,E322,IF(OR(A322&lt;YTD!B$6,A322&gt;YTD!B$10),"",U321+E322))</f>
        <v/>
      </c>
      <c r="V322" s="304" t="str">
        <f t="shared" si="74"/>
        <v/>
      </c>
      <c r="W322" s="315" t="e">
        <f>IF(I322="",#N/A,YTD!G$8-I322)</f>
        <v>#N/A</v>
      </c>
      <c r="X322" s="368">
        <f t="shared" si="68"/>
        <v>0</v>
      </c>
      <c r="Y322" s="368">
        <f t="shared" si="75"/>
        <v>6</v>
      </c>
      <c r="Z322" s="368" t="str">
        <f t="shared" si="69"/>
        <v/>
      </c>
      <c r="AA322" s="368">
        <v>307</v>
      </c>
      <c r="AB322" s="369">
        <f t="array" ref="AB322">SUM(IF(AA322=Z$16:Z$592,A$16:A$592,""))</f>
        <v>0</v>
      </c>
      <c r="AC322" s="370">
        <f t="array" ref="AC322">SUM(IF(AA322=Z$16:Z$592,J$16:J$592,""))</f>
        <v>0</v>
      </c>
      <c r="AD322" s="370">
        <f t="array" ref="AD322">SUM(IF($AA322=$Z$16:$Z$592,L$16:L$592,""))</f>
        <v>0</v>
      </c>
      <c r="AE322" s="370">
        <f t="array" ref="AE322">SUM(IF($AA322=$Z$16:$Z$592,M$16:M$592,""))</f>
        <v>0</v>
      </c>
      <c r="AF322" s="368">
        <f t="array" ref="AF322">SUM(IF($AA322=$Z$16:$Z$592,N$16:N$592,""))</f>
        <v>0</v>
      </c>
      <c r="AG322" s="370">
        <f t="array" ref="AG322">SUM(IF($AA322=$Z$16:$Z$592,O$16:O$592,""))</f>
        <v>0</v>
      </c>
      <c r="AH322" s="2"/>
      <c r="AI322" s="2"/>
      <c r="AJ322" s="2"/>
    </row>
    <row r="323" spans="1:36" x14ac:dyDescent="0.2">
      <c r="A323" s="306">
        <f>Crop!B356</f>
        <v>41947</v>
      </c>
      <c r="B323" s="307"/>
      <c r="C323" s="308"/>
      <c r="D323" s="304" t="str">
        <f>IF(OR($A323&lt;$A$3,$A323&gt;$A$7),"",Crop!$D356)</f>
        <v/>
      </c>
      <c r="E323" s="304" t="str">
        <f t="shared" si="63"/>
        <v/>
      </c>
      <c r="F323" s="304" t="str">
        <f>IF(OR(A323&lt;A$3,A323&gt;A$7),"",Crop!U356)</f>
        <v/>
      </c>
      <c r="G323" s="304" t="str">
        <f t="shared" si="64"/>
        <v/>
      </c>
      <c r="H323" s="309" t="str">
        <f>IF(OR(A323&lt;A$3,A323&gt;A$7),"",YTD!E320)</f>
        <v/>
      </c>
      <c r="I323" s="310" t="str">
        <f t="shared" si="65"/>
        <v/>
      </c>
      <c r="J323" s="311"/>
      <c r="K323" s="309" t="str">
        <f t="shared" si="66"/>
        <v/>
      </c>
      <c r="L323" s="312" t="str">
        <f t="shared" si="70"/>
        <v/>
      </c>
      <c r="M323" s="366" t="str">
        <f t="shared" si="71"/>
        <v/>
      </c>
      <c r="N323" s="328" t="str">
        <f t="shared" si="76"/>
        <v/>
      </c>
      <c r="O323" s="313" t="str">
        <f t="shared" si="77"/>
        <v/>
      </c>
      <c r="P323" s="307"/>
      <c r="Q323" s="309">
        <f t="shared" si="72"/>
        <v>0.8</v>
      </c>
      <c r="R323" s="307"/>
      <c r="S323" s="314">
        <f t="shared" si="73"/>
        <v>11.2</v>
      </c>
      <c r="T323" s="304" t="str">
        <f t="shared" si="67"/>
        <v/>
      </c>
      <c r="U323" s="304" t="str">
        <f>IF(A323=YTD!B$6,E323,IF(OR(A323&lt;YTD!B$6,A323&gt;YTD!B$10),"",U322+E323))</f>
        <v/>
      </c>
      <c r="V323" s="304" t="str">
        <f t="shared" si="74"/>
        <v/>
      </c>
      <c r="W323" s="315" t="e">
        <f>IF(I323="",#N/A,YTD!G$8-I323)</f>
        <v>#N/A</v>
      </c>
      <c r="X323" s="368">
        <f t="shared" si="68"/>
        <v>0</v>
      </c>
      <c r="Y323" s="368">
        <f t="shared" si="75"/>
        <v>6</v>
      </c>
      <c r="Z323" s="368" t="str">
        <f t="shared" si="69"/>
        <v/>
      </c>
      <c r="AA323" s="368">
        <v>308</v>
      </c>
      <c r="AB323" s="369">
        <f t="array" ref="AB323">SUM(IF(AA323=Z$16:Z$592,A$16:A$592,""))</f>
        <v>0</v>
      </c>
      <c r="AC323" s="370">
        <f t="array" ref="AC323">SUM(IF(AA323=Z$16:Z$592,J$16:J$592,""))</f>
        <v>0</v>
      </c>
      <c r="AD323" s="370">
        <f t="array" ref="AD323">SUM(IF($AA323=$Z$16:$Z$592,L$16:L$592,""))</f>
        <v>0</v>
      </c>
      <c r="AE323" s="370">
        <f t="array" ref="AE323">SUM(IF($AA323=$Z$16:$Z$592,M$16:M$592,""))</f>
        <v>0</v>
      </c>
      <c r="AF323" s="368">
        <f t="array" ref="AF323">SUM(IF($AA323=$Z$16:$Z$592,N$16:N$592,""))</f>
        <v>0</v>
      </c>
      <c r="AG323" s="370">
        <f t="array" ref="AG323">SUM(IF($AA323=$Z$16:$Z$592,O$16:O$592,""))</f>
        <v>0</v>
      </c>
      <c r="AH323" s="2"/>
      <c r="AI323" s="2"/>
      <c r="AJ323" s="2"/>
    </row>
    <row r="324" spans="1:36" x14ac:dyDescent="0.2">
      <c r="A324" s="306">
        <f>Crop!B357</f>
        <v>41948</v>
      </c>
      <c r="B324" s="307"/>
      <c r="C324" s="308"/>
      <c r="D324" s="304" t="str">
        <f>IF(OR($A324&lt;$A$3,$A324&gt;$A$7),"",Crop!$D357)</f>
        <v/>
      </c>
      <c r="E324" s="304" t="str">
        <f t="shared" si="63"/>
        <v/>
      </c>
      <c r="F324" s="304" t="str">
        <f>IF(OR(A324&lt;A$3,A324&gt;A$7),"",Crop!U357)</f>
        <v/>
      </c>
      <c r="G324" s="304" t="str">
        <f t="shared" si="64"/>
        <v/>
      </c>
      <c r="H324" s="309" t="str">
        <f>IF(OR(A324&lt;A$3,A324&gt;A$7),"",YTD!E321)</f>
        <v/>
      </c>
      <c r="I324" s="310" t="str">
        <f t="shared" si="65"/>
        <v/>
      </c>
      <c r="J324" s="311"/>
      <c r="K324" s="309" t="str">
        <f t="shared" si="66"/>
        <v/>
      </c>
      <c r="L324" s="312" t="str">
        <f t="shared" si="70"/>
        <v/>
      </c>
      <c r="M324" s="366" t="str">
        <f t="shared" si="71"/>
        <v/>
      </c>
      <c r="N324" s="328" t="str">
        <f t="shared" si="76"/>
        <v/>
      </c>
      <c r="O324" s="313" t="str">
        <f t="shared" si="77"/>
        <v/>
      </c>
      <c r="P324" s="307"/>
      <c r="Q324" s="309">
        <f t="shared" si="72"/>
        <v>0.8</v>
      </c>
      <c r="R324" s="307"/>
      <c r="S324" s="314">
        <f t="shared" si="73"/>
        <v>11.2</v>
      </c>
      <c r="T324" s="304" t="str">
        <f t="shared" si="67"/>
        <v/>
      </c>
      <c r="U324" s="304" t="str">
        <f>IF(A324=YTD!B$6,E324,IF(OR(A324&lt;YTD!B$6,A324&gt;YTD!B$10),"",U323+E324))</f>
        <v/>
      </c>
      <c r="V324" s="304" t="str">
        <f t="shared" si="74"/>
        <v/>
      </c>
      <c r="W324" s="315" t="e">
        <f>IF(I324="",#N/A,YTD!G$8-I324)</f>
        <v>#N/A</v>
      </c>
      <c r="X324" s="368">
        <f t="shared" si="68"/>
        <v>0</v>
      </c>
      <c r="Y324" s="368">
        <f t="shared" si="75"/>
        <v>6</v>
      </c>
      <c r="Z324" s="368" t="str">
        <f t="shared" si="69"/>
        <v/>
      </c>
      <c r="AA324" s="368">
        <v>309</v>
      </c>
      <c r="AB324" s="369">
        <f t="array" ref="AB324">SUM(IF(AA324=Z$16:Z$592,A$16:A$592,""))</f>
        <v>0</v>
      </c>
      <c r="AC324" s="370">
        <f t="array" ref="AC324">SUM(IF(AA324=Z$16:Z$592,J$16:J$592,""))</f>
        <v>0</v>
      </c>
      <c r="AD324" s="370">
        <f t="array" ref="AD324">SUM(IF($AA324=$Z$16:$Z$592,L$16:L$592,""))</f>
        <v>0</v>
      </c>
      <c r="AE324" s="370">
        <f t="array" ref="AE324">SUM(IF($AA324=$Z$16:$Z$592,M$16:M$592,""))</f>
        <v>0</v>
      </c>
      <c r="AF324" s="368">
        <f t="array" ref="AF324">SUM(IF($AA324=$Z$16:$Z$592,N$16:N$592,""))</f>
        <v>0</v>
      </c>
      <c r="AG324" s="370">
        <f t="array" ref="AG324">SUM(IF($AA324=$Z$16:$Z$592,O$16:O$592,""))</f>
        <v>0</v>
      </c>
      <c r="AH324" s="2"/>
      <c r="AI324" s="2"/>
      <c r="AJ324" s="2"/>
    </row>
    <row r="325" spans="1:36" x14ac:dyDescent="0.2">
      <c r="A325" s="306">
        <f>Crop!B358</f>
        <v>41949</v>
      </c>
      <c r="B325" s="307"/>
      <c r="C325" s="308"/>
      <c r="D325" s="304" t="str">
        <f>IF(OR($A325&lt;$A$3,$A325&gt;$A$7),"",Crop!$D358)</f>
        <v/>
      </c>
      <c r="E325" s="304" t="str">
        <f t="shared" si="63"/>
        <v/>
      </c>
      <c r="F325" s="304" t="str">
        <f>IF(OR(A325&lt;A$3,A325&gt;A$7),"",Crop!U358)</f>
        <v/>
      </c>
      <c r="G325" s="304" t="str">
        <f t="shared" si="64"/>
        <v/>
      </c>
      <c r="H325" s="309" t="str">
        <f>IF(OR(A325&lt;A$3,A325&gt;A$7),"",YTD!E322)</f>
        <v/>
      </c>
      <c r="I325" s="310" t="str">
        <f t="shared" si="65"/>
        <v/>
      </c>
      <c r="J325" s="311"/>
      <c r="K325" s="309" t="str">
        <f t="shared" si="66"/>
        <v/>
      </c>
      <c r="L325" s="312" t="str">
        <f t="shared" si="70"/>
        <v/>
      </c>
      <c r="M325" s="366" t="str">
        <f t="shared" si="71"/>
        <v/>
      </c>
      <c r="N325" s="328" t="str">
        <f t="shared" si="76"/>
        <v/>
      </c>
      <c r="O325" s="313" t="str">
        <f t="shared" si="77"/>
        <v/>
      </c>
      <c r="P325" s="307"/>
      <c r="Q325" s="309">
        <f t="shared" si="72"/>
        <v>0.8</v>
      </c>
      <c r="R325" s="307"/>
      <c r="S325" s="314">
        <f t="shared" si="73"/>
        <v>11.2</v>
      </c>
      <c r="T325" s="304" t="str">
        <f t="shared" si="67"/>
        <v/>
      </c>
      <c r="U325" s="304" t="str">
        <f>IF(A325=YTD!B$6,E325,IF(OR(A325&lt;YTD!B$6,A325&gt;YTD!B$10),"",U324+E325))</f>
        <v/>
      </c>
      <c r="V325" s="304" t="str">
        <f t="shared" si="74"/>
        <v/>
      </c>
      <c r="W325" s="315" t="e">
        <f>IF(I325="",#N/A,YTD!G$8-I325)</f>
        <v>#N/A</v>
      </c>
      <c r="X325" s="368">
        <f t="shared" si="68"/>
        <v>0</v>
      </c>
      <c r="Y325" s="368">
        <f t="shared" si="75"/>
        <v>6</v>
      </c>
      <c r="Z325" s="368" t="str">
        <f t="shared" si="69"/>
        <v/>
      </c>
      <c r="AA325" s="368">
        <v>310</v>
      </c>
      <c r="AB325" s="369">
        <f t="array" ref="AB325">SUM(IF(AA325=Z$16:Z$592,A$16:A$592,""))</f>
        <v>0</v>
      </c>
      <c r="AC325" s="370">
        <f t="array" ref="AC325">SUM(IF(AA325=Z$16:Z$592,J$16:J$592,""))</f>
        <v>0</v>
      </c>
      <c r="AD325" s="370">
        <f t="array" ref="AD325">SUM(IF($AA325=$Z$16:$Z$592,L$16:L$592,""))</f>
        <v>0</v>
      </c>
      <c r="AE325" s="370">
        <f t="array" ref="AE325">SUM(IF($AA325=$Z$16:$Z$592,M$16:M$592,""))</f>
        <v>0</v>
      </c>
      <c r="AF325" s="368">
        <f t="array" ref="AF325">SUM(IF($AA325=$Z$16:$Z$592,N$16:N$592,""))</f>
        <v>0</v>
      </c>
      <c r="AG325" s="370">
        <f t="array" ref="AG325">SUM(IF($AA325=$Z$16:$Z$592,O$16:O$592,""))</f>
        <v>0</v>
      </c>
      <c r="AH325" s="2"/>
      <c r="AI325" s="2"/>
      <c r="AJ325" s="2"/>
    </row>
    <row r="326" spans="1:36" x14ac:dyDescent="0.2">
      <c r="A326" s="306">
        <f>Crop!B359</f>
        <v>41950</v>
      </c>
      <c r="B326" s="307"/>
      <c r="C326" s="308"/>
      <c r="D326" s="304" t="str">
        <f>IF(OR($A326&lt;$A$3,$A326&gt;$A$7),"",Crop!$D359)</f>
        <v/>
      </c>
      <c r="E326" s="304" t="str">
        <f t="shared" si="63"/>
        <v/>
      </c>
      <c r="F326" s="304" t="str">
        <f>IF(OR(A326&lt;A$3,A326&gt;A$7),"",Crop!U359)</f>
        <v/>
      </c>
      <c r="G326" s="304" t="str">
        <f t="shared" si="64"/>
        <v/>
      </c>
      <c r="H326" s="309" t="str">
        <f>IF(OR(A326&lt;A$3,A326&gt;A$7),"",YTD!E323)</f>
        <v/>
      </c>
      <c r="I326" s="310" t="str">
        <f t="shared" si="65"/>
        <v/>
      </c>
      <c r="J326" s="311"/>
      <c r="K326" s="309" t="str">
        <f t="shared" si="66"/>
        <v/>
      </c>
      <c r="L326" s="312" t="str">
        <f t="shared" si="70"/>
        <v/>
      </c>
      <c r="M326" s="366" t="str">
        <f t="shared" si="71"/>
        <v/>
      </c>
      <c r="N326" s="328" t="str">
        <f t="shared" si="76"/>
        <v/>
      </c>
      <c r="O326" s="313" t="str">
        <f t="shared" si="77"/>
        <v/>
      </c>
      <c r="P326" s="307"/>
      <c r="Q326" s="309">
        <f t="shared" si="72"/>
        <v>0.8</v>
      </c>
      <c r="R326" s="307"/>
      <c r="S326" s="314">
        <f t="shared" si="73"/>
        <v>11.2</v>
      </c>
      <c r="T326" s="304" t="str">
        <f t="shared" si="67"/>
        <v/>
      </c>
      <c r="U326" s="304" t="str">
        <f>IF(A326=YTD!B$6,E326,IF(OR(A326&lt;YTD!B$6,A326&gt;YTD!B$10),"",U325+E326))</f>
        <v/>
      </c>
      <c r="V326" s="304" t="str">
        <f t="shared" si="74"/>
        <v/>
      </c>
      <c r="W326" s="315" t="e">
        <f>IF(I326="",#N/A,YTD!G$8-I326)</f>
        <v>#N/A</v>
      </c>
      <c r="X326" s="368">
        <f t="shared" si="68"/>
        <v>0</v>
      </c>
      <c r="Y326" s="368">
        <f t="shared" si="75"/>
        <v>6</v>
      </c>
      <c r="Z326" s="368" t="str">
        <f t="shared" si="69"/>
        <v/>
      </c>
      <c r="AA326" s="368">
        <v>311</v>
      </c>
      <c r="AB326" s="369">
        <f t="array" ref="AB326">SUM(IF(AA326=Z$16:Z$592,A$16:A$592,""))</f>
        <v>0</v>
      </c>
      <c r="AC326" s="370">
        <f t="array" ref="AC326">SUM(IF(AA326=Z$16:Z$592,J$16:J$592,""))</f>
        <v>0</v>
      </c>
      <c r="AD326" s="370">
        <f t="array" ref="AD326">SUM(IF($AA326=$Z$16:$Z$592,L$16:L$592,""))</f>
        <v>0</v>
      </c>
      <c r="AE326" s="370">
        <f t="array" ref="AE326">SUM(IF($AA326=$Z$16:$Z$592,M$16:M$592,""))</f>
        <v>0</v>
      </c>
      <c r="AF326" s="368">
        <f t="array" ref="AF326">SUM(IF($AA326=$Z$16:$Z$592,N$16:N$592,""))</f>
        <v>0</v>
      </c>
      <c r="AG326" s="370">
        <f t="array" ref="AG326">SUM(IF($AA326=$Z$16:$Z$592,O$16:O$592,""))</f>
        <v>0</v>
      </c>
      <c r="AH326" s="2"/>
      <c r="AI326" s="2"/>
      <c r="AJ326" s="2"/>
    </row>
    <row r="327" spans="1:36" x14ac:dyDescent="0.2">
      <c r="A327" s="306">
        <f>Crop!B360</f>
        <v>41951</v>
      </c>
      <c r="B327" s="307"/>
      <c r="C327" s="308"/>
      <c r="D327" s="304" t="str">
        <f>IF(OR($A327&lt;$A$3,$A327&gt;$A$7),"",Crop!$D360)</f>
        <v/>
      </c>
      <c r="E327" s="304" t="str">
        <f t="shared" si="63"/>
        <v/>
      </c>
      <c r="F327" s="304" t="str">
        <f>IF(OR(A327&lt;A$3,A327&gt;A$7),"",Crop!U360)</f>
        <v/>
      </c>
      <c r="G327" s="304" t="str">
        <f t="shared" si="64"/>
        <v/>
      </c>
      <c r="H327" s="309" t="str">
        <f>IF(OR(A327&lt;A$3,A327&gt;A$7),"",YTD!E324)</f>
        <v/>
      </c>
      <c r="I327" s="310" t="str">
        <f t="shared" si="65"/>
        <v/>
      </c>
      <c r="J327" s="311"/>
      <c r="K327" s="309" t="str">
        <f t="shared" si="66"/>
        <v/>
      </c>
      <c r="L327" s="312" t="str">
        <f t="shared" si="70"/>
        <v/>
      </c>
      <c r="M327" s="366" t="str">
        <f t="shared" si="71"/>
        <v/>
      </c>
      <c r="N327" s="328" t="str">
        <f t="shared" si="76"/>
        <v/>
      </c>
      <c r="O327" s="313" t="str">
        <f t="shared" si="77"/>
        <v/>
      </c>
      <c r="P327" s="307"/>
      <c r="Q327" s="309">
        <f t="shared" si="72"/>
        <v>0.8</v>
      </c>
      <c r="R327" s="307"/>
      <c r="S327" s="314">
        <f t="shared" si="73"/>
        <v>11.2</v>
      </c>
      <c r="T327" s="304" t="str">
        <f t="shared" si="67"/>
        <v/>
      </c>
      <c r="U327" s="304" t="str">
        <f>IF(A327=YTD!B$6,E327,IF(OR(A327&lt;YTD!B$6,A327&gt;YTD!B$10),"",U326+E327))</f>
        <v/>
      </c>
      <c r="V327" s="304" t="str">
        <f t="shared" si="74"/>
        <v/>
      </c>
      <c r="W327" s="315" t="e">
        <f>IF(I327="",#N/A,YTD!G$8-I327)</f>
        <v>#N/A</v>
      </c>
      <c r="X327" s="368">
        <f t="shared" si="68"/>
        <v>0</v>
      </c>
      <c r="Y327" s="368">
        <f t="shared" si="75"/>
        <v>6</v>
      </c>
      <c r="Z327" s="368" t="str">
        <f t="shared" si="69"/>
        <v/>
      </c>
      <c r="AA327" s="368">
        <v>312</v>
      </c>
      <c r="AB327" s="369">
        <f t="array" ref="AB327">SUM(IF(AA327=Z$16:Z$592,A$16:A$592,""))</f>
        <v>0</v>
      </c>
      <c r="AC327" s="370">
        <f t="array" ref="AC327">SUM(IF(AA327=Z$16:Z$592,J$16:J$592,""))</f>
        <v>0</v>
      </c>
      <c r="AD327" s="370">
        <f t="array" ref="AD327">SUM(IF($AA327=$Z$16:$Z$592,L$16:L$592,""))</f>
        <v>0</v>
      </c>
      <c r="AE327" s="370">
        <f t="array" ref="AE327">SUM(IF($AA327=$Z$16:$Z$592,M$16:M$592,""))</f>
        <v>0</v>
      </c>
      <c r="AF327" s="368">
        <f t="array" ref="AF327">SUM(IF($AA327=$Z$16:$Z$592,N$16:N$592,""))</f>
        <v>0</v>
      </c>
      <c r="AG327" s="370">
        <f t="array" ref="AG327">SUM(IF($AA327=$Z$16:$Z$592,O$16:O$592,""))</f>
        <v>0</v>
      </c>
      <c r="AH327" s="2"/>
      <c r="AI327" s="2"/>
      <c r="AJ327" s="2"/>
    </row>
    <row r="328" spans="1:36" x14ac:dyDescent="0.2">
      <c r="A328" s="306">
        <f>Crop!B361</f>
        <v>41952</v>
      </c>
      <c r="B328" s="307"/>
      <c r="C328" s="308"/>
      <c r="D328" s="304" t="str">
        <f>IF(OR($A328&lt;$A$3,$A328&gt;$A$7),"",Crop!$D361)</f>
        <v/>
      </c>
      <c r="E328" s="304" t="str">
        <f t="shared" si="63"/>
        <v/>
      </c>
      <c r="F328" s="304" t="str">
        <f>IF(OR(A328&lt;A$3,A328&gt;A$7),"",Crop!U361)</f>
        <v/>
      </c>
      <c r="G328" s="304" t="str">
        <f t="shared" si="64"/>
        <v/>
      </c>
      <c r="H328" s="309" t="str">
        <f>IF(OR(A328&lt;A$3,A328&gt;A$7),"",YTD!E325)</f>
        <v/>
      </c>
      <c r="I328" s="310" t="str">
        <f t="shared" si="65"/>
        <v/>
      </c>
      <c r="J328" s="311"/>
      <c r="K328" s="309" t="str">
        <f t="shared" si="66"/>
        <v/>
      </c>
      <c r="L328" s="312" t="str">
        <f t="shared" si="70"/>
        <v/>
      </c>
      <c r="M328" s="366" t="str">
        <f t="shared" si="71"/>
        <v/>
      </c>
      <c r="N328" s="328" t="str">
        <f t="shared" si="76"/>
        <v/>
      </c>
      <c r="O328" s="313" t="str">
        <f t="shared" si="77"/>
        <v/>
      </c>
      <c r="P328" s="307"/>
      <c r="Q328" s="309">
        <f t="shared" si="72"/>
        <v>0.8</v>
      </c>
      <c r="R328" s="307"/>
      <c r="S328" s="314">
        <f t="shared" si="73"/>
        <v>11.2</v>
      </c>
      <c r="T328" s="304" t="str">
        <f t="shared" si="67"/>
        <v/>
      </c>
      <c r="U328" s="304" t="str">
        <f>IF(A328=YTD!B$6,E328,IF(OR(A328&lt;YTD!B$6,A328&gt;YTD!B$10),"",U327+E328))</f>
        <v/>
      </c>
      <c r="V328" s="304" t="str">
        <f t="shared" si="74"/>
        <v/>
      </c>
      <c r="W328" s="315" t="e">
        <f>IF(I328="",#N/A,YTD!G$8-I328)</f>
        <v>#N/A</v>
      </c>
      <c r="X328" s="368">
        <f t="shared" si="68"/>
        <v>0</v>
      </c>
      <c r="Y328" s="368">
        <f t="shared" si="75"/>
        <v>6</v>
      </c>
      <c r="Z328" s="368" t="str">
        <f t="shared" si="69"/>
        <v/>
      </c>
      <c r="AA328" s="368">
        <v>313</v>
      </c>
      <c r="AB328" s="369">
        <f t="array" ref="AB328">SUM(IF(AA328=Z$16:Z$592,A$16:A$592,""))</f>
        <v>0</v>
      </c>
      <c r="AC328" s="370">
        <f t="array" ref="AC328">SUM(IF(AA328=Z$16:Z$592,J$16:J$592,""))</f>
        <v>0</v>
      </c>
      <c r="AD328" s="370">
        <f t="array" ref="AD328">SUM(IF($AA328=$Z$16:$Z$592,L$16:L$592,""))</f>
        <v>0</v>
      </c>
      <c r="AE328" s="370">
        <f t="array" ref="AE328">SUM(IF($AA328=$Z$16:$Z$592,M$16:M$592,""))</f>
        <v>0</v>
      </c>
      <c r="AF328" s="368">
        <f t="array" ref="AF328">SUM(IF($AA328=$Z$16:$Z$592,N$16:N$592,""))</f>
        <v>0</v>
      </c>
      <c r="AG328" s="370">
        <f t="array" ref="AG328">SUM(IF($AA328=$Z$16:$Z$592,O$16:O$592,""))</f>
        <v>0</v>
      </c>
      <c r="AH328" s="2"/>
      <c r="AI328" s="2"/>
      <c r="AJ328" s="2"/>
    </row>
    <row r="329" spans="1:36" x14ac:dyDescent="0.2">
      <c r="A329" s="306">
        <f>Crop!B362</f>
        <v>41953</v>
      </c>
      <c r="B329" s="307"/>
      <c r="C329" s="308"/>
      <c r="D329" s="304" t="str">
        <f>IF(OR($A329&lt;$A$3,$A329&gt;$A$7),"",Crop!$D362)</f>
        <v/>
      </c>
      <c r="E329" s="304" t="str">
        <f t="shared" si="63"/>
        <v/>
      </c>
      <c r="F329" s="304" t="str">
        <f>IF(OR(A329&lt;A$3,A329&gt;A$7),"",Crop!U362)</f>
        <v/>
      </c>
      <c r="G329" s="304" t="str">
        <f t="shared" si="64"/>
        <v/>
      </c>
      <c r="H329" s="309" t="str">
        <f>IF(OR(A329&lt;A$3,A329&gt;A$7),"",YTD!E326)</f>
        <v/>
      </c>
      <c r="I329" s="310" t="str">
        <f t="shared" si="65"/>
        <v/>
      </c>
      <c r="J329" s="311"/>
      <c r="K329" s="309" t="str">
        <f t="shared" si="66"/>
        <v/>
      </c>
      <c r="L329" s="312" t="str">
        <f t="shared" si="70"/>
        <v/>
      </c>
      <c r="M329" s="366" t="str">
        <f t="shared" si="71"/>
        <v/>
      </c>
      <c r="N329" s="328" t="str">
        <f t="shared" si="76"/>
        <v/>
      </c>
      <c r="O329" s="313" t="str">
        <f t="shared" si="77"/>
        <v/>
      </c>
      <c r="P329" s="307"/>
      <c r="Q329" s="309">
        <f t="shared" si="72"/>
        <v>0.8</v>
      </c>
      <c r="R329" s="307"/>
      <c r="S329" s="314">
        <f t="shared" si="73"/>
        <v>11.2</v>
      </c>
      <c r="T329" s="304" t="str">
        <f t="shared" si="67"/>
        <v/>
      </c>
      <c r="U329" s="304" t="str">
        <f>IF(A329=YTD!B$6,E329,IF(OR(A329&lt;YTD!B$6,A329&gt;YTD!B$10),"",U328+E329))</f>
        <v/>
      </c>
      <c r="V329" s="304" t="str">
        <f t="shared" si="74"/>
        <v/>
      </c>
      <c r="W329" s="315" t="e">
        <f>IF(I329="",#N/A,YTD!G$8-I329)</f>
        <v>#N/A</v>
      </c>
      <c r="X329" s="368">
        <f t="shared" si="68"/>
        <v>0</v>
      </c>
      <c r="Y329" s="368">
        <f t="shared" si="75"/>
        <v>6</v>
      </c>
      <c r="Z329" s="368" t="str">
        <f t="shared" si="69"/>
        <v/>
      </c>
      <c r="AA329" s="368">
        <v>314</v>
      </c>
      <c r="AB329" s="369">
        <f t="array" ref="AB329">SUM(IF(AA329=Z$16:Z$592,A$16:A$592,""))</f>
        <v>0</v>
      </c>
      <c r="AC329" s="370">
        <f t="array" ref="AC329">SUM(IF(AA329=Z$16:Z$592,J$16:J$592,""))</f>
        <v>0</v>
      </c>
      <c r="AD329" s="370">
        <f t="array" ref="AD329">SUM(IF($AA329=$Z$16:$Z$592,L$16:L$592,""))</f>
        <v>0</v>
      </c>
      <c r="AE329" s="370">
        <f t="array" ref="AE329">SUM(IF($AA329=$Z$16:$Z$592,M$16:M$592,""))</f>
        <v>0</v>
      </c>
      <c r="AF329" s="368">
        <f t="array" ref="AF329">SUM(IF($AA329=$Z$16:$Z$592,N$16:N$592,""))</f>
        <v>0</v>
      </c>
      <c r="AG329" s="370">
        <f t="array" ref="AG329">SUM(IF($AA329=$Z$16:$Z$592,O$16:O$592,""))</f>
        <v>0</v>
      </c>
      <c r="AH329" s="2"/>
      <c r="AI329" s="2"/>
      <c r="AJ329" s="2"/>
    </row>
    <row r="330" spans="1:36" x14ac:dyDescent="0.2">
      <c r="A330" s="306">
        <f>Crop!B363</f>
        <v>41954</v>
      </c>
      <c r="B330" s="307"/>
      <c r="C330" s="308"/>
      <c r="D330" s="304" t="str">
        <f>IF(OR($A330&lt;$A$3,$A330&gt;$A$7),"",Crop!$D363)</f>
        <v/>
      </c>
      <c r="E330" s="304" t="str">
        <f t="shared" si="63"/>
        <v/>
      </c>
      <c r="F330" s="304" t="str">
        <f>IF(OR(A330&lt;A$3,A330&gt;A$7),"",Crop!U363)</f>
        <v/>
      </c>
      <c r="G330" s="304" t="str">
        <f t="shared" si="64"/>
        <v/>
      </c>
      <c r="H330" s="309" t="str">
        <f>IF(OR(A330&lt;A$3,A330&gt;A$7),"",YTD!E327)</f>
        <v/>
      </c>
      <c r="I330" s="310" t="str">
        <f t="shared" si="65"/>
        <v/>
      </c>
      <c r="J330" s="311"/>
      <c r="K330" s="309" t="str">
        <f t="shared" si="66"/>
        <v/>
      </c>
      <c r="L330" s="312" t="str">
        <f t="shared" si="70"/>
        <v/>
      </c>
      <c r="M330" s="366" t="str">
        <f t="shared" si="71"/>
        <v/>
      </c>
      <c r="N330" s="328" t="str">
        <f t="shared" si="76"/>
        <v/>
      </c>
      <c r="O330" s="313" t="str">
        <f t="shared" si="77"/>
        <v/>
      </c>
      <c r="P330" s="307"/>
      <c r="Q330" s="309">
        <f t="shared" si="72"/>
        <v>0.8</v>
      </c>
      <c r="R330" s="307"/>
      <c r="S330" s="314">
        <f t="shared" si="73"/>
        <v>11.2</v>
      </c>
      <c r="T330" s="304" t="str">
        <f t="shared" si="67"/>
        <v/>
      </c>
      <c r="U330" s="304" t="str">
        <f>IF(A330=YTD!B$6,E330,IF(OR(A330&lt;YTD!B$6,A330&gt;YTD!B$10),"",U329+E330))</f>
        <v/>
      </c>
      <c r="V330" s="304" t="str">
        <f t="shared" si="74"/>
        <v/>
      </c>
      <c r="W330" s="315" t="e">
        <f>IF(I330="",#N/A,YTD!G$8-I330)</f>
        <v>#N/A</v>
      </c>
      <c r="X330" s="368">
        <f t="shared" si="68"/>
        <v>0</v>
      </c>
      <c r="Y330" s="368">
        <f t="shared" si="75"/>
        <v>6</v>
      </c>
      <c r="Z330" s="368" t="str">
        <f t="shared" si="69"/>
        <v/>
      </c>
      <c r="AA330" s="368">
        <v>315</v>
      </c>
      <c r="AB330" s="369">
        <f t="array" ref="AB330">SUM(IF(AA330=Z$16:Z$592,A$16:A$592,""))</f>
        <v>0</v>
      </c>
      <c r="AC330" s="370">
        <f t="array" ref="AC330">SUM(IF(AA330=Z$16:Z$592,J$16:J$592,""))</f>
        <v>0</v>
      </c>
      <c r="AD330" s="370">
        <f t="array" ref="AD330">SUM(IF($AA330=$Z$16:$Z$592,L$16:L$592,""))</f>
        <v>0</v>
      </c>
      <c r="AE330" s="370">
        <f t="array" ref="AE330">SUM(IF($AA330=$Z$16:$Z$592,M$16:M$592,""))</f>
        <v>0</v>
      </c>
      <c r="AF330" s="368">
        <f t="array" ref="AF330">SUM(IF($AA330=$Z$16:$Z$592,N$16:N$592,""))</f>
        <v>0</v>
      </c>
      <c r="AG330" s="370">
        <f t="array" ref="AG330">SUM(IF($AA330=$Z$16:$Z$592,O$16:O$592,""))</f>
        <v>0</v>
      </c>
      <c r="AH330" s="2"/>
      <c r="AI330" s="2"/>
      <c r="AJ330" s="2"/>
    </row>
    <row r="331" spans="1:36" x14ac:dyDescent="0.2">
      <c r="A331" s="306">
        <f>Crop!B364</f>
        <v>41955</v>
      </c>
      <c r="B331" s="307"/>
      <c r="C331" s="308"/>
      <c r="D331" s="304" t="str">
        <f>IF(OR($A331&lt;$A$3,$A331&gt;$A$7),"",Crop!$D364)</f>
        <v/>
      </c>
      <c r="E331" s="304" t="str">
        <f t="shared" si="63"/>
        <v/>
      </c>
      <c r="F331" s="304" t="str">
        <f>IF(OR(A331&lt;A$3,A331&gt;A$7),"",Crop!U364)</f>
        <v/>
      </c>
      <c r="G331" s="304" t="str">
        <f t="shared" si="64"/>
        <v/>
      </c>
      <c r="H331" s="309" t="str">
        <f>IF(OR(A331&lt;A$3,A331&gt;A$7),"",YTD!E328)</f>
        <v/>
      </c>
      <c r="I331" s="310" t="str">
        <f t="shared" si="65"/>
        <v/>
      </c>
      <c r="J331" s="311"/>
      <c r="K331" s="309" t="str">
        <f t="shared" si="66"/>
        <v/>
      </c>
      <c r="L331" s="312" t="str">
        <f t="shared" si="70"/>
        <v/>
      </c>
      <c r="M331" s="366" t="str">
        <f t="shared" si="71"/>
        <v/>
      </c>
      <c r="N331" s="328" t="str">
        <f t="shared" si="76"/>
        <v/>
      </c>
      <c r="O331" s="313" t="str">
        <f t="shared" si="77"/>
        <v/>
      </c>
      <c r="P331" s="307"/>
      <c r="Q331" s="309">
        <f t="shared" si="72"/>
        <v>0.8</v>
      </c>
      <c r="R331" s="307"/>
      <c r="S331" s="314">
        <f t="shared" si="73"/>
        <v>11.2</v>
      </c>
      <c r="T331" s="304" t="str">
        <f t="shared" si="67"/>
        <v/>
      </c>
      <c r="U331" s="304" t="str">
        <f>IF(A331=YTD!B$6,E331,IF(OR(A331&lt;YTD!B$6,A331&gt;YTD!B$10),"",U330+E331))</f>
        <v/>
      </c>
      <c r="V331" s="304" t="str">
        <f t="shared" si="74"/>
        <v/>
      </c>
      <c r="W331" s="315" t="e">
        <f>IF(I331="",#N/A,YTD!G$8-I331)</f>
        <v>#N/A</v>
      </c>
      <c r="X331" s="368">
        <f t="shared" si="68"/>
        <v>0</v>
      </c>
      <c r="Y331" s="368">
        <f t="shared" si="75"/>
        <v>6</v>
      </c>
      <c r="Z331" s="368" t="str">
        <f t="shared" si="69"/>
        <v/>
      </c>
      <c r="AA331" s="368">
        <v>316</v>
      </c>
      <c r="AB331" s="369">
        <f t="array" ref="AB331">SUM(IF(AA331=Z$16:Z$592,A$16:A$592,""))</f>
        <v>0</v>
      </c>
      <c r="AC331" s="370">
        <f t="array" ref="AC331">SUM(IF(AA331=Z$16:Z$592,J$16:J$592,""))</f>
        <v>0</v>
      </c>
      <c r="AD331" s="370">
        <f t="array" ref="AD331">SUM(IF($AA331=$Z$16:$Z$592,L$16:L$592,""))</f>
        <v>0</v>
      </c>
      <c r="AE331" s="370">
        <f t="array" ref="AE331">SUM(IF($AA331=$Z$16:$Z$592,M$16:M$592,""))</f>
        <v>0</v>
      </c>
      <c r="AF331" s="368">
        <f t="array" ref="AF331">SUM(IF($AA331=$Z$16:$Z$592,N$16:N$592,""))</f>
        <v>0</v>
      </c>
      <c r="AG331" s="370">
        <f t="array" ref="AG331">SUM(IF($AA331=$Z$16:$Z$592,O$16:O$592,""))</f>
        <v>0</v>
      </c>
      <c r="AH331" s="2"/>
      <c r="AI331" s="2"/>
      <c r="AJ331" s="2"/>
    </row>
    <row r="332" spans="1:36" x14ac:dyDescent="0.2">
      <c r="A332" s="306">
        <f>Crop!B365</f>
        <v>41956</v>
      </c>
      <c r="B332" s="307"/>
      <c r="C332" s="308"/>
      <c r="D332" s="304" t="str">
        <f>IF(OR($A332&lt;$A$3,$A332&gt;$A$7),"",Crop!$D365)</f>
        <v/>
      </c>
      <c r="E332" s="304" t="str">
        <f t="shared" si="63"/>
        <v/>
      </c>
      <c r="F332" s="304" t="str">
        <f>IF(OR(A332&lt;A$3,A332&gt;A$7),"",Crop!U365)</f>
        <v/>
      </c>
      <c r="G332" s="304" t="str">
        <f t="shared" si="64"/>
        <v/>
      </c>
      <c r="H332" s="309" t="str">
        <f>IF(OR(A332&lt;A$3,A332&gt;A$7),"",YTD!E329)</f>
        <v/>
      </c>
      <c r="I332" s="310" t="str">
        <f t="shared" si="65"/>
        <v/>
      </c>
      <c r="J332" s="311"/>
      <c r="K332" s="309" t="str">
        <f t="shared" si="66"/>
        <v/>
      </c>
      <c r="L332" s="312" t="str">
        <f t="shared" si="70"/>
        <v/>
      </c>
      <c r="M332" s="366" t="str">
        <f t="shared" si="71"/>
        <v/>
      </c>
      <c r="N332" s="328" t="str">
        <f t="shared" si="76"/>
        <v/>
      </c>
      <c r="O332" s="313" t="str">
        <f t="shared" si="77"/>
        <v/>
      </c>
      <c r="P332" s="307"/>
      <c r="Q332" s="309">
        <f t="shared" si="72"/>
        <v>0.8</v>
      </c>
      <c r="R332" s="307"/>
      <c r="S332" s="314">
        <f t="shared" si="73"/>
        <v>11.2</v>
      </c>
      <c r="T332" s="304" t="str">
        <f t="shared" si="67"/>
        <v/>
      </c>
      <c r="U332" s="304" t="str">
        <f>IF(A332=YTD!B$6,E332,IF(OR(A332&lt;YTD!B$6,A332&gt;YTD!B$10),"",U331+E332))</f>
        <v/>
      </c>
      <c r="V332" s="304" t="str">
        <f t="shared" si="74"/>
        <v/>
      </c>
      <c r="W332" s="315" t="e">
        <f>IF(I332="",#N/A,YTD!G$8-I332)</f>
        <v>#N/A</v>
      </c>
      <c r="X332" s="368">
        <f t="shared" si="68"/>
        <v>0</v>
      </c>
      <c r="Y332" s="368">
        <f t="shared" si="75"/>
        <v>6</v>
      </c>
      <c r="Z332" s="368" t="str">
        <f t="shared" si="69"/>
        <v/>
      </c>
      <c r="AA332" s="368">
        <v>317</v>
      </c>
      <c r="AB332" s="369">
        <f t="array" ref="AB332">SUM(IF(AA332=Z$16:Z$592,A$16:A$592,""))</f>
        <v>0</v>
      </c>
      <c r="AC332" s="370">
        <f t="array" ref="AC332">SUM(IF(AA332=Z$16:Z$592,J$16:J$592,""))</f>
        <v>0</v>
      </c>
      <c r="AD332" s="370">
        <f t="array" ref="AD332">SUM(IF($AA332=$Z$16:$Z$592,L$16:L$592,""))</f>
        <v>0</v>
      </c>
      <c r="AE332" s="370">
        <f t="array" ref="AE332">SUM(IF($AA332=$Z$16:$Z$592,M$16:M$592,""))</f>
        <v>0</v>
      </c>
      <c r="AF332" s="368">
        <f t="array" ref="AF332">SUM(IF($AA332=$Z$16:$Z$592,N$16:N$592,""))</f>
        <v>0</v>
      </c>
      <c r="AG332" s="370">
        <f t="array" ref="AG332">SUM(IF($AA332=$Z$16:$Z$592,O$16:O$592,""))</f>
        <v>0</v>
      </c>
      <c r="AH332" s="2"/>
      <c r="AI332" s="2"/>
      <c r="AJ332" s="2"/>
    </row>
    <row r="333" spans="1:36" x14ac:dyDescent="0.2">
      <c r="A333" s="306">
        <f>Crop!B366</f>
        <v>41957</v>
      </c>
      <c r="B333" s="307"/>
      <c r="C333" s="308"/>
      <c r="D333" s="304" t="str">
        <f>IF(OR($A333&lt;$A$3,$A333&gt;$A$7),"",Crop!$D366)</f>
        <v/>
      </c>
      <c r="E333" s="304" t="str">
        <f t="shared" si="63"/>
        <v/>
      </c>
      <c r="F333" s="304" t="str">
        <f>IF(OR(A333&lt;A$3,A333&gt;A$7),"",Crop!U366)</f>
        <v/>
      </c>
      <c r="G333" s="304" t="str">
        <f t="shared" si="64"/>
        <v/>
      </c>
      <c r="H333" s="309" t="str">
        <f>IF(OR(A333&lt;A$3,A333&gt;A$7),"",YTD!E330)</f>
        <v/>
      </c>
      <c r="I333" s="310" t="str">
        <f t="shared" si="65"/>
        <v/>
      </c>
      <c r="J333" s="311"/>
      <c r="K333" s="309" t="str">
        <f t="shared" si="66"/>
        <v/>
      </c>
      <c r="L333" s="312" t="str">
        <f t="shared" si="70"/>
        <v/>
      </c>
      <c r="M333" s="366" t="str">
        <f t="shared" si="71"/>
        <v/>
      </c>
      <c r="N333" s="328" t="str">
        <f t="shared" si="76"/>
        <v/>
      </c>
      <c r="O333" s="313" t="str">
        <f t="shared" si="77"/>
        <v/>
      </c>
      <c r="P333" s="307"/>
      <c r="Q333" s="309">
        <f t="shared" si="72"/>
        <v>0.8</v>
      </c>
      <c r="R333" s="307"/>
      <c r="S333" s="314">
        <f t="shared" si="73"/>
        <v>11.2</v>
      </c>
      <c r="T333" s="304" t="str">
        <f t="shared" si="67"/>
        <v/>
      </c>
      <c r="U333" s="304" t="str">
        <f>IF(A333=YTD!B$6,E333,IF(OR(A333&lt;YTD!B$6,A333&gt;YTD!B$10),"",U332+E333))</f>
        <v/>
      </c>
      <c r="V333" s="304" t="str">
        <f t="shared" si="74"/>
        <v/>
      </c>
      <c r="W333" s="315" t="e">
        <f>IF(I333="",#N/A,YTD!G$8-I333)</f>
        <v>#N/A</v>
      </c>
      <c r="X333" s="368">
        <f t="shared" si="68"/>
        <v>0</v>
      </c>
      <c r="Y333" s="368">
        <f t="shared" si="75"/>
        <v>6</v>
      </c>
      <c r="Z333" s="368" t="str">
        <f t="shared" si="69"/>
        <v/>
      </c>
      <c r="AA333" s="368">
        <v>318</v>
      </c>
      <c r="AB333" s="369">
        <f t="array" ref="AB333">SUM(IF(AA333=Z$16:Z$592,A$16:A$592,""))</f>
        <v>0</v>
      </c>
      <c r="AC333" s="370">
        <f t="array" ref="AC333">SUM(IF(AA333=Z$16:Z$592,J$16:J$592,""))</f>
        <v>0</v>
      </c>
      <c r="AD333" s="370">
        <f t="array" ref="AD333">SUM(IF($AA333=$Z$16:$Z$592,L$16:L$592,""))</f>
        <v>0</v>
      </c>
      <c r="AE333" s="370">
        <f t="array" ref="AE333">SUM(IF($AA333=$Z$16:$Z$592,M$16:M$592,""))</f>
        <v>0</v>
      </c>
      <c r="AF333" s="368">
        <f t="array" ref="AF333">SUM(IF($AA333=$Z$16:$Z$592,N$16:N$592,""))</f>
        <v>0</v>
      </c>
      <c r="AG333" s="370">
        <f t="array" ref="AG333">SUM(IF($AA333=$Z$16:$Z$592,O$16:O$592,""))</f>
        <v>0</v>
      </c>
      <c r="AH333" s="2"/>
      <c r="AI333" s="2"/>
      <c r="AJ333" s="2"/>
    </row>
    <row r="334" spans="1:36" x14ac:dyDescent="0.2">
      <c r="A334" s="306">
        <f>Crop!B367</f>
        <v>41958</v>
      </c>
      <c r="B334" s="307"/>
      <c r="C334" s="308"/>
      <c r="D334" s="304" t="str">
        <f>IF(OR($A334&lt;$A$3,$A334&gt;$A$7),"",Crop!$D367)</f>
        <v/>
      </c>
      <c r="E334" s="304" t="str">
        <f t="shared" si="63"/>
        <v/>
      </c>
      <c r="F334" s="304" t="str">
        <f>IF(OR(A334&lt;A$3,A334&gt;A$7),"",Crop!U367)</f>
        <v/>
      </c>
      <c r="G334" s="304" t="str">
        <f t="shared" si="64"/>
        <v/>
      </c>
      <c r="H334" s="309" t="str">
        <f>IF(OR(A334&lt;A$3,A334&gt;A$7),"",YTD!E331)</f>
        <v/>
      </c>
      <c r="I334" s="310" t="str">
        <f t="shared" si="65"/>
        <v/>
      </c>
      <c r="J334" s="311"/>
      <c r="K334" s="309" t="str">
        <f t="shared" si="66"/>
        <v/>
      </c>
      <c r="L334" s="312" t="str">
        <f t="shared" si="70"/>
        <v/>
      </c>
      <c r="M334" s="366" t="str">
        <f t="shared" si="71"/>
        <v/>
      </c>
      <c r="N334" s="328" t="str">
        <f t="shared" si="76"/>
        <v/>
      </c>
      <c r="O334" s="313" t="str">
        <f t="shared" si="77"/>
        <v/>
      </c>
      <c r="P334" s="307"/>
      <c r="Q334" s="309">
        <f t="shared" si="72"/>
        <v>0.8</v>
      </c>
      <c r="R334" s="307"/>
      <c r="S334" s="314">
        <f t="shared" si="73"/>
        <v>11.2</v>
      </c>
      <c r="T334" s="304" t="str">
        <f t="shared" si="67"/>
        <v/>
      </c>
      <c r="U334" s="304" t="str">
        <f>IF(A334=YTD!B$6,E334,IF(OR(A334&lt;YTD!B$6,A334&gt;YTD!B$10),"",U333+E334))</f>
        <v/>
      </c>
      <c r="V334" s="304" t="str">
        <f t="shared" si="74"/>
        <v/>
      </c>
      <c r="W334" s="315" t="e">
        <f>IF(I334="",#N/A,YTD!G$8-I334)</f>
        <v>#N/A</v>
      </c>
      <c r="X334" s="368">
        <f t="shared" si="68"/>
        <v>0</v>
      </c>
      <c r="Y334" s="368">
        <f t="shared" si="75"/>
        <v>6</v>
      </c>
      <c r="Z334" s="368" t="str">
        <f t="shared" si="69"/>
        <v/>
      </c>
      <c r="AA334" s="368">
        <v>319</v>
      </c>
      <c r="AB334" s="369">
        <f t="array" ref="AB334">SUM(IF(AA334=Z$16:Z$592,A$16:A$592,""))</f>
        <v>0</v>
      </c>
      <c r="AC334" s="370">
        <f t="array" ref="AC334">SUM(IF(AA334=Z$16:Z$592,J$16:J$592,""))</f>
        <v>0</v>
      </c>
      <c r="AD334" s="370">
        <f t="array" ref="AD334">SUM(IF($AA334=$Z$16:$Z$592,L$16:L$592,""))</f>
        <v>0</v>
      </c>
      <c r="AE334" s="370">
        <f t="array" ref="AE334">SUM(IF($AA334=$Z$16:$Z$592,M$16:M$592,""))</f>
        <v>0</v>
      </c>
      <c r="AF334" s="368">
        <f t="array" ref="AF334">SUM(IF($AA334=$Z$16:$Z$592,N$16:N$592,""))</f>
        <v>0</v>
      </c>
      <c r="AG334" s="370">
        <f t="array" ref="AG334">SUM(IF($AA334=$Z$16:$Z$592,O$16:O$592,""))</f>
        <v>0</v>
      </c>
      <c r="AH334" s="2"/>
      <c r="AI334" s="2"/>
      <c r="AJ334" s="2"/>
    </row>
    <row r="335" spans="1:36" x14ac:dyDescent="0.2">
      <c r="A335" s="306">
        <f>Crop!B368</f>
        <v>41959</v>
      </c>
      <c r="B335" s="307"/>
      <c r="C335" s="308"/>
      <c r="D335" s="304" t="str">
        <f>IF(OR($A335&lt;$A$3,$A335&gt;$A$7),"",Crop!$D368)</f>
        <v/>
      </c>
      <c r="E335" s="304" t="str">
        <f t="shared" si="63"/>
        <v/>
      </c>
      <c r="F335" s="304" t="str">
        <f>IF(OR(A335&lt;A$3,A335&gt;A$7),"",Crop!U368)</f>
        <v/>
      </c>
      <c r="G335" s="304" t="str">
        <f t="shared" si="64"/>
        <v/>
      </c>
      <c r="H335" s="309" t="str">
        <f>IF(OR(A335&lt;A$3,A335&gt;A$7),"",YTD!E332)</f>
        <v/>
      </c>
      <c r="I335" s="310" t="str">
        <f t="shared" si="65"/>
        <v/>
      </c>
      <c r="J335" s="311"/>
      <c r="K335" s="309" t="str">
        <f t="shared" si="66"/>
        <v/>
      </c>
      <c r="L335" s="312" t="str">
        <f t="shared" si="70"/>
        <v/>
      </c>
      <c r="M335" s="366" t="str">
        <f t="shared" si="71"/>
        <v/>
      </c>
      <c r="N335" s="328" t="str">
        <f t="shared" si="76"/>
        <v/>
      </c>
      <c r="O335" s="313" t="str">
        <f t="shared" si="77"/>
        <v/>
      </c>
      <c r="P335" s="307"/>
      <c r="Q335" s="309">
        <f t="shared" si="72"/>
        <v>0.8</v>
      </c>
      <c r="R335" s="307"/>
      <c r="S335" s="314">
        <f t="shared" si="73"/>
        <v>11.2</v>
      </c>
      <c r="T335" s="304" t="str">
        <f t="shared" si="67"/>
        <v/>
      </c>
      <c r="U335" s="304" t="str">
        <f>IF(A335=YTD!B$6,E335,IF(OR(A335&lt;YTD!B$6,A335&gt;YTD!B$10),"",U334+E335))</f>
        <v/>
      </c>
      <c r="V335" s="304" t="str">
        <f t="shared" si="74"/>
        <v/>
      </c>
      <c r="W335" s="315" t="e">
        <f>IF(I335="",#N/A,YTD!G$8-I335)</f>
        <v>#N/A</v>
      </c>
      <c r="X335" s="368">
        <f t="shared" si="68"/>
        <v>0</v>
      </c>
      <c r="Y335" s="368">
        <f t="shared" si="75"/>
        <v>6</v>
      </c>
      <c r="Z335" s="368" t="str">
        <f t="shared" si="69"/>
        <v/>
      </c>
      <c r="AA335" s="368">
        <v>320</v>
      </c>
      <c r="AB335" s="369">
        <f t="array" ref="AB335">SUM(IF(AA335=Z$16:Z$592,A$16:A$592,""))</f>
        <v>0</v>
      </c>
      <c r="AC335" s="370">
        <f t="array" ref="AC335">SUM(IF(AA335=Z$16:Z$592,J$16:J$592,""))</f>
        <v>0</v>
      </c>
      <c r="AD335" s="370">
        <f t="array" ref="AD335">SUM(IF($AA335=$Z$16:$Z$592,L$16:L$592,""))</f>
        <v>0</v>
      </c>
      <c r="AE335" s="370">
        <f t="array" ref="AE335">SUM(IF($AA335=$Z$16:$Z$592,M$16:M$592,""))</f>
        <v>0</v>
      </c>
      <c r="AF335" s="368">
        <f t="array" ref="AF335">SUM(IF($AA335=$Z$16:$Z$592,N$16:N$592,""))</f>
        <v>0</v>
      </c>
      <c r="AG335" s="370">
        <f t="array" ref="AG335">SUM(IF($AA335=$Z$16:$Z$592,O$16:O$592,""))</f>
        <v>0</v>
      </c>
      <c r="AH335" s="2"/>
      <c r="AI335" s="2"/>
      <c r="AJ335" s="2"/>
    </row>
    <row r="336" spans="1:36" x14ac:dyDescent="0.2">
      <c r="A336" s="306">
        <f>Crop!B369</f>
        <v>41960</v>
      </c>
      <c r="B336" s="307"/>
      <c r="C336" s="308"/>
      <c r="D336" s="304" t="str">
        <f>IF(OR($A336&lt;$A$3,$A336&gt;$A$7),"",Crop!$D369)</f>
        <v/>
      </c>
      <c r="E336" s="304" t="str">
        <f t="shared" ref="E336:E399" si="78">IF(C336="",D336,C336)</f>
        <v/>
      </c>
      <c r="F336" s="304" t="str">
        <f>IF(OR(A336&lt;A$3,A336&gt;A$7),"",Crop!U369)</f>
        <v/>
      </c>
      <c r="G336" s="304" t="str">
        <f t="shared" ref="G336:G399" si="79">IF(OR(A336&lt;A$3,A336&gt;A$7),"",E336*F336)</f>
        <v/>
      </c>
      <c r="H336" s="309" t="str">
        <f>IF(OR(A336&lt;A$3,A336&gt;A$7),"",YTD!E333)</f>
        <v/>
      </c>
      <c r="I336" s="310" t="str">
        <f t="shared" ref="I336:I399" si="80">IF(A336=A$3-1,I$13,IF(OR(A336&lt;A$3,A336&gt;A$7),"",IF(T336="A",I335+G336-K336-J336,IF(J336&gt;0,I335+G336-K336-J336,I335+G336-K336))))</f>
        <v/>
      </c>
      <c r="J336" s="311"/>
      <c r="K336" s="309" t="str">
        <f t="shared" ref="K336:K399" si="81">IF(U336="","",IF(AND(E336="",B336=""),"",IF(B336="",0,IF(B336&gt;I335+G336,I335+G336,B336))))</f>
        <v/>
      </c>
      <c r="L336" s="312" t="str">
        <f t="shared" si="70"/>
        <v/>
      </c>
      <c r="M336" s="366" t="str">
        <f t="shared" si="71"/>
        <v/>
      </c>
      <c r="N336" s="328" t="str">
        <f t="shared" si="76"/>
        <v/>
      </c>
      <c r="O336" s="313" t="str">
        <f t="shared" si="77"/>
        <v/>
      </c>
      <c r="P336" s="307"/>
      <c r="Q336" s="309">
        <f t="shared" si="72"/>
        <v>0.8</v>
      </c>
      <c r="R336" s="307"/>
      <c r="S336" s="314">
        <f t="shared" si="73"/>
        <v>11.2</v>
      </c>
      <c r="T336" s="304" t="str">
        <f t="shared" ref="T336:T399" si="82">IF(A336=A$3,"A",IF(A336=A$4,"B",IF(A336=A$5,"C",IF(A336=A$6,"D",IF(A336=A$7,"E","")))))</f>
        <v/>
      </c>
      <c r="U336" s="304" t="str">
        <f>IF(A336=YTD!B$6,E336,IF(OR(A336&lt;YTD!B$6,A336&gt;YTD!B$10),"",U335+E336))</f>
        <v/>
      </c>
      <c r="V336" s="304" t="str">
        <f t="shared" si="74"/>
        <v/>
      </c>
      <c r="W336" s="315" t="e">
        <f>IF(I336="",#N/A,YTD!G$8-I336)</f>
        <v>#N/A</v>
      </c>
      <c r="X336" s="368">
        <f t="shared" ref="X336:X399" si="83">IF(J336="",0,1)</f>
        <v>0</v>
      </c>
      <c r="Y336" s="368">
        <f t="shared" si="75"/>
        <v>6</v>
      </c>
      <c r="Z336" s="368" t="str">
        <f t="shared" ref="Z336:Z399" si="84">IF(X336=1,Y336,"")</f>
        <v/>
      </c>
      <c r="AA336" s="368">
        <v>321</v>
      </c>
      <c r="AB336" s="369">
        <f t="array" ref="AB336">SUM(IF(AA336=Z$16:Z$592,A$16:A$592,""))</f>
        <v>0</v>
      </c>
      <c r="AC336" s="370">
        <f t="array" ref="AC336">SUM(IF(AA336=Z$16:Z$592,J$16:J$592,""))</f>
        <v>0</v>
      </c>
      <c r="AD336" s="370">
        <f t="array" ref="AD336">SUM(IF($AA336=$Z$16:$Z$592,L$16:L$592,""))</f>
        <v>0</v>
      </c>
      <c r="AE336" s="370">
        <f t="array" ref="AE336">SUM(IF($AA336=$Z$16:$Z$592,M$16:M$592,""))</f>
        <v>0</v>
      </c>
      <c r="AF336" s="368">
        <f t="array" ref="AF336">SUM(IF($AA336=$Z$16:$Z$592,N$16:N$592,""))</f>
        <v>0</v>
      </c>
      <c r="AG336" s="370">
        <f t="array" ref="AG336">SUM(IF($AA336=$Z$16:$Z$592,O$16:O$592,""))</f>
        <v>0</v>
      </c>
      <c r="AH336" s="2"/>
      <c r="AI336" s="2"/>
      <c r="AJ336" s="2"/>
    </row>
    <row r="337" spans="1:36" x14ac:dyDescent="0.2">
      <c r="A337" s="306">
        <f>Crop!B370</f>
        <v>41961</v>
      </c>
      <c r="B337" s="307"/>
      <c r="C337" s="308"/>
      <c r="D337" s="304" t="str">
        <f>IF(OR($A337&lt;$A$3,$A337&gt;$A$7),"",Crop!$D370)</f>
        <v/>
      </c>
      <c r="E337" s="304" t="str">
        <f t="shared" si="78"/>
        <v/>
      </c>
      <c r="F337" s="304" t="str">
        <f>IF(OR(A337&lt;A$3,A337&gt;A$7),"",Crop!U370)</f>
        <v/>
      </c>
      <c r="G337" s="304" t="str">
        <f t="shared" si="79"/>
        <v/>
      </c>
      <c r="H337" s="309" t="str">
        <f>IF(OR(A337&lt;A$3,A337&gt;A$7),"",YTD!E334)</f>
        <v/>
      </c>
      <c r="I337" s="310" t="str">
        <f t="shared" si="80"/>
        <v/>
      </c>
      <c r="J337" s="311"/>
      <c r="K337" s="309" t="str">
        <f t="shared" si="81"/>
        <v/>
      </c>
      <c r="L337" s="312" t="str">
        <f t="shared" ref="L337:L400" si="85">IF(J337="","",J337/Q337)</f>
        <v/>
      </c>
      <c r="M337" s="366" t="str">
        <f t="shared" ref="M337:M400" si="86">IF(L337="","",L337/(1-$I$8))</f>
        <v/>
      </c>
      <c r="N337" s="328" t="str">
        <f t="shared" si="76"/>
        <v/>
      </c>
      <c r="O337" s="313" t="str">
        <f t="shared" si="77"/>
        <v/>
      </c>
      <c r="P337" s="307"/>
      <c r="Q337" s="309">
        <f t="shared" ref="Q337:Q400" si="87">IF(P337="",Q336,P337)</f>
        <v>0.8</v>
      </c>
      <c r="R337" s="307"/>
      <c r="S337" s="314">
        <f t="shared" ref="S337:S400" si="88">IF(R337="",S336,R337)</f>
        <v>11.2</v>
      </c>
      <c r="T337" s="304" t="str">
        <f t="shared" si="82"/>
        <v/>
      </c>
      <c r="U337" s="304" t="str">
        <f>IF(A337=YTD!B$6,E337,IF(OR(A337&lt;YTD!B$6,A337&gt;YTD!B$10),"",U336+E337))</f>
        <v/>
      </c>
      <c r="V337" s="304" t="str">
        <f t="shared" ref="V337:V400" si="89">IF(G337="","",IF(G336="",G337,V336+G337))</f>
        <v/>
      </c>
      <c r="W337" s="315" t="e">
        <f>IF(I337="",#N/A,YTD!G$8-I337)</f>
        <v>#N/A</v>
      </c>
      <c r="X337" s="368">
        <f t="shared" si="83"/>
        <v>0</v>
      </c>
      <c r="Y337" s="368">
        <f t="shared" si="75"/>
        <v>6</v>
      </c>
      <c r="Z337" s="368" t="str">
        <f t="shared" si="84"/>
        <v/>
      </c>
      <c r="AA337" s="368">
        <v>322</v>
      </c>
      <c r="AB337" s="369">
        <f t="array" ref="AB337">SUM(IF(AA337=Z$16:Z$592,A$16:A$592,""))</f>
        <v>0</v>
      </c>
      <c r="AC337" s="370">
        <f t="array" ref="AC337">SUM(IF(AA337=Z$16:Z$592,J$16:J$592,""))</f>
        <v>0</v>
      </c>
      <c r="AD337" s="370">
        <f t="array" ref="AD337">SUM(IF($AA337=$Z$16:$Z$592,L$16:L$592,""))</f>
        <v>0</v>
      </c>
      <c r="AE337" s="370">
        <f t="array" ref="AE337">SUM(IF($AA337=$Z$16:$Z$592,M$16:M$592,""))</f>
        <v>0</v>
      </c>
      <c r="AF337" s="368">
        <f t="array" ref="AF337">SUM(IF($AA337=$Z$16:$Z$592,N$16:N$592,""))</f>
        <v>0</v>
      </c>
      <c r="AG337" s="370">
        <f t="array" ref="AG337">SUM(IF($AA337=$Z$16:$Z$592,O$16:O$592,""))</f>
        <v>0</v>
      </c>
      <c r="AH337" s="2"/>
      <c r="AI337" s="2"/>
      <c r="AJ337" s="2"/>
    </row>
    <row r="338" spans="1:36" x14ac:dyDescent="0.2">
      <c r="A338" s="306">
        <f>Crop!B371</f>
        <v>41962</v>
      </c>
      <c r="B338" s="307"/>
      <c r="C338" s="308"/>
      <c r="D338" s="304" t="str">
        <f>IF(OR($A338&lt;$A$3,$A338&gt;$A$7),"",Crop!$D371)</f>
        <v/>
      </c>
      <c r="E338" s="304" t="str">
        <f t="shared" si="78"/>
        <v/>
      </c>
      <c r="F338" s="304" t="str">
        <f>IF(OR(A338&lt;A$3,A338&gt;A$7),"",Crop!U371)</f>
        <v/>
      </c>
      <c r="G338" s="304" t="str">
        <f t="shared" si="79"/>
        <v/>
      </c>
      <c r="H338" s="309" t="str">
        <f>IF(OR(A338&lt;A$3,A338&gt;A$7),"",YTD!E335)</f>
        <v/>
      </c>
      <c r="I338" s="310" t="str">
        <f t="shared" si="80"/>
        <v/>
      </c>
      <c r="J338" s="311"/>
      <c r="K338" s="309" t="str">
        <f t="shared" si="81"/>
        <v/>
      </c>
      <c r="L338" s="312" t="str">
        <f t="shared" si="85"/>
        <v/>
      </c>
      <c r="M338" s="366" t="str">
        <f t="shared" si="86"/>
        <v/>
      </c>
      <c r="N338" s="328" t="str">
        <f t="shared" si="76"/>
        <v/>
      </c>
      <c r="O338" s="313" t="str">
        <f t="shared" si="77"/>
        <v/>
      </c>
      <c r="P338" s="307"/>
      <c r="Q338" s="309">
        <f t="shared" si="87"/>
        <v>0.8</v>
      </c>
      <c r="R338" s="307"/>
      <c r="S338" s="314">
        <f t="shared" si="88"/>
        <v>11.2</v>
      </c>
      <c r="T338" s="304" t="str">
        <f t="shared" si="82"/>
        <v/>
      </c>
      <c r="U338" s="304" t="str">
        <f>IF(A338=YTD!B$6,E338,IF(OR(A338&lt;YTD!B$6,A338&gt;YTD!B$10),"",U337+E338))</f>
        <v/>
      </c>
      <c r="V338" s="304" t="str">
        <f t="shared" si="89"/>
        <v/>
      </c>
      <c r="W338" s="315" t="e">
        <f>IF(I338="",#N/A,YTD!G$8-I338)</f>
        <v>#N/A</v>
      </c>
      <c r="X338" s="368">
        <f t="shared" si="83"/>
        <v>0</v>
      </c>
      <c r="Y338" s="368">
        <f t="shared" ref="Y338:Y401" si="90">Y337+X338</f>
        <v>6</v>
      </c>
      <c r="Z338" s="368" t="str">
        <f t="shared" si="84"/>
        <v/>
      </c>
      <c r="AA338" s="368">
        <v>323</v>
      </c>
      <c r="AB338" s="369">
        <f t="array" ref="AB338">SUM(IF(AA338=Z$16:Z$592,A$16:A$592,""))</f>
        <v>0</v>
      </c>
      <c r="AC338" s="370">
        <f t="array" ref="AC338">SUM(IF(AA338=Z$16:Z$592,J$16:J$592,""))</f>
        <v>0</v>
      </c>
      <c r="AD338" s="370">
        <f t="array" ref="AD338">SUM(IF($AA338=$Z$16:$Z$592,L$16:L$592,""))</f>
        <v>0</v>
      </c>
      <c r="AE338" s="370">
        <f t="array" ref="AE338">SUM(IF($AA338=$Z$16:$Z$592,M$16:M$592,""))</f>
        <v>0</v>
      </c>
      <c r="AF338" s="368">
        <f t="array" ref="AF338">SUM(IF($AA338=$Z$16:$Z$592,N$16:N$592,""))</f>
        <v>0</v>
      </c>
      <c r="AG338" s="370">
        <f t="array" ref="AG338">SUM(IF($AA338=$Z$16:$Z$592,O$16:O$592,""))</f>
        <v>0</v>
      </c>
      <c r="AH338" s="2"/>
      <c r="AI338" s="2"/>
      <c r="AJ338" s="2"/>
    </row>
    <row r="339" spans="1:36" x14ac:dyDescent="0.2">
      <c r="A339" s="306">
        <f>Crop!B372</f>
        <v>41963</v>
      </c>
      <c r="B339" s="307"/>
      <c r="C339" s="308"/>
      <c r="D339" s="304" t="str">
        <f>IF(OR($A339&lt;$A$3,$A339&gt;$A$7),"",Crop!$D372)</f>
        <v/>
      </c>
      <c r="E339" s="304" t="str">
        <f t="shared" si="78"/>
        <v/>
      </c>
      <c r="F339" s="304" t="str">
        <f>IF(OR(A339&lt;A$3,A339&gt;A$7),"",Crop!U372)</f>
        <v/>
      </c>
      <c r="G339" s="304" t="str">
        <f t="shared" si="79"/>
        <v/>
      </c>
      <c r="H339" s="309" t="str">
        <f>IF(OR(A339&lt;A$3,A339&gt;A$7),"",YTD!E336)</f>
        <v/>
      </c>
      <c r="I339" s="310" t="str">
        <f t="shared" si="80"/>
        <v/>
      </c>
      <c r="J339" s="311"/>
      <c r="K339" s="309" t="str">
        <f t="shared" si="81"/>
        <v/>
      </c>
      <c r="L339" s="312" t="str">
        <f t="shared" si="85"/>
        <v/>
      </c>
      <c r="M339" s="366" t="str">
        <f t="shared" si="86"/>
        <v/>
      </c>
      <c r="N339" s="328" t="str">
        <f t="shared" si="76"/>
        <v/>
      </c>
      <c r="O339" s="313" t="str">
        <f t="shared" si="77"/>
        <v/>
      </c>
      <c r="P339" s="307"/>
      <c r="Q339" s="309">
        <f t="shared" si="87"/>
        <v>0.8</v>
      </c>
      <c r="R339" s="307"/>
      <c r="S339" s="314">
        <f t="shared" si="88"/>
        <v>11.2</v>
      </c>
      <c r="T339" s="304" t="str">
        <f t="shared" si="82"/>
        <v/>
      </c>
      <c r="U339" s="304" t="str">
        <f>IF(A339=YTD!B$6,E339,IF(OR(A339&lt;YTD!B$6,A339&gt;YTD!B$10),"",U338+E339))</f>
        <v/>
      </c>
      <c r="V339" s="304" t="str">
        <f t="shared" si="89"/>
        <v/>
      </c>
      <c r="W339" s="315" t="e">
        <f>IF(I339="",#N/A,YTD!G$8-I339)</f>
        <v>#N/A</v>
      </c>
      <c r="X339" s="368">
        <f t="shared" si="83"/>
        <v>0</v>
      </c>
      <c r="Y339" s="368">
        <f t="shared" si="90"/>
        <v>6</v>
      </c>
      <c r="Z339" s="368" t="str">
        <f t="shared" si="84"/>
        <v/>
      </c>
      <c r="AA339" s="368">
        <v>324</v>
      </c>
      <c r="AB339" s="369">
        <f t="array" ref="AB339">SUM(IF(AA339=Z$16:Z$592,A$16:A$592,""))</f>
        <v>0</v>
      </c>
      <c r="AC339" s="370">
        <f t="array" ref="AC339">SUM(IF(AA339=Z$16:Z$592,J$16:J$592,""))</f>
        <v>0</v>
      </c>
      <c r="AD339" s="370">
        <f t="array" ref="AD339">SUM(IF($AA339=$Z$16:$Z$592,L$16:L$592,""))</f>
        <v>0</v>
      </c>
      <c r="AE339" s="370">
        <f t="array" ref="AE339">SUM(IF($AA339=$Z$16:$Z$592,M$16:M$592,""))</f>
        <v>0</v>
      </c>
      <c r="AF339" s="368">
        <f t="array" ref="AF339">SUM(IF($AA339=$Z$16:$Z$592,N$16:N$592,""))</f>
        <v>0</v>
      </c>
      <c r="AG339" s="370">
        <f t="array" ref="AG339">SUM(IF($AA339=$Z$16:$Z$592,O$16:O$592,""))</f>
        <v>0</v>
      </c>
      <c r="AH339" s="2"/>
      <c r="AI339" s="2"/>
      <c r="AJ339" s="2"/>
    </row>
    <row r="340" spans="1:36" x14ac:dyDescent="0.2">
      <c r="A340" s="306">
        <f>Crop!B373</f>
        <v>41964</v>
      </c>
      <c r="B340" s="307"/>
      <c r="C340" s="308"/>
      <c r="D340" s="304" t="str">
        <f>IF(OR($A340&lt;$A$3,$A340&gt;$A$7),"",Crop!$D373)</f>
        <v/>
      </c>
      <c r="E340" s="304" t="str">
        <f t="shared" si="78"/>
        <v/>
      </c>
      <c r="F340" s="304" t="str">
        <f>IF(OR(A340&lt;A$3,A340&gt;A$7),"",Crop!U373)</f>
        <v/>
      </c>
      <c r="G340" s="304" t="str">
        <f t="shared" si="79"/>
        <v/>
      </c>
      <c r="H340" s="309" t="str">
        <f>IF(OR(A340&lt;A$3,A340&gt;A$7),"",YTD!E337)</f>
        <v/>
      </c>
      <c r="I340" s="310" t="str">
        <f t="shared" si="80"/>
        <v/>
      </c>
      <c r="J340" s="311"/>
      <c r="K340" s="309" t="str">
        <f t="shared" si="81"/>
        <v/>
      </c>
      <c r="L340" s="312" t="str">
        <f t="shared" si="85"/>
        <v/>
      </c>
      <c r="M340" s="366" t="str">
        <f t="shared" si="86"/>
        <v/>
      </c>
      <c r="N340" s="328" t="str">
        <f t="shared" si="76"/>
        <v/>
      </c>
      <c r="O340" s="313" t="str">
        <f t="shared" si="77"/>
        <v/>
      </c>
      <c r="P340" s="307"/>
      <c r="Q340" s="309">
        <f t="shared" si="87"/>
        <v>0.8</v>
      </c>
      <c r="R340" s="307"/>
      <c r="S340" s="314">
        <f t="shared" si="88"/>
        <v>11.2</v>
      </c>
      <c r="T340" s="304" t="str">
        <f t="shared" si="82"/>
        <v/>
      </c>
      <c r="U340" s="304" t="str">
        <f>IF(A340=YTD!B$6,E340,IF(OR(A340&lt;YTD!B$6,A340&gt;YTD!B$10),"",U339+E340))</f>
        <v/>
      </c>
      <c r="V340" s="304" t="str">
        <f t="shared" si="89"/>
        <v/>
      </c>
      <c r="W340" s="315" t="e">
        <f>IF(I340="",#N/A,YTD!G$8-I340)</f>
        <v>#N/A</v>
      </c>
      <c r="X340" s="368">
        <f t="shared" si="83"/>
        <v>0</v>
      </c>
      <c r="Y340" s="368">
        <f t="shared" si="90"/>
        <v>6</v>
      </c>
      <c r="Z340" s="368" t="str">
        <f t="shared" si="84"/>
        <v/>
      </c>
      <c r="AA340" s="368">
        <v>325</v>
      </c>
      <c r="AB340" s="369">
        <f t="array" ref="AB340">SUM(IF(AA340=Z$16:Z$592,A$16:A$592,""))</f>
        <v>0</v>
      </c>
      <c r="AC340" s="370">
        <f t="array" ref="AC340">SUM(IF(AA340=Z$16:Z$592,J$16:J$592,""))</f>
        <v>0</v>
      </c>
      <c r="AD340" s="370">
        <f t="array" ref="AD340">SUM(IF($AA340=$Z$16:$Z$592,L$16:L$592,""))</f>
        <v>0</v>
      </c>
      <c r="AE340" s="370">
        <f t="array" ref="AE340">SUM(IF($AA340=$Z$16:$Z$592,M$16:M$592,""))</f>
        <v>0</v>
      </c>
      <c r="AF340" s="368">
        <f t="array" ref="AF340">SUM(IF($AA340=$Z$16:$Z$592,N$16:N$592,""))</f>
        <v>0</v>
      </c>
      <c r="AG340" s="370">
        <f t="array" ref="AG340">SUM(IF($AA340=$Z$16:$Z$592,O$16:O$592,""))</f>
        <v>0</v>
      </c>
      <c r="AH340" s="2"/>
      <c r="AI340" s="2"/>
      <c r="AJ340" s="2"/>
    </row>
    <row r="341" spans="1:36" x14ac:dyDescent="0.2">
      <c r="A341" s="306">
        <f>Crop!B374</f>
        <v>41965</v>
      </c>
      <c r="B341" s="307"/>
      <c r="C341" s="308"/>
      <c r="D341" s="304" t="str">
        <f>IF(OR($A341&lt;$A$3,$A341&gt;$A$7),"",Crop!$D374)</f>
        <v/>
      </c>
      <c r="E341" s="304" t="str">
        <f t="shared" si="78"/>
        <v/>
      </c>
      <c r="F341" s="304" t="str">
        <f>IF(OR(A341&lt;A$3,A341&gt;A$7),"",Crop!U374)</f>
        <v/>
      </c>
      <c r="G341" s="304" t="str">
        <f t="shared" si="79"/>
        <v/>
      </c>
      <c r="H341" s="309" t="str">
        <f>IF(OR(A341&lt;A$3,A341&gt;A$7),"",YTD!E338)</f>
        <v/>
      </c>
      <c r="I341" s="310" t="str">
        <f t="shared" si="80"/>
        <v/>
      </c>
      <c r="J341" s="311"/>
      <c r="K341" s="309" t="str">
        <f t="shared" si="81"/>
        <v/>
      </c>
      <c r="L341" s="312" t="str">
        <f t="shared" si="85"/>
        <v/>
      </c>
      <c r="M341" s="366" t="str">
        <f t="shared" si="86"/>
        <v/>
      </c>
      <c r="N341" s="328" t="str">
        <f t="shared" si="76"/>
        <v/>
      </c>
      <c r="O341" s="313" t="str">
        <f t="shared" si="77"/>
        <v/>
      </c>
      <c r="P341" s="307"/>
      <c r="Q341" s="309">
        <f t="shared" si="87"/>
        <v>0.8</v>
      </c>
      <c r="R341" s="307"/>
      <c r="S341" s="314">
        <f t="shared" si="88"/>
        <v>11.2</v>
      </c>
      <c r="T341" s="304" t="str">
        <f t="shared" si="82"/>
        <v/>
      </c>
      <c r="U341" s="304" t="str">
        <f>IF(A341=YTD!B$6,E341,IF(OR(A341&lt;YTD!B$6,A341&gt;YTD!B$10),"",U340+E341))</f>
        <v/>
      </c>
      <c r="V341" s="304" t="str">
        <f t="shared" si="89"/>
        <v/>
      </c>
      <c r="W341" s="315" t="e">
        <f>IF(I341="",#N/A,YTD!G$8-I341)</f>
        <v>#N/A</v>
      </c>
      <c r="X341" s="368">
        <f t="shared" si="83"/>
        <v>0</v>
      </c>
      <c r="Y341" s="368">
        <f t="shared" si="90"/>
        <v>6</v>
      </c>
      <c r="Z341" s="368" t="str">
        <f t="shared" si="84"/>
        <v/>
      </c>
      <c r="AA341" s="368">
        <v>326</v>
      </c>
      <c r="AB341" s="369">
        <f t="array" ref="AB341">SUM(IF(AA341=Z$16:Z$592,A$16:A$592,""))</f>
        <v>0</v>
      </c>
      <c r="AC341" s="370">
        <f t="array" ref="AC341">SUM(IF(AA341=Z$16:Z$592,J$16:J$592,""))</f>
        <v>0</v>
      </c>
      <c r="AD341" s="370">
        <f t="array" ref="AD341">SUM(IF($AA341=$Z$16:$Z$592,L$16:L$592,""))</f>
        <v>0</v>
      </c>
      <c r="AE341" s="370">
        <f t="array" ref="AE341">SUM(IF($AA341=$Z$16:$Z$592,M$16:M$592,""))</f>
        <v>0</v>
      </c>
      <c r="AF341" s="368">
        <f t="array" ref="AF341">SUM(IF($AA341=$Z$16:$Z$592,N$16:N$592,""))</f>
        <v>0</v>
      </c>
      <c r="AG341" s="370">
        <f t="array" ref="AG341">SUM(IF($AA341=$Z$16:$Z$592,O$16:O$592,""))</f>
        <v>0</v>
      </c>
      <c r="AH341" s="2"/>
      <c r="AI341" s="2"/>
      <c r="AJ341" s="2"/>
    </row>
    <row r="342" spans="1:36" x14ac:dyDescent="0.2">
      <c r="A342" s="306">
        <f>Crop!B375</f>
        <v>41966</v>
      </c>
      <c r="B342" s="307"/>
      <c r="C342" s="308"/>
      <c r="D342" s="304" t="str">
        <f>IF(OR($A342&lt;$A$3,$A342&gt;$A$7),"",Crop!$D375)</f>
        <v/>
      </c>
      <c r="E342" s="304" t="str">
        <f t="shared" si="78"/>
        <v/>
      </c>
      <c r="F342" s="304" t="str">
        <f>IF(OR(A342&lt;A$3,A342&gt;A$7),"",Crop!U375)</f>
        <v/>
      </c>
      <c r="G342" s="304" t="str">
        <f t="shared" si="79"/>
        <v/>
      </c>
      <c r="H342" s="309" t="str">
        <f>IF(OR(A342&lt;A$3,A342&gt;A$7),"",YTD!E339)</f>
        <v/>
      </c>
      <c r="I342" s="310" t="str">
        <f t="shared" si="80"/>
        <v/>
      </c>
      <c r="J342" s="311"/>
      <c r="K342" s="309" t="str">
        <f t="shared" si="81"/>
        <v/>
      </c>
      <c r="L342" s="312" t="str">
        <f t="shared" si="85"/>
        <v/>
      </c>
      <c r="M342" s="366" t="str">
        <f t="shared" si="86"/>
        <v/>
      </c>
      <c r="N342" s="328" t="str">
        <f t="shared" si="76"/>
        <v/>
      </c>
      <c r="O342" s="313" t="str">
        <f t="shared" si="77"/>
        <v/>
      </c>
      <c r="P342" s="307"/>
      <c r="Q342" s="309">
        <f t="shared" si="87"/>
        <v>0.8</v>
      </c>
      <c r="R342" s="307"/>
      <c r="S342" s="314">
        <f t="shared" si="88"/>
        <v>11.2</v>
      </c>
      <c r="T342" s="304" t="str">
        <f t="shared" si="82"/>
        <v/>
      </c>
      <c r="U342" s="304" t="str">
        <f>IF(A342=YTD!B$6,E342,IF(OR(A342&lt;YTD!B$6,A342&gt;YTD!B$10),"",U341+E342))</f>
        <v/>
      </c>
      <c r="V342" s="304" t="str">
        <f t="shared" si="89"/>
        <v/>
      </c>
      <c r="W342" s="315" t="e">
        <f>IF(I342="",#N/A,YTD!G$8-I342)</f>
        <v>#N/A</v>
      </c>
      <c r="X342" s="368">
        <f t="shared" si="83"/>
        <v>0</v>
      </c>
      <c r="Y342" s="368">
        <f t="shared" si="90"/>
        <v>6</v>
      </c>
      <c r="Z342" s="368" t="str">
        <f t="shared" si="84"/>
        <v/>
      </c>
      <c r="AA342" s="368">
        <v>327</v>
      </c>
      <c r="AB342" s="369">
        <f t="array" ref="AB342">SUM(IF(AA342=Z$16:Z$592,A$16:A$592,""))</f>
        <v>0</v>
      </c>
      <c r="AC342" s="370">
        <f t="array" ref="AC342">SUM(IF(AA342=Z$16:Z$592,J$16:J$592,""))</f>
        <v>0</v>
      </c>
      <c r="AD342" s="370">
        <f t="array" ref="AD342">SUM(IF($AA342=$Z$16:$Z$592,L$16:L$592,""))</f>
        <v>0</v>
      </c>
      <c r="AE342" s="370">
        <f t="array" ref="AE342">SUM(IF($AA342=$Z$16:$Z$592,M$16:M$592,""))</f>
        <v>0</v>
      </c>
      <c r="AF342" s="368">
        <f t="array" ref="AF342">SUM(IF($AA342=$Z$16:$Z$592,N$16:N$592,""))</f>
        <v>0</v>
      </c>
      <c r="AG342" s="370">
        <f t="array" ref="AG342">SUM(IF($AA342=$Z$16:$Z$592,O$16:O$592,""))</f>
        <v>0</v>
      </c>
      <c r="AH342" s="2"/>
      <c r="AI342" s="2"/>
      <c r="AJ342" s="2"/>
    </row>
    <row r="343" spans="1:36" x14ac:dyDescent="0.2">
      <c r="A343" s="306">
        <f>Crop!B376</f>
        <v>41967</v>
      </c>
      <c r="B343" s="307"/>
      <c r="C343" s="308"/>
      <c r="D343" s="304" t="str">
        <f>IF(OR($A343&lt;$A$3,$A343&gt;$A$7),"",Crop!$D376)</f>
        <v/>
      </c>
      <c r="E343" s="304" t="str">
        <f t="shared" si="78"/>
        <v/>
      </c>
      <c r="F343" s="304" t="str">
        <f>IF(OR(A343&lt;A$3,A343&gt;A$7),"",Crop!U376)</f>
        <v/>
      </c>
      <c r="G343" s="304" t="str">
        <f t="shared" si="79"/>
        <v/>
      </c>
      <c r="H343" s="309" t="str">
        <f>IF(OR(A343&lt;A$3,A343&gt;A$7),"",YTD!E340)</f>
        <v/>
      </c>
      <c r="I343" s="310" t="str">
        <f t="shared" si="80"/>
        <v/>
      </c>
      <c r="J343" s="311"/>
      <c r="K343" s="309" t="str">
        <f t="shared" si="81"/>
        <v/>
      </c>
      <c r="L343" s="312" t="str">
        <f t="shared" si="85"/>
        <v/>
      </c>
      <c r="M343" s="366" t="str">
        <f t="shared" si="86"/>
        <v/>
      </c>
      <c r="N343" s="328" t="str">
        <f t="shared" si="76"/>
        <v/>
      </c>
      <c r="O343" s="313" t="str">
        <f t="shared" si="77"/>
        <v/>
      </c>
      <c r="P343" s="307"/>
      <c r="Q343" s="309">
        <f t="shared" si="87"/>
        <v>0.8</v>
      </c>
      <c r="R343" s="307"/>
      <c r="S343" s="314">
        <f t="shared" si="88"/>
        <v>11.2</v>
      </c>
      <c r="T343" s="304" t="str">
        <f t="shared" si="82"/>
        <v/>
      </c>
      <c r="U343" s="304" t="str">
        <f>IF(A343=YTD!B$6,E343,IF(OR(A343&lt;YTD!B$6,A343&gt;YTD!B$10),"",U342+E343))</f>
        <v/>
      </c>
      <c r="V343" s="304" t="str">
        <f t="shared" si="89"/>
        <v/>
      </c>
      <c r="W343" s="315" t="e">
        <f>IF(I343="",#N/A,YTD!G$8-I343)</f>
        <v>#N/A</v>
      </c>
      <c r="X343" s="368">
        <f t="shared" si="83"/>
        <v>0</v>
      </c>
      <c r="Y343" s="368">
        <f t="shared" si="90"/>
        <v>6</v>
      </c>
      <c r="Z343" s="368" t="str">
        <f t="shared" si="84"/>
        <v/>
      </c>
      <c r="AA343" s="368">
        <v>328</v>
      </c>
      <c r="AB343" s="369">
        <f t="array" ref="AB343">SUM(IF(AA343=Z$16:Z$592,A$16:A$592,""))</f>
        <v>0</v>
      </c>
      <c r="AC343" s="370">
        <f t="array" ref="AC343">SUM(IF(AA343=Z$16:Z$592,J$16:J$592,""))</f>
        <v>0</v>
      </c>
      <c r="AD343" s="370">
        <f t="array" ref="AD343">SUM(IF($AA343=$Z$16:$Z$592,L$16:L$592,""))</f>
        <v>0</v>
      </c>
      <c r="AE343" s="370">
        <f t="array" ref="AE343">SUM(IF($AA343=$Z$16:$Z$592,M$16:M$592,""))</f>
        <v>0</v>
      </c>
      <c r="AF343" s="368">
        <f t="array" ref="AF343">SUM(IF($AA343=$Z$16:$Z$592,N$16:N$592,""))</f>
        <v>0</v>
      </c>
      <c r="AG343" s="370">
        <f t="array" ref="AG343">SUM(IF($AA343=$Z$16:$Z$592,O$16:O$592,""))</f>
        <v>0</v>
      </c>
      <c r="AH343" s="2"/>
      <c r="AI343" s="2"/>
      <c r="AJ343" s="2"/>
    </row>
    <row r="344" spans="1:36" x14ac:dyDescent="0.2">
      <c r="A344" s="306">
        <f>Crop!B377</f>
        <v>41968</v>
      </c>
      <c r="B344" s="307"/>
      <c r="C344" s="308"/>
      <c r="D344" s="304" t="str">
        <f>IF(OR($A344&lt;$A$3,$A344&gt;$A$7),"",Crop!$D377)</f>
        <v/>
      </c>
      <c r="E344" s="304" t="str">
        <f t="shared" si="78"/>
        <v/>
      </c>
      <c r="F344" s="304" t="str">
        <f>IF(OR(A344&lt;A$3,A344&gt;A$7),"",Crop!U377)</f>
        <v/>
      </c>
      <c r="G344" s="304" t="str">
        <f t="shared" si="79"/>
        <v/>
      </c>
      <c r="H344" s="309" t="str">
        <f>IF(OR(A344&lt;A$3,A344&gt;A$7),"",YTD!E341)</f>
        <v/>
      </c>
      <c r="I344" s="310" t="str">
        <f t="shared" si="80"/>
        <v/>
      </c>
      <c r="J344" s="311"/>
      <c r="K344" s="309" t="str">
        <f t="shared" si="81"/>
        <v/>
      </c>
      <c r="L344" s="312" t="str">
        <f t="shared" si="85"/>
        <v/>
      </c>
      <c r="M344" s="366" t="str">
        <f t="shared" si="86"/>
        <v/>
      </c>
      <c r="N344" s="328" t="str">
        <f t="shared" si="76"/>
        <v/>
      </c>
      <c r="O344" s="313" t="str">
        <f t="shared" si="77"/>
        <v/>
      </c>
      <c r="P344" s="307"/>
      <c r="Q344" s="309">
        <f t="shared" si="87"/>
        <v>0.8</v>
      </c>
      <c r="R344" s="307"/>
      <c r="S344" s="314">
        <f t="shared" si="88"/>
        <v>11.2</v>
      </c>
      <c r="T344" s="304" t="str">
        <f t="shared" si="82"/>
        <v/>
      </c>
      <c r="U344" s="304" t="str">
        <f>IF(A344=YTD!B$6,E344,IF(OR(A344&lt;YTD!B$6,A344&gt;YTD!B$10),"",U343+E344))</f>
        <v/>
      </c>
      <c r="V344" s="304" t="str">
        <f t="shared" si="89"/>
        <v/>
      </c>
      <c r="W344" s="315" t="e">
        <f>IF(I344="",#N/A,YTD!G$8-I344)</f>
        <v>#N/A</v>
      </c>
      <c r="X344" s="368">
        <f t="shared" si="83"/>
        <v>0</v>
      </c>
      <c r="Y344" s="368">
        <f t="shared" si="90"/>
        <v>6</v>
      </c>
      <c r="Z344" s="368" t="str">
        <f t="shared" si="84"/>
        <v/>
      </c>
      <c r="AA344" s="368">
        <v>329</v>
      </c>
      <c r="AB344" s="369">
        <f t="array" ref="AB344">SUM(IF(AA344=Z$16:Z$592,A$16:A$592,""))</f>
        <v>0</v>
      </c>
      <c r="AC344" s="370">
        <f t="array" ref="AC344">SUM(IF(AA344=Z$16:Z$592,J$16:J$592,""))</f>
        <v>0</v>
      </c>
      <c r="AD344" s="370">
        <f t="array" ref="AD344">SUM(IF($AA344=$Z$16:$Z$592,L$16:L$592,""))</f>
        <v>0</v>
      </c>
      <c r="AE344" s="370">
        <f t="array" ref="AE344">SUM(IF($AA344=$Z$16:$Z$592,M$16:M$592,""))</f>
        <v>0</v>
      </c>
      <c r="AF344" s="368">
        <f t="array" ref="AF344">SUM(IF($AA344=$Z$16:$Z$592,N$16:N$592,""))</f>
        <v>0</v>
      </c>
      <c r="AG344" s="370">
        <f t="array" ref="AG344">SUM(IF($AA344=$Z$16:$Z$592,O$16:O$592,""))</f>
        <v>0</v>
      </c>
      <c r="AH344" s="2"/>
      <c r="AI344" s="2"/>
      <c r="AJ344" s="2"/>
    </row>
    <row r="345" spans="1:36" x14ac:dyDescent="0.2">
      <c r="A345" s="306">
        <f>Crop!B378</f>
        <v>41969</v>
      </c>
      <c r="B345" s="307"/>
      <c r="C345" s="308"/>
      <c r="D345" s="304" t="str">
        <f>IF(OR($A345&lt;$A$3,$A345&gt;$A$7),"",Crop!$D378)</f>
        <v/>
      </c>
      <c r="E345" s="304" t="str">
        <f t="shared" si="78"/>
        <v/>
      </c>
      <c r="F345" s="304" t="str">
        <f>IF(OR(A345&lt;A$3,A345&gt;A$7),"",Crop!U378)</f>
        <v/>
      </c>
      <c r="G345" s="304" t="str">
        <f t="shared" si="79"/>
        <v/>
      </c>
      <c r="H345" s="309" t="str">
        <f>IF(OR(A345&lt;A$3,A345&gt;A$7),"",YTD!E342)</f>
        <v/>
      </c>
      <c r="I345" s="310" t="str">
        <f t="shared" si="80"/>
        <v/>
      </c>
      <c r="J345" s="311"/>
      <c r="K345" s="309" t="str">
        <f t="shared" si="81"/>
        <v/>
      </c>
      <c r="L345" s="312" t="str">
        <f t="shared" si="85"/>
        <v/>
      </c>
      <c r="M345" s="366" t="str">
        <f t="shared" si="86"/>
        <v/>
      </c>
      <c r="N345" s="328" t="str">
        <f t="shared" si="76"/>
        <v/>
      </c>
      <c r="O345" s="313" t="str">
        <f t="shared" si="77"/>
        <v/>
      </c>
      <c r="P345" s="307"/>
      <c r="Q345" s="309">
        <f t="shared" si="87"/>
        <v>0.8</v>
      </c>
      <c r="R345" s="307">
        <v>10</v>
      </c>
      <c r="S345" s="314">
        <f t="shared" si="88"/>
        <v>10</v>
      </c>
      <c r="T345" s="304" t="str">
        <f t="shared" si="82"/>
        <v/>
      </c>
      <c r="U345" s="304" t="str">
        <f>IF(A345=YTD!B$6,E345,IF(OR(A345&lt;YTD!B$6,A345&gt;YTD!B$10),"",U344+E345))</f>
        <v/>
      </c>
      <c r="V345" s="304" t="str">
        <f t="shared" si="89"/>
        <v/>
      </c>
      <c r="W345" s="315" t="e">
        <f>IF(I345="",#N/A,YTD!G$8-I345)</f>
        <v>#N/A</v>
      </c>
      <c r="X345" s="368">
        <f t="shared" si="83"/>
        <v>0</v>
      </c>
      <c r="Y345" s="368">
        <f t="shared" si="90"/>
        <v>6</v>
      </c>
      <c r="Z345" s="368" t="str">
        <f t="shared" si="84"/>
        <v/>
      </c>
      <c r="AA345" s="368">
        <v>330</v>
      </c>
      <c r="AB345" s="369">
        <f t="array" ref="AB345">SUM(IF(AA345=Z$16:Z$592,A$16:A$592,""))</f>
        <v>0</v>
      </c>
      <c r="AC345" s="370">
        <f t="array" ref="AC345">SUM(IF(AA345=Z$16:Z$592,J$16:J$592,""))</f>
        <v>0</v>
      </c>
      <c r="AD345" s="370">
        <f t="array" ref="AD345">SUM(IF($AA345=$Z$16:$Z$592,L$16:L$592,""))</f>
        <v>0</v>
      </c>
      <c r="AE345" s="370">
        <f t="array" ref="AE345">SUM(IF($AA345=$Z$16:$Z$592,M$16:M$592,""))</f>
        <v>0</v>
      </c>
      <c r="AF345" s="368">
        <f t="array" ref="AF345">SUM(IF($AA345=$Z$16:$Z$592,N$16:N$592,""))</f>
        <v>0</v>
      </c>
      <c r="AG345" s="370">
        <f t="array" ref="AG345">SUM(IF($AA345=$Z$16:$Z$592,O$16:O$592,""))</f>
        <v>0</v>
      </c>
      <c r="AH345" s="2"/>
      <c r="AI345" s="2"/>
      <c r="AJ345" s="2"/>
    </row>
    <row r="346" spans="1:36" x14ac:dyDescent="0.2">
      <c r="A346" s="306">
        <f>Crop!B379</f>
        <v>41970</v>
      </c>
      <c r="B346" s="307"/>
      <c r="C346" s="308"/>
      <c r="D346" s="304" t="str">
        <f>IF(OR($A346&lt;$A$3,$A346&gt;$A$7),"",Crop!$D379)</f>
        <v/>
      </c>
      <c r="E346" s="304" t="str">
        <f t="shared" si="78"/>
        <v/>
      </c>
      <c r="F346" s="304" t="str">
        <f>IF(OR(A346&lt;A$3,A346&gt;A$7),"",Crop!U379)</f>
        <v/>
      </c>
      <c r="G346" s="304" t="str">
        <f t="shared" si="79"/>
        <v/>
      </c>
      <c r="H346" s="309" t="str">
        <f>IF(OR(A346&lt;A$3,A346&gt;A$7),"",YTD!E343)</f>
        <v/>
      </c>
      <c r="I346" s="310" t="str">
        <f t="shared" si="80"/>
        <v/>
      </c>
      <c r="J346" s="311"/>
      <c r="K346" s="309" t="str">
        <f t="shared" si="81"/>
        <v/>
      </c>
      <c r="L346" s="312" t="str">
        <f t="shared" si="85"/>
        <v/>
      </c>
      <c r="M346" s="366" t="str">
        <f t="shared" si="86"/>
        <v/>
      </c>
      <c r="N346" s="328" t="str">
        <f t="shared" si="76"/>
        <v/>
      </c>
      <c r="O346" s="313" t="str">
        <f t="shared" si="77"/>
        <v/>
      </c>
      <c r="P346" s="307"/>
      <c r="Q346" s="309">
        <f t="shared" si="87"/>
        <v>0.8</v>
      </c>
      <c r="R346" s="307"/>
      <c r="S346" s="314">
        <f t="shared" si="88"/>
        <v>10</v>
      </c>
      <c r="T346" s="304" t="str">
        <f t="shared" si="82"/>
        <v/>
      </c>
      <c r="U346" s="304" t="str">
        <f>IF(A346=YTD!B$6,E346,IF(OR(A346&lt;YTD!B$6,A346&gt;YTD!B$10),"",U345+E346))</f>
        <v/>
      </c>
      <c r="V346" s="304" t="str">
        <f t="shared" si="89"/>
        <v/>
      </c>
      <c r="W346" s="315" t="e">
        <f>IF(I346="",#N/A,YTD!G$8-I346)</f>
        <v>#N/A</v>
      </c>
      <c r="X346" s="368">
        <f t="shared" si="83"/>
        <v>0</v>
      </c>
      <c r="Y346" s="368">
        <f t="shared" si="90"/>
        <v>6</v>
      </c>
      <c r="Z346" s="368" t="str">
        <f t="shared" si="84"/>
        <v/>
      </c>
      <c r="AA346" s="368">
        <v>331</v>
      </c>
      <c r="AB346" s="369">
        <f t="array" ref="AB346">SUM(IF(AA346=Z$16:Z$592,A$16:A$592,""))</f>
        <v>0</v>
      </c>
      <c r="AC346" s="370">
        <f t="array" ref="AC346">SUM(IF(AA346=Z$16:Z$592,J$16:J$592,""))</f>
        <v>0</v>
      </c>
      <c r="AD346" s="370">
        <f t="array" ref="AD346">SUM(IF($AA346=$Z$16:$Z$592,L$16:L$592,""))</f>
        <v>0</v>
      </c>
      <c r="AE346" s="370">
        <f t="array" ref="AE346">SUM(IF($AA346=$Z$16:$Z$592,M$16:M$592,""))</f>
        <v>0</v>
      </c>
      <c r="AF346" s="368">
        <f t="array" ref="AF346">SUM(IF($AA346=$Z$16:$Z$592,N$16:N$592,""))</f>
        <v>0</v>
      </c>
      <c r="AG346" s="370">
        <f t="array" ref="AG346">SUM(IF($AA346=$Z$16:$Z$592,O$16:O$592,""))</f>
        <v>0</v>
      </c>
      <c r="AH346" s="2"/>
      <c r="AI346" s="2"/>
      <c r="AJ346" s="2"/>
    </row>
    <row r="347" spans="1:36" x14ac:dyDescent="0.2">
      <c r="A347" s="306">
        <f>Crop!B380</f>
        <v>41971</v>
      </c>
      <c r="B347" s="307"/>
      <c r="C347" s="308"/>
      <c r="D347" s="304" t="str">
        <f>IF(OR($A347&lt;$A$3,$A347&gt;$A$7),"",Crop!$D380)</f>
        <v/>
      </c>
      <c r="E347" s="304" t="str">
        <f t="shared" si="78"/>
        <v/>
      </c>
      <c r="F347" s="304" t="str">
        <f>IF(OR(A347&lt;A$3,A347&gt;A$7),"",Crop!U380)</f>
        <v/>
      </c>
      <c r="G347" s="304" t="str">
        <f t="shared" si="79"/>
        <v/>
      </c>
      <c r="H347" s="309" t="str">
        <f>IF(OR(A347&lt;A$3,A347&gt;A$7),"",YTD!E344)</f>
        <v/>
      </c>
      <c r="I347" s="310" t="str">
        <f t="shared" si="80"/>
        <v/>
      </c>
      <c r="J347" s="311"/>
      <c r="K347" s="309" t="str">
        <f t="shared" si="81"/>
        <v/>
      </c>
      <c r="L347" s="312" t="str">
        <f t="shared" si="85"/>
        <v/>
      </c>
      <c r="M347" s="366" t="str">
        <f t="shared" si="86"/>
        <v/>
      </c>
      <c r="N347" s="328" t="str">
        <f t="shared" si="76"/>
        <v/>
      </c>
      <c r="O347" s="313" t="str">
        <f t="shared" si="77"/>
        <v/>
      </c>
      <c r="P347" s="307"/>
      <c r="Q347" s="309">
        <f t="shared" si="87"/>
        <v>0.8</v>
      </c>
      <c r="R347" s="307"/>
      <c r="S347" s="314">
        <f t="shared" si="88"/>
        <v>10</v>
      </c>
      <c r="T347" s="304" t="str">
        <f t="shared" si="82"/>
        <v/>
      </c>
      <c r="U347" s="304" t="str">
        <f>IF(A347=YTD!B$6,E347,IF(OR(A347&lt;YTD!B$6,A347&gt;YTD!B$10),"",U346+E347))</f>
        <v/>
      </c>
      <c r="V347" s="304" t="str">
        <f t="shared" si="89"/>
        <v/>
      </c>
      <c r="W347" s="315" t="e">
        <f>IF(I347="",#N/A,YTD!G$8-I347)</f>
        <v>#N/A</v>
      </c>
      <c r="X347" s="368">
        <f t="shared" si="83"/>
        <v>0</v>
      </c>
      <c r="Y347" s="368">
        <f t="shared" si="90"/>
        <v>6</v>
      </c>
      <c r="Z347" s="368" t="str">
        <f t="shared" si="84"/>
        <v/>
      </c>
      <c r="AA347" s="368">
        <v>332</v>
      </c>
      <c r="AB347" s="369">
        <f t="array" ref="AB347">SUM(IF(AA347=Z$16:Z$592,A$16:A$592,""))</f>
        <v>0</v>
      </c>
      <c r="AC347" s="370">
        <f t="array" ref="AC347">SUM(IF(AA347=Z$16:Z$592,J$16:J$592,""))</f>
        <v>0</v>
      </c>
      <c r="AD347" s="370">
        <f t="array" ref="AD347">SUM(IF($AA347=$Z$16:$Z$592,L$16:L$592,""))</f>
        <v>0</v>
      </c>
      <c r="AE347" s="370">
        <f t="array" ref="AE347">SUM(IF($AA347=$Z$16:$Z$592,M$16:M$592,""))</f>
        <v>0</v>
      </c>
      <c r="AF347" s="368">
        <f t="array" ref="AF347">SUM(IF($AA347=$Z$16:$Z$592,N$16:N$592,""))</f>
        <v>0</v>
      </c>
      <c r="AG347" s="370">
        <f t="array" ref="AG347">SUM(IF($AA347=$Z$16:$Z$592,O$16:O$592,""))</f>
        <v>0</v>
      </c>
      <c r="AH347" s="2"/>
      <c r="AI347" s="2"/>
      <c r="AJ347" s="2"/>
    </row>
    <row r="348" spans="1:36" x14ac:dyDescent="0.2">
      <c r="A348" s="306">
        <f>Crop!B381</f>
        <v>41972</v>
      </c>
      <c r="B348" s="307"/>
      <c r="C348" s="308"/>
      <c r="D348" s="304" t="str">
        <f>IF(OR($A348&lt;$A$3,$A348&gt;$A$7),"",Crop!$D381)</f>
        <v/>
      </c>
      <c r="E348" s="304" t="str">
        <f t="shared" si="78"/>
        <v/>
      </c>
      <c r="F348" s="304" t="str">
        <f>IF(OR(A348&lt;A$3,A348&gt;A$7),"",Crop!U381)</f>
        <v/>
      </c>
      <c r="G348" s="304" t="str">
        <f t="shared" si="79"/>
        <v/>
      </c>
      <c r="H348" s="309" t="str">
        <f>IF(OR(A348&lt;A$3,A348&gt;A$7),"",YTD!E345)</f>
        <v/>
      </c>
      <c r="I348" s="310" t="str">
        <f t="shared" si="80"/>
        <v/>
      </c>
      <c r="J348" s="311"/>
      <c r="K348" s="309" t="str">
        <f t="shared" si="81"/>
        <v/>
      </c>
      <c r="L348" s="312" t="str">
        <f t="shared" si="85"/>
        <v/>
      </c>
      <c r="M348" s="366" t="str">
        <f t="shared" si="86"/>
        <v/>
      </c>
      <c r="N348" s="328" t="str">
        <f t="shared" si="76"/>
        <v/>
      </c>
      <c r="O348" s="313" t="str">
        <f t="shared" si="77"/>
        <v/>
      </c>
      <c r="P348" s="307"/>
      <c r="Q348" s="309">
        <f t="shared" si="87"/>
        <v>0.8</v>
      </c>
      <c r="R348" s="307"/>
      <c r="S348" s="314">
        <f t="shared" si="88"/>
        <v>10</v>
      </c>
      <c r="T348" s="304" t="str">
        <f t="shared" si="82"/>
        <v/>
      </c>
      <c r="U348" s="304" t="str">
        <f>IF(A348=YTD!B$6,E348,IF(OR(A348&lt;YTD!B$6,A348&gt;YTD!B$10),"",U347+E348))</f>
        <v/>
      </c>
      <c r="V348" s="304" t="str">
        <f t="shared" si="89"/>
        <v/>
      </c>
      <c r="W348" s="315" t="e">
        <f>IF(I348="",#N/A,YTD!G$8-I348)</f>
        <v>#N/A</v>
      </c>
      <c r="X348" s="368">
        <f t="shared" si="83"/>
        <v>0</v>
      </c>
      <c r="Y348" s="368">
        <f t="shared" si="90"/>
        <v>6</v>
      </c>
      <c r="Z348" s="368" t="str">
        <f t="shared" si="84"/>
        <v/>
      </c>
      <c r="AA348" s="368">
        <v>333</v>
      </c>
      <c r="AB348" s="369">
        <f t="array" ref="AB348">SUM(IF(AA348=Z$16:Z$592,A$16:A$592,""))</f>
        <v>0</v>
      </c>
      <c r="AC348" s="370">
        <f t="array" ref="AC348">SUM(IF(AA348=Z$16:Z$592,J$16:J$592,""))</f>
        <v>0</v>
      </c>
      <c r="AD348" s="370">
        <f t="array" ref="AD348">SUM(IF($AA348=$Z$16:$Z$592,L$16:L$592,""))</f>
        <v>0</v>
      </c>
      <c r="AE348" s="370">
        <f t="array" ref="AE348">SUM(IF($AA348=$Z$16:$Z$592,M$16:M$592,""))</f>
        <v>0</v>
      </c>
      <c r="AF348" s="368">
        <f t="array" ref="AF348">SUM(IF($AA348=$Z$16:$Z$592,N$16:N$592,""))</f>
        <v>0</v>
      </c>
      <c r="AG348" s="370">
        <f t="array" ref="AG348">SUM(IF($AA348=$Z$16:$Z$592,O$16:O$592,""))</f>
        <v>0</v>
      </c>
      <c r="AH348" s="2"/>
      <c r="AI348" s="2"/>
      <c r="AJ348" s="2"/>
    </row>
    <row r="349" spans="1:36" x14ac:dyDescent="0.2">
      <c r="A349" s="306">
        <f>Crop!B382</f>
        <v>41973</v>
      </c>
      <c r="B349" s="307"/>
      <c r="C349" s="308"/>
      <c r="D349" s="304" t="str">
        <f>IF(OR($A349&lt;$A$3,$A349&gt;$A$7),"",Crop!$D382)</f>
        <v/>
      </c>
      <c r="E349" s="304" t="str">
        <f t="shared" si="78"/>
        <v/>
      </c>
      <c r="F349" s="304" t="str">
        <f>IF(OR(A349&lt;A$3,A349&gt;A$7),"",Crop!U382)</f>
        <v/>
      </c>
      <c r="G349" s="304" t="str">
        <f t="shared" si="79"/>
        <v/>
      </c>
      <c r="H349" s="309" t="str">
        <f>IF(OR(A349&lt;A$3,A349&gt;A$7),"",YTD!E346)</f>
        <v/>
      </c>
      <c r="I349" s="310" t="str">
        <f t="shared" si="80"/>
        <v/>
      </c>
      <c r="J349" s="311"/>
      <c r="K349" s="309" t="str">
        <f t="shared" si="81"/>
        <v/>
      </c>
      <c r="L349" s="312" t="str">
        <f t="shared" si="85"/>
        <v/>
      </c>
      <c r="M349" s="366" t="str">
        <f t="shared" si="86"/>
        <v/>
      </c>
      <c r="N349" s="328" t="str">
        <f t="shared" si="76"/>
        <v/>
      </c>
      <c r="O349" s="313" t="str">
        <f t="shared" si="77"/>
        <v/>
      </c>
      <c r="P349" s="307"/>
      <c r="Q349" s="309">
        <f t="shared" si="87"/>
        <v>0.8</v>
      </c>
      <c r="R349" s="307"/>
      <c r="S349" s="314">
        <f t="shared" si="88"/>
        <v>10</v>
      </c>
      <c r="T349" s="304" t="str">
        <f t="shared" si="82"/>
        <v/>
      </c>
      <c r="U349" s="304" t="str">
        <f>IF(A349=YTD!B$6,E349,IF(OR(A349&lt;YTD!B$6,A349&gt;YTD!B$10),"",U348+E349))</f>
        <v/>
      </c>
      <c r="V349" s="304" t="str">
        <f t="shared" si="89"/>
        <v/>
      </c>
      <c r="W349" s="315" t="e">
        <f>IF(I349="",#N/A,YTD!G$8-I349)</f>
        <v>#N/A</v>
      </c>
      <c r="X349" s="368">
        <f t="shared" si="83"/>
        <v>0</v>
      </c>
      <c r="Y349" s="368">
        <f t="shared" si="90"/>
        <v>6</v>
      </c>
      <c r="Z349" s="368" t="str">
        <f t="shared" si="84"/>
        <v/>
      </c>
      <c r="AA349" s="368">
        <v>334</v>
      </c>
      <c r="AB349" s="369">
        <f t="array" ref="AB349">SUM(IF(AA349=Z$16:Z$592,A$16:A$592,""))</f>
        <v>0</v>
      </c>
      <c r="AC349" s="370">
        <f t="array" ref="AC349">SUM(IF(AA349=Z$16:Z$592,J$16:J$592,""))</f>
        <v>0</v>
      </c>
      <c r="AD349" s="370">
        <f t="array" ref="AD349">SUM(IF($AA349=$Z$16:$Z$592,L$16:L$592,""))</f>
        <v>0</v>
      </c>
      <c r="AE349" s="370">
        <f t="array" ref="AE349">SUM(IF($AA349=$Z$16:$Z$592,M$16:M$592,""))</f>
        <v>0</v>
      </c>
      <c r="AF349" s="368">
        <f t="array" ref="AF349">SUM(IF($AA349=$Z$16:$Z$592,N$16:N$592,""))</f>
        <v>0</v>
      </c>
      <c r="AG349" s="370">
        <f t="array" ref="AG349">SUM(IF($AA349=$Z$16:$Z$592,O$16:O$592,""))</f>
        <v>0</v>
      </c>
      <c r="AH349" s="2"/>
      <c r="AI349" s="2"/>
      <c r="AJ349" s="2"/>
    </row>
    <row r="350" spans="1:36" x14ac:dyDescent="0.2">
      <c r="A350" s="306">
        <f>Crop!B383</f>
        <v>41974</v>
      </c>
      <c r="B350" s="307"/>
      <c r="C350" s="308"/>
      <c r="D350" s="304" t="str">
        <f>IF(OR($A350&lt;$A$3,$A350&gt;$A$7),"",Crop!$D383)</f>
        <v/>
      </c>
      <c r="E350" s="304" t="str">
        <f t="shared" si="78"/>
        <v/>
      </c>
      <c r="F350" s="304" t="str">
        <f>IF(OR(A350&lt;A$3,A350&gt;A$7),"",Crop!U383)</f>
        <v/>
      </c>
      <c r="G350" s="304" t="str">
        <f t="shared" si="79"/>
        <v/>
      </c>
      <c r="H350" s="309" t="str">
        <f>IF(OR(A350&lt;A$3,A350&gt;A$7),"",YTD!E347)</f>
        <v/>
      </c>
      <c r="I350" s="310" t="str">
        <f t="shared" si="80"/>
        <v/>
      </c>
      <c r="J350" s="311"/>
      <c r="K350" s="309" t="str">
        <f t="shared" si="81"/>
        <v/>
      </c>
      <c r="L350" s="312" t="str">
        <f t="shared" si="85"/>
        <v/>
      </c>
      <c r="M350" s="366" t="str">
        <f t="shared" si="86"/>
        <v/>
      </c>
      <c r="N350" s="328" t="str">
        <f t="shared" si="76"/>
        <v/>
      </c>
      <c r="O350" s="313" t="str">
        <f t="shared" si="77"/>
        <v/>
      </c>
      <c r="P350" s="307"/>
      <c r="Q350" s="309">
        <f t="shared" si="87"/>
        <v>0.8</v>
      </c>
      <c r="R350" s="307"/>
      <c r="S350" s="314">
        <f t="shared" si="88"/>
        <v>10</v>
      </c>
      <c r="T350" s="304" t="str">
        <f t="shared" si="82"/>
        <v/>
      </c>
      <c r="U350" s="304" t="str">
        <f>IF(A350=YTD!B$6,E350,IF(OR(A350&lt;YTD!B$6,A350&gt;YTD!B$10),"",U349+E350))</f>
        <v/>
      </c>
      <c r="V350" s="304" t="str">
        <f t="shared" si="89"/>
        <v/>
      </c>
      <c r="W350" s="315" t="e">
        <f>IF(I350="",#N/A,YTD!G$8-I350)</f>
        <v>#N/A</v>
      </c>
      <c r="X350" s="368">
        <f t="shared" si="83"/>
        <v>0</v>
      </c>
      <c r="Y350" s="368">
        <f t="shared" si="90"/>
        <v>6</v>
      </c>
      <c r="Z350" s="368" t="str">
        <f t="shared" si="84"/>
        <v/>
      </c>
      <c r="AA350" s="368">
        <v>335</v>
      </c>
      <c r="AB350" s="369">
        <f t="array" ref="AB350">SUM(IF(AA350=Z$16:Z$592,A$16:A$592,""))</f>
        <v>0</v>
      </c>
      <c r="AC350" s="370">
        <f t="array" ref="AC350">SUM(IF(AA350=Z$16:Z$592,J$16:J$592,""))</f>
        <v>0</v>
      </c>
      <c r="AD350" s="370">
        <f t="array" ref="AD350">SUM(IF($AA350=$Z$16:$Z$592,L$16:L$592,""))</f>
        <v>0</v>
      </c>
      <c r="AE350" s="370">
        <f t="array" ref="AE350">SUM(IF($AA350=$Z$16:$Z$592,M$16:M$592,""))</f>
        <v>0</v>
      </c>
      <c r="AF350" s="368">
        <f t="array" ref="AF350">SUM(IF($AA350=$Z$16:$Z$592,N$16:N$592,""))</f>
        <v>0</v>
      </c>
      <c r="AG350" s="370">
        <f t="array" ref="AG350">SUM(IF($AA350=$Z$16:$Z$592,O$16:O$592,""))</f>
        <v>0</v>
      </c>
      <c r="AH350" s="2"/>
      <c r="AI350" s="2"/>
      <c r="AJ350" s="2"/>
    </row>
    <row r="351" spans="1:36" x14ac:dyDescent="0.2">
      <c r="A351" s="306">
        <f>Crop!B384</f>
        <v>41975</v>
      </c>
      <c r="B351" s="307"/>
      <c r="C351" s="308"/>
      <c r="D351" s="304" t="str">
        <f>IF(OR($A351&lt;$A$3,$A351&gt;$A$7),"",Crop!$D384)</f>
        <v/>
      </c>
      <c r="E351" s="304" t="str">
        <f t="shared" si="78"/>
        <v/>
      </c>
      <c r="F351" s="304" t="str">
        <f>IF(OR(A351&lt;A$3,A351&gt;A$7),"",Crop!U384)</f>
        <v/>
      </c>
      <c r="G351" s="304" t="str">
        <f t="shared" si="79"/>
        <v/>
      </c>
      <c r="H351" s="309" t="str">
        <f>IF(OR(A351&lt;A$3,A351&gt;A$7),"",YTD!E348)</f>
        <v/>
      </c>
      <c r="I351" s="310" t="str">
        <f t="shared" si="80"/>
        <v/>
      </c>
      <c r="J351" s="311"/>
      <c r="K351" s="309" t="str">
        <f t="shared" si="81"/>
        <v/>
      </c>
      <c r="L351" s="312" t="str">
        <f t="shared" si="85"/>
        <v/>
      </c>
      <c r="M351" s="366" t="str">
        <f t="shared" si="86"/>
        <v/>
      </c>
      <c r="N351" s="328" t="str">
        <f t="shared" si="76"/>
        <v/>
      </c>
      <c r="O351" s="313" t="str">
        <f t="shared" si="77"/>
        <v/>
      </c>
      <c r="P351" s="307"/>
      <c r="Q351" s="309">
        <f t="shared" si="87"/>
        <v>0.8</v>
      </c>
      <c r="R351" s="307"/>
      <c r="S351" s="314">
        <f t="shared" si="88"/>
        <v>10</v>
      </c>
      <c r="T351" s="304" t="str">
        <f t="shared" si="82"/>
        <v/>
      </c>
      <c r="U351" s="304" t="str">
        <f>IF(A351=YTD!B$6,E351,IF(OR(A351&lt;YTD!B$6,A351&gt;YTD!B$10),"",U350+E351))</f>
        <v/>
      </c>
      <c r="V351" s="304" t="str">
        <f t="shared" si="89"/>
        <v/>
      </c>
      <c r="W351" s="315" t="e">
        <f>IF(I351="",#N/A,YTD!G$8-I351)</f>
        <v>#N/A</v>
      </c>
      <c r="X351" s="368">
        <f t="shared" si="83"/>
        <v>0</v>
      </c>
      <c r="Y351" s="368">
        <f t="shared" si="90"/>
        <v>6</v>
      </c>
      <c r="Z351" s="368" t="str">
        <f t="shared" si="84"/>
        <v/>
      </c>
      <c r="AA351" s="368">
        <v>336</v>
      </c>
      <c r="AB351" s="369">
        <f t="array" ref="AB351">SUM(IF(AA351=Z$16:Z$592,A$16:A$592,""))</f>
        <v>0</v>
      </c>
      <c r="AC351" s="370">
        <f t="array" ref="AC351">SUM(IF(AA351=Z$16:Z$592,J$16:J$592,""))</f>
        <v>0</v>
      </c>
      <c r="AD351" s="370">
        <f t="array" ref="AD351">SUM(IF($AA351=$Z$16:$Z$592,L$16:L$592,""))</f>
        <v>0</v>
      </c>
      <c r="AE351" s="370">
        <f t="array" ref="AE351">SUM(IF($AA351=$Z$16:$Z$592,M$16:M$592,""))</f>
        <v>0</v>
      </c>
      <c r="AF351" s="368">
        <f t="array" ref="AF351">SUM(IF($AA351=$Z$16:$Z$592,N$16:N$592,""))</f>
        <v>0</v>
      </c>
      <c r="AG351" s="370">
        <f t="array" ref="AG351">SUM(IF($AA351=$Z$16:$Z$592,O$16:O$592,""))</f>
        <v>0</v>
      </c>
      <c r="AH351" s="2"/>
      <c r="AI351" s="2"/>
      <c r="AJ351" s="2"/>
    </row>
    <row r="352" spans="1:36" x14ac:dyDescent="0.2">
      <c r="A352" s="306">
        <f>Crop!B385</f>
        <v>41976</v>
      </c>
      <c r="B352" s="307"/>
      <c r="C352" s="308"/>
      <c r="D352" s="304" t="str">
        <f>IF(OR($A352&lt;$A$3,$A352&gt;$A$7),"",Crop!$D385)</f>
        <v/>
      </c>
      <c r="E352" s="304" t="str">
        <f t="shared" si="78"/>
        <v/>
      </c>
      <c r="F352" s="304" t="str">
        <f>IF(OR(A352&lt;A$3,A352&gt;A$7),"",Crop!U385)</f>
        <v/>
      </c>
      <c r="G352" s="304" t="str">
        <f t="shared" si="79"/>
        <v/>
      </c>
      <c r="H352" s="309" t="str">
        <f>IF(OR(A352&lt;A$3,A352&gt;A$7),"",YTD!E349)</f>
        <v/>
      </c>
      <c r="I352" s="310" t="str">
        <f t="shared" si="80"/>
        <v/>
      </c>
      <c r="J352" s="311"/>
      <c r="K352" s="309" t="str">
        <f t="shared" si="81"/>
        <v/>
      </c>
      <c r="L352" s="312" t="str">
        <f t="shared" si="85"/>
        <v/>
      </c>
      <c r="M352" s="366" t="str">
        <f t="shared" si="86"/>
        <v/>
      </c>
      <c r="N352" s="328" t="str">
        <f t="shared" si="76"/>
        <v/>
      </c>
      <c r="O352" s="313" t="str">
        <f t="shared" si="77"/>
        <v/>
      </c>
      <c r="P352" s="307"/>
      <c r="Q352" s="309">
        <f t="shared" si="87"/>
        <v>0.8</v>
      </c>
      <c r="R352" s="307"/>
      <c r="S352" s="314">
        <f t="shared" si="88"/>
        <v>10</v>
      </c>
      <c r="T352" s="304" t="str">
        <f t="shared" si="82"/>
        <v/>
      </c>
      <c r="U352" s="304" t="str">
        <f>IF(A352=YTD!B$6,E352,IF(OR(A352&lt;YTD!B$6,A352&gt;YTD!B$10),"",U351+E352))</f>
        <v/>
      </c>
      <c r="V352" s="304" t="str">
        <f t="shared" si="89"/>
        <v/>
      </c>
      <c r="W352" s="315" t="e">
        <f>IF(I352="",#N/A,YTD!G$8-I352)</f>
        <v>#N/A</v>
      </c>
      <c r="X352" s="368">
        <f t="shared" si="83"/>
        <v>0</v>
      </c>
      <c r="Y352" s="368">
        <f t="shared" si="90"/>
        <v>6</v>
      </c>
      <c r="Z352" s="368" t="str">
        <f t="shared" si="84"/>
        <v/>
      </c>
      <c r="AA352" s="368">
        <v>337</v>
      </c>
      <c r="AB352" s="369">
        <f t="array" ref="AB352">SUM(IF(AA352=Z$16:Z$592,A$16:A$592,""))</f>
        <v>0</v>
      </c>
      <c r="AC352" s="370">
        <f t="array" ref="AC352">SUM(IF(AA352=Z$16:Z$592,J$16:J$592,""))</f>
        <v>0</v>
      </c>
      <c r="AD352" s="370">
        <f t="array" ref="AD352">SUM(IF($AA352=$Z$16:$Z$592,L$16:L$592,""))</f>
        <v>0</v>
      </c>
      <c r="AE352" s="370">
        <f t="array" ref="AE352">SUM(IF($AA352=$Z$16:$Z$592,M$16:M$592,""))</f>
        <v>0</v>
      </c>
      <c r="AF352" s="368">
        <f t="array" ref="AF352">SUM(IF($AA352=$Z$16:$Z$592,N$16:N$592,""))</f>
        <v>0</v>
      </c>
      <c r="AG352" s="370">
        <f t="array" ref="AG352">SUM(IF($AA352=$Z$16:$Z$592,O$16:O$592,""))</f>
        <v>0</v>
      </c>
      <c r="AH352" s="2"/>
      <c r="AI352" s="2"/>
      <c r="AJ352" s="2"/>
    </row>
    <row r="353" spans="1:36" x14ac:dyDescent="0.2">
      <c r="A353" s="306">
        <f>Crop!B386</f>
        <v>41977</v>
      </c>
      <c r="B353" s="307"/>
      <c r="C353" s="308"/>
      <c r="D353" s="304" t="str">
        <f>IF(OR($A353&lt;$A$3,$A353&gt;$A$7),"",Crop!$D386)</f>
        <v/>
      </c>
      <c r="E353" s="304" t="str">
        <f t="shared" si="78"/>
        <v/>
      </c>
      <c r="F353" s="304" t="str">
        <f>IF(OR(A353&lt;A$3,A353&gt;A$7),"",Crop!U386)</f>
        <v/>
      </c>
      <c r="G353" s="304" t="str">
        <f t="shared" si="79"/>
        <v/>
      </c>
      <c r="H353" s="309" t="str">
        <f>IF(OR(A353&lt;A$3,A353&gt;A$7),"",YTD!E350)</f>
        <v/>
      </c>
      <c r="I353" s="310" t="str">
        <f t="shared" si="80"/>
        <v/>
      </c>
      <c r="J353" s="311"/>
      <c r="K353" s="309" t="str">
        <f t="shared" si="81"/>
        <v/>
      </c>
      <c r="L353" s="312" t="str">
        <f t="shared" si="85"/>
        <v/>
      </c>
      <c r="M353" s="366" t="str">
        <f t="shared" si="86"/>
        <v/>
      </c>
      <c r="N353" s="328" t="str">
        <f t="shared" si="76"/>
        <v/>
      </c>
      <c r="O353" s="313" t="str">
        <f t="shared" si="77"/>
        <v/>
      </c>
      <c r="P353" s="307"/>
      <c r="Q353" s="309">
        <f t="shared" si="87"/>
        <v>0.8</v>
      </c>
      <c r="R353" s="307"/>
      <c r="S353" s="314">
        <f t="shared" si="88"/>
        <v>10</v>
      </c>
      <c r="T353" s="304" t="str">
        <f t="shared" si="82"/>
        <v/>
      </c>
      <c r="U353" s="304" t="str">
        <f>IF(A353=YTD!B$6,E353,IF(OR(A353&lt;YTD!B$6,A353&gt;YTD!B$10),"",U352+E353))</f>
        <v/>
      </c>
      <c r="V353" s="304" t="str">
        <f t="shared" si="89"/>
        <v/>
      </c>
      <c r="W353" s="315" t="e">
        <f>IF(I353="",#N/A,YTD!G$8-I353)</f>
        <v>#N/A</v>
      </c>
      <c r="X353" s="368">
        <f t="shared" si="83"/>
        <v>0</v>
      </c>
      <c r="Y353" s="368">
        <f t="shared" si="90"/>
        <v>6</v>
      </c>
      <c r="Z353" s="368" t="str">
        <f t="shared" si="84"/>
        <v/>
      </c>
      <c r="AA353" s="368">
        <v>338</v>
      </c>
      <c r="AB353" s="369">
        <f t="array" ref="AB353">SUM(IF(AA353=Z$16:Z$592,A$16:A$592,""))</f>
        <v>0</v>
      </c>
      <c r="AC353" s="370">
        <f t="array" ref="AC353">SUM(IF(AA353=Z$16:Z$592,J$16:J$592,""))</f>
        <v>0</v>
      </c>
      <c r="AD353" s="370">
        <f t="array" ref="AD353">SUM(IF($AA353=$Z$16:$Z$592,L$16:L$592,""))</f>
        <v>0</v>
      </c>
      <c r="AE353" s="370">
        <f t="array" ref="AE353">SUM(IF($AA353=$Z$16:$Z$592,M$16:M$592,""))</f>
        <v>0</v>
      </c>
      <c r="AF353" s="368">
        <f t="array" ref="AF353">SUM(IF($AA353=$Z$16:$Z$592,N$16:N$592,""))</f>
        <v>0</v>
      </c>
      <c r="AG353" s="370">
        <f t="array" ref="AG353">SUM(IF($AA353=$Z$16:$Z$592,O$16:O$592,""))</f>
        <v>0</v>
      </c>
      <c r="AH353" s="2"/>
      <c r="AI353" s="2"/>
      <c r="AJ353" s="2"/>
    </row>
    <row r="354" spans="1:36" x14ac:dyDescent="0.2">
      <c r="A354" s="306">
        <f>Crop!B387</f>
        <v>41978</v>
      </c>
      <c r="B354" s="307">
        <v>35</v>
      </c>
      <c r="C354" s="308"/>
      <c r="D354" s="304" t="str">
        <f>IF(OR($A354&lt;$A$3,$A354&gt;$A$7),"",Crop!$D387)</f>
        <v/>
      </c>
      <c r="E354" s="304" t="str">
        <f t="shared" si="78"/>
        <v/>
      </c>
      <c r="F354" s="304" t="str">
        <f>IF(OR(A354&lt;A$3,A354&gt;A$7),"",Crop!U387)</f>
        <v/>
      </c>
      <c r="G354" s="304" t="str">
        <f t="shared" si="79"/>
        <v/>
      </c>
      <c r="H354" s="309" t="str">
        <f>IF(OR(A354&lt;A$3,A354&gt;A$7),"",YTD!E351)</f>
        <v/>
      </c>
      <c r="I354" s="310" t="str">
        <f t="shared" si="80"/>
        <v/>
      </c>
      <c r="J354" s="311"/>
      <c r="K354" s="309" t="str">
        <f t="shared" si="81"/>
        <v/>
      </c>
      <c r="L354" s="312" t="str">
        <f t="shared" si="85"/>
        <v/>
      </c>
      <c r="M354" s="366" t="str">
        <f t="shared" si="86"/>
        <v/>
      </c>
      <c r="N354" s="328" t="str">
        <f t="shared" si="76"/>
        <v/>
      </c>
      <c r="O354" s="313" t="str">
        <f t="shared" si="77"/>
        <v/>
      </c>
      <c r="P354" s="307"/>
      <c r="Q354" s="309">
        <f t="shared" si="87"/>
        <v>0.8</v>
      </c>
      <c r="R354" s="307"/>
      <c r="S354" s="314">
        <f t="shared" si="88"/>
        <v>10</v>
      </c>
      <c r="T354" s="304" t="str">
        <f t="shared" si="82"/>
        <v/>
      </c>
      <c r="U354" s="304" t="str">
        <f>IF(A354=YTD!B$6,E354,IF(OR(A354&lt;YTD!B$6,A354&gt;YTD!B$10),"",U353+E354))</f>
        <v/>
      </c>
      <c r="V354" s="304" t="str">
        <f t="shared" si="89"/>
        <v/>
      </c>
      <c r="W354" s="315" t="e">
        <f>IF(I354="",#N/A,YTD!G$8-I354)</f>
        <v>#N/A</v>
      </c>
      <c r="X354" s="368">
        <f t="shared" si="83"/>
        <v>0</v>
      </c>
      <c r="Y354" s="368">
        <f t="shared" si="90"/>
        <v>6</v>
      </c>
      <c r="Z354" s="368" t="str">
        <f t="shared" si="84"/>
        <v/>
      </c>
      <c r="AA354" s="368">
        <v>339</v>
      </c>
      <c r="AB354" s="369">
        <f t="array" ref="AB354">SUM(IF(AA354=Z$16:Z$592,A$16:A$592,""))</f>
        <v>0</v>
      </c>
      <c r="AC354" s="370">
        <f t="array" ref="AC354">SUM(IF(AA354=Z$16:Z$592,J$16:J$592,""))</f>
        <v>0</v>
      </c>
      <c r="AD354" s="370">
        <f t="array" ref="AD354">SUM(IF($AA354=$Z$16:$Z$592,L$16:L$592,""))</f>
        <v>0</v>
      </c>
      <c r="AE354" s="370">
        <f t="array" ref="AE354">SUM(IF($AA354=$Z$16:$Z$592,M$16:M$592,""))</f>
        <v>0</v>
      </c>
      <c r="AF354" s="368">
        <f t="array" ref="AF354">SUM(IF($AA354=$Z$16:$Z$592,N$16:N$592,""))</f>
        <v>0</v>
      </c>
      <c r="AG354" s="370">
        <f t="array" ref="AG354">SUM(IF($AA354=$Z$16:$Z$592,O$16:O$592,""))</f>
        <v>0</v>
      </c>
      <c r="AH354" s="2"/>
      <c r="AI354" s="2"/>
      <c r="AJ354" s="2"/>
    </row>
    <row r="355" spans="1:36" x14ac:dyDescent="0.2">
      <c r="A355" s="306">
        <f>Crop!B388</f>
        <v>41979</v>
      </c>
      <c r="B355" s="307"/>
      <c r="C355" s="308"/>
      <c r="D355" s="304" t="str">
        <f>IF(OR($A355&lt;$A$3,$A355&gt;$A$7),"",Crop!$D388)</f>
        <v/>
      </c>
      <c r="E355" s="304" t="str">
        <f t="shared" si="78"/>
        <v/>
      </c>
      <c r="F355" s="304" t="str">
        <f>IF(OR(A355&lt;A$3,A355&gt;A$7),"",Crop!U388)</f>
        <v/>
      </c>
      <c r="G355" s="304" t="str">
        <f t="shared" si="79"/>
        <v/>
      </c>
      <c r="H355" s="309" t="str">
        <f>IF(OR(A355&lt;A$3,A355&gt;A$7),"",YTD!E352)</f>
        <v/>
      </c>
      <c r="I355" s="310" t="str">
        <f t="shared" si="80"/>
        <v/>
      </c>
      <c r="J355" s="311"/>
      <c r="K355" s="309" t="str">
        <f t="shared" si="81"/>
        <v/>
      </c>
      <c r="L355" s="312" t="str">
        <f t="shared" si="85"/>
        <v/>
      </c>
      <c r="M355" s="366" t="str">
        <f t="shared" si="86"/>
        <v/>
      </c>
      <c r="N355" s="328" t="str">
        <f t="shared" si="76"/>
        <v/>
      </c>
      <c r="O355" s="313" t="str">
        <f t="shared" si="77"/>
        <v/>
      </c>
      <c r="P355" s="307"/>
      <c r="Q355" s="309">
        <f t="shared" si="87"/>
        <v>0.8</v>
      </c>
      <c r="R355" s="307"/>
      <c r="S355" s="314">
        <f t="shared" si="88"/>
        <v>10</v>
      </c>
      <c r="T355" s="304" t="str">
        <f t="shared" si="82"/>
        <v/>
      </c>
      <c r="U355" s="304" t="str">
        <f>IF(A355=YTD!B$6,E355,IF(OR(A355&lt;YTD!B$6,A355&gt;YTD!B$10),"",U354+E355))</f>
        <v/>
      </c>
      <c r="V355" s="304" t="str">
        <f t="shared" si="89"/>
        <v/>
      </c>
      <c r="W355" s="315" t="e">
        <f>IF(I355="",#N/A,YTD!G$8-I355)</f>
        <v>#N/A</v>
      </c>
      <c r="X355" s="368">
        <f t="shared" si="83"/>
        <v>0</v>
      </c>
      <c r="Y355" s="368">
        <f t="shared" si="90"/>
        <v>6</v>
      </c>
      <c r="Z355" s="368" t="str">
        <f t="shared" si="84"/>
        <v/>
      </c>
      <c r="AA355" s="368">
        <v>340</v>
      </c>
      <c r="AB355" s="369">
        <f t="array" ref="AB355">SUM(IF(AA355=Z$16:Z$592,A$16:A$592,""))</f>
        <v>0</v>
      </c>
      <c r="AC355" s="370">
        <f t="array" ref="AC355">SUM(IF(AA355=Z$16:Z$592,J$16:J$592,""))</f>
        <v>0</v>
      </c>
      <c r="AD355" s="370">
        <f t="array" ref="AD355">SUM(IF($AA355=$Z$16:$Z$592,L$16:L$592,""))</f>
        <v>0</v>
      </c>
      <c r="AE355" s="370">
        <f t="array" ref="AE355">SUM(IF($AA355=$Z$16:$Z$592,M$16:M$592,""))</f>
        <v>0</v>
      </c>
      <c r="AF355" s="368">
        <f t="array" ref="AF355">SUM(IF($AA355=$Z$16:$Z$592,N$16:N$592,""))</f>
        <v>0</v>
      </c>
      <c r="AG355" s="370">
        <f t="array" ref="AG355">SUM(IF($AA355=$Z$16:$Z$592,O$16:O$592,""))</f>
        <v>0</v>
      </c>
      <c r="AH355" s="2"/>
      <c r="AI355" s="2"/>
      <c r="AJ355" s="2"/>
    </row>
    <row r="356" spans="1:36" x14ac:dyDescent="0.2">
      <c r="A356" s="306">
        <f>Crop!B389</f>
        <v>41980</v>
      </c>
      <c r="B356" s="307"/>
      <c r="C356" s="308"/>
      <c r="D356" s="304" t="str">
        <f>IF(OR($A356&lt;$A$3,$A356&gt;$A$7),"",Crop!$D389)</f>
        <v/>
      </c>
      <c r="E356" s="304" t="str">
        <f t="shared" si="78"/>
        <v/>
      </c>
      <c r="F356" s="304" t="str">
        <f>IF(OR(A356&lt;A$3,A356&gt;A$7),"",Crop!U389)</f>
        <v/>
      </c>
      <c r="G356" s="304" t="str">
        <f t="shared" si="79"/>
        <v/>
      </c>
      <c r="H356" s="309" t="str">
        <f>IF(OR(A356&lt;A$3,A356&gt;A$7),"",YTD!E353)</f>
        <v/>
      </c>
      <c r="I356" s="310" t="str">
        <f t="shared" si="80"/>
        <v/>
      </c>
      <c r="J356" s="311"/>
      <c r="K356" s="309" t="str">
        <f t="shared" si="81"/>
        <v/>
      </c>
      <c r="L356" s="312" t="str">
        <f t="shared" si="85"/>
        <v/>
      </c>
      <c r="M356" s="366" t="str">
        <f t="shared" si="86"/>
        <v/>
      </c>
      <c r="N356" s="328" t="str">
        <f t="shared" si="76"/>
        <v/>
      </c>
      <c r="O356" s="313" t="str">
        <f t="shared" si="77"/>
        <v/>
      </c>
      <c r="P356" s="307"/>
      <c r="Q356" s="309">
        <f t="shared" si="87"/>
        <v>0.8</v>
      </c>
      <c r="R356" s="307"/>
      <c r="S356" s="314">
        <f t="shared" si="88"/>
        <v>10</v>
      </c>
      <c r="T356" s="304" t="str">
        <f t="shared" si="82"/>
        <v/>
      </c>
      <c r="U356" s="304" t="str">
        <f>IF(A356=YTD!B$6,E356,IF(OR(A356&lt;YTD!B$6,A356&gt;YTD!B$10),"",U355+E356))</f>
        <v/>
      </c>
      <c r="V356" s="304" t="str">
        <f t="shared" si="89"/>
        <v/>
      </c>
      <c r="W356" s="315" t="e">
        <f>IF(I356="",#N/A,YTD!G$8-I356)</f>
        <v>#N/A</v>
      </c>
      <c r="X356" s="368">
        <f t="shared" si="83"/>
        <v>0</v>
      </c>
      <c r="Y356" s="368">
        <f t="shared" si="90"/>
        <v>6</v>
      </c>
      <c r="Z356" s="368" t="str">
        <f t="shared" si="84"/>
        <v/>
      </c>
      <c r="AA356" s="368">
        <v>341</v>
      </c>
      <c r="AB356" s="369">
        <f t="array" ref="AB356">SUM(IF(AA356=Z$16:Z$592,A$16:A$592,""))</f>
        <v>0</v>
      </c>
      <c r="AC356" s="370">
        <f t="array" ref="AC356">SUM(IF(AA356=Z$16:Z$592,J$16:J$592,""))</f>
        <v>0</v>
      </c>
      <c r="AD356" s="370">
        <f t="array" ref="AD356">SUM(IF($AA356=$Z$16:$Z$592,L$16:L$592,""))</f>
        <v>0</v>
      </c>
      <c r="AE356" s="370">
        <f t="array" ref="AE356">SUM(IF($AA356=$Z$16:$Z$592,M$16:M$592,""))</f>
        <v>0</v>
      </c>
      <c r="AF356" s="368">
        <f t="array" ref="AF356">SUM(IF($AA356=$Z$16:$Z$592,N$16:N$592,""))</f>
        <v>0</v>
      </c>
      <c r="AG356" s="370">
        <f t="array" ref="AG356">SUM(IF($AA356=$Z$16:$Z$592,O$16:O$592,""))</f>
        <v>0</v>
      </c>
      <c r="AH356" s="2"/>
      <c r="AI356" s="2"/>
      <c r="AJ356" s="2"/>
    </row>
    <row r="357" spans="1:36" x14ac:dyDescent="0.2">
      <c r="A357" s="306">
        <f>Crop!B390</f>
        <v>41981</v>
      </c>
      <c r="B357" s="307"/>
      <c r="C357" s="308"/>
      <c r="D357" s="304" t="str">
        <f>IF(OR($A357&lt;$A$3,$A357&gt;$A$7),"",Crop!$D390)</f>
        <v/>
      </c>
      <c r="E357" s="304" t="str">
        <f t="shared" si="78"/>
        <v/>
      </c>
      <c r="F357" s="304" t="str">
        <f>IF(OR(A357&lt;A$3,A357&gt;A$7),"",Crop!U390)</f>
        <v/>
      </c>
      <c r="G357" s="304" t="str">
        <f t="shared" si="79"/>
        <v/>
      </c>
      <c r="H357" s="309" t="str">
        <f>IF(OR(A357&lt;A$3,A357&gt;A$7),"",YTD!E354)</f>
        <v/>
      </c>
      <c r="I357" s="310" t="str">
        <f t="shared" si="80"/>
        <v/>
      </c>
      <c r="J357" s="311"/>
      <c r="K357" s="309" t="str">
        <f t="shared" si="81"/>
        <v/>
      </c>
      <c r="L357" s="312" t="str">
        <f t="shared" si="85"/>
        <v/>
      </c>
      <c r="M357" s="366" t="str">
        <f t="shared" si="86"/>
        <v/>
      </c>
      <c r="N357" s="328" t="str">
        <f t="shared" si="76"/>
        <v/>
      </c>
      <c r="O357" s="313" t="str">
        <f t="shared" si="77"/>
        <v/>
      </c>
      <c r="P357" s="307"/>
      <c r="Q357" s="309">
        <f t="shared" si="87"/>
        <v>0.8</v>
      </c>
      <c r="R357" s="307"/>
      <c r="S357" s="314">
        <f t="shared" si="88"/>
        <v>10</v>
      </c>
      <c r="T357" s="304" t="str">
        <f t="shared" si="82"/>
        <v/>
      </c>
      <c r="U357" s="304" t="str">
        <f>IF(A357=YTD!B$6,E357,IF(OR(A357&lt;YTD!B$6,A357&gt;YTD!B$10),"",U356+E357))</f>
        <v/>
      </c>
      <c r="V357" s="304" t="str">
        <f t="shared" si="89"/>
        <v/>
      </c>
      <c r="W357" s="315" t="e">
        <f>IF(I357="",#N/A,YTD!G$8-I357)</f>
        <v>#N/A</v>
      </c>
      <c r="X357" s="368">
        <f t="shared" si="83"/>
        <v>0</v>
      </c>
      <c r="Y357" s="368">
        <f t="shared" si="90"/>
        <v>6</v>
      </c>
      <c r="Z357" s="368" t="str">
        <f t="shared" si="84"/>
        <v/>
      </c>
      <c r="AA357" s="368">
        <v>342</v>
      </c>
      <c r="AB357" s="369">
        <f t="array" ref="AB357">SUM(IF(AA357=Z$16:Z$592,A$16:A$592,""))</f>
        <v>0</v>
      </c>
      <c r="AC357" s="370">
        <f t="array" ref="AC357">SUM(IF(AA357=Z$16:Z$592,J$16:J$592,""))</f>
        <v>0</v>
      </c>
      <c r="AD357" s="370">
        <f t="array" ref="AD357">SUM(IF($AA357=$Z$16:$Z$592,L$16:L$592,""))</f>
        <v>0</v>
      </c>
      <c r="AE357" s="370">
        <f t="array" ref="AE357">SUM(IF($AA357=$Z$16:$Z$592,M$16:M$592,""))</f>
        <v>0</v>
      </c>
      <c r="AF357" s="368">
        <f t="array" ref="AF357">SUM(IF($AA357=$Z$16:$Z$592,N$16:N$592,""))</f>
        <v>0</v>
      </c>
      <c r="AG357" s="370">
        <f t="array" ref="AG357">SUM(IF($AA357=$Z$16:$Z$592,O$16:O$592,""))</f>
        <v>0</v>
      </c>
      <c r="AH357" s="2"/>
      <c r="AI357" s="2"/>
      <c r="AJ357" s="2"/>
    </row>
    <row r="358" spans="1:36" x14ac:dyDescent="0.2">
      <c r="A358" s="306">
        <f>Crop!B391</f>
        <v>41982</v>
      </c>
      <c r="B358" s="307"/>
      <c r="C358" s="308"/>
      <c r="D358" s="304" t="str">
        <f>IF(OR($A358&lt;$A$3,$A358&gt;$A$7),"",Crop!$D391)</f>
        <v/>
      </c>
      <c r="E358" s="304" t="str">
        <f t="shared" si="78"/>
        <v/>
      </c>
      <c r="F358" s="304" t="str">
        <f>IF(OR(A358&lt;A$3,A358&gt;A$7),"",Crop!U391)</f>
        <v/>
      </c>
      <c r="G358" s="304" t="str">
        <f t="shared" si="79"/>
        <v/>
      </c>
      <c r="H358" s="309" t="str">
        <f>IF(OR(A358&lt;A$3,A358&gt;A$7),"",YTD!E355)</f>
        <v/>
      </c>
      <c r="I358" s="310" t="str">
        <f t="shared" si="80"/>
        <v/>
      </c>
      <c r="J358" s="311"/>
      <c r="K358" s="309" t="str">
        <f t="shared" si="81"/>
        <v/>
      </c>
      <c r="L358" s="312" t="str">
        <f t="shared" si="85"/>
        <v/>
      </c>
      <c r="M358" s="366" t="str">
        <f t="shared" si="86"/>
        <v/>
      </c>
      <c r="N358" s="328" t="str">
        <f t="shared" si="76"/>
        <v/>
      </c>
      <c r="O358" s="313" t="str">
        <f t="shared" si="77"/>
        <v/>
      </c>
      <c r="P358" s="307"/>
      <c r="Q358" s="309">
        <f t="shared" si="87"/>
        <v>0.8</v>
      </c>
      <c r="R358" s="307"/>
      <c r="S358" s="314">
        <f t="shared" si="88"/>
        <v>10</v>
      </c>
      <c r="T358" s="304" t="str">
        <f t="shared" si="82"/>
        <v/>
      </c>
      <c r="U358" s="304" t="str">
        <f>IF(A358=YTD!B$6,E358,IF(OR(A358&lt;YTD!B$6,A358&gt;YTD!B$10),"",U357+E358))</f>
        <v/>
      </c>
      <c r="V358" s="304" t="str">
        <f t="shared" si="89"/>
        <v/>
      </c>
      <c r="W358" s="315" t="e">
        <f>IF(I358="",#N/A,YTD!G$8-I358)</f>
        <v>#N/A</v>
      </c>
      <c r="X358" s="368">
        <f t="shared" si="83"/>
        <v>0</v>
      </c>
      <c r="Y358" s="368">
        <f t="shared" si="90"/>
        <v>6</v>
      </c>
      <c r="Z358" s="368" t="str">
        <f t="shared" si="84"/>
        <v/>
      </c>
      <c r="AA358" s="368">
        <v>343</v>
      </c>
      <c r="AB358" s="369">
        <f t="array" ref="AB358">SUM(IF(AA358=Z$16:Z$592,A$16:A$592,""))</f>
        <v>0</v>
      </c>
      <c r="AC358" s="370">
        <f t="array" ref="AC358">SUM(IF(AA358=Z$16:Z$592,J$16:J$592,""))</f>
        <v>0</v>
      </c>
      <c r="AD358" s="370">
        <f t="array" ref="AD358">SUM(IF($AA358=$Z$16:$Z$592,L$16:L$592,""))</f>
        <v>0</v>
      </c>
      <c r="AE358" s="370">
        <f t="array" ref="AE358">SUM(IF($AA358=$Z$16:$Z$592,M$16:M$592,""))</f>
        <v>0</v>
      </c>
      <c r="AF358" s="368">
        <f t="array" ref="AF358">SUM(IF($AA358=$Z$16:$Z$592,N$16:N$592,""))</f>
        <v>0</v>
      </c>
      <c r="AG358" s="370">
        <f t="array" ref="AG358">SUM(IF($AA358=$Z$16:$Z$592,O$16:O$592,""))</f>
        <v>0</v>
      </c>
      <c r="AH358" s="2"/>
      <c r="AI358" s="2"/>
      <c r="AJ358" s="2"/>
    </row>
    <row r="359" spans="1:36" x14ac:dyDescent="0.2">
      <c r="A359" s="306">
        <f>Crop!B392</f>
        <v>41983</v>
      </c>
      <c r="B359" s="307"/>
      <c r="C359" s="308"/>
      <c r="D359" s="304" t="str">
        <f>IF(OR($A359&lt;$A$3,$A359&gt;$A$7),"",Crop!$D392)</f>
        <v/>
      </c>
      <c r="E359" s="304" t="str">
        <f t="shared" si="78"/>
        <v/>
      </c>
      <c r="F359" s="304" t="str">
        <f>IF(OR(A359&lt;A$3,A359&gt;A$7),"",Crop!U392)</f>
        <v/>
      </c>
      <c r="G359" s="304" t="str">
        <f t="shared" si="79"/>
        <v/>
      </c>
      <c r="H359" s="309" t="str">
        <f>IF(OR(A359&lt;A$3,A359&gt;A$7),"",YTD!E356)</f>
        <v/>
      </c>
      <c r="I359" s="310" t="str">
        <f t="shared" si="80"/>
        <v/>
      </c>
      <c r="J359" s="311"/>
      <c r="K359" s="309" t="str">
        <f t="shared" si="81"/>
        <v/>
      </c>
      <c r="L359" s="312" t="str">
        <f t="shared" si="85"/>
        <v/>
      </c>
      <c r="M359" s="366" t="str">
        <f t="shared" si="86"/>
        <v/>
      </c>
      <c r="N359" s="328" t="str">
        <f t="shared" si="76"/>
        <v/>
      </c>
      <c r="O359" s="313" t="str">
        <f t="shared" si="77"/>
        <v/>
      </c>
      <c r="P359" s="307"/>
      <c r="Q359" s="309">
        <f t="shared" si="87"/>
        <v>0.8</v>
      </c>
      <c r="R359" s="307"/>
      <c r="S359" s="314">
        <f t="shared" si="88"/>
        <v>10</v>
      </c>
      <c r="T359" s="304" t="str">
        <f t="shared" si="82"/>
        <v/>
      </c>
      <c r="U359" s="304" t="str">
        <f>IF(A359=YTD!B$6,E359,IF(OR(A359&lt;YTD!B$6,A359&gt;YTD!B$10),"",U358+E359))</f>
        <v/>
      </c>
      <c r="V359" s="304" t="str">
        <f t="shared" si="89"/>
        <v/>
      </c>
      <c r="W359" s="315" t="e">
        <f>IF(I359="",#N/A,YTD!G$8-I359)</f>
        <v>#N/A</v>
      </c>
      <c r="X359" s="368">
        <f t="shared" si="83"/>
        <v>0</v>
      </c>
      <c r="Y359" s="368">
        <f t="shared" si="90"/>
        <v>6</v>
      </c>
      <c r="Z359" s="368" t="str">
        <f t="shared" si="84"/>
        <v/>
      </c>
      <c r="AA359" s="368">
        <v>344</v>
      </c>
      <c r="AB359" s="369">
        <f t="array" ref="AB359">SUM(IF(AA359=Z$16:Z$592,A$16:A$592,""))</f>
        <v>0</v>
      </c>
      <c r="AC359" s="370">
        <f t="array" ref="AC359">SUM(IF(AA359=Z$16:Z$592,J$16:J$592,""))</f>
        <v>0</v>
      </c>
      <c r="AD359" s="370">
        <f t="array" ref="AD359">SUM(IF($AA359=$Z$16:$Z$592,L$16:L$592,""))</f>
        <v>0</v>
      </c>
      <c r="AE359" s="370">
        <f t="array" ref="AE359">SUM(IF($AA359=$Z$16:$Z$592,M$16:M$592,""))</f>
        <v>0</v>
      </c>
      <c r="AF359" s="368">
        <f t="array" ref="AF359">SUM(IF($AA359=$Z$16:$Z$592,N$16:N$592,""))</f>
        <v>0</v>
      </c>
      <c r="AG359" s="370">
        <f t="array" ref="AG359">SUM(IF($AA359=$Z$16:$Z$592,O$16:O$592,""))</f>
        <v>0</v>
      </c>
      <c r="AH359" s="2"/>
      <c r="AI359" s="2"/>
      <c r="AJ359" s="2"/>
    </row>
    <row r="360" spans="1:36" x14ac:dyDescent="0.2">
      <c r="A360" s="306">
        <f>Crop!B393</f>
        <v>41984</v>
      </c>
      <c r="B360" s="307"/>
      <c r="C360" s="308"/>
      <c r="D360" s="304" t="str">
        <f>IF(OR($A360&lt;$A$3,$A360&gt;$A$7),"",Crop!$D393)</f>
        <v/>
      </c>
      <c r="E360" s="304" t="str">
        <f t="shared" si="78"/>
        <v/>
      </c>
      <c r="F360" s="304" t="str">
        <f>IF(OR(A360&lt;A$3,A360&gt;A$7),"",Crop!U393)</f>
        <v/>
      </c>
      <c r="G360" s="304" t="str">
        <f t="shared" si="79"/>
        <v/>
      </c>
      <c r="H360" s="309" t="str">
        <f>IF(OR(A360&lt;A$3,A360&gt;A$7),"",YTD!E357)</f>
        <v/>
      </c>
      <c r="I360" s="310" t="str">
        <f t="shared" si="80"/>
        <v/>
      </c>
      <c r="J360" s="311"/>
      <c r="K360" s="309" t="str">
        <f t="shared" si="81"/>
        <v/>
      </c>
      <c r="L360" s="312" t="str">
        <f t="shared" si="85"/>
        <v/>
      </c>
      <c r="M360" s="366" t="str">
        <f t="shared" si="86"/>
        <v/>
      </c>
      <c r="N360" s="328" t="str">
        <f t="shared" si="76"/>
        <v/>
      </c>
      <c r="O360" s="313" t="str">
        <f t="shared" si="77"/>
        <v/>
      </c>
      <c r="P360" s="307"/>
      <c r="Q360" s="309">
        <f t="shared" si="87"/>
        <v>0.8</v>
      </c>
      <c r="R360" s="307"/>
      <c r="S360" s="314">
        <f t="shared" si="88"/>
        <v>10</v>
      </c>
      <c r="T360" s="304" t="str">
        <f t="shared" si="82"/>
        <v/>
      </c>
      <c r="U360" s="304" t="str">
        <f>IF(A360=YTD!B$6,E360,IF(OR(A360&lt;YTD!B$6,A360&gt;YTD!B$10),"",U359+E360))</f>
        <v/>
      </c>
      <c r="V360" s="304" t="str">
        <f t="shared" si="89"/>
        <v/>
      </c>
      <c r="W360" s="315" t="e">
        <f>IF(I360="",#N/A,YTD!G$8-I360)</f>
        <v>#N/A</v>
      </c>
      <c r="X360" s="368">
        <f t="shared" si="83"/>
        <v>0</v>
      </c>
      <c r="Y360" s="368">
        <f t="shared" si="90"/>
        <v>6</v>
      </c>
      <c r="Z360" s="368" t="str">
        <f t="shared" si="84"/>
        <v/>
      </c>
      <c r="AA360" s="368">
        <v>345</v>
      </c>
      <c r="AB360" s="369">
        <f t="array" ref="AB360">SUM(IF(AA360=Z$16:Z$592,A$16:A$592,""))</f>
        <v>0</v>
      </c>
      <c r="AC360" s="370">
        <f t="array" ref="AC360">SUM(IF(AA360=Z$16:Z$592,J$16:J$592,""))</f>
        <v>0</v>
      </c>
      <c r="AD360" s="370">
        <f t="array" ref="AD360">SUM(IF($AA360=$Z$16:$Z$592,L$16:L$592,""))</f>
        <v>0</v>
      </c>
      <c r="AE360" s="370">
        <f t="array" ref="AE360">SUM(IF($AA360=$Z$16:$Z$592,M$16:M$592,""))</f>
        <v>0</v>
      </c>
      <c r="AF360" s="368">
        <f t="array" ref="AF360">SUM(IF($AA360=$Z$16:$Z$592,N$16:N$592,""))</f>
        <v>0</v>
      </c>
      <c r="AG360" s="370">
        <f t="array" ref="AG360">SUM(IF($AA360=$Z$16:$Z$592,O$16:O$592,""))</f>
        <v>0</v>
      </c>
      <c r="AH360" s="2"/>
      <c r="AI360" s="2"/>
      <c r="AJ360" s="2"/>
    </row>
    <row r="361" spans="1:36" x14ac:dyDescent="0.2">
      <c r="A361" s="306">
        <f>Crop!B394</f>
        <v>41985</v>
      </c>
      <c r="B361" s="307"/>
      <c r="C361" s="308"/>
      <c r="D361" s="304" t="str">
        <f>IF(OR($A361&lt;$A$3,$A361&gt;$A$7),"",Crop!$D394)</f>
        <v/>
      </c>
      <c r="E361" s="304" t="str">
        <f t="shared" si="78"/>
        <v/>
      </c>
      <c r="F361" s="304" t="str">
        <f>IF(OR(A361&lt;A$3,A361&gt;A$7),"",Crop!U394)</f>
        <v/>
      </c>
      <c r="G361" s="304" t="str">
        <f t="shared" si="79"/>
        <v/>
      </c>
      <c r="H361" s="309" t="str">
        <f>IF(OR(A361&lt;A$3,A361&gt;A$7),"",YTD!E358)</f>
        <v/>
      </c>
      <c r="I361" s="310" t="str">
        <f t="shared" si="80"/>
        <v/>
      </c>
      <c r="J361" s="311"/>
      <c r="K361" s="309" t="str">
        <f t="shared" si="81"/>
        <v/>
      </c>
      <c r="L361" s="312" t="str">
        <f t="shared" si="85"/>
        <v/>
      </c>
      <c r="M361" s="366" t="str">
        <f t="shared" si="86"/>
        <v/>
      </c>
      <c r="N361" s="328" t="str">
        <f t="shared" si="76"/>
        <v/>
      </c>
      <c r="O361" s="313" t="str">
        <f t="shared" si="77"/>
        <v/>
      </c>
      <c r="P361" s="307"/>
      <c r="Q361" s="309">
        <f t="shared" si="87"/>
        <v>0.8</v>
      </c>
      <c r="R361" s="307"/>
      <c r="S361" s="314">
        <f t="shared" si="88"/>
        <v>10</v>
      </c>
      <c r="T361" s="304" t="str">
        <f t="shared" si="82"/>
        <v/>
      </c>
      <c r="U361" s="304" t="str">
        <f>IF(A361=YTD!B$6,E361,IF(OR(A361&lt;YTD!B$6,A361&gt;YTD!B$10),"",U360+E361))</f>
        <v/>
      </c>
      <c r="V361" s="304" t="str">
        <f t="shared" si="89"/>
        <v/>
      </c>
      <c r="W361" s="315" t="e">
        <f>IF(I361="",#N/A,YTD!G$8-I361)</f>
        <v>#N/A</v>
      </c>
      <c r="X361" s="368">
        <f t="shared" si="83"/>
        <v>0</v>
      </c>
      <c r="Y361" s="368">
        <f t="shared" si="90"/>
        <v>6</v>
      </c>
      <c r="Z361" s="368" t="str">
        <f t="shared" si="84"/>
        <v/>
      </c>
      <c r="AA361" s="368">
        <v>346</v>
      </c>
      <c r="AB361" s="369">
        <f t="array" ref="AB361">SUM(IF(AA361=Z$16:Z$592,A$16:A$592,""))</f>
        <v>0</v>
      </c>
      <c r="AC361" s="370">
        <f t="array" ref="AC361">SUM(IF(AA361=Z$16:Z$592,J$16:J$592,""))</f>
        <v>0</v>
      </c>
      <c r="AD361" s="370">
        <f t="array" ref="AD361">SUM(IF($AA361=$Z$16:$Z$592,L$16:L$592,""))</f>
        <v>0</v>
      </c>
      <c r="AE361" s="370">
        <f t="array" ref="AE361">SUM(IF($AA361=$Z$16:$Z$592,M$16:M$592,""))</f>
        <v>0</v>
      </c>
      <c r="AF361" s="368">
        <f t="array" ref="AF361">SUM(IF($AA361=$Z$16:$Z$592,N$16:N$592,""))</f>
        <v>0</v>
      </c>
      <c r="AG361" s="370">
        <f t="array" ref="AG361">SUM(IF($AA361=$Z$16:$Z$592,O$16:O$592,""))</f>
        <v>0</v>
      </c>
      <c r="AH361" s="2"/>
      <c r="AI361" s="2"/>
      <c r="AJ361" s="2"/>
    </row>
    <row r="362" spans="1:36" x14ac:dyDescent="0.2">
      <c r="A362" s="306">
        <f>Crop!B395</f>
        <v>41986</v>
      </c>
      <c r="B362" s="307"/>
      <c r="C362" s="308"/>
      <c r="D362" s="304" t="str">
        <f>IF(OR($A362&lt;$A$3,$A362&gt;$A$7),"",Crop!$D395)</f>
        <v/>
      </c>
      <c r="E362" s="304" t="str">
        <f t="shared" si="78"/>
        <v/>
      </c>
      <c r="F362" s="304" t="str">
        <f>IF(OR(A362&lt;A$3,A362&gt;A$7),"",Crop!U395)</f>
        <v/>
      </c>
      <c r="G362" s="304" t="str">
        <f t="shared" si="79"/>
        <v/>
      </c>
      <c r="H362" s="309" t="str">
        <f>IF(OR(A362&lt;A$3,A362&gt;A$7),"",YTD!E359)</f>
        <v/>
      </c>
      <c r="I362" s="310" t="str">
        <f t="shared" si="80"/>
        <v/>
      </c>
      <c r="J362" s="311"/>
      <c r="K362" s="309" t="str">
        <f t="shared" si="81"/>
        <v/>
      </c>
      <c r="L362" s="312" t="str">
        <f t="shared" si="85"/>
        <v/>
      </c>
      <c r="M362" s="366" t="str">
        <f t="shared" si="86"/>
        <v/>
      </c>
      <c r="N362" s="328" t="str">
        <f t="shared" si="76"/>
        <v/>
      </c>
      <c r="O362" s="313" t="str">
        <f t="shared" si="77"/>
        <v/>
      </c>
      <c r="P362" s="307"/>
      <c r="Q362" s="309">
        <f t="shared" si="87"/>
        <v>0.8</v>
      </c>
      <c r="R362" s="307"/>
      <c r="S362" s="314">
        <f t="shared" si="88"/>
        <v>10</v>
      </c>
      <c r="T362" s="304" t="str">
        <f t="shared" si="82"/>
        <v/>
      </c>
      <c r="U362" s="304" t="str">
        <f>IF(A362=YTD!B$6,E362,IF(OR(A362&lt;YTD!B$6,A362&gt;YTD!B$10),"",U361+E362))</f>
        <v/>
      </c>
      <c r="V362" s="304" t="str">
        <f t="shared" si="89"/>
        <v/>
      </c>
      <c r="W362" s="315" t="e">
        <f>IF(I362="",#N/A,YTD!G$8-I362)</f>
        <v>#N/A</v>
      </c>
      <c r="X362" s="368">
        <f t="shared" si="83"/>
        <v>0</v>
      </c>
      <c r="Y362" s="368">
        <f t="shared" si="90"/>
        <v>6</v>
      </c>
      <c r="Z362" s="368" t="str">
        <f t="shared" si="84"/>
        <v/>
      </c>
      <c r="AA362" s="368">
        <v>347</v>
      </c>
      <c r="AB362" s="369">
        <f t="array" ref="AB362">SUM(IF(AA362=Z$16:Z$592,A$16:A$592,""))</f>
        <v>0</v>
      </c>
      <c r="AC362" s="370">
        <f t="array" ref="AC362">SUM(IF(AA362=Z$16:Z$592,J$16:J$592,""))</f>
        <v>0</v>
      </c>
      <c r="AD362" s="370">
        <f t="array" ref="AD362">SUM(IF($AA362=$Z$16:$Z$592,L$16:L$592,""))</f>
        <v>0</v>
      </c>
      <c r="AE362" s="370">
        <f t="array" ref="AE362">SUM(IF($AA362=$Z$16:$Z$592,M$16:M$592,""))</f>
        <v>0</v>
      </c>
      <c r="AF362" s="368">
        <f t="array" ref="AF362">SUM(IF($AA362=$Z$16:$Z$592,N$16:N$592,""))</f>
        <v>0</v>
      </c>
      <c r="AG362" s="370">
        <f t="array" ref="AG362">SUM(IF($AA362=$Z$16:$Z$592,O$16:O$592,""))</f>
        <v>0</v>
      </c>
      <c r="AH362" s="2"/>
      <c r="AI362" s="2"/>
      <c r="AJ362" s="2"/>
    </row>
    <row r="363" spans="1:36" x14ac:dyDescent="0.2">
      <c r="A363" s="306">
        <f>Crop!B396</f>
        <v>41987</v>
      </c>
      <c r="B363" s="307"/>
      <c r="C363" s="308"/>
      <c r="D363" s="304" t="str">
        <f>IF(OR($A363&lt;$A$3,$A363&gt;$A$7),"",Crop!$D396)</f>
        <v/>
      </c>
      <c r="E363" s="304" t="str">
        <f t="shared" si="78"/>
        <v/>
      </c>
      <c r="F363" s="304" t="str">
        <f>IF(OR(A363&lt;A$3,A363&gt;A$7),"",Crop!U396)</f>
        <v/>
      </c>
      <c r="G363" s="304" t="str">
        <f t="shared" si="79"/>
        <v/>
      </c>
      <c r="H363" s="309" t="str">
        <f>IF(OR(A363&lt;A$3,A363&gt;A$7),"",YTD!E360)</f>
        <v/>
      </c>
      <c r="I363" s="310" t="str">
        <f t="shared" si="80"/>
        <v/>
      </c>
      <c r="J363" s="311"/>
      <c r="K363" s="309" t="str">
        <f t="shared" si="81"/>
        <v/>
      </c>
      <c r="L363" s="312" t="str">
        <f t="shared" si="85"/>
        <v/>
      </c>
      <c r="M363" s="366" t="str">
        <f t="shared" si="86"/>
        <v/>
      </c>
      <c r="N363" s="328" t="str">
        <f t="shared" si="76"/>
        <v/>
      </c>
      <c r="O363" s="313" t="str">
        <f t="shared" si="77"/>
        <v/>
      </c>
      <c r="P363" s="307"/>
      <c r="Q363" s="309">
        <f t="shared" si="87"/>
        <v>0.8</v>
      </c>
      <c r="R363" s="307"/>
      <c r="S363" s="314">
        <f t="shared" si="88"/>
        <v>10</v>
      </c>
      <c r="T363" s="304" t="str">
        <f t="shared" si="82"/>
        <v/>
      </c>
      <c r="U363" s="304" t="str">
        <f>IF(A363=YTD!B$6,E363,IF(OR(A363&lt;YTD!B$6,A363&gt;YTD!B$10),"",U362+E363))</f>
        <v/>
      </c>
      <c r="V363" s="304" t="str">
        <f t="shared" si="89"/>
        <v/>
      </c>
      <c r="W363" s="315" t="e">
        <f>IF(I363="",#N/A,YTD!G$8-I363)</f>
        <v>#N/A</v>
      </c>
      <c r="X363" s="368">
        <f t="shared" si="83"/>
        <v>0</v>
      </c>
      <c r="Y363" s="368">
        <f t="shared" si="90"/>
        <v>6</v>
      </c>
      <c r="Z363" s="368" t="str">
        <f t="shared" si="84"/>
        <v/>
      </c>
      <c r="AA363" s="368">
        <v>348</v>
      </c>
      <c r="AB363" s="369">
        <f t="array" ref="AB363">SUM(IF(AA363=Z$16:Z$592,A$16:A$592,""))</f>
        <v>0</v>
      </c>
      <c r="AC363" s="370">
        <f t="array" ref="AC363">SUM(IF(AA363=Z$16:Z$592,J$16:J$592,""))</f>
        <v>0</v>
      </c>
      <c r="AD363" s="370">
        <f t="array" ref="AD363">SUM(IF($AA363=$Z$16:$Z$592,L$16:L$592,""))</f>
        <v>0</v>
      </c>
      <c r="AE363" s="370">
        <f t="array" ref="AE363">SUM(IF($AA363=$Z$16:$Z$592,M$16:M$592,""))</f>
        <v>0</v>
      </c>
      <c r="AF363" s="368">
        <f t="array" ref="AF363">SUM(IF($AA363=$Z$16:$Z$592,N$16:N$592,""))</f>
        <v>0</v>
      </c>
      <c r="AG363" s="370">
        <f t="array" ref="AG363">SUM(IF($AA363=$Z$16:$Z$592,O$16:O$592,""))</f>
        <v>0</v>
      </c>
      <c r="AH363" s="2"/>
      <c r="AI363" s="2"/>
      <c r="AJ363" s="2"/>
    </row>
    <row r="364" spans="1:36" x14ac:dyDescent="0.2">
      <c r="A364" s="306">
        <f>Crop!B397</f>
        <v>41988</v>
      </c>
      <c r="B364" s="307"/>
      <c r="C364" s="308"/>
      <c r="D364" s="304" t="str">
        <f>IF(OR($A364&lt;$A$3,$A364&gt;$A$7),"",Crop!$D397)</f>
        <v/>
      </c>
      <c r="E364" s="304" t="str">
        <f t="shared" si="78"/>
        <v/>
      </c>
      <c r="F364" s="304" t="str">
        <f>IF(OR(A364&lt;A$3,A364&gt;A$7),"",Crop!U397)</f>
        <v/>
      </c>
      <c r="G364" s="304" t="str">
        <f t="shared" si="79"/>
        <v/>
      </c>
      <c r="H364" s="309" t="str">
        <f>IF(OR(A364&lt;A$3,A364&gt;A$7),"",YTD!E361)</f>
        <v/>
      </c>
      <c r="I364" s="310" t="str">
        <f t="shared" si="80"/>
        <v/>
      </c>
      <c r="J364" s="311"/>
      <c r="K364" s="309" t="str">
        <f t="shared" si="81"/>
        <v/>
      </c>
      <c r="L364" s="312" t="str">
        <f t="shared" si="85"/>
        <v/>
      </c>
      <c r="M364" s="366" t="str">
        <f t="shared" si="86"/>
        <v/>
      </c>
      <c r="N364" s="328" t="str">
        <f t="shared" si="76"/>
        <v/>
      </c>
      <c r="O364" s="313" t="str">
        <f t="shared" si="77"/>
        <v/>
      </c>
      <c r="P364" s="307"/>
      <c r="Q364" s="309">
        <f t="shared" si="87"/>
        <v>0.8</v>
      </c>
      <c r="R364" s="307"/>
      <c r="S364" s="314">
        <f t="shared" si="88"/>
        <v>10</v>
      </c>
      <c r="T364" s="304" t="str">
        <f t="shared" si="82"/>
        <v/>
      </c>
      <c r="U364" s="304" t="str">
        <f>IF(A364=YTD!B$6,E364,IF(OR(A364&lt;YTD!B$6,A364&gt;YTD!B$10),"",U363+E364))</f>
        <v/>
      </c>
      <c r="V364" s="304" t="str">
        <f t="shared" si="89"/>
        <v/>
      </c>
      <c r="W364" s="315" t="e">
        <f>IF(I364="",#N/A,YTD!G$8-I364)</f>
        <v>#N/A</v>
      </c>
      <c r="X364" s="368">
        <f t="shared" si="83"/>
        <v>0</v>
      </c>
      <c r="Y364" s="368">
        <f t="shared" si="90"/>
        <v>6</v>
      </c>
      <c r="Z364" s="368" t="str">
        <f t="shared" si="84"/>
        <v/>
      </c>
      <c r="AA364" s="368">
        <v>349</v>
      </c>
      <c r="AB364" s="369">
        <f t="array" ref="AB364">SUM(IF(AA364=Z$16:Z$592,A$16:A$592,""))</f>
        <v>0</v>
      </c>
      <c r="AC364" s="370">
        <f t="array" ref="AC364">SUM(IF(AA364=Z$16:Z$592,J$16:J$592,""))</f>
        <v>0</v>
      </c>
      <c r="AD364" s="370">
        <f t="array" ref="AD364">SUM(IF($AA364=$Z$16:$Z$592,L$16:L$592,""))</f>
        <v>0</v>
      </c>
      <c r="AE364" s="370">
        <f t="array" ref="AE364">SUM(IF($AA364=$Z$16:$Z$592,M$16:M$592,""))</f>
        <v>0</v>
      </c>
      <c r="AF364" s="368">
        <f t="array" ref="AF364">SUM(IF($AA364=$Z$16:$Z$592,N$16:N$592,""))</f>
        <v>0</v>
      </c>
      <c r="AG364" s="370">
        <f t="array" ref="AG364">SUM(IF($AA364=$Z$16:$Z$592,O$16:O$592,""))</f>
        <v>0</v>
      </c>
      <c r="AH364" s="2"/>
      <c r="AI364" s="2"/>
      <c r="AJ364" s="2"/>
    </row>
    <row r="365" spans="1:36" x14ac:dyDescent="0.2">
      <c r="A365" s="306">
        <f>Crop!B398</f>
        <v>41989</v>
      </c>
      <c r="B365" s="307"/>
      <c r="C365" s="308"/>
      <c r="D365" s="304" t="str">
        <f>IF(OR($A365&lt;$A$3,$A365&gt;$A$7),"",Crop!$D398)</f>
        <v/>
      </c>
      <c r="E365" s="304" t="str">
        <f t="shared" si="78"/>
        <v/>
      </c>
      <c r="F365" s="304" t="str">
        <f>IF(OR(A365&lt;A$3,A365&gt;A$7),"",Crop!U398)</f>
        <v/>
      </c>
      <c r="G365" s="304" t="str">
        <f t="shared" si="79"/>
        <v/>
      </c>
      <c r="H365" s="309" t="str">
        <f>IF(OR(A365&lt;A$3,A365&gt;A$7),"",YTD!E362)</f>
        <v/>
      </c>
      <c r="I365" s="310" t="str">
        <f t="shared" si="80"/>
        <v/>
      </c>
      <c r="J365" s="311"/>
      <c r="K365" s="309" t="str">
        <f t="shared" si="81"/>
        <v/>
      </c>
      <c r="L365" s="312" t="str">
        <f t="shared" si="85"/>
        <v/>
      </c>
      <c r="M365" s="366" t="str">
        <f t="shared" si="86"/>
        <v/>
      </c>
      <c r="N365" s="328" t="str">
        <f t="shared" si="76"/>
        <v/>
      </c>
      <c r="O365" s="313" t="str">
        <f t="shared" si="77"/>
        <v/>
      </c>
      <c r="P365" s="307"/>
      <c r="Q365" s="309">
        <f t="shared" si="87"/>
        <v>0.8</v>
      </c>
      <c r="R365" s="307"/>
      <c r="S365" s="314">
        <f t="shared" si="88"/>
        <v>10</v>
      </c>
      <c r="T365" s="304" t="str">
        <f t="shared" si="82"/>
        <v/>
      </c>
      <c r="U365" s="304" t="str">
        <f>IF(A365=YTD!B$6,E365,IF(OR(A365&lt;YTD!B$6,A365&gt;YTD!B$10),"",U364+E365))</f>
        <v/>
      </c>
      <c r="V365" s="304" t="str">
        <f t="shared" si="89"/>
        <v/>
      </c>
      <c r="W365" s="315" t="e">
        <f>IF(I365="",#N/A,YTD!G$8-I365)</f>
        <v>#N/A</v>
      </c>
      <c r="X365" s="368">
        <f t="shared" si="83"/>
        <v>0</v>
      </c>
      <c r="Y365" s="368">
        <f t="shared" si="90"/>
        <v>6</v>
      </c>
      <c r="Z365" s="368" t="str">
        <f t="shared" si="84"/>
        <v/>
      </c>
      <c r="AA365" s="368">
        <v>350</v>
      </c>
      <c r="AB365" s="369">
        <f t="array" ref="AB365">SUM(IF(AA365=Z$16:Z$592,A$16:A$592,""))</f>
        <v>0</v>
      </c>
      <c r="AC365" s="370">
        <f t="array" ref="AC365">SUM(IF(AA365=Z$16:Z$592,J$16:J$592,""))</f>
        <v>0</v>
      </c>
      <c r="AD365" s="370">
        <f t="array" ref="AD365">SUM(IF($AA365=$Z$16:$Z$592,L$16:L$592,""))</f>
        <v>0</v>
      </c>
      <c r="AE365" s="370">
        <f t="array" ref="AE365">SUM(IF($AA365=$Z$16:$Z$592,M$16:M$592,""))</f>
        <v>0</v>
      </c>
      <c r="AF365" s="368">
        <f t="array" ref="AF365">SUM(IF($AA365=$Z$16:$Z$592,N$16:N$592,""))</f>
        <v>0</v>
      </c>
      <c r="AG365" s="370">
        <f t="array" ref="AG365">SUM(IF($AA365=$Z$16:$Z$592,O$16:O$592,""))</f>
        <v>0</v>
      </c>
      <c r="AH365" s="2"/>
      <c r="AI365" s="2"/>
      <c r="AJ365" s="2"/>
    </row>
    <row r="366" spans="1:36" x14ac:dyDescent="0.2">
      <c r="A366" s="306">
        <f>Crop!B399</f>
        <v>41990</v>
      </c>
      <c r="B366" s="307"/>
      <c r="C366" s="308"/>
      <c r="D366" s="304" t="str">
        <f>IF(OR($A366&lt;$A$3,$A366&gt;$A$7),"",Crop!$D399)</f>
        <v/>
      </c>
      <c r="E366" s="304" t="str">
        <f t="shared" si="78"/>
        <v/>
      </c>
      <c r="F366" s="304" t="str">
        <f>IF(OR(A366&lt;A$3,A366&gt;A$7),"",Crop!U399)</f>
        <v/>
      </c>
      <c r="G366" s="304" t="str">
        <f t="shared" si="79"/>
        <v/>
      </c>
      <c r="H366" s="309" t="str">
        <f>IF(OR(A366&lt;A$3,A366&gt;A$7),"",YTD!E363)</f>
        <v/>
      </c>
      <c r="I366" s="310" t="str">
        <f t="shared" si="80"/>
        <v/>
      </c>
      <c r="J366" s="311"/>
      <c r="K366" s="309" t="str">
        <f t="shared" si="81"/>
        <v/>
      </c>
      <c r="L366" s="312" t="str">
        <f t="shared" si="85"/>
        <v/>
      </c>
      <c r="M366" s="366" t="str">
        <f t="shared" si="86"/>
        <v/>
      </c>
      <c r="N366" s="328" t="str">
        <f t="shared" si="76"/>
        <v/>
      </c>
      <c r="O366" s="313" t="str">
        <f t="shared" si="77"/>
        <v/>
      </c>
      <c r="P366" s="307"/>
      <c r="Q366" s="309">
        <f t="shared" si="87"/>
        <v>0.8</v>
      </c>
      <c r="R366" s="307"/>
      <c r="S366" s="314">
        <f t="shared" si="88"/>
        <v>10</v>
      </c>
      <c r="T366" s="304" t="str">
        <f t="shared" si="82"/>
        <v/>
      </c>
      <c r="U366" s="304" t="str">
        <f>IF(A366=YTD!B$6,E366,IF(OR(A366&lt;YTD!B$6,A366&gt;YTD!B$10),"",U365+E366))</f>
        <v/>
      </c>
      <c r="V366" s="304" t="str">
        <f t="shared" si="89"/>
        <v/>
      </c>
      <c r="W366" s="315" t="e">
        <f>IF(I366="",#N/A,YTD!G$8-I366)</f>
        <v>#N/A</v>
      </c>
      <c r="X366" s="368">
        <f t="shared" si="83"/>
        <v>0</v>
      </c>
      <c r="Y366" s="368">
        <f t="shared" si="90"/>
        <v>6</v>
      </c>
      <c r="Z366" s="368" t="str">
        <f t="shared" si="84"/>
        <v/>
      </c>
      <c r="AA366" s="368">
        <v>351</v>
      </c>
      <c r="AB366" s="369">
        <f t="array" ref="AB366">SUM(IF(AA366=Z$16:Z$592,A$16:A$592,""))</f>
        <v>0</v>
      </c>
      <c r="AC366" s="370">
        <f t="array" ref="AC366">SUM(IF(AA366=Z$16:Z$592,J$16:J$592,""))</f>
        <v>0</v>
      </c>
      <c r="AD366" s="370">
        <f t="array" ref="AD366">SUM(IF($AA366=$Z$16:$Z$592,L$16:L$592,""))</f>
        <v>0</v>
      </c>
      <c r="AE366" s="370">
        <f t="array" ref="AE366">SUM(IF($AA366=$Z$16:$Z$592,M$16:M$592,""))</f>
        <v>0</v>
      </c>
      <c r="AF366" s="368">
        <f t="array" ref="AF366">SUM(IF($AA366=$Z$16:$Z$592,N$16:N$592,""))</f>
        <v>0</v>
      </c>
      <c r="AG366" s="370">
        <f t="array" ref="AG366">SUM(IF($AA366=$Z$16:$Z$592,O$16:O$592,""))</f>
        <v>0</v>
      </c>
      <c r="AH366" s="2"/>
      <c r="AI366" s="2"/>
      <c r="AJ366" s="2"/>
    </row>
    <row r="367" spans="1:36" x14ac:dyDescent="0.2">
      <c r="A367" s="306">
        <f>Crop!B400</f>
        <v>41991</v>
      </c>
      <c r="B367" s="307"/>
      <c r="C367" s="308"/>
      <c r="D367" s="304" t="str">
        <f>IF(OR($A367&lt;$A$3,$A367&gt;$A$7),"",Crop!$D400)</f>
        <v/>
      </c>
      <c r="E367" s="304" t="str">
        <f t="shared" si="78"/>
        <v/>
      </c>
      <c r="F367" s="304" t="str">
        <f>IF(OR(A367&lt;A$3,A367&gt;A$7),"",Crop!U400)</f>
        <v/>
      </c>
      <c r="G367" s="304" t="str">
        <f t="shared" si="79"/>
        <v/>
      </c>
      <c r="H367" s="309" t="str">
        <f>IF(OR(A367&lt;A$3,A367&gt;A$7),"",YTD!E364)</f>
        <v/>
      </c>
      <c r="I367" s="310" t="str">
        <f t="shared" si="80"/>
        <v/>
      </c>
      <c r="J367" s="311"/>
      <c r="K367" s="309" t="str">
        <f t="shared" si="81"/>
        <v/>
      </c>
      <c r="L367" s="312" t="str">
        <f t="shared" si="85"/>
        <v/>
      </c>
      <c r="M367" s="366" t="str">
        <f t="shared" si="86"/>
        <v/>
      </c>
      <c r="N367" s="328" t="str">
        <f t="shared" si="76"/>
        <v/>
      </c>
      <c r="O367" s="313" t="str">
        <f t="shared" si="77"/>
        <v/>
      </c>
      <c r="P367" s="307"/>
      <c r="Q367" s="309">
        <f t="shared" si="87"/>
        <v>0.8</v>
      </c>
      <c r="R367" s="307"/>
      <c r="S367" s="314">
        <f t="shared" si="88"/>
        <v>10</v>
      </c>
      <c r="T367" s="304" t="str">
        <f t="shared" si="82"/>
        <v/>
      </c>
      <c r="U367" s="304" t="str">
        <f>IF(A367=YTD!B$6,E367,IF(OR(A367&lt;YTD!B$6,A367&gt;YTD!B$10),"",U366+E367))</f>
        <v/>
      </c>
      <c r="V367" s="304" t="str">
        <f t="shared" si="89"/>
        <v/>
      </c>
      <c r="W367" s="315" t="e">
        <f>IF(I367="",#N/A,YTD!G$8-I367)</f>
        <v>#N/A</v>
      </c>
      <c r="X367" s="368">
        <f t="shared" si="83"/>
        <v>0</v>
      </c>
      <c r="Y367" s="368">
        <f t="shared" si="90"/>
        <v>6</v>
      </c>
      <c r="Z367" s="368" t="str">
        <f t="shared" si="84"/>
        <v/>
      </c>
      <c r="AA367" s="368">
        <v>352</v>
      </c>
      <c r="AB367" s="369">
        <f t="array" ref="AB367">SUM(IF(AA367=Z$16:Z$592,A$16:A$592,""))</f>
        <v>0</v>
      </c>
      <c r="AC367" s="370">
        <f t="array" ref="AC367">SUM(IF(AA367=Z$16:Z$592,J$16:J$592,""))</f>
        <v>0</v>
      </c>
      <c r="AD367" s="370">
        <f t="array" ref="AD367">SUM(IF($AA367=$Z$16:$Z$592,L$16:L$592,""))</f>
        <v>0</v>
      </c>
      <c r="AE367" s="370">
        <f t="array" ref="AE367">SUM(IF($AA367=$Z$16:$Z$592,M$16:M$592,""))</f>
        <v>0</v>
      </c>
      <c r="AF367" s="368">
        <f t="array" ref="AF367">SUM(IF($AA367=$Z$16:$Z$592,N$16:N$592,""))</f>
        <v>0</v>
      </c>
      <c r="AG367" s="370">
        <f t="array" ref="AG367">SUM(IF($AA367=$Z$16:$Z$592,O$16:O$592,""))</f>
        <v>0</v>
      </c>
      <c r="AH367" s="2"/>
      <c r="AI367" s="2"/>
      <c r="AJ367" s="2"/>
    </row>
    <row r="368" spans="1:36" x14ac:dyDescent="0.2">
      <c r="A368" s="306">
        <f>Crop!B401</f>
        <v>41992</v>
      </c>
      <c r="B368" s="307"/>
      <c r="C368" s="308"/>
      <c r="D368" s="304" t="str">
        <f>IF(OR($A368&lt;$A$3,$A368&gt;$A$7),"",Crop!$D401)</f>
        <v/>
      </c>
      <c r="E368" s="304" t="str">
        <f t="shared" si="78"/>
        <v/>
      </c>
      <c r="F368" s="304" t="str">
        <f>IF(OR(A368&lt;A$3,A368&gt;A$7),"",Crop!U401)</f>
        <v/>
      </c>
      <c r="G368" s="304" t="str">
        <f t="shared" si="79"/>
        <v/>
      </c>
      <c r="H368" s="309" t="str">
        <f>IF(OR(A368&lt;A$3,A368&gt;A$7),"",YTD!E365)</f>
        <v/>
      </c>
      <c r="I368" s="310" t="str">
        <f t="shared" si="80"/>
        <v/>
      </c>
      <c r="J368" s="311"/>
      <c r="K368" s="309" t="str">
        <f t="shared" si="81"/>
        <v/>
      </c>
      <c r="L368" s="312" t="str">
        <f t="shared" si="85"/>
        <v/>
      </c>
      <c r="M368" s="366" t="str">
        <f t="shared" si="86"/>
        <v/>
      </c>
      <c r="N368" s="328" t="str">
        <f t="shared" si="76"/>
        <v/>
      </c>
      <c r="O368" s="313" t="str">
        <f t="shared" si="77"/>
        <v/>
      </c>
      <c r="P368" s="307"/>
      <c r="Q368" s="309">
        <f t="shared" si="87"/>
        <v>0.8</v>
      </c>
      <c r="R368" s="307"/>
      <c r="S368" s="314">
        <f t="shared" si="88"/>
        <v>10</v>
      </c>
      <c r="T368" s="304" t="str">
        <f t="shared" si="82"/>
        <v/>
      </c>
      <c r="U368" s="304" t="str">
        <f>IF(A368=YTD!B$6,E368,IF(OR(A368&lt;YTD!B$6,A368&gt;YTD!B$10),"",U367+E368))</f>
        <v/>
      </c>
      <c r="V368" s="304" t="str">
        <f t="shared" si="89"/>
        <v/>
      </c>
      <c r="W368" s="315" t="e">
        <f>IF(I368="",#N/A,YTD!G$8-I368)</f>
        <v>#N/A</v>
      </c>
      <c r="X368" s="368">
        <f t="shared" si="83"/>
        <v>0</v>
      </c>
      <c r="Y368" s="368">
        <f t="shared" si="90"/>
        <v>6</v>
      </c>
      <c r="Z368" s="368" t="str">
        <f t="shared" si="84"/>
        <v/>
      </c>
      <c r="AA368" s="368">
        <v>353</v>
      </c>
      <c r="AB368" s="369">
        <f t="array" ref="AB368">SUM(IF(AA368=Z$16:Z$592,A$16:A$592,""))</f>
        <v>0</v>
      </c>
      <c r="AC368" s="370">
        <f t="array" ref="AC368">SUM(IF(AA368=Z$16:Z$592,J$16:J$592,""))</f>
        <v>0</v>
      </c>
      <c r="AD368" s="370">
        <f t="array" ref="AD368">SUM(IF($AA368=$Z$16:$Z$592,L$16:L$592,""))</f>
        <v>0</v>
      </c>
      <c r="AE368" s="370">
        <f t="array" ref="AE368">SUM(IF($AA368=$Z$16:$Z$592,M$16:M$592,""))</f>
        <v>0</v>
      </c>
      <c r="AF368" s="368">
        <f t="array" ref="AF368">SUM(IF($AA368=$Z$16:$Z$592,N$16:N$592,""))</f>
        <v>0</v>
      </c>
      <c r="AG368" s="370">
        <f t="array" ref="AG368">SUM(IF($AA368=$Z$16:$Z$592,O$16:O$592,""))</f>
        <v>0</v>
      </c>
      <c r="AH368" s="2"/>
      <c r="AI368" s="2"/>
      <c r="AJ368" s="2"/>
    </row>
    <row r="369" spans="1:36" x14ac:dyDescent="0.2">
      <c r="A369" s="306">
        <f>Crop!B402</f>
        <v>41993</v>
      </c>
      <c r="B369" s="307"/>
      <c r="C369" s="308"/>
      <c r="D369" s="304" t="str">
        <f>IF(OR($A369&lt;$A$3,$A369&gt;$A$7),"",Crop!$D402)</f>
        <v/>
      </c>
      <c r="E369" s="304" t="str">
        <f t="shared" si="78"/>
        <v/>
      </c>
      <c r="F369" s="304" t="str">
        <f>IF(OR(A369&lt;A$3,A369&gt;A$7),"",Crop!U402)</f>
        <v/>
      </c>
      <c r="G369" s="304" t="str">
        <f t="shared" si="79"/>
        <v/>
      </c>
      <c r="H369" s="309" t="str">
        <f>IF(OR(A369&lt;A$3,A369&gt;A$7),"",YTD!E366)</f>
        <v/>
      </c>
      <c r="I369" s="310" t="str">
        <f t="shared" si="80"/>
        <v/>
      </c>
      <c r="J369" s="311"/>
      <c r="K369" s="309" t="str">
        <f t="shared" si="81"/>
        <v/>
      </c>
      <c r="L369" s="312" t="str">
        <f t="shared" si="85"/>
        <v/>
      </c>
      <c r="M369" s="366" t="str">
        <f t="shared" si="86"/>
        <v/>
      </c>
      <c r="N369" s="328" t="str">
        <f t="shared" si="76"/>
        <v/>
      </c>
      <c r="O369" s="313" t="str">
        <f t="shared" si="77"/>
        <v/>
      </c>
      <c r="P369" s="307"/>
      <c r="Q369" s="309">
        <f t="shared" si="87"/>
        <v>0.8</v>
      </c>
      <c r="R369" s="307"/>
      <c r="S369" s="314">
        <f t="shared" si="88"/>
        <v>10</v>
      </c>
      <c r="T369" s="304" t="str">
        <f t="shared" si="82"/>
        <v/>
      </c>
      <c r="U369" s="304" t="str">
        <f>IF(A369=YTD!B$6,E369,IF(OR(A369&lt;YTD!B$6,A369&gt;YTD!B$10),"",U368+E369))</f>
        <v/>
      </c>
      <c r="V369" s="304" t="str">
        <f t="shared" si="89"/>
        <v/>
      </c>
      <c r="W369" s="315" t="e">
        <f>IF(I369="",#N/A,YTD!G$8-I369)</f>
        <v>#N/A</v>
      </c>
      <c r="X369" s="368">
        <f t="shared" si="83"/>
        <v>0</v>
      </c>
      <c r="Y369" s="368">
        <f t="shared" si="90"/>
        <v>6</v>
      </c>
      <c r="Z369" s="368" t="str">
        <f t="shared" si="84"/>
        <v/>
      </c>
      <c r="AA369" s="368">
        <v>354</v>
      </c>
      <c r="AB369" s="369">
        <f t="array" ref="AB369">SUM(IF(AA369=Z$16:Z$592,A$16:A$592,""))</f>
        <v>0</v>
      </c>
      <c r="AC369" s="370">
        <f t="array" ref="AC369">SUM(IF(AA369=Z$16:Z$592,J$16:J$592,""))</f>
        <v>0</v>
      </c>
      <c r="AD369" s="370">
        <f t="array" ref="AD369">SUM(IF($AA369=$Z$16:$Z$592,L$16:L$592,""))</f>
        <v>0</v>
      </c>
      <c r="AE369" s="370">
        <f t="array" ref="AE369">SUM(IF($AA369=$Z$16:$Z$592,M$16:M$592,""))</f>
        <v>0</v>
      </c>
      <c r="AF369" s="368">
        <f t="array" ref="AF369">SUM(IF($AA369=$Z$16:$Z$592,N$16:N$592,""))</f>
        <v>0</v>
      </c>
      <c r="AG369" s="370">
        <f t="array" ref="AG369">SUM(IF($AA369=$Z$16:$Z$592,O$16:O$592,""))</f>
        <v>0</v>
      </c>
      <c r="AH369" s="2"/>
      <c r="AI369" s="2"/>
      <c r="AJ369" s="2"/>
    </row>
    <row r="370" spans="1:36" x14ac:dyDescent="0.2">
      <c r="A370" s="306">
        <f>Crop!B403</f>
        <v>41994</v>
      </c>
      <c r="B370" s="307"/>
      <c r="C370" s="308"/>
      <c r="D370" s="304" t="str">
        <f>IF(OR($A370&lt;$A$3,$A370&gt;$A$7),"",Crop!$D403)</f>
        <v/>
      </c>
      <c r="E370" s="304" t="str">
        <f t="shared" si="78"/>
        <v/>
      </c>
      <c r="F370" s="304" t="str">
        <f>IF(OR(A370&lt;A$3,A370&gt;A$7),"",Crop!U403)</f>
        <v/>
      </c>
      <c r="G370" s="304" t="str">
        <f t="shared" si="79"/>
        <v/>
      </c>
      <c r="H370" s="309" t="str">
        <f>IF(OR(A370&lt;A$3,A370&gt;A$7),"",YTD!E367)</f>
        <v/>
      </c>
      <c r="I370" s="310" t="str">
        <f t="shared" si="80"/>
        <v/>
      </c>
      <c r="J370" s="311"/>
      <c r="K370" s="309" t="str">
        <f t="shared" si="81"/>
        <v/>
      </c>
      <c r="L370" s="312" t="str">
        <f t="shared" si="85"/>
        <v/>
      </c>
      <c r="M370" s="366" t="str">
        <f t="shared" si="86"/>
        <v/>
      </c>
      <c r="N370" s="328" t="str">
        <f t="shared" si="76"/>
        <v/>
      </c>
      <c r="O370" s="313" t="str">
        <f t="shared" si="77"/>
        <v/>
      </c>
      <c r="P370" s="307"/>
      <c r="Q370" s="309">
        <f t="shared" si="87"/>
        <v>0.8</v>
      </c>
      <c r="R370" s="307"/>
      <c r="S370" s="314">
        <f t="shared" si="88"/>
        <v>10</v>
      </c>
      <c r="T370" s="304" t="str">
        <f t="shared" si="82"/>
        <v/>
      </c>
      <c r="U370" s="304" t="str">
        <f>IF(A370=YTD!B$6,E370,IF(OR(A370&lt;YTD!B$6,A370&gt;YTD!B$10),"",U369+E370))</f>
        <v/>
      </c>
      <c r="V370" s="304" t="str">
        <f t="shared" si="89"/>
        <v/>
      </c>
      <c r="W370" s="315" t="e">
        <f>IF(I370="",#N/A,YTD!G$8-I370)</f>
        <v>#N/A</v>
      </c>
      <c r="X370" s="368">
        <f t="shared" si="83"/>
        <v>0</v>
      </c>
      <c r="Y370" s="368">
        <f t="shared" si="90"/>
        <v>6</v>
      </c>
      <c r="Z370" s="368" t="str">
        <f t="shared" si="84"/>
        <v/>
      </c>
      <c r="AA370" s="368">
        <v>355</v>
      </c>
      <c r="AB370" s="369">
        <f t="array" ref="AB370">SUM(IF(AA370=Z$16:Z$592,A$16:A$592,""))</f>
        <v>0</v>
      </c>
      <c r="AC370" s="370">
        <f t="array" ref="AC370">SUM(IF(AA370=Z$16:Z$592,J$16:J$592,""))</f>
        <v>0</v>
      </c>
      <c r="AD370" s="370">
        <f t="array" ref="AD370">SUM(IF($AA370=$Z$16:$Z$592,L$16:L$592,""))</f>
        <v>0</v>
      </c>
      <c r="AE370" s="370">
        <f t="array" ref="AE370">SUM(IF($AA370=$Z$16:$Z$592,M$16:M$592,""))</f>
        <v>0</v>
      </c>
      <c r="AF370" s="368">
        <f t="array" ref="AF370">SUM(IF($AA370=$Z$16:$Z$592,N$16:N$592,""))</f>
        <v>0</v>
      </c>
      <c r="AG370" s="370">
        <f t="array" ref="AG370">SUM(IF($AA370=$Z$16:$Z$592,O$16:O$592,""))</f>
        <v>0</v>
      </c>
      <c r="AH370" s="2"/>
      <c r="AI370" s="2"/>
      <c r="AJ370" s="2"/>
    </row>
    <row r="371" spans="1:36" x14ac:dyDescent="0.2">
      <c r="A371" s="306">
        <f>Crop!B404</f>
        <v>41995</v>
      </c>
      <c r="B371" s="307"/>
      <c r="C371" s="308"/>
      <c r="D371" s="304" t="str">
        <f>IF(OR($A371&lt;$A$3,$A371&gt;$A$7),"",Crop!$D404)</f>
        <v/>
      </c>
      <c r="E371" s="304" t="str">
        <f t="shared" si="78"/>
        <v/>
      </c>
      <c r="F371" s="304" t="str">
        <f>IF(OR(A371&lt;A$3,A371&gt;A$7),"",Crop!U404)</f>
        <v/>
      </c>
      <c r="G371" s="304" t="str">
        <f t="shared" si="79"/>
        <v/>
      </c>
      <c r="H371" s="309" t="str">
        <f>IF(OR(A371&lt;A$3,A371&gt;A$7),"",YTD!E368)</f>
        <v/>
      </c>
      <c r="I371" s="310" t="str">
        <f t="shared" si="80"/>
        <v/>
      </c>
      <c r="J371" s="311"/>
      <c r="K371" s="309" t="str">
        <f t="shared" si="81"/>
        <v/>
      </c>
      <c r="L371" s="312" t="str">
        <f t="shared" si="85"/>
        <v/>
      </c>
      <c r="M371" s="366" t="str">
        <f t="shared" si="86"/>
        <v/>
      </c>
      <c r="N371" s="328" t="str">
        <f t="shared" si="76"/>
        <v/>
      </c>
      <c r="O371" s="313" t="str">
        <f t="shared" si="77"/>
        <v/>
      </c>
      <c r="P371" s="307"/>
      <c r="Q371" s="309">
        <f t="shared" si="87"/>
        <v>0.8</v>
      </c>
      <c r="R371" s="307"/>
      <c r="S371" s="314">
        <f t="shared" si="88"/>
        <v>10</v>
      </c>
      <c r="T371" s="304" t="str">
        <f t="shared" si="82"/>
        <v/>
      </c>
      <c r="U371" s="304" t="str">
        <f>IF(A371=YTD!B$6,E371,IF(OR(A371&lt;YTD!B$6,A371&gt;YTD!B$10),"",U370+E371))</f>
        <v/>
      </c>
      <c r="V371" s="304" t="str">
        <f t="shared" si="89"/>
        <v/>
      </c>
      <c r="W371" s="315" t="e">
        <f>IF(I371="",#N/A,YTD!G$8-I371)</f>
        <v>#N/A</v>
      </c>
      <c r="X371" s="368">
        <f t="shared" si="83"/>
        <v>0</v>
      </c>
      <c r="Y371" s="368">
        <f t="shared" si="90"/>
        <v>6</v>
      </c>
      <c r="Z371" s="368" t="str">
        <f t="shared" si="84"/>
        <v/>
      </c>
      <c r="AA371" s="368">
        <v>356</v>
      </c>
      <c r="AB371" s="369">
        <f t="array" ref="AB371">SUM(IF(AA371=Z$16:Z$592,A$16:A$592,""))</f>
        <v>0</v>
      </c>
      <c r="AC371" s="370">
        <f t="array" ref="AC371">SUM(IF(AA371=Z$16:Z$592,J$16:J$592,""))</f>
        <v>0</v>
      </c>
      <c r="AD371" s="370">
        <f t="array" ref="AD371">SUM(IF($AA371=$Z$16:$Z$592,L$16:L$592,""))</f>
        <v>0</v>
      </c>
      <c r="AE371" s="370">
        <f t="array" ref="AE371">SUM(IF($AA371=$Z$16:$Z$592,M$16:M$592,""))</f>
        <v>0</v>
      </c>
      <c r="AF371" s="368">
        <f t="array" ref="AF371">SUM(IF($AA371=$Z$16:$Z$592,N$16:N$592,""))</f>
        <v>0</v>
      </c>
      <c r="AG371" s="370">
        <f t="array" ref="AG371">SUM(IF($AA371=$Z$16:$Z$592,O$16:O$592,""))</f>
        <v>0</v>
      </c>
      <c r="AH371" s="2"/>
      <c r="AI371" s="2"/>
      <c r="AJ371" s="2"/>
    </row>
    <row r="372" spans="1:36" x14ac:dyDescent="0.2">
      <c r="A372" s="306">
        <f>Crop!B405</f>
        <v>41996</v>
      </c>
      <c r="B372" s="307"/>
      <c r="C372" s="308"/>
      <c r="D372" s="304" t="str">
        <f>IF(OR($A372&lt;$A$3,$A372&gt;$A$7),"",Crop!$D405)</f>
        <v/>
      </c>
      <c r="E372" s="304" t="str">
        <f t="shared" si="78"/>
        <v/>
      </c>
      <c r="F372" s="304" t="str">
        <f>IF(OR(A372&lt;A$3,A372&gt;A$7),"",Crop!U405)</f>
        <v/>
      </c>
      <c r="G372" s="304" t="str">
        <f t="shared" si="79"/>
        <v/>
      </c>
      <c r="H372" s="309" t="str">
        <f>IF(OR(A372&lt;A$3,A372&gt;A$7),"",YTD!E369)</f>
        <v/>
      </c>
      <c r="I372" s="310" t="str">
        <f t="shared" si="80"/>
        <v/>
      </c>
      <c r="J372" s="311"/>
      <c r="K372" s="309" t="str">
        <f t="shared" si="81"/>
        <v/>
      </c>
      <c r="L372" s="312" t="str">
        <f t="shared" si="85"/>
        <v/>
      </c>
      <c r="M372" s="366" t="str">
        <f t="shared" si="86"/>
        <v/>
      </c>
      <c r="N372" s="328" t="str">
        <f t="shared" si="76"/>
        <v/>
      </c>
      <c r="O372" s="313" t="str">
        <f t="shared" si="77"/>
        <v/>
      </c>
      <c r="P372" s="307"/>
      <c r="Q372" s="309">
        <f t="shared" si="87"/>
        <v>0.8</v>
      </c>
      <c r="R372" s="307"/>
      <c r="S372" s="314">
        <f t="shared" si="88"/>
        <v>10</v>
      </c>
      <c r="T372" s="304" t="str">
        <f t="shared" si="82"/>
        <v/>
      </c>
      <c r="U372" s="304" t="str">
        <f>IF(A372=YTD!B$6,E372,IF(OR(A372&lt;YTD!B$6,A372&gt;YTD!B$10),"",U371+E372))</f>
        <v/>
      </c>
      <c r="V372" s="304" t="str">
        <f t="shared" si="89"/>
        <v/>
      </c>
      <c r="W372" s="315" t="e">
        <f>IF(I372="",#N/A,YTD!G$8-I372)</f>
        <v>#N/A</v>
      </c>
      <c r="X372" s="368">
        <f t="shared" si="83"/>
        <v>0</v>
      </c>
      <c r="Y372" s="368">
        <f t="shared" si="90"/>
        <v>6</v>
      </c>
      <c r="Z372" s="368" t="str">
        <f t="shared" si="84"/>
        <v/>
      </c>
      <c r="AA372" s="368">
        <v>357</v>
      </c>
      <c r="AB372" s="369">
        <f t="array" ref="AB372">SUM(IF(AA372=Z$16:Z$592,A$16:A$592,""))</f>
        <v>0</v>
      </c>
      <c r="AC372" s="370">
        <f t="array" ref="AC372">SUM(IF(AA372=Z$16:Z$592,J$16:J$592,""))</f>
        <v>0</v>
      </c>
      <c r="AD372" s="370">
        <f t="array" ref="AD372">SUM(IF($AA372=$Z$16:$Z$592,L$16:L$592,""))</f>
        <v>0</v>
      </c>
      <c r="AE372" s="370">
        <f t="array" ref="AE372">SUM(IF($AA372=$Z$16:$Z$592,M$16:M$592,""))</f>
        <v>0</v>
      </c>
      <c r="AF372" s="368">
        <f t="array" ref="AF372">SUM(IF($AA372=$Z$16:$Z$592,N$16:N$592,""))</f>
        <v>0</v>
      </c>
      <c r="AG372" s="370">
        <f t="array" ref="AG372">SUM(IF($AA372=$Z$16:$Z$592,O$16:O$592,""))</f>
        <v>0</v>
      </c>
      <c r="AH372" s="2"/>
      <c r="AI372" s="2"/>
      <c r="AJ372" s="2"/>
    </row>
    <row r="373" spans="1:36" x14ac:dyDescent="0.2">
      <c r="A373" s="306">
        <f>Crop!B406</f>
        <v>41997</v>
      </c>
      <c r="B373" s="307"/>
      <c r="C373" s="308"/>
      <c r="D373" s="304" t="str">
        <f>IF(OR($A373&lt;$A$3,$A373&gt;$A$7),"",Crop!$D406)</f>
        <v/>
      </c>
      <c r="E373" s="304" t="str">
        <f t="shared" si="78"/>
        <v/>
      </c>
      <c r="F373" s="304" t="str">
        <f>IF(OR(A373&lt;A$3,A373&gt;A$7),"",Crop!U406)</f>
        <v/>
      </c>
      <c r="G373" s="304" t="str">
        <f t="shared" si="79"/>
        <v/>
      </c>
      <c r="H373" s="309" t="str">
        <f>IF(OR(A373&lt;A$3,A373&gt;A$7),"",YTD!E370)</f>
        <v/>
      </c>
      <c r="I373" s="310" t="str">
        <f t="shared" si="80"/>
        <v/>
      </c>
      <c r="J373" s="311"/>
      <c r="K373" s="309" t="str">
        <f t="shared" si="81"/>
        <v/>
      </c>
      <c r="L373" s="312" t="str">
        <f t="shared" si="85"/>
        <v/>
      </c>
      <c r="M373" s="366" t="str">
        <f t="shared" si="86"/>
        <v/>
      </c>
      <c r="N373" s="328" t="str">
        <f t="shared" si="76"/>
        <v/>
      </c>
      <c r="O373" s="313" t="str">
        <f t="shared" si="77"/>
        <v/>
      </c>
      <c r="P373" s="307"/>
      <c r="Q373" s="309">
        <f t="shared" si="87"/>
        <v>0.8</v>
      </c>
      <c r="R373" s="307"/>
      <c r="S373" s="314">
        <f t="shared" si="88"/>
        <v>10</v>
      </c>
      <c r="T373" s="304" t="str">
        <f t="shared" si="82"/>
        <v/>
      </c>
      <c r="U373" s="304" t="str">
        <f>IF(A373=YTD!B$6,E373,IF(OR(A373&lt;YTD!B$6,A373&gt;YTD!B$10),"",U372+E373))</f>
        <v/>
      </c>
      <c r="V373" s="304" t="str">
        <f t="shared" si="89"/>
        <v/>
      </c>
      <c r="W373" s="315" t="e">
        <f>IF(I373="",#N/A,YTD!G$8-I373)</f>
        <v>#N/A</v>
      </c>
      <c r="X373" s="368">
        <f t="shared" si="83"/>
        <v>0</v>
      </c>
      <c r="Y373" s="368">
        <f t="shared" si="90"/>
        <v>6</v>
      </c>
      <c r="Z373" s="368" t="str">
        <f t="shared" si="84"/>
        <v/>
      </c>
      <c r="AA373" s="368">
        <v>358</v>
      </c>
      <c r="AB373" s="369">
        <f t="array" ref="AB373">SUM(IF(AA373=Z$16:Z$592,A$16:A$592,""))</f>
        <v>0</v>
      </c>
      <c r="AC373" s="370">
        <f t="array" ref="AC373">SUM(IF(AA373=Z$16:Z$592,J$16:J$592,""))</f>
        <v>0</v>
      </c>
      <c r="AD373" s="370">
        <f t="array" ref="AD373">SUM(IF($AA373=$Z$16:$Z$592,L$16:L$592,""))</f>
        <v>0</v>
      </c>
      <c r="AE373" s="370">
        <f t="array" ref="AE373">SUM(IF($AA373=$Z$16:$Z$592,M$16:M$592,""))</f>
        <v>0</v>
      </c>
      <c r="AF373" s="368">
        <f t="array" ref="AF373">SUM(IF($AA373=$Z$16:$Z$592,N$16:N$592,""))</f>
        <v>0</v>
      </c>
      <c r="AG373" s="370">
        <f t="array" ref="AG373">SUM(IF($AA373=$Z$16:$Z$592,O$16:O$592,""))</f>
        <v>0</v>
      </c>
      <c r="AH373" s="2"/>
      <c r="AI373" s="2"/>
      <c r="AJ373" s="2"/>
    </row>
    <row r="374" spans="1:36" x14ac:dyDescent="0.2">
      <c r="A374" s="306">
        <f>Crop!B407</f>
        <v>41998</v>
      </c>
      <c r="B374" s="307"/>
      <c r="C374" s="308"/>
      <c r="D374" s="304" t="str">
        <f>IF(OR($A374&lt;$A$3,$A374&gt;$A$7),"",Crop!$D407)</f>
        <v/>
      </c>
      <c r="E374" s="304" t="str">
        <f t="shared" si="78"/>
        <v/>
      </c>
      <c r="F374" s="304" t="str">
        <f>IF(OR(A374&lt;A$3,A374&gt;A$7),"",Crop!U407)</f>
        <v/>
      </c>
      <c r="G374" s="304" t="str">
        <f t="shared" si="79"/>
        <v/>
      </c>
      <c r="H374" s="309" t="str">
        <f>IF(OR(A374&lt;A$3,A374&gt;A$7),"",YTD!E371)</f>
        <v/>
      </c>
      <c r="I374" s="310" t="str">
        <f t="shared" si="80"/>
        <v/>
      </c>
      <c r="J374" s="311"/>
      <c r="K374" s="309" t="str">
        <f t="shared" si="81"/>
        <v/>
      </c>
      <c r="L374" s="312" t="str">
        <f t="shared" si="85"/>
        <v/>
      </c>
      <c r="M374" s="366" t="str">
        <f t="shared" si="86"/>
        <v/>
      </c>
      <c r="N374" s="328" t="str">
        <f t="shared" si="76"/>
        <v/>
      </c>
      <c r="O374" s="313" t="str">
        <f t="shared" si="77"/>
        <v/>
      </c>
      <c r="P374" s="307"/>
      <c r="Q374" s="309">
        <f t="shared" si="87"/>
        <v>0.8</v>
      </c>
      <c r="R374" s="307"/>
      <c r="S374" s="314">
        <f t="shared" si="88"/>
        <v>10</v>
      </c>
      <c r="T374" s="304" t="str">
        <f t="shared" si="82"/>
        <v/>
      </c>
      <c r="U374" s="304" t="str">
        <f>IF(A374=YTD!B$6,E374,IF(OR(A374&lt;YTD!B$6,A374&gt;YTD!B$10),"",U373+E374))</f>
        <v/>
      </c>
      <c r="V374" s="304" t="str">
        <f t="shared" si="89"/>
        <v/>
      </c>
      <c r="W374" s="315" t="e">
        <f>IF(I374="",#N/A,YTD!G$8-I374)</f>
        <v>#N/A</v>
      </c>
      <c r="X374" s="368">
        <f t="shared" si="83"/>
        <v>0</v>
      </c>
      <c r="Y374" s="368">
        <f t="shared" si="90"/>
        <v>6</v>
      </c>
      <c r="Z374" s="368" t="str">
        <f t="shared" si="84"/>
        <v/>
      </c>
      <c r="AA374" s="368">
        <v>359</v>
      </c>
      <c r="AB374" s="369">
        <f t="array" ref="AB374">SUM(IF(AA374=Z$16:Z$592,A$16:A$592,""))</f>
        <v>0</v>
      </c>
      <c r="AC374" s="370">
        <f t="array" ref="AC374">SUM(IF(AA374=Z$16:Z$592,J$16:J$592,""))</f>
        <v>0</v>
      </c>
      <c r="AD374" s="370">
        <f t="array" ref="AD374">SUM(IF($AA374=$Z$16:$Z$592,L$16:L$592,""))</f>
        <v>0</v>
      </c>
      <c r="AE374" s="370">
        <f t="array" ref="AE374">SUM(IF($AA374=$Z$16:$Z$592,M$16:M$592,""))</f>
        <v>0</v>
      </c>
      <c r="AF374" s="368">
        <f t="array" ref="AF374">SUM(IF($AA374=$Z$16:$Z$592,N$16:N$592,""))</f>
        <v>0</v>
      </c>
      <c r="AG374" s="370">
        <f t="array" ref="AG374">SUM(IF($AA374=$Z$16:$Z$592,O$16:O$592,""))</f>
        <v>0</v>
      </c>
      <c r="AH374" s="2"/>
      <c r="AI374" s="2"/>
      <c r="AJ374" s="2"/>
    </row>
    <row r="375" spans="1:36" x14ac:dyDescent="0.2">
      <c r="A375" s="306">
        <f>Crop!B408</f>
        <v>41999</v>
      </c>
      <c r="B375" s="307"/>
      <c r="C375" s="308"/>
      <c r="D375" s="304" t="str">
        <f>IF(OR($A375&lt;$A$3,$A375&gt;$A$7),"",Crop!$D408)</f>
        <v/>
      </c>
      <c r="E375" s="304" t="str">
        <f t="shared" si="78"/>
        <v/>
      </c>
      <c r="F375" s="304" t="str">
        <f>IF(OR(A375&lt;A$3,A375&gt;A$7),"",Crop!U408)</f>
        <v/>
      </c>
      <c r="G375" s="304" t="str">
        <f t="shared" si="79"/>
        <v/>
      </c>
      <c r="H375" s="309" t="str">
        <f>IF(OR(A375&lt;A$3,A375&gt;A$7),"",YTD!E372)</f>
        <v/>
      </c>
      <c r="I375" s="310" t="str">
        <f t="shared" si="80"/>
        <v/>
      </c>
      <c r="J375" s="311"/>
      <c r="K375" s="309" t="str">
        <f t="shared" si="81"/>
        <v/>
      </c>
      <c r="L375" s="312" t="str">
        <f t="shared" si="85"/>
        <v/>
      </c>
      <c r="M375" s="366" t="str">
        <f t="shared" si="86"/>
        <v/>
      </c>
      <c r="N375" s="328" t="str">
        <f t="shared" si="76"/>
        <v/>
      </c>
      <c r="O375" s="313" t="str">
        <f t="shared" si="77"/>
        <v/>
      </c>
      <c r="P375" s="307"/>
      <c r="Q375" s="309">
        <f t="shared" si="87"/>
        <v>0.8</v>
      </c>
      <c r="R375" s="307"/>
      <c r="S375" s="314">
        <f t="shared" si="88"/>
        <v>10</v>
      </c>
      <c r="T375" s="304" t="str">
        <f t="shared" si="82"/>
        <v/>
      </c>
      <c r="U375" s="304" t="str">
        <f>IF(A375=YTD!B$6,E375,IF(OR(A375&lt;YTD!B$6,A375&gt;YTD!B$10),"",U374+E375))</f>
        <v/>
      </c>
      <c r="V375" s="304" t="str">
        <f t="shared" si="89"/>
        <v/>
      </c>
      <c r="W375" s="315" t="e">
        <f>IF(I375="",#N/A,YTD!G$8-I375)</f>
        <v>#N/A</v>
      </c>
      <c r="X375" s="368">
        <f t="shared" si="83"/>
        <v>0</v>
      </c>
      <c r="Y375" s="368">
        <f t="shared" si="90"/>
        <v>6</v>
      </c>
      <c r="Z375" s="368" t="str">
        <f t="shared" si="84"/>
        <v/>
      </c>
      <c r="AA375" s="368">
        <v>360</v>
      </c>
      <c r="AB375" s="369">
        <f t="array" ref="AB375">SUM(IF(AA375=Z$16:Z$592,A$16:A$592,""))</f>
        <v>0</v>
      </c>
      <c r="AC375" s="370">
        <f t="array" ref="AC375">SUM(IF(AA375=Z$16:Z$592,J$16:J$592,""))</f>
        <v>0</v>
      </c>
      <c r="AD375" s="370">
        <f t="array" ref="AD375">SUM(IF($AA375=$Z$16:$Z$592,L$16:L$592,""))</f>
        <v>0</v>
      </c>
      <c r="AE375" s="370">
        <f t="array" ref="AE375">SUM(IF($AA375=$Z$16:$Z$592,M$16:M$592,""))</f>
        <v>0</v>
      </c>
      <c r="AF375" s="368">
        <f t="array" ref="AF375">SUM(IF($AA375=$Z$16:$Z$592,N$16:N$592,""))</f>
        <v>0</v>
      </c>
      <c r="AG375" s="370">
        <f t="array" ref="AG375">SUM(IF($AA375=$Z$16:$Z$592,O$16:O$592,""))</f>
        <v>0</v>
      </c>
      <c r="AH375" s="2"/>
      <c r="AI375" s="2"/>
      <c r="AJ375" s="2"/>
    </row>
    <row r="376" spans="1:36" x14ac:dyDescent="0.2">
      <c r="A376" s="306">
        <f>Crop!B409</f>
        <v>42000</v>
      </c>
      <c r="B376" s="307"/>
      <c r="C376" s="308"/>
      <c r="D376" s="304" t="str">
        <f>IF(OR($A376&lt;$A$3,$A376&gt;$A$7),"",Crop!$D409)</f>
        <v/>
      </c>
      <c r="E376" s="304" t="str">
        <f t="shared" si="78"/>
        <v/>
      </c>
      <c r="F376" s="304" t="str">
        <f>IF(OR(A376&lt;A$3,A376&gt;A$7),"",Crop!U409)</f>
        <v/>
      </c>
      <c r="G376" s="304" t="str">
        <f t="shared" si="79"/>
        <v/>
      </c>
      <c r="H376" s="309" t="str">
        <f>IF(OR(A376&lt;A$3,A376&gt;A$7),"",YTD!E373)</f>
        <v/>
      </c>
      <c r="I376" s="310" t="str">
        <f t="shared" si="80"/>
        <v/>
      </c>
      <c r="J376" s="311"/>
      <c r="K376" s="309" t="str">
        <f t="shared" si="81"/>
        <v/>
      </c>
      <c r="L376" s="312" t="str">
        <f t="shared" si="85"/>
        <v/>
      </c>
      <c r="M376" s="366" t="str">
        <f t="shared" si="86"/>
        <v/>
      </c>
      <c r="N376" s="328" t="str">
        <f t="shared" si="76"/>
        <v/>
      </c>
      <c r="O376" s="313" t="str">
        <f t="shared" si="77"/>
        <v/>
      </c>
      <c r="P376" s="307"/>
      <c r="Q376" s="309">
        <f t="shared" si="87"/>
        <v>0.8</v>
      </c>
      <c r="R376" s="307"/>
      <c r="S376" s="314">
        <f t="shared" si="88"/>
        <v>10</v>
      </c>
      <c r="T376" s="304" t="str">
        <f t="shared" si="82"/>
        <v/>
      </c>
      <c r="U376" s="304" t="str">
        <f>IF(A376=YTD!B$6,E376,IF(OR(A376&lt;YTD!B$6,A376&gt;YTD!B$10),"",U375+E376))</f>
        <v/>
      </c>
      <c r="V376" s="304" t="str">
        <f t="shared" si="89"/>
        <v/>
      </c>
      <c r="W376" s="315" t="e">
        <f>IF(I376="",#N/A,YTD!G$8-I376)</f>
        <v>#N/A</v>
      </c>
      <c r="X376" s="368">
        <f t="shared" si="83"/>
        <v>0</v>
      </c>
      <c r="Y376" s="368">
        <f t="shared" si="90"/>
        <v>6</v>
      </c>
      <c r="Z376" s="368" t="str">
        <f t="shared" si="84"/>
        <v/>
      </c>
      <c r="AA376" s="368">
        <v>361</v>
      </c>
      <c r="AB376" s="369">
        <f t="array" ref="AB376">SUM(IF(AA376=Z$16:Z$592,A$16:A$592,""))</f>
        <v>0</v>
      </c>
      <c r="AC376" s="370">
        <f t="array" ref="AC376">SUM(IF(AA376=Z$16:Z$592,J$16:J$592,""))</f>
        <v>0</v>
      </c>
      <c r="AD376" s="370">
        <f t="array" ref="AD376">SUM(IF($AA376=$Z$16:$Z$592,L$16:L$592,""))</f>
        <v>0</v>
      </c>
      <c r="AE376" s="370">
        <f t="array" ref="AE376">SUM(IF($AA376=$Z$16:$Z$592,M$16:M$592,""))</f>
        <v>0</v>
      </c>
      <c r="AF376" s="368">
        <f t="array" ref="AF376">SUM(IF($AA376=$Z$16:$Z$592,N$16:N$592,""))</f>
        <v>0</v>
      </c>
      <c r="AG376" s="370">
        <f t="array" ref="AG376">SUM(IF($AA376=$Z$16:$Z$592,O$16:O$592,""))</f>
        <v>0</v>
      </c>
      <c r="AH376" s="2"/>
      <c r="AI376" s="2"/>
      <c r="AJ376" s="2"/>
    </row>
    <row r="377" spans="1:36" x14ac:dyDescent="0.2">
      <c r="A377" s="306">
        <f>Crop!B410</f>
        <v>42001</v>
      </c>
      <c r="B377" s="307"/>
      <c r="C377" s="308"/>
      <c r="D377" s="304" t="str">
        <f>IF(OR($A377&lt;$A$3,$A377&gt;$A$7),"",Crop!$D410)</f>
        <v/>
      </c>
      <c r="E377" s="304" t="str">
        <f t="shared" si="78"/>
        <v/>
      </c>
      <c r="F377" s="304" t="str">
        <f>IF(OR(A377&lt;A$3,A377&gt;A$7),"",Crop!U410)</f>
        <v/>
      </c>
      <c r="G377" s="304" t="str">
        <f t="shared" si="79"/>
        <v/>
      </c>
      <c r="H377" s="309" t="str">
        <f>IF(OR(A377&lt;A$3,A377&gt;A$7),"",YTD!E374)</f>
        <v/>
      </c>
      <c r="I377" s="310" t="str">
        <f t="shared" si="80"/>
        <v/>
      </c>
      <c r="J377" s="311"/>
      <c r="K377" s="309" t="str">
        <f t="shared" si="81"/>
        <v/>
      </c>
      <c r="L377" s="312" t="str">
        <f t="shared" si="85"/>
        <v/>
      </c>
      <c r="M377" s="366" t="str">
        <f t="shared" si="86"/>
        <v/>
      </c>
      <c r="N377" s="328" t="str">
        <f t="shared" si="76"/>
        <v/>
      </c>
      <c r="O377" s="313" t="str">
        <f t="shared" si="77"/>
        <v/>
      </c>
      <c r="P377" s="307"/>
      <c r="Q377" s="309">
        <f t="shared" si="87"/>
        <v>0.8</v>
      </c>
      <c r="R377" s="307"/>
      <c r="S377" s="314">
        <f t="shared" si="88"/>
        <v>10</v>
      </c>
      <c r="T377" s="304" t="str">
        <f t="shared" si="82"/>
        <v/>
      </c>
      <c r="U377" s="304" t="str">
        <f>IF(A377=YTD!B$6,E377,IF(OR(A377&lt;YTD!B$6,A377&gt;YTD!B$10),"",U376+E377))</f>
        <v/>
      </c>
      <c r="V377" s="304" t="str">
        <f t="shared" si="89"/>
        <v/>
      </c>
      <c r="W377" s="315" t="e">
        <f>IF(I377="",#N/A,YTD!G$8-I377)</f>
        <v>#N/A</v>
      </c>
      <c r="X377" s="368">
        <f t="shared" si="83"/>
        <v>0</v>
      </c>
      <c r="Y377" s="368">
        <f t="shared" si="90"/>
        <v>6</v>
      </c>
      <c r="Z377" s="368" t="str">
        <f t="shared" si="84"/>
        <v/>
      </c>
      <c r="AA377" s="368">
        <v>362</v>
      </c>
      <c r="AB377" s="369">
        <f t="array" ref="AB377">SUM(IF(AA377=Z$16:Z$592,A$16:A$592,""))</f>
        <v>0</v>
      </c>
      <c r="AC377" s="370">
        <f t="array" ref="AC377">SUM(IF(AA377=Z$16:Z$592,J$16:J$592,""))</f>
        <v>0</v>
      </c>
      <c r="AD377" s="370">
        <f t="array" ref="AD377">SUM(IF($AA377=$Z$16:$Z$592,L$16:L$592,""))</f>
        <v>0</v>
      </c>
      <c r="AE377" s="370">
        <f t="array" ref="AE377">SUM(IF($AA377=$Z$16:$Z$592,M$16:M$592,""))</f>
        <v>0</v>
      </c>
      <c r="AF377" s="368">
        <f t="array" ref="AF377">SUM(IF($AA377=$Z$16:$Z$592,N$16:N$592,""))</f>
        <v>0</v>
      </c>
      <c r="AG377" s="370">
        <f t="array" ref="AG377">SUM(IF($AA377=$Z$16:$Z$592,O$16:O$592,""))</f>
        <v>0</v>
      </c>
      <c r="AH377" s="2"/>
      <c r="AI377" s="2"/>
      <c r="AJ377" s="2"/>
    </row>
    <row r="378" spans="1:36" x14ac:dyDescent="0.2">
      <c r="A378" s="306">
        <f>Crop!B411</f>
        <v>42002</v>
      </c>
      <c r="B378" s="307"/>
      <c r="C378" s="308"/>
      <c r="D378" s="304" t="str">
        <f>IF(OR($A378&lt;$A$3,$A378&gt;$A$7),"",Crop!$D411)</f>
        <v/>
      </c>
      <c r="E378" s="304" t="str">
        <f t="shared" si="78"/>
        <v/>
      </c>
      <c r="F378" s="304" t="str">
        <f>IF(OR(A378&lt;A$3,A378&gt;A$7),"",Crop!U411)</f>
        <v/>
      </c>
      <c r="G378" s="304" t="str">
        <f t="shared" si="79"/>
        <v/>
      </c>
      <c r="H378" s="309" t="str">
        <f>IF(OR(A378&lt;A$3,A378&gt;A$7),"",YTD!E375)</f>
        <v/>
      </c>
      <c r="I378" s="310" t="str">
        <f t="shared" si="80"/>
        <v/>
      </c>
      <c r="J378" s="311"/>
      <c r="K378" s="309" t="str">
        <f t="shared" si="81"/>
        <v/>
      </c>
      <c r="L378" s="312" t="str">
        <f t="shared" si="85"/>
        <v/>
      </c>
      <c r="M378" s="366" t="str">
        <f t="shared" si="86"/>
        <v/>
      </c>
      <c r="N378" s="328" t="str">
        <f t="shared" si="76"/>
        <v/>
      </c>
      <c r="O378" s="313" t="str">
        <f t="shared" si="77"/>
        <v/>
      </c>
      <c r="P378" s="307"/>
      <c r="Q378" s="309">
        <f t="shared" si="87"/>
        <v>0.8</v>
      </c>
      <c r="R378" s="307"/>
      <c r="S378" s="314">
        <f t="shared" si="88"/>
        <v>10</v>
      </c>
      <c r="T378" s="304" t="str">
        <f t="shared" si="82"/>
        <v/>
      </c>
      <c r="U378" s="304" t="str">
        <f>IF(A378=YTD!B$6,E378,IF(OR(A378&lt;YTD!B$6,A378&gt;YTD!B$10),"",U377+E378))</f>
        <v/>
      </c>
      <c r="V378" s="304" t="str">
        <f t="shared" si="89"/>
        <v/>
      </c>
      <c r="W378" s="315" t="e">
        <f>IF(I378="",#N/A,YTD!G$8-I378)</f>
        <v>#N/A</v>
      </c>
      <c r="X378" s="368">
        <f t="shared" si="83"/>
        <v>0</v>
      </c>
      <c r="Y378" s="368">
        <f t="shared" si="90"/>
        <v>6</v>
      </c>
      <c r="Z378" s="368" t="str">
        <f t="shared" si="84"/>
        <v/>
      </c>
      <c r="AA378" s="368">
        <v>363</v>
      </c>
      <c r="AB378" s="369">
        <f t="array" ref="AB378">SUM(IF(AA378=Z$16:Z$592,A$16:A$592,""))</f>
        <v>0</v>
      </c>
      <c r="AC378" s="370">
        <f t="array" ref="AC378">SUM(IF(AA378=Z$16:Z$592,J$16:J$592,""))</f>
        <v>0</v>
      </c>
      <c r="AD378" s="370">
        <f t="array" ref="AD378">SUM(IF($AA378=$Z$16:$Z$592,L$16:L$592,""))</f>
        <v>0</v>
      </c>
      <c r="AE378" s="370">
        <f t="array" ref="AE378">SUM(IF($AA378=$Z$16:$Z$592,M$16:M$592,""))</f>
        <v>0</v>
      </c>
      <c r="AF378" s="368">
        <f t="array" ref="AF378">SUM(IF($AA378=$Z$16:$Z$592,N$16:N$592,""))</f>
        <v>0</v>
      </c>
      <c r="AG378" s="370">
        <f t="array" ref="AG378">SUM(IF($AA378=$Z$16:$Z$592,O$16:O$592,""))</f>
        <v>0</v>
      </c>
      <c r="AH378" s="2"/>
      <c r="AI378" s="2"/>
      <c r="AJ378" s="2"/>
    </row>
    <row r="379" spans="1:36" x14ac:dyDescent="0.2">
      <c r="A379" s="306">
        <f>Crop!B412</f>
        <v>42003</v>
      </c>
      <c r="B379" s="307"/>
      <c r="C379" s="308"/>
      <c r="D379" s="304" t="str">
        <f>IF(OR($A379&lt;$A$3,$A379&gt;$A$7),"",Crop!$D412)</f>
        <v/>
      </c>
      <c r="E379" s="304" t="str">
        <f t="shared" si="78"/>
        <v/>
      </c>
      <c r="F379" s="304" t="str">
        <f>IF(OR(A379&lt;A$3,A379&gt;A$7),"",Crop!U412)</f>
        <v/>
      </c>
      <c r="G379" s="304" t="str">
        <f t="shared" si="79"/>
        <v/>
      </c>
      <c r="H379" s="309" t="str">
        <f>IF(OR(A379&lt;A$3,A379&gt;A$7),"",YTD!E376)</f>
        <v/>
      </c>
      <c r="I379" s="310" t="str">
        <f t="shared" si="80"/>
        <v/>
      </c>
      <c r="J379" s="311"/>
      <c r="K379" s="309" t="str">
        <f t="shared" si="81"/>
        <v/>
      </c>
      <c r="L379" s="312" t="str">
        <f t="shared" si="85"/>
        <v/>
      </c>
      <c r="M379" s="366" t="str">
        <f t="shared" si="86"/>
        <v/>
      </c>
      <c r="N379" s="328" t="str">
        <f t="shared" si="76"/>
        <v/>
      </c>
      <c r="O379" s="313" t="str">
        <f t="shared" si="77"/>
        <v/>
      </c>
      <c r="P379" s="307"/>
      <c r="Q379" s="309">
        <f t="shared" si="87"/>
        <v>0.8</v>
      </c>
      <c r="R379" s="307"/>
      <c r="S379" s="314">
        <f t="shared" si="88"/>
        <v>10</v>
      </c>
      <c r="T379" s="304" t="str">
        <f t="shared" si="82"/>
        <v/>
      </c>
      <c r="U379" s="304" t="str">
        <f>IF(A379=YTD!B$6,E379,IF(OR(A379&lt;YTD!B$6,A379&gt;YTD!B$10),"",U378+E379))</f>
        <v/>
      </c>
      <c r="V379" s="304" t="str">
        <f t="shared" si="89"/>
        <v/>
      </c>
      <c r="W379" s="315" t="e">
        <f>IF(I379="",#N/A,YTD!G$8-I379)</f>
        <v>#N/A</v>
      </c>
      <c r="X379" s="368">
        <f t="shared" si="83"/>
        <v>0</v>
      </c>
      <c r="Y379" s="368">
        <f t="shared" si="90"/>
        <v>6</v>
      </c>
      <c r="Z379" s="368" t="str">
        <f t="shared" si="84"/>
        <v/>
      </c>
      <c r="AA379" s="368">
        <v>364</v>
      </c>
      <c r="AB379" s="369">
        <f t="array" ref="AB379">SUM(IF(AA379=Z$16:Z$592,A$16:A$592,""))</f>
        <v>0</v>
      </c>
      <c r="AC379" s="370">
        <f t="array" ref="AC379">SUM(IF(AA379=Z$16:Z$592,J$16:J$592,""))</f>
        <v>0</v>
      </c>
      <c r="AD379" s="370">
        <f t="array" ref="AD379">SUM(IF($AA379=$Z$16:$Z$592,L$16:L$592,""))</f>
        <v>0</v>
      </c>
      <c r="AE379" s="370">
        <f t="array" ref="AE379">SUM(IF($AA379=$Z$16:$Z$592,M$16:M$592,""))</f>
        <v>0</v>
      </c>
      <c r="AF379" s="368">
        <f t="array" ref="AF379">SUM(IF($AA379=$Z$16:$Z$592,N$16:N$592,""))</f>
        <v>0</v>
      </c>
      <c r="AG379" s="370">
        <f t="array" ref="AG379">SUM(IF($AA379=$Z$16:$Z$592,O$16:O$592,""))</f>
        <v>0</v>
      </c>
      <c r="AH379" s="2"/>
      <c r="AI379" s="2"/>
      <c r="AJ379" s="2"/>
    </row>
    <row r="380" spans="1:36" x14ac:dyDescent="0.2">
      <c r="A380" s="306">
        <f>Crop!B413</f>
        <v>42004</v>
      </c>
      <c r="B380" s="307"/>
      <c r="C380" s="308"/>
      <c r="D380" s="304" t="str">
        <f>IF(OR($A380&lt;$A$3,$A380&gt;$A$7),"",Crop!$D413)</f>
        <v/>
      </c>
      <c r="E380" s="304" t="str">
        <f t="shared" si="78"/>
        <v/>
      </c>
      <c r="F380" s="304" t="str">
        <f>IF(OR(A380&lt;A$3,A380&gt;A$7),"",Crop!U413)</f>
        <v/>
      </c>
      <c r="G380" s="304" t="str">
        <f t="shared" si="79"/>
        <v/>
      </c>
      <c r="H380" s="309" t="str">
        <f>IF(OR(A380&lt;A$3,A380&gt;A$7),"",YTD!E377)</f>
        <v/>
      </c>
      <c r="I380" s="310" t="str">
        <f t="shared" si="80"/>
        <v/>
      </c>
      <c r="J380" s="311"/>
      <c r="K380" s="309" t="str">
        <f t="shared" si="81"/>
        <v/>
      </c>
      <c r="L380" s="312" t="str">
        <f t="shared" si="85"/>
        <v/>
      </c>
      <c r="M380" s="366" t="str">
        <f t="shared" si="86"/>
        <v/>
      </c>
      <c r="N380" s="328" t="str">
        <f t="shared" ref="N380:N443" si="91">IF(L380="","",INT(M380/S380))</f>
        <v/>
      </c>
      <c r="O380" s="313" t="str">
        <f t="shared" ref="O380:O443" si="92">IF(N380="","",MOD(M380/S380,N380)*60)</f>
        <v/>
      </c>
      <c r="P380" s="307"/>
      <c r="Q380" s="309">
        <f t="shared" si="87"/>
        <v>0.8</v>
      </c>
      <c r="R380" s="307"/>
      <c r="S380" s="314">
        <f t="shared" si="88"/>
        <v>10</v>
      </c>
      <c r="T380" s="304" t="str">
        <f t="shared" si="82"/>
        <v/>
      </c>
      <c r="U380" s="304" t="str">
        <f>IF(A380=YTD!B$6,E380,IF(OR(A380&lt;YTD!B$6,A380&gt;YTD!B$10),"",U379+E380))</f>
        <v/>
      </c>
      <c r="V380" s="304" t="str">
        <f t="shared" si="89"/>
        <v/>
      </c>
      <c r="W380" s="315" t="e">
        <f>IF(I380="",#N/A,YTD!G$8-I380)</f>
        <v>#N/A</v>
      </c>
      <c r="X380" s="368">
        <f t="shared" si="83"/>
        <v>0</v>
      </c>
      <c r="Y380" s="368">
        <f t="shared" si="90"/>
        <v>6</v>
      </c>
      <c r="Z380" s="368" t="str">
        <f t="shared" si="84"/>
        <v/>
      </c>
      <c r="AA380" s="368">
        <v>365</v>
      </c>
      <c r="AB380" s="369">
        <f t="array" ref="AB380">SUM(IF(AA380=Z$16:Z$592,A$16:A$592,""))</f>
        <v>0</v>
      </c>
      <c r="AC380" s="370">
        <f t="array" ref="AC380">SUM(IF(AA380=Z$16:Z$592,J$16:J$592,""))</f>
        <v>0</v>
      </c>
      <c r="AD380" s="370">
        <f t="array" ref="AD380">SUM(IF($AA380=$Z$16:$Z$592,L$16:L$592,""))</f>
        <v>0</v>
      </c>
      <c r="AE380" s="370">
        <f t="array" ref="AE380">SUM(IF($AA380=$Z$16:$Z$592,M$16:M$592,""))</f>
        <v>0</v>
      </c>
      <c r="AF380" s="368">
        <f t="array" ref="AF380">SUM(IF($AA380=$Z$16:$Z$592,N$16:N$592,""))</f>
        <v>0</v>
      </c>
      <c r="AG380" s="370">
        <f t="array" ref="AG380">SUM(IF($AA380=$Z$16:$Z$592,O$16:O$592,""))</f>
        <v>0</v>
      </c>
      <c r="AH380" s="2"/>
      <c r="AI380" s="2"/>
      <c r="AJ380" s="2"/>
    </row>
    <row r="381" spans="1:36" x14ac:dyDescent="0.2">
      <c r="A381" s="306">
        <f>Crop!B414</f>
        <v>42005</v>
      </c>
      <c r="B381" s="307"/>
      <c r="C381" s="308"/>
      <c r="D381" s="304" t="str">
        <f>IF(OR($A381&lt;$A$3,$A381&gt;$A$7),"",Crop!$D414)</f>
        <v/>
      </c>
      <c r="E381" s="304" t="str">
        <f t="shared" si="78"/>
        <v/>
      </c>
      <c r="F381" s="304" t="str">
        <f>IF(OR(A381&lt;A$3,A381&gt;A$7),"",Crop!U414)</f>
        <v/>
      </c>
      <c r="G381" s="304" t="str">
        <f t="shared" si="79"/>
        <v/>
      </c>
      <c r="H381" s="309" t="str">
        <f>IF(OR(A381&lt;A$3,A381&gt;A$7),"",YTD!E378)</f>
        <v/>
      </c>
      <c r="I381" s="310" t="str">
        <f t="shared" si="80"/>
        <v/>
      </c>
      <c r="J381" s="311"/>
      <c r="K381" s="309" t="str">
        <f t="shared" si="81"/>
        <v/>
      </c>
      <c r="L381" s="312" t="str">
        <f t="shared" si="85"/>
        <v/>
      </c>
      <c r="M381" s="366" t="str">
        <f t="shared" si="86"/>
        <v/>
      </c>
      <c r="N381" s="328" t="str">
        <f t="shared" si="91"/>
        <v/>
      </c>
      <c r="O381" s="313" t="str">
        <f t="shared" si="92"/>
        <v/>
      </c>
      <c r="P381" s="307"/>
      <c r="Q381" s="309">
        <f t="shared" si="87"/>
        <v>0.8</v>
      </c>
      <c r="R381" s="307"/>
      <c r="S381" s="314">
        <f t="shared" si="88"/>
        <v>10</v>
      </c>
      <c r="T381" s="304" t="str">
        <f t="shared" si="82"/>
        <v/>
      </c>
      <c r="U381" s="304" t="str">
        <f>IF(A381=YTD!B$6,E381,IF(OR(A381&lt;YTD!B$6,A381&gt;YTD!B$10),"",U380+E381))</f>
        <v/>
      </c>
      <c r="V381" s="304" t="str">
        <f t="shared" si="89"/>
        <v/>
      </c>
      <c r="W381" s="315" t="e">
        <f>IF(I381="",#N/A,YTD!G$8-I381)</f>
        <v>#N/A</v>
      </c>
      <c r="X381" s="368">
        <f t="shared" si="83"/>
        <v>0</v>
      </c>
      <c r="Y381" s="368">
        <f t="shared" si="90"/>
        <v>6</v>
      </c>
      <c r="Z381" s="368" t="str">
        <f t="shared" si="84"/>
        <v/>
      </c>
      <c r="AA381" s="371"/>
      <c r="AB381" s="372"/>
      <c r="AC381" s="373"/>
      <c r="AD381" s="373"/>
      <c r="AE381" s="373"/>
      <c r="AF381" s="371"/>
      <c r="AG381" s="373"/>
      <c r="AH381" s="2"/>
      <c r="AI381" s="2"/>
      <c r="AJ381" s="2"/>
    </row>
    <row r="382" spans="1:36" x14ac:dyDescent="0.2">
      <c r="A382" s="306">
        <f>Crop!B415</f>
        <v>42006</v>
      </c>
      <c r="B382" s="307"/>
      <c r="C382" s="308"/>
      <c r="D382" s="304" t="str">
        <f>IF(OR($A382&lt;$A$3,$A382&gt;$A$7),"",Crop!$D415)</f>
        <v/>
      </c>
      <c r="E382" s="304" t="str">
        <f t="shared" si="78"/>
        <v/>
      </c>
      <c r="F382" s="304" t="str">
        <f>IF(OR(A382&lt;A$3,A382&gt;A$7),"",Crop!U415)</f>
        <v/>
      </c>
      <c r="G382" s="304" t="str">
        <f t="shared" si="79"/>
        <v/>
      </c>
      <c r="H382" s="309" t="str">
        <f>IF(OR(A382&lt;A$3,A382&gt;A$7),"",YTD!E379)</f>
        <v/>
      </c>
      <c r="I382" s="310" t="str">
        <f t="shared" si="80"/>
        <v/>
      </c>
      <c r="J382" s="311"/>
      <c r="K382" s="309" t="str">
        <f t="shared" si="81"/>
        <v/>
      </c>
      <c r="L382" s="312" t="str">
        <f t="shared" si="85"/>
        <v/>
      </c>
      <c r="M382" s="366" t="str">
        <f t="shared" si="86"/>
        <v/>
      </c>
      <c r="N382" s="328" t="str">
        <f t="shared" si="91"/>
        <v/>
      </c>
      <c r="O382" s="313" t="str">
        <f t="shared" si="92"/>
        <v/>
      </c>
      <c r="P382" s="307"/>
      <c r="Q382" s="309">
        <f t="shared" si="87"/>
        <v>0.8</v>
      </c>
      <c r="R382" s="307"/>
      <c r="S382" s="314">
        <f t="shared" si="88"/>
        <v>10</v>
      </c>
      <c r="T382" s="304" t="str">
        <f t="shared" si="82"/>
        <v/>
      </c>
      <c r="U382" s="304" t="str">
        <f>IF(A382=YTD!B$6,E382,IF(OR(A382&lt;YTD!B$6,A382&gt;YTD!B$10),"",U381+E382))</f>
        <v/>
      </c>
      <c r="V382" s="304" t="str">
        <f t="shared" si="89"/>
        <v/>
      </c>
      <c r="W382" s="315" t="e">
        <f>IF(I382="",#N/A,YTD!G$8-I382)</f>
        <v>#N/A</v>
      </c>
      <c r="X382" s="368">
        <f t="shared" si="83"/>
        <v>0</v>
      </c>
      <c r="Y382" s="368">
        <f t="shared" si="90"/>
        <v>6</v>
      </c>
      <c r="Z382" s="368" t="str">
        <f t="shared" si="84"/>
        <v/>
      </c>
      <c r="AA382" s="371"/>
      <c r="AB382" s="372"/>
      <c r="AC382" s="373"/>
      <c r="AD382" s="373"/>
      <c r="AE382" s="373"/>
      <c r="AF382" s="371"/>
      <c r="AG382" s="373"/>
      <c r="AH382" s="2"/>
      <c r="AI382" s="2"/>
      <c r="AJ382" s="2"/>
    </row>
    <row r="383" spans="1:36" x14ac:dyDescent="0.2">
      <c r="A383" s="306">
        <f>Crop!B416</f>
        <v>42007</v>
      </c>
      <c r="B383" s="307"/>
      <c r="C383" s="308"/>
      <c r="D383" s="304" t="str">
        <f>IF(OR($A383&lt;$A$3,$A383&gt;$A$7),"",Crop!$D416)</f>
        <v/>
      </c>
      <c r="E383" s="304" t="str">
        <f t="shared" si="78"/>
        <v/>
      </c>
      <c r="F383" s="304" t="str">
        <f>IF(OR(A383&lt;A$3,A383&gt;A$7),"",Crop!U416)</f>
        <v/>
      </c>
      <c r="G383" s="304" t="str">
        <f t="shared" si="79"/>
        <v/>
      </c>
      <c r="H383" s="309" t="str">
        <f>IF(OR(A383&lt;A$3,A383&gt;A$7),"",YTD!E380)</f>
        <v/>
      </c>
      <c r="I383" s="310" t="str">
        <f t="shared" si="80"/>
        <v/>
      </c>
      <c r="J383" s="311"/>
      <c r="K383" s="309" t="str">
        <f t="shared" si="81"/>
        <v/>
      </c>
      <c r="L383" s="312" t="str">
        <f t="shared" si="85"/>
        <v/>
      </c>
      <c r="M383" s="366" t="str">
        <f t="shared" si="86"/>
        <v/>
      </c>
      <c r="N383" s="328" t="str">
        <f t="shared" si="91"/>
        <v/>
      </c>
      <c r="O383" s="313" t="str">
        <f t="shared" si="92"/>
        <v/>
      </c>
      <c r="P383" s="307"/>
      <c r="Q383" s="309">
        <f t="shared" si="87"/>
        <v>0.8</v>
      </c>
      <c r="R383" s="307"/>
      <c r="S383" s="314">
        <f t="shared" si="88"/>
        <v>10</v>
      </c>
      <c r="T383" s="304" t="str">
        <f t="shared" si="82"/>
        <v/>
      </c>
      <c r="U383" s="304" t="str">
        <f>IF(A383=YTD!B$6,E383,IF(OR(A383&lt;YTD!B$6,A383&gt;YTD!B$10),"",U382+E383))</f>
        <v/>
      </c>
      <c r="V383" s="304" t="str">
        <f t="shared" si="89"/>
        <v/>
      </c>
      <c r="W383" s="315" t="e">
        <f>IF(I383="",#N/A,YTD!G$8-I383)</f>
        <v>#N/A</v>
      </c>
      <c r="X383" s="368">
        <f t="shared" si="83"/>
        <v>0</v>
      </c>
      <c r="Y383" s="368">
        <f t="shared" si="90"/>
        <v>6</v>
      </c>
      <c r="Z383" s="368" t="str">
        <f t="shared" si="84"/>
        <v/>
      </c>
      <c r="AA383" s="371"/>
      <c r="AB383" s="372"/>
      <c r="AC383" s="373"/>
      <c r="AD383" s="373"/>
      <c r="AE383" s="373"/>
      <c r="AF383" s="371"/>
      <c r="AG383" s="373"/>
      <c r="AH383" s="2"/>
      <c r="AI383" s="2"/>
      <c r="AJ383" s="2"/>
    </row>
    <row r="384" spans="1:36" x14ac:dyDescent="0.2">
      <c r="A384" s="306">
        <f>Crop!B417</f>
        <v>42008</v>
      </c>
      <c r="B384" s="307"/>
      <c r="C384" s="308"/>
      <c r="D384" s="304" t="str">
        <f>IF(OR($A384&lt;$A$3,$A384&gt;$A$7),"",Crop!$D417)</f>
        <v/>
      </c>
      <c r="E384" s="304" t="str">
        <f t="shared" si="78"/>
        <v/>
      </c>
      <c r="F384" s="304" t="str">
        <f>IF(OR(A384&lt;A$3,A384&gt;A$7),"",Crop!U417)</f>
        <v/>
      </c>
      <c r="G384" s="304" t="str">
        <f t="shared" si="79"/>
        <v/>
      </c>
      <c r="H384" s="309" t="str">
        <f>IF(OR(A384&lt;A$3,A384&gt;A$7),"",YTD!E381)</f>
        <v/>
      </c>
      <c r="I384" s="310" t="str">
        <f t="shared" si="80"/>
        <v/>
      </c>
      <c r="J384" s="311"/>
      <c r="K384" s="309" t="str">
        <f t="shared" si="81"/>
        <v/>
      </c>
      <c r="L384" s="312" t="str">
        <f t="shared" si="85"/>
        <v/>
      </c>
      <c r="M384" s="366" t="str">
        <f t="shared" si="86"/>
        <v/>
      </c>
      <c r="N384" s="328" t="str">
        <f t="shared" si="91"/>
        <v/>
      </c>
      <c r="O384" s="313" t="str">
        <f t="shared" si="92"/>
        <v/>
      </c>
      <c r="P384" s="307"/>
      <c r="Q384" s="309">
        <f t="shared" si="87"/>
        <v>0.8</v>
      </c>
      <c r="R384" s="307"/>
      <c r="S384" s="314">
        <f t="shared" si="88"/>
        <v>10</v>
      </c>
      <c r="T384" s="304" t="str">
        <f t="shared" si="82"/>
        <v/>
      </c>
      <c r="U384" s="304" t="str">
        <f>IF(A384=YTD!B$6,E384,IF(OR(A384&lt;YTD!B$6,A384&gt;YTD!B$10),"",U383+E384))</f>
        <v/>
      </c>
      <c r="V384" s="304" t="str">
        <f t="shared" si="89"/>
        <v/>
      </c>
      <c r="W384" s="315" t="e">
        <f>IF(I384="",#N/A,YTD!G$8-I384)</f>
        <v>#N/A</v>
      </c>
      <c r="X384" s="368">
        <f t="shared" si="83"/>
        <v>0</v>
      </c>
      <c r="Y384" s="368">
        <f t="shared" si="90"/>
        <v>6</v>
      </c>
      <c r="Z384" s="368" t="str">
        <f t="shared" si="84"/>
        <v/>
      </c>
      <c r="AA384" s="371"/>
      <c r="AB384" s="372"/>
      <c r="AC384" s="373"/>
      <c r="AD384" s="373"/>
      <c r="AE384" s="373"/>
      <c r="AF384" s="371"/>
      <c r="AG384" s="373"/>
      <c r="AH384" s="2"/>
      <c r="AI384" s="2"/>
      <c r="AJ384" s="2"/>
    </row>
    <row r="385" spans="1:36" x14ac:dyDescent="0.2">
      <c r="A385" s="306">
        <f>Crop!B418</f>
        <v>42009</v>
      </c>
      <c r="B385" s="307"/>
      <c r="C385" s="308"/>
      <c r="D385" s="304" t="str">
        <f>IF(OR($A385&lt;$A$3,$A385&gt;$A$7),"",Crop!$D418)</f>
        <v/>
      </c>
      <c r="E385" s="304" t="str">
        <f t="shared" si="78"/>
        <v/>
      </c>
      <c r="F385" s="304" t="str">
        <f>IF(OR(A385&lt;A$3,A385&gt;A$7),"",Crop!U418)</f>
        <v/>
      </c>
      <c r="G385" s="304" t="str">
        <f t="shared" si="79"/>
        <v/>
      </c>
      <c r="H385" s="309" t="str">
        <f>IF(OR(A385&lt;A$3,A385&gt;A$7),"",YTD!E382)</f>
        <v/>
      </c>
      <c r="I385" s="310" t="str">
        <f t="shared" si="80"/>
        <v/>
      </c>
      <c r="J385" s="311"/>
      <c r="K385" s="309" t="str">
        <f t="shared" si="81"/>
        <v/>
      </c>
      <c r="L385" s="312" t="str">
        <f t="shared" si="85"/>
        <v/>
      </c>
      <c r="M385" s="366" t="str">
        <f t="shared" si="86"/>
        <v/>
      </c>
      <c r="N385" s="328" t="str">
        <f t="shared" si="91"/>
        <v/>
      </c>
      <c r="O385" s="313" t="str">
        <f t="shared" si="92"/>
        <v/>
      </c>
      <c r="P385" s="307"/>
      <c r="Q385" s="309">
        <f t="shared" si="87"/>
        <v>0.8</v>
      </c>
      <c r="R385" s="307"/>
      <c r="S385" s="314">
        <f t="shared" si="88"/>
        <v>10</v>
      </c>
      <c r="T385" s="304" t="str">
        <f t="shared" si="82"/>
        <v/>
      </c>
      <c r="U385" s="304" t="str">
        <f>IF(A385=YTD!B$6,E385,IF(OR(A385&lt;YTD!B$6,A385&gt;YTD!B$10),"",U384+E385))</f>
        <v/>
      </c>
      <c r="V385" s="304" t="str">
        <f t="shared" si="89"/>
        <v/>
      </c>
      <c r="W385" s="315" t="e">
        <f>IF(I385="",#N/A,YTD!G$8-I385)</f>
        <v>#N/A</v>
      </c>
      <c r="X385" s="368">
        <f t="shared" si="83"/>
        <v>0</v>
      </c>
      <c r="Y385" s="368">
        <f t="shared" si="90"/>
        <v>6</v>
      </c>
      <c r="Z385" s="368" t="str">
        <f t="shared" si="84"/>
        <v/>
      </c>
      <c r="AA385" s="371"/>
      <c r="AB385" s="372"/>
      <c r="AC385" s="373"/>
      <c r="AD385" s="373"/>
      <c r="AE385" s="373"/>
      <c r="AF385" s="371"/>
      <c r="AG385" s="373"/>
      <c r="AH385" s="2"/>
      <c r="AI385" s="2"/>
      <c r="AJ385" s="2"/>
    </row>
    <row r="386" spans="1:36" x14ac:dyDescent="0.2">
      <c r="A386" s="306">
        <f>Crop!B419</f>
        <v>42010</v>
      </c>
      <c r="B386" s="307"/>
      <c r="C386" s="308"/>
      <c r="D386" s="304" t="str">
        <f>IF(OR($A386&lt;$A$3,$A386&gt;$A$7),"",Crop!$D419)</f>
        <v/>
      </c>
      <c r="E386" s="304" t="str">
        <f t="shared" si="78"/>
        <v/>
      </c>
      <c r="F386" s="304" t="str">
        <f>IF(OR(A386&lt;A$3,A386&gt;A$7),"",Crop!U419)</f>
        <v/>
      </c>
      <c r="G386" s="304" t="str">
        <f t="shared" si="79"/>
        <v/>
      </c>
      <c r="H386" s="309" t="str">
        <f>IF(OR(A386&lt;A$3,A386&gt;A$7),"",YTD!E383)</f>
        <v/>
      </c>
      <c r="I386" s="310" t="str">
        <f t="shared" si="80"/>
        <v/>
      </c>
      <c r="J386" s="311"/>
      <c r="K386" s="309" t="str">
        <f t="shared" si="81"/>
        <v/>
      </c>
      <c r="L386" s="312" t="str">
        <f t="shared" si="85"/>
        <v/>
      </c>
      <c r="M386" s="366" t="str">
        <f t="shared" si="86"/>
        <v/>
      </c>
      <c r="N386" s="328" t="str">
        <f t="shared" si="91"/>
        <v/>
      </c>
      <c r="O386" s="313" t="str">
        <f t="shared" si="92"/>
        <v/>
      </c>
      <c r="P386" s="307"/>
      <c r="Q386" s="309">
        <f t="shared" si="87"/>
        <v>0.8</v>
      </c>
      <c r="R386" s="307"/>
      <c r="S386" s="314">
        <f t="shared" si="88"/>
        <v>10</v>
      </c>
      <c r="T386" s="304" t="str">
        <f t="shared" si="82"/>
        <v/>
      </c>
      <c r="U386" s="304" t="str">
        <f>IF(A386=YTD!B$6,E386,IF(OR(A386&lt;YTD!B$6,A386&gt;YTD!B$10),"",U385+E386))</f>
        <v/>
      </c>
      <c r="V386" s="304" t="str">
        <f t="shared" si="89"/>
        <v/>
      </c>
      <c r="W386" s="315" t="e">
        <f>IF(I386="",#N/A,YTD!G$8-I386)</f>
        <v>#N/A</v>
      </c>
      <c r="X386" s="368">
        <f t="shared" si="83"/>
        <v>0</v>
      </c>
      <c r="Y386" s="368">
        <f t="shared" si="90"/>
        <v>6</v>
      </c>
      <c r="Z386" s="368" t="str">
        <f t="shared" si="84"/>
        <v/>
      </c>
      <c r="AA386" s="371"/>
      <c r="AB386" s="372"/>
      <c r="AC386" s="373"/>
      <c r="AD386" s="373"/>
      <c r="AE386" s="373"/>
      <c r="AF386" s="371"/>
      <c r="AG386" s="373"/>
      <c r="AH386" s="2"/>
      <c r="AI386" s="2"/>
      <c r="AJ386" s="2"/>
    </row>
    <row r="387" spans="1:36" x14ac:dyDescent="0.2">
      <c r="A387" s="306">
        <f>Crop!B420</f>
        <v>42011</v>
      </c>
      <c r="B387" s="307"/>
      <c r="C387" s="308"/>
      <c r="D387" s="304" t="str">
        <f>IF(OR($A387&lt;$A$3,$A387&gt;$A$7),"",Crop!$D420)</f>
        <v/>
      </c>
      <c r="E387" s="304" t="str">
        <f t="shared" si="78"/>
        <v/>
      </c>
      <c r="F387" s="304" t="str">
        <f>IF(OR(A387&lt;A$3,A387&gt;A$7),"",Crop!U420)</f>
        <v/>
      </c>
      <c r="G387" s="304" t="str">
        <f t="shared" si="79"/>
        <v/>
      </c>
      <c r="H387" s="309" t="str">
        <f>IF(OR(A387&lt;A$3,A387&gt;A$7),"",YTD!E384)</f>
        <v/>
      </c>
      <c r="I387" s="310" t="str">
        <f t="shared" si="80"/>
        <v/>
      </c>
      <c r="J387" s="311"/>
      <c r="K387" s="309" t="str">
        <f t="shared" si="81"/>
        <v/>
      </c>
      <c r="L387" s="312" t="str">
        <f t="shared" si="85"/>
        <v/>
      </c>
      <c r="M387" s="366" t="str">
        <f t="shared" si="86"/>
        <v/>
      </c>
      <c r="N387" s="328" t="str">
        <f t="shared" si="91"/>
        <v/>
      </c>
      <c r="O387" s="313" t="str">
        <f t="shared" si="92"/>
        <v/>
      </c>
      <c r="P387" s="307"/>
      <c r="Q387" s="309">
        <f t="shared" si="87"/>
        <v>0.8</v>
      </c>
      <c r="R387" s="307"/>
      <c r="S387" s="314">
        <f t="shared" si="88"/>
        <v>10</v>
      </c>
      <c r="T387" s="304" t="str">
        <f t="shared" si="82"/>
        <v/>
      </c>
      <c r="U387" s="304" t="str">
        <f>IF(A387=YTD!B$6,E387,IF(OR(A387&lt;YTD!B$6,A387&gt;YTD!B$10),"",U386+E387))</f>
        <v/>
      </c>
      <c r="V387" s="304" t="str">
        <f t="shared" si="89"/>
        <v/>
      </c>
      <c r="W387" s="315" t="e">
        <f>IF(I387="",#N/A,YTD!G$8-I387)</f>
        <v>#N/A</v>
      </c>
      <c r="X387" s="368">
        <f t="shared" si="83"/>
        <v>0</v>
      </c>
      <c r="Y387" s="368">
        <f t="shared" si="90"/>
        <v>6</v>
      </c>
      <c r="Z387" s="368" t="str">
        <f t="shared" si="84"/>
        <v/>
      </c>
      <c r="AA387" s="371"/>
      <c r="AB387" s="372"/>
      <c r="AC387" s="373"/>
      <c r="AD387" s="373"/>
      <c r="AE387" s="373"/>
      <c r="AF387" s="371"/>
      <c r="AG387" s="373"/>
      <c r="AH387" s="2"/>
      <c r="AI387" s="2"/>
      <c r="AJ387" s="2"/>
    </row>
    <row r="388" spans="1:36" x14ac:dyDescent="0.2">
      <c r="A388" s="306">
        <f>Crop!B421</f>
        <v>42012</v>
      </c>
      <c r="B388" s="307"/>
      <c r="C388" s="308"/>
      <c r="D388" s="304" t="str">
        <f>IF(OR($A388&lt;$A$3,$A388&gt;$A$7),"",Crop!$D421)</f>
        <v/>
      </c>
      <c r="E388" s="304" t="str">
        <f t="shared" si="78"/>
        <v/>
      </c>
      <c r="F388" s="304" t="str">
        <f>IF(OR(A388&lt;A$3,A388&gt;A$7),"",Crop!U421)</f>
        <v/>
      </c>
      <c r="G388" s="304" t="str">
        <f t="shared" si="79"/>
        <v/>
      </c>
      <c r="H388" s="309" t="str">
        <f>IF(OR(A388&lt;A$3,A388&gt;A$7),"",YTD!E385)</f>
        <v/>
      </c>
      <c r="I388" s="310" t="str">
        <f t="shared" si="80"/>
        <v/>
      </c>
      <c r="J388" s="311"/>
      <c r="K388" s="309" t="str">
        <f t="shared" si="81"/>
        <v/>
      </c>
      <c r="L388" s="312" t="str">
        <f t="shared" si="85"/>
        <v/>
      </c>
      <c r="M388" s="366" t="str">
        <f t="shared" si="86"/>
        <v/>
      </c>
      <c r="N388" s="328" t="str">
        <f t="shared" si="91"/>
        <v/>
      </c>
      <c r="O388" s="313" t="str">
        <f t="shared" si="92"/>
        <v/>
      </c>
      <c r="P388" s="307"/>
      <c r="Q388" s="309">
        <f t="shared" si="87"/>
        <v>0.8</v>
      </c>
      <c r="R388" s="307"/>
      <c r="S388" s="314">
        <f t="shared" si="88"/>
        <v>10</v>
      </c>
      <c r="T388" s="304" t="str">
        <f t="shared" si="82"/>
        <v/>
      </c>
      <c r="U388" s="304" t="str">
        <f>IF(A388=YTD!B$6,E388,IF(OR(A388&lt;YTD!B$6,A388&gt;YTD!B$10),"",U387+E388))</f>
        <v/>
      </c>
      <c r="V388" s="304" t="str">
        <f t="shared" si="89"/>
        <v/>
      </c>
      <c r="W388" s="315" t="e">
        <f>IF(I388="",#N/A,YTD!G$8-I388)</f>
        <v>#N/A</v>
      </c>
      <c r="X388" s="368">
        <f t="shared" si="83"/>
        <v>0</v>
      </c>
      <c r="Y388" s="368">
        <f t="shared" si="90"/>
        <v>6</v>
      </c>
      <c r="Z388" s="368" t="str">
        <f t="shared" si="84"/>
        <v/>
      </c>
      <c r="AA388" s="371"/>
      <c r="AB388" s="372"/>
      <c r="AC388" s="373"/>
      <c r="AD388" s="373"/>
      <c r="AE388" s="373"/>
      <c r="AF388" s="371"/>
      <c r="AG388" s="373"/>
      <c r="AH388" s="2"/>
      <c r="AI388" s="2"/>
      <c r="AJ388" s="2"/>
    </row>
    <row r="389" spans="1:36" x14ac:dyDescent="0.2">
      <c r="A389" s="306">
        <f>Crop!B422</f>
        <v>42013</v>
      </c>
      <c r="B389" s="307"/>
      <c r="C389" s="308"/>
      <c r="D389" s="304" t="str">
        <f>IF(OR($A389&lt;$A$3,$A389&gt;$A$7),"",Crop!$D422)</f>
        <v/>
      </c>
      <c r="E389" s="304" t="str">
        <f t="shared" si="78"/>
        <v/>
      </c>
      <c r="F389" s="304" t="str">
        <f>IF(OR(A389&lt;A$3,A389&gt;A$7),"",Crop!U422)</f>
        <v/>
      </c>
      <c r="G389" s="304" t="str">
        <f t="shared" si="79"/>
        <v/>
      </c>
      <c r="H389" s="309" t="str">
        <f>IF(OR(A389&lt;A$3,A389&gt;A$7),"",YTD!E386)</f>
        <v/>
      </c>
      <c r="I389" s="310" t="str">
        <f t="shared" si="80"/>
        <v/>
      </c>
      <c r="J389" s="311"/>
      <c r="K389" s="309" t="str">
        <f t="shared" si="81"/>
        <v/>
      </c>
      <c r="L389" s="312" t="str">
        <f t="shared" si="85"/>
        <v/>
      </c>
      <c r="M389" s="366" t="str">
        <f t="shared" si="86"/>
        <v/>
      </c>
      <c r="N389" s="328" t="str">
        <f t="shared" si="91"/>
        <v/>
      </c>
      <c r="O389" s="313" t="str">
        <f t="shared" si="92"/>
        <v/>
      </c>
      <c r="P389" s="307"/>
      <c r="Q389" s="309">
        <f t="shared" si="87"/>
        <v>0.8</v>
      </c>
      <c r="R389" s="307"/>
      <c r="S389" s="314">
        <f t="shared" si="88"/>
        <v>10</v>
      </c>
      <c r="T389" s="304" t="str">
        <f t="shared" si="82"/>
        <v/>
      </c>
      <c r="U389" s="304" t="str">
        <f>IF(A389=YTD!B$6,E389,IF(OR(A389&lt;YTD!B$6,A389&gt;YTD!B$10),"",U388+E389))</f>
        <v/>
      </c>
      <c r="V389" s="304" t="str">
        <f t="shared" si="89"/>
        <v/>
      </c>
      <c r="W389" s="315" t="e">
        <f>IF(I389="",#N/A,YTD!G$8-I389)</f>
        <v>#N/A</v>
      </c>
      <c r="X389" s="368">
        <f t="shared" si="83"/>
        <v>0</v>
      </c>
      <c r="Y389" s="368">
        <f t="shared" si="90"/>
        <v>6</v>
      </c>
      <c r="Z389" s="368" t="str">
        <f t="shared" si="84"/>
        <v/>
      </c>
      <c r="AA389" s="371"/>
      <c r="AB389" s="372"/>
      <c r="AC389" s="373"/>
      <c r="AD389" s="373"/>
      <c r="AE389" s="373"/>
      <c r="AF389" s="371"/>
      <c r="AG389" s="373"/>
      <c r="AH389" s="2"/>
      <c r="AI389" s="2"/>
      <c r="AJ389" s="2"/>
    </row>
    <row r="390" spans="1:36" x14ac:dyDescent="0.2">
      <c r="A390" s="306">
        <f>Crop!B423</f>
        <v>42014</v>
      </c>
      <c r="B390" s="307"/>
      <c r="C390" s="308"/>
      <c r="D390" s="304" t="str">
        <f>IF(OR($A390&lt;$A$3,$A390&gt;$A$7),"",Crop!$D423)</f>
        <v/>
      </c>
      <c r="E390" s="304" t="str">
        <f t="shared" si="78"/>
        <v/>
      </c>
      <c r="F390" s="304" t="str">
        <f>IF(OR(A390&lt;A$3,A390&gt;A$7),"",Crop!U423)</f>
        <v/>
      </c>
      <c r="G390" s="304" t="str">
        <f t="shared" si="79"/>
        <v/>
      </c>
      <c r="H390" s="309" t="str">
        <f>IF(OR(A390&lt;A$3,A390&gt;A$7),"",YTD!E387)</f>
        <v/>
      </c>
      <c r="I390" s="310" t="str">
        <f t="shared" si="80"/>
        <v/>
      </c>
      <c r="J390" s="311"/>
      <c r="K390" s="309" t="str">
        <f t="shared" si="81"/>
        <v/>
      </c>
      <c r="L390" s="312" t="str">
        <f t="shared" si="85"/>
        <v/>
      </c>
      <c r="M390" s="366" t="str">
        <f t="shared" si="86"/>
        <v/>
      </c>
      <c r="N390" s="328" t="str">
        <f t="shared" si="91"/>
        <v/>
      </c>
      <c r="O390" s="313" t="str">
        <f t="shared" si="92"/>
        <v/>
      </c>
      <c r="P390" s="307"/>
      <c r="Q390" s="309">
        <f t="shared" si="87"/>
        <v>0.8</v>
      </c>
      <c r="R390" s="307"/>
      <c r="S390" s="314">
        <f t="shared" si="88"/>
        <v>10</v>
      </c>
      <c r="T390" s="304" t="str">
        <f t="shared" si="82"/>
        <v/>
      </c>
      <c r="U390" s="304" t="str">
        <f>IF(A390=YTD!B$6,E390,IF(OR(A390&lt;YTD!B$6,A390&gt;YTD!B$10),"",U389+E390))</f>
        <v/>
      </c>
      <c r="V390" s="304" t="str">
        <f t="shared" si="89"/>
        <v/>
      </c>
      <c r="W390" s="315" t="e">
        <f>IF(I390="",#N/A,YTD!G$8-I390)</f>
        <v>#N/A</v>
      </c>
      <c r="X390" s="368">
        <f t="shared" si="83"/>
        <v>0</v>
      </c>
      <c r="Y390" s="368">
        <f t="shared" si="90"/>
        <v>6</v>
      </c>
      <c r="Z390" s="368" t="str">
        <f t="shared" si="84"/>
        <v/>
      </c>
      <c r="AA390" s="371"/>
      <c r="AB390" s="372"/>
      <c r="AC390" s="373"/>
      <c r="AD390" s="373"/>
      <c r="AE390" s="373"/>
      <c r="AF390" s="371"/>
      <c r="AG390" s="373"/>
      <c r="AH390" s="2"/>
      <c r="AI390" s="2"/>
      <c r="AJ390" s="2"/>
    </row>
    <row r="391" spans="1:36" x14ac:dyDescent="0.2">
      <c r="A391" s="306">
        <f>Crop!B424</f>
        <v>42015</v>
      </c>
      <c r="B391" s="307"/>
      <c r="C391" s="308"/>
      <c r="D391" s="304" t="str">
        <f>IF(OR($A391&lt;$A$3,$A391&gt;$A$7),"",Crop!$D424)</f>
        <v/>
      </c>
      <c r="E391" s="304" t="str">
        <f t="shared" si="78"/>
        <v/>
      </c>
      <c r="F391" s="304" t="str">
        <f>IF(OR(A391&lt;A$3,A391&gt;A$7),"",Crop!U424)</f>
        <v/>
      </c>
      <c r="G391" s="304" t="str">
        <f t="shared" si="79"/>
        <v/>
      </c>
      <c r="H391" s="309" t="str">
        <f>IF(OR(A391&lt;A$3,A391&gt;A$7),"",YTD!E388)</f>
        <v/>
      </c>
      <c r="I391" s="310" t="str">
        <f t="shared" si="80"/>
        <v/>
      </c>
      <c r="J391" s="311"/>
      <c r="K391" s="309" t="str">
        <f t="shared" si="81"/>
        <v/>
      </c>
      <c r="L391" s="312" t="str">
        <f t="shared" si="85"/>
        <v/>
      </c>
      <c r="M391" s="366" t="str">
        <f t="shared" si="86"/>
        <v/>
      </c>
      <c r="N391" s="328" t="str">
        <f t="shared" si="91"/>
        <v/>
      </c>
      <c r="O391" s="313" t="str">
        <f t="shared" si="92"/>
        <v/>
      </c>
      <c r="P391" s="307"/>
      <c r="Q391" s="309">
        <f t="shared" si="87"/>
        <v>0.8</v>
      </c>
      <c r="R391" s="307"/>
      <c r="S391" s="314">
        <f t="shared" si="88"/>
        <v>10</v>
      </c>
      <c r="T391" s="304" t="str">
        <f t="shared" si="82"/>
        <v/>
      </c>
      <c r="U391" s="304" t="str">
        <f>IF(A391=YTD!B$6,E391,IF(OR(A391&lt;YTD!B$6,A391&gt;YTD!B$10),"",U390+E391))</f>
        <v/>
      </c>
      <c r="V391" s="304" t="str">
        <f t="shared" si="89"/>
        <v/>
      </c>
      <c r="W391" s="315" t="e">
        <f>IF(I391="",#N/A,YTD!G$8-I391)</f>
        <v>#N/A</v>
      </c>
      <c r="X391" s="368">
        <f t="shared" si="83"/>
        <v>0</v>
      </c>
      <c r="Y391" s="368">
        <f t="shared" si="90"/>
        <v>6</v>
      </c>
      <c r="Z391" s="368" t="str">
        <f t="shared" si="84"/>
        <v/>
      </c>
      <c r="AA391" s="371"/>
      <c r="AB391" s="372"/>
      <c r="AC391" s="373"/>
      <c r="AD391" s="373"/>
      <c r="AE391" s="373"/>
      <c r="AF391" s="371"/>
      <c r="AG391" s="373"/>
      <c r="AH391" s="2"/>
      <c r="AI391" s="2"/>
      <c r="AJ391" s="2"/>
    </row>
    <row r="392" spans="1:36" x14ac:dyDescent="0.2">
      <c r="A392" s="306">
        <f>Crop!B425</f>
        <v>42016</v>
      </c>
      <c r="B392" s="307"/>
      <c r="C392" s="308"/>
      <c r="D392" s="304" t="str">
        <f>IF(OR($A392&lt;$A$3,$A392&gt;$A$7),"",Crop!$D425)</f>
        <v/>
      </c>
      <c r="E392" s="304" t="str">
        <f t="shared" si="78"/>
        <v/>
      </c>
      <c r="F392" s="304" t="str">
        <f>IF(OR(A392&lt;A$3,A392&gt;A$7),"",Crop!U425)</f>
        <v/>
      </c>
      <c r="G392" s="304" t="str">
        <f t="shared" si="79"/>
        <v/>
      </c>
      <c r="H392" s="309" t="str">
        <f>IF(OR(A392&lt;A$3,A392&gt;A$7),"",YTD!E389)</f>
        <v/>
      </c>
      <c r="I392" s="310" t="str">
        <f t="shared" si="80"/>
        <v/>
      </c>
      <c r="J392" s="311"/>
      <c r="K392" s="309" t="str">
        <f t="shared" si="81"/>
        <v/>
      </c>
      <c r="L392" s="312" t="str">
        <f t="shared" si="85"/>
        <v/>
      </c>
      <c r="M392" s="366" t="str">
        <f t="shared" si="86"/>
        <v/>
      </c>
      <c r="N392" s="328" t="str">
        <f t="shared" si="91"/>
        <v/>
      </c>
      <c r="O392" s="313" t="str">
        <f t="shared" si="92"/>
        <v/>
      </c>
      <c r="P392" s="307"/>
      <c r="Q392" s="309">
        <f t="shared" si="87"/>
        <v>0.8</v>
      </c>
      <c r="R392" s="307"/>
      <c r="S392" s="314">
        <f t="shared" si="88"/>
        <v>10</v>
      </c>
      <c r="T392" s="304" t="str">
        <f t="shared" si="82"/>
        <v/>
      </c>
      <c r="U392" s="304" t="str">
        <f>IF(A392=YTD!B$6,E392,IF(OR(A392&lt;YTD!B$6,A392&gt;YTD!B$10),"",U391+E392))</f>
        <v/>
      </c>
      <c r="V392" s="304" t="str">
        <f t="shared" si="89"/>
        <v/>
      </c>
      <c r="W392" s="315" t="e">
        <f>IF(I392="",#N/A,YTD!G$8-I392)</f>
        <v>#N/A</v>
      </c>
      <c r="X392" s="368">
        <f t="shared" si="83"/>
        <v>0</v>
      </c>
      <c r="Y392" s="368">
        <f t="shared" si="90"/>
        <v>6</v>
      </c>
      <c r="Z392" s="368" t="str">
        <f t="shared" si="84"/>
        <v/>
      </c>
      <c r="AA392" s="371"/>
      <c r="AB392" s="372"/>
      <c r="AC392" s="373"/>
      <c r="AD392" s="373"/>
      <c r="AE392" s="373"/>
      <c r="AF392" s="371"/>
      <c r="AG392" s="373"/>
      <c r="AH392" s="2"/>
      <c r="AI392" s="2"/>
      <c r="AJ392" s="2"/>
    </row>
    <row r="393" spans="1:36" x14ac:dyDescent="0.2">
      <c r="A393" s="306">
        <f>Crop!B426</f>
        <v>42017</v>
      </c>
      <c r="B393" s="307"/>
      <c r="C393" s="308"/>
      <c r="D393" s="304" t="str">
        <f>IF(OR($A393&lt;$A$3,$A393&gt;$A$7),"",Crop!$D426)</f>
        <v/>
      </c>
      <c r="E393" s="304" t="str">
        <f t="shared" si="78"/>
        <v/>
      </c>
      <c r="F393" s="304" t="str">
        <f>IF(OR(A393&lt;A$3,A393&gt;A$7),"",Crop!U426)</f>
        <v/>
      </c>
      <c r="G393" s="304" t="str">
        <f t="shared" si="79"/>
        <v/>
      </c>
      <c r="H393" s="309" t="str">
        <f>IF(OR(A393&lt;A$3,A393&gt;A$7),"",YTD!E390)</f>
        <v/>
      </c>
      <c r="I393" s="310" t="str">
        <f t="shared" si="80"/>
        <v/>
      </c>
      <c r="J393" s="311"/>
      <c r="K393" s="309" t="str">
        <f t="shared" si="81"/>
        <v/>
      </c>
      <c r="L393" s="312" t="str">
        <f t="shared" si="85"/>
        <v/>
      </c>
      <c r="M393" s="366" t="str">
        <f t="shared" si="86"/>
        <v/>
      </c>
      <c r="N393" s="328" t="str">
        <f t="shared" si="91"/>
        <v/>
      </c>
      <c r="O393" s="313" t="str">
        <f t="shared" si="92"/>
        <v/>
      </c>
      <c r="P393" s="307"/>
      <c r="Q393" s="309">
        <f t="shared" si="87"/>
        <v>0.8</v>
      </c>
      <c r="R393" s="307"/>
      <c r="S393" s="314">
        <f t="shared" si="88"/>
        <v>10</v>
      </c>
      <c r="T393" s="304" t="str">
        <f t="shared" si="82"/>
        <v/>
      </c>
      <c r="U393" s="304" t="str">
        <f>IF(A393=YTD!B$6,E393,IF(OR(A393&lt;YTD!B$6,A393&gt;YTD!B$10),"",U392+E393))</f>
        <v/>
      </c>
      <c r="V393" s="304" t="str">
        <f t="shared" si="89"/>
        <v/>
      </c>
      <c r="W393" s="315" t="e">
        <f>IF(I393="",#N/A,YTD!G$8-I393)</f>
        <v>#N/A</v>
      </c>
      <c r="X393" s="368">
        <f t="shared" si="83"/>
        <v>0</v>
      </c>
      <c r="Y393" s="368">
        <f t="shared" si="90"/>
        <v>6</v>
      </c>
      <c r="Z393" s="368" t="str">
        <f t="shared" si="84"/>
        <v/>
      </c>
      <c r="AA393" s="371"/>
      <c r="AB393" s="372"/>
      <c r="AC393" s="373"/>
      <c r="AD393" s="373"/>
      <c r="AE393" s="373"/>
      <c r="AF393" s="371"/>
      <c r="AG393" s="373"/>
      <c r="AH393" s="2"/>
      <c r="AI393" s="2"/>
      <c r="AJ393" s="2"/>
    </row>
    <row r="394" spans="1:36" x14ac:dyDescent="0.2">
      <c r="A394" s="306">
        <f>Crop!B427</f>
        <v>42018</v>
      </c>
      <c r="B394" s="307"/>
      <c r="C394" s="308"/>
      <c r="D394" s="304" t="str">
        <f>IF(OR($A394&lt;$A$3,$A394&gt;$A$7),"",Crop!$D427)</f>
        <v/>
      </c>
      <c r="E394" s="304" t="str">
        <f t="shared" si="78"/>
        <v/>
      </c>
      <c r="F394" s="304" t="str">
        <f>IF(OR(A394&lt;A$3,A394&gt;A$7),"",Crop!U427)</f>
        <v/>
      </c>
      <c r="G394" s="304" t="str">
        <f t="shared" si="79"/>
        <v/>
      </c>
      <c r="H394" s="309" t="str">
        <f>IF(OR(A394&lt;A$3,A394&gt;A$7),"",YTD!E391)</f>
        <v/>
      </c>
      <c r="I394" s="310" t="str">
        <f t="shared" si="80"/>
        <v/>
      </c>
      <c r="J394" s="311"/>
      <c r="K394" s="309" t="str">
        <f t="shared" si="81"/>
        <v/>
      </c>
      <c r="L394" s="312" t="str">
        <f t="shared" si="85"/>
        <v/>
      </c>
      <c r="M394" s="366" t="str">
        <f t="shared" si="86"/>
        <v/>
      </c>
      <c r="N394" s="328" t="str">
        <f t="shared" si="91"/>
        <v/>
      </c>
      <c r="O394" s="313" t="str">
        <f t="shared" si="92"/>
        <v/>
      </c>
      <c r="P394" s="307"/>
      <c r="Q394" s="309">
        <f t="shared" si="87"/>
        <v>0.8</v>
      </c>
      <c r="R394" s="307"/>
      <c r="S394" s="314">
        <f t="shared" si="88"/>
        <v>10</v>
      </c>
      <c r="T394" s="304" t="str">
        <f t="shared" si="82"/>
        <v/>
      </c>
      <c r="U394" s="304" t="str">
        <f>IF(A394=YTD!B$6,E394,IF(OR(A394&lt;YTD!B$6,A394&gt;YTD!B$10),"",U393+E394))</f>
        <v/>
      </c>
      <c r="V394" s="304" t="str">
        <f t="shared" si="89"/>
        <v/>
      </c>
      <c r="W394" s="315" t="e">
        <f>IF(I394="",#N/A,YTD!G$8-I394)</f>
        <v>#N/A</v>
      </c>
      <c r="X394" s="368">
        <f t="shared" si="83"/>
        <v>0</v>
      </c>
      <c r="Y394" s="368">
        <f t="shared" si="90"/>
        <v>6</v>
      </c>
      <c r="Z394" s="368" t="str">
        <f t="shared" si="84"/>
        <v/>
      </c>
      <c r="AA394" s="371"/>
      <c r="AB394" s="372"/>
      <c r="AC394" s="373"/>
      <c r="AD394" s="373"/>
      <c r="AE394" s="373"/>
      <c r="AF394" s="371"/>
      <c r="AG394" s="373"/>
      <c r="AH394" s="2"/>
      <c r="AI394" s="2"/>
      <c r="AJ394" s="2"/>
    </row>
    <row r="395" spans="1:36" x14ac:dyDescent="0.2">
      <c r="A395" s="306">
        <f>Crop!B428</f>
        <v>42019</v>
      </c>
      <c r="B395" s="307"/>
      <c r="C395" s="308"/>
      <c r="D395" s="304" t="str">
        <f>IF(OR($A395&lt;$A$3,$A395&gt;$A$7),"",Crop!$D428)</f>
        <v/>
      </c>
      <c r="E395" s="304" t="str">
        <f t="shared" si="78"/>
        <v/>
      </c>
      <c r="F395" s="304" t="str">
        <f>IF(OR(A395&lt;A$3,A395&gt;A$7),"",Crop!U428)</f>
        <v/>
      </c>
      <c r="G395" s="304" t="str">
        <f t="shared" si="79"/>
        <v/>
      </c>
      <c r="H395" s="309" t="str">
        <f>IF(OR(A395&lt;A$3,A395&gt;A$7),"",YTD!E392)</f>
        <v/>
      </c>
      <c r="I395" s="310" t="str">
        <f t="shared" si="80"/>
        <v/>
      </c>
      <c r="J395" s="311"/>
      <c r="K395" s="309" t="str">
        <f t="shared" si="81"/>
        <v/>
      </c>
      <c r="L395" s="312" t="str">
        <f t="shared" si="85"/>
        <v/>
      </c>
      <c r="M395" s="366" t="str">
        <f t="shared" si="86"/>
        <v/>
      </c>
      <c r="N395" s="328" t="str">
        <f t="shared" si="91"/>
        <v/>
      </c>
      <c r="O395" s="313" t="str">
        <f t="shared" si="92"/>
        <v/>
      </c>
      <c r="P395" s="307"/>
      <c r="Q395" s="309">
        <f t="shared" si="87"/>
        <v>0.8</v>
      </c>
      <c r="R395" s="307"/>
      <c r="S395" s="314">
        <f t="shared" si="88"/>
        <v>10</v>
      </c>
      <c r="T395" s="304" t="str">
        <f t="shared" si="82"/>
        <v/>
      </c>
      <c r="U395" s="304" t="str">
        <f>IF(A395=YTD!B$6,E395,IF(OR(A395&lt;YTD!B$6,A395&gt;YTD!B$10),"",U394+E395))</f>
        <v/>
      </c>
      <c r="V395" s="304" t="str">
        <f t="shared" si="89"/>
        <v/>
      </c>
      <c r="W395" s="315" t="e">
        <f>IF(I395="",#N/A,YTD!G$8-I395)</f>
        <v>#N/A</v>
      </c>
      <c r="X395" s="368">
        <f t="shared" si="83"/>
        <v>0</v>
      </c>
      <c r="Y395" s="368">
        <f t="shared" si="90"/>
        <v>6</v>
      </c>
      <c r="Z395" s="368" t="str">
        <f t="shared" si="84"/>
        <v/>
      </c>
      <c r="AA395" s="371"/>
      <c r="AB395" s="372"/>
      <c r="AC395" s="373"/>
      <c r="AD395" s="373"/>
      <c r="AE395" s="373"/>
      <c r="AF395" s="371"/>
      <c r="AG395" s="373"/>
      <c r="AH395" s="2"/>
      <c r="AI395" s="2"/>
      <c r="AJ395" s="2"/>
    </row>
    <row r="396" spans="1:36" x14ac:dyDescent="0.2">
      <c r="A396" s="306">
        <f>Crop!B429</f>
        <v>42020</v>
      </c>
      <c r="B396" s="307"/>
      <c r="C396" s="308"/>
      <c r="D396" s="304" t="str">
        <f>IF(OR($A396&lt;$A$3,$A396&gt;$A$7),"",Crop!$D429)</f>
        <v/>
      </c>
      <c r="E396" s="304" t="str">
        <f t="shared" si="78"/>
        <v/>
      </c>
      <c r="F396" s="304" t="str">
        <f>IF(OR(A396&lt;A$3,A396&gt;A$7),"",Crop!U429)</f>
        <v/>
      </c>
      <c r="G396" s="304" t="str">
        <f t="shared" si="79"/>
        <v/>
      </c>
      <c r="H396" s="309" t="str">
        <f>IF(OR(A396&lt;A$3,A396&gt;A$7),"",YTD!E393)</f>
        <v/>
      </c>
      <c r="I396" s="310" t="str">
        <f t="shared" si="80"/>
        <v/>
      </c>
      <c r="J396" s="311"/>
      <c r="K396" s="309" t="str">
        <f t="shared" si="81"/>
        <v/>
      </c>
      <c r="L396" s="312" t="str">
        <f t="shared" si="85"/>
        <v/>
      </c>
      <c r="M396" s="366" t="str">
        <f t="shared" si="86"/>
        <v/>
      </c>
      <c r="N396" s="328" t="str">
        <f t="shared" si="91"/>
        <v/>
      </c>
      <c r="O396" s="313" t="str">
        <f t="shared" si="92"/>
        <v/>
      </c>
      <c r="P396" s="307"/>
      <c r="Q396" s="309">
        <f t="shared" si="87"/>
        <v>0.8</v>
      </c>
      <c r="R396" s="307"/>
      <c r="S396" s="314">
        <f t="shared" si="88"/>
        <v>10</v>
      </c>
      <c r="T396" s="304" t="str">
        <f t="shared" si="82"/>
        <v/>
      </c>
      <c r="U396" s="304" t="str">
        <f>IF(A396=YTD!B$6,E396,IF(OR(A396&lt;YTD!B$6,A396&gt;YTD!B$10),"",U395+E396))</f>
        <v/>
      </c>
      <c r="V396" s="304" t="str">
        <f t="shared" si="89"/>
        <v/>
      </c>
      <c r="W396" s="315" t="e">
        <f>IF(I396="",#N/A,YTD!G$8-I396)</f>
        <v>#N/A</v>
      </c>
      <c r="X396" s="368">
        <f t="shared" si="83"/>
        <v>0</v>
      </c>
      <c r="Y396" s="368">
        <f t="shared" si="90"/>
        <v>6</v>
      </c>
      <c r="Z396" s="368" t="str">
        <f t="shared" si="84"/>
        <v/>
      </c>
      <c r="AA396" s="371"/>
      <c r="AB396" s="372"/>
      <c r="AC396" s="373"/>
      <c r="AD396" s="373"/>
      <c r="AE396" s="373"/>
      <c r="AF396" s="371"/>
      <c r="AG396" s="373"/>
      <c r="AH396" s="2"/>
      <c r="AI396" s="2"/>
      <c r="AJ396" s="2"/>
    </row>
    <row r="397" spans="1:36" x14ac:dyDescent="0.2">
      <c r="A397" s="306">
        <f>Crop!B430</f>
        <v>42021</v>
      </c>
      <c r="B397" s="307"/>
      <c r="C397" s="308"/>
      <c r="D397" s="304" t="str">
        <f>IF(OR($A397&lt;$A$3,$A397&gt;$A$7),"",Crop!$D430)</f>
        <v/>
      </c>
      <c r="E397" s="304" t="str">
        <f t="shared" si="78"/>
        <v/>
      </c>
      <c r="F397" s="304" t="str">
        <f>IF(OR(A397&lt;A$3,A397&gt;A$7),"",Crop!U430)</f>
        <v/>
      </c>
      <c r="G397" s="304" t="str">
        <f t="shared" si="79"/>
        <v/>
      </c>
      <c r="H397" s="309" t="str">
        <f>IF(OR(A397&lt;A$3,A397&gt;A$7),"",YTD!E394)</f>
        <v/>
      </c>
      <c r="I397" s="310" t="str">
        <f t="shared" si="80"/>
        <v/>
      </c>
      <c r="J397" s="311"/>
      <c r="K397" s="309" t="str">
        <f t="shared" si="81"/>
        <v/>
      </c>
      <c r="L397" s="312" t="str">
        <f t="shared" si="85"/>
        <v/>
      </c>
      <c r="M397" s="366" t="str">
        <f t="shared" si="86"/>
        <v/>
      </c>
      <c r="N397" s="328" t="str">
        <f t="shared" si="91"/>
        <v/>
      </c>
      <c r="O397" s="313" t="str">
        <f t="shared" si="92"/>
        <v/>
      </c>
      <c r="P397" s="307"/>
      <c r="Q397" s="309">
        <f t="shared" si="87"/>
        <v>0.8</v>
      </c>
      <c r="R397" s="307"/>
      <c r="S397" s="314">
        <f t="shared" si="88"/>
        <v>10</v>
      </c>
      <c r="T397" s="304" t="str">
        <f t="shared" si="82"/>
        <v/>
      </c>
      <c r="U397" s="304" t="str">
        <f>IF(A397=YTD!B$6,E397,IF(OR(A397&lt;YTD!B$6,A397&gt;YTD!B$10),"",U396+E397))</f>
        <v/>
      </c>
      <c r="V397" s="304" t="str">
        <f t="shared" si="89"/>
        <v/>
      </c>
      <c r="W397" s="315" t="e">
        <f>IF(I397="",#N/A,YTD!G$8-I397)</f>
        <v>#N/A</v>
      </c>
      <c r="X397" s="368">
        <f t="shared" si="83"/>
        <v>0</v>
      </c>
      <c r="Y397" s="368">
        <f t="shared" si="90"/>
        <v>6</v>
      </c>
      <c r="Z397" s="368" t="str">
        <f t="shared" si="84"/>
        <v/>
      </c>
      <c r="AA397" s="371"/>
      <c r="AB397" s="372"/>
      <c r="AC397" s="373"/>
      <c r="AD397" s="373"/>
      <c r="AE397" s="373"/>
      <c r="AF397" s="371"/>
      <c r="AG397" s="373"/>
      <c r="AH397" s="2"/>
      <c r="AI397" s="2"/>
      <c r="AJ397" s="2"/>
    </row>
    <row r="398" spans="1:36" x14ac:dyDescent="0.2">
      <c r="A398" s="306">
        <f>Crop!B431</f>
        <v>42022</v>
      </c>
      <c r="B398" s="307"/>
      <c r="C398" s="308"/>
      <c r="D398" s="304" t="str">
        <f>IF(OR($A398&lt;$A$3,$A398&gt;$A$7),"",Crop!$D431)</f>
        <v/>
      </c>
      <c r="E398" s="304" t="str">
        <f t="shared" si="78"/>
        <v/>
      </c>
      <c r="F398" s="304" t="str">
        <f>IF(OR(A398&lt;A$3,A398&gt;A$7),"",Crop!U431)</f>
        <v/>
      </c>
      <c r="G398" s="304" t="str">
        <f t="shared" si="79"/>
        <v/>
      </c>
      <c r="H398" s="309" t="str">
        <f>IF(OR(A398&lt;A$3,A398&gt;A$7),"",YTD!E395)</f>
        <v/>
      </c>
      <c r="I398" s="310" t="str">
        <f t="shared" si="80"/>
        <v/>
      </c>
      <c r="J398" s="311"/>
      <c r="K398" s="309" t="str">
        <f t="shared" si="81"/>
        <v/>
      </c>
      <c r="L398" s="312" t="str">
        <f t="shared" si="85"/>
        <v/>
      </c>
      <c r="M398" s="366" t="str">
        <f t="shared" si="86"/>
        <v/>
      </c>
      <c r="N398" s="328" t="str">
        <f t="shared" si="91"/>
        <v/>
      </c>
      <c r="O398" s="313" t="str">
        <f t="shared" si="92"/>
        <v/>
      </c>
      <c r="P398" s="307"/>
      <c r="Q398" s="309">
        <f t="shared" si="87"/>
        <v>0.8</v>
      </c>
      <c r="R398" s="307"/>
      <c r="S398" s="314">
        <f t="shared" si="88"/>
        <v>10</v>
      </c>
      <c r="T398" s="304" t="str">
        <f t="shared" si="82"/>
        <v/>
      </c>
      <c r="U398" s="304" t="str">
        <f>IF(A398=YTD!B$6,E398,IF(OR(A398&lt;YTD!B$6,A398&gt;YTD!B$10),"",U397+E398))</f>
        <v/>
      </c>
      <c r="V398" s="304" t="str">
        <f t="shared" si="89"/>
        <v/>
      </c>
      <c r="W398" s="315" t="e">
        <f>IF(I398="",#N/A,YTD!G$8-I398)</f>
        <v>#N/A</v>
      </c>
      <c r="X398" s="368">
        <f t="shared" si="83"/>
        <v>0</v>
      </c>
      <c r="Y398" s="368">
        <f t="shared" si="90"/>
        <v>6</v>
      </c>
      <c r="Z398" s="368" t="str">
        <f t="shared" si="84"/>
        <v/>
      </c>
      <c r="AA398" s="371"/>
      <c r="AB398" s="372"/>
      <c r="AC398" s="373"/>
      <c r="AD398" s="373"/>
      <c r="AE398" s="373"/>
      <c r="AF398" s="371"/>
      <c r="AG398" s="373"/>
      <c r="AH398" s="2"/>
      <c r="AI398" s="2"/>
      <c r="AJ398" s="2"/>
    </row>
    <row r="399" spans="1:36" x14ac:dyDescent="0.2">
      <c r="A399" s="306">
        <f>Crop!B432</f>
        <v>42023</v>
      </c>
      <c r="B399" s="307"/>
      <c r="C399" s="308"/>
      <c r="D399" s="304" t="str">
        <f>IF(OR($A399&lt;$A$3,$A399&gt;$A$7),"",Crop!$D432)</f>
        <v/>
      </c>
      <c r="E399" s="304" t="str">
        <f t="shared" si="78"/>
        <v/>
      </c>
      <c r="F399" s="304" t="str">
        <f>IF(OR(A399&lt;A$3,A399&gt;A$7),"",Crop!U432)</f>
        <v/>
      </c>
      <c r="G399" s="304" t="str">
        <f t="shared" si="79"/>
        <v/>
      </c>
      <c r="H399" s="309" t="str">
        <f>IF(OR(A399&lt;A$3,A399&gt;A$7),"",YTD!E396)</f>
        <v/>
      </c>
      <c r="I399" s="310" t="str">
        <f t="shared" si="80"/>
        <v/>
      </c>
      <c r="J399" s="311"/>
      <c r="K399" s="309" t="str">
        <f t="shared" si="81"/>
        <v/>
      </c>
      <c r="L399" s="312" t="str">
        <f t="shared" si="85"/>
        <v/>
      </c>
      <c r="M399" s="366" t="str">
        <f t="shared" si="86"/>
        <v/>
      </c>
      <c r="N399" s="328" t="str">
        <f t="shared" si="91"/>
        <v/>
      </c>
      <c r="O399" s="313" t="str">
        <f t="shared" si="92"/>
        <v/>
      </c>
      <c r="P399" s="307"/>
      <c r="Q399" s="309">
        <f t="shared" si="87"/>
        <v>0.8</v>
      </c>
      <c r="R399" s="307"/>
      <c r="S399" s="314">
        <f t="shared" si="88"/>
        <v>10</v>
      </c>
      <c r="T399" s="304" t="str">
        <f t="shared" si="82"/>
        <v/>
      </c>
      <c r="U399" s="304" t="str">
        <f>IF(A399=YTD!B$6,E399,IF(OR(A399&lt;YTD!B$6,A399&gt;YTD!B$10),"",U398+E399))</f>
        <v/>
      </c>
      <c r="V399" s="304" t="str">
        <f t="shared" si="89"/>
        <v/>
      </c>
      <c r="W399" s="315" t="e">
        <f>IF(I399="",#N/A,YTD!G$8-I399)</f>
        <v>#N/A</v>
      </c>
      <c r="X399" s="368">
        <f t="shared" si="83"/>
        <v>0</v>
      </c>
      <c r="Y399" s="368">
        <f t="shared" si="90"/>
        <v>6</v>
      </c>
      <c r="Z399" s="368" t="str">
        <f t="shared" si="84"/>
        <v/>
      </c>
      <c r="AA399" s="371"/>
      <c r="AB399" s="372"/>
      <c r="AC399" s="373"/>
      <c r="AD399" s="373"/>
      <c r="AE399" s="373"/>
      <c r="AF399" s="371"/>
      <c r="AG399" s="373"/>
      <c r="AH399" s="2"/>
      <c r="AI399" s="2"/>
      <c r="AJ399" s="2"/>
    </row>
    <row r="400" spans="1:36" x14ac:dyDescent="0.2">
      <c r="A400" s="306">
        <f>Crop!B433</f>
        <v>42024</v>
      </c>
      <c r="B400" s="307"/>
      <c r="C400" s="308"/>
      <c r="D400" s="304" t="str">
        <f>IF(OR($A400&lt;$A$3,$A400&gt;$A$7),"",Crop!$D433)</f>
        <v/>
      </c>
      <c r="E400" s="304" t="str">
        <f t="shared" ref="E400:E463" si="93">IF(C400="",D400,C400)</f>
        <v/>
      </c>
      <c r="F400" s="304" t="str">
        <f>IF(OR(A400&lt;A$3,A400&gt;A$7),"",Crop!U433)</f>
        <v/>
      </c>
      <c r="G400" s="304" t="str">
        <f t="shared" ref="G400:G463" si="94">IF(OR(A400&lt;A$3,A400&gt;A$7),"",E400*F400)</f>
        <v/>
      </c>
      <c r="H400" s="309" t="str">
        <f>IF(OR(A400&lt;A$3,A400&gt;A$7),"",YTD!E397)</f>
        <v/>
      </c>
      <c r="I400" s="310" t="str">
        <f t="shared" ref="I400:I463" si="95">IF(A400=A$3-1,I$13,IF(OR(A400&lt;A$3,A400&gt;A$7),"",IF(T400="A",I399+G400-K400-J400,IF(J400&gt;0,I399+G400-K400-J400,I399+G400-K400))))</f>
        <v/>
      </c>
      <c r="J400" s="311"/>
      <c r="K400" s="309" t="str">
        <f t="shared" ref="K400:K463" si="96">IF(U400="","",IF(AND(E400="",B400=""),"",IF(B400="",0,IF(B400&gt;I399+G400,I399+G400,B400))))</f>
        <v/>
      </c>
      <c r="L400" s="312" t="str">
        <f t="shared" si="85"/>
        <v/>
      </c>
      <c r="M400" s="366" t="str">
        <f t="shared" si="86"/>
        <v/>
      </c>
      <c r="N400" s="328" t="str">
        <f t="shared" si="91"/>
        <v/>
      </c>
      <c r="O400" s="313" t="str">
        <f t="shared" si="92"/>
        <v/>
      </c>
      <c r="P400" s="307"/>
      <c r="Q400" s="309">
        <f t="shared" si="87"/>
        <v>0.8</v>
      </c>
      <c r="R400" s="307"/>
      <c r="S400" s="314">
        <f t="shared" si="88"/>
        <v>10</v>
      </c>
      <c r="T400" s="304" t="str">
        <f t="shared" ref="T400:T463" si="97">IF(A400=A$3,"A",IF(A400=A$4,"B",IF(A400=A$5,"C",IF(A400=A$6,"D",IF(A400=A$7,"E","")))))</f>
        <v/>
      </c>
      <c r="U400" s="304" t="str">
        <f>IF(A400=YTD!B$6,E400,IF(OR(A400&lt;YTD!B$6,A400&gt;YTD!B$10),"",U399+E400))</f>
        <v/>
      </c>
      <c r="V400" s="304" t="str">
        <f t="shared" si="89"/>
        <v/>
      </c>
      <c r="W400" s="315" t="e">
        <f>IF(I400="",#N/A,YTD!G$8-I400)</f>
        <v>#N/A</v>
      </c>
      <c r="X400" s="368">
        <f t="shared" ref="X400:X463" si="98">IF(J400="",0,1)</f>
        <v>0</v>
      </c>
      <c r="Y400" s="368">
        <f t="shared" si="90"/>
        <v>6</v>
      </c>
      <c r="Z400" s="368" t="str">
        <f t="shared" ref="Z400:Z423" si="99">IF(X400=1,Y400,"")</f>
        <v/>
      </c>
      <c r="AA400" s="371"/>
      <c r="AB400" s="372"/>
      <c r="AC400" s="373"/>
      <c r="AD400" s="373"/>
      <c r="AE400" s="373"/>
      <c r="AF400" s="371"/>
      <c r="AG400" s="373"/>
      <c r="AH400" s="2"/>
      <c r="AI400" s="2"/>
      <c r="AJ400" s="2"/>
    </row>
    <row r="401" spans="1:36" x14ac:dyDescent="0.2">
      <c r="A401" s="306">
        <f>Crop!B434</f>
        <v>42025</v>
      </c>
      <c r="B401" s="307"/>
      <c r="C401" s="308"/>
      <c r="D401" s="304" t="str">
        <f>IF(OR($A401&lt;$A$3,$A401&gt;$A$7),"",Crop!$D434)</f>
        <v/>
      </c>
      <c r="E401" s="304" t="str">
        <f t="shared" si="93"/>
        <v/>
      </c>
      <c r="F401" s="304" t="str">
        <f>IF(OR(A401&lt;A$3,A401&gt;A$7),"",Crop!U434)</f>
        <v/>
      </c>
      <c r="G401" s="304" t="str">
        <f t="shared" si="94"/>
        <v/>
      </c>
      <c r="H401" s="309" t="str">
        <f>IF(OR(A401&lt;A$3,A401&gt;A$7),"",YTD!E398)</f>
        <v/>
      </c>
      <c r="I401" s="310" t="str">
        <f t="shared" si="95"/>
        <v/>
      </c>
      <c r="J401" s="311"/>
      <c r="K401" s="309" t="str">
        <f t="shared" si="96"/>
        <v/>
      </c>
      <c r="L401" s="312" t="str">
        <f t="shared" ref="L401:L464" si="100">IF(J401="","",J401/Q401)</f>
        <v/>
      </c>
      <c r="M401" s="366" t="str">
        <f t="shared" ref="M401:M464" si="101">IF(L401="","",L401/(1-$I$8))</f>
        <v/>
      </c>
      <c r="N401" s="328" t="str">
        <f t="shared" si="91"/>
        <v/>
      </c>
      <c r="O401" s="313" t="str">
        <f t="shared" si="92"/>
        <v/>
      </c>
      <c r="P401" s="307"/>
      <c r="Q401" s="309">
        <f t="shared" ref="Q401:Q464" si="102">IF(P401="",Q400,P401)</f>
        <v>0.8</v>
      </c>
      <c r="R401" s="307"/>
      <c r="S401" s="314">
        <f t="shared" ref="S401:S464" si="103">IF(R401="",S400,R401)</f>
        <v>10</v>
      </c>
      <c r="T401" s="304" t="str">
        <f t="shared" si="97"/>
        <v/>
      </c>
      <c r="U401" s="304" t="str">
        <f>IF(A401=YTD!B$6,E401,IF(OR(A401&lt;YTD!B$6,A401&gt;YTD!B$10),"",U400+E401))</f>
        <v/>
      </c>
      <c r="V401" s="304" t="str">
        <f t="shared" ref="V401:V464" si="104">IF(G401="","",IF(G400="",G401,V400+G401))</f>
        <v/>
      </c>
      <c r="W401" s="315" t="e">
        <f>IF(I401="",#N/A,YTD!G$8-I401)</f>
        <v>#N/A</v>
      </c>
      <c r="X401" s="368">
        <f t="shared" si="98"/>
        <v>0</v>
      </c>
      <c r="Y401" s="368">
        <f t="shared" si="90"/>
        <v>6</v>
      </c>
      <c r="Z401" s="368" t="str">
        <f t="shared" si="99"/>
        <v/>
      </c>
      <c r="AA401" s="371"/>
      <c r="AB401" s="372"/>
      <c r="AC401" s="373"/>
      <c r="AD401" s="373"/>
      <c r="AE401" s="373"/>
      <c r="AF401" s="371"/>
      <c r="AG401" s="373"/>
      <c r="AH401" s="2"/>
      <c r="AI401" s="2"/>
      <c r="AJ401" s="2"/>
    </row>
    <row r="402" spans="1:36" x14ac:dyDescent="0.2">
      <c r="A402" s="306">
        <f>Crop!B435</f>
        <v>42026</v>
      </c>
      <c r="B402" s="307"/>
      <c r="C402" s="308"/>
      <c r="D402" s="304" t="str">
        <f>IF(OR($A402&lt;$A$3,$A402&gt;$A$7),"",Crop!$D435)</f>
        <v/>
      </c>
      <c r="E402" s="304" t="str">
        <f t="shared" si="93"/>
        <v/>
      </c>
      <c r="F402" s="304" t="str">
        <f>IF(OR(A402&lt;A$3,A402&gt;A$7),"",Crop!U435)</f>
        <v/>
      </c>
      <c r="G402" s="304" t="str">
        <f t="shared" si="94"/>
        <v/>
      </c>
      <c r="H402" s="309" t="str">
        <f>IF(OR(A402&lt;A$3,A402&gt;A$7),"",YTD!E399)</f>
        <v/>
      </c>
      <c r="I402" s="310" t="str">
        <f t="shared" si="95"/>
        <v/>
      </c>
      <c r="J402" s="311"/>
      <c r="K402" s="309" t="str">
        <f t="shared" si="96"/>
        <v/>
      </c>
      <c r="L402" s="312" t="str">
        <f t="shared" si="100"/>
        <v/>
      </c>
      <c r="M402" s="366" t="str">
        <f t="shared" si="101"/>
        <v/>
      </c>
      <c r="N402" s="328" t="str">
        <f t="shared" si="91"/>
        <v/>
      </c>
      <c r="O402" s="313" t="str">
        <f t="shared" si="92"/>
        <v/>
      </c>
      <c r="P402" s="307"/>
      <c r="Q402" s="309">
        <f t="shared" si="102"/>
        <v>0.8</v>
      </c>
      <c r="R402" s="307"/>
      <c r="S402" s="314">
        <f t="shared" si="103"/>
        <v>10</v>
      </c>
      <c r="T402" s="304" t="str">
        <f t="shared" si="97"/>
        <v/>
      </c>
      <c r="U402" s="304" t="str">
        <f>IF(A402=YTD!B$6,E402,IF(OR(A402&lt;YTD!B$6,A402&gt;YTD!B$10),"",U401+E402))</f>
        <v/>
      </c>
      <c r="V402" s="304" t="str">
        <f t="shared" si="104"/>
        <v/>
      </c>
      <c r="W402" s="315" t="e">
        <f>IF(I402="",#N/A,YTD!G$8-I402)</f>
        <v>#N/A</v>
      </c>
      <c r="X402" s="368">
        <f t="shared" si="98"/>
        <v>0</v>
      </c>
      <c r="Y402" s="368">
        <f t="shared" ref="Y402:Y465" si="105">Y401+X402</f>
        <v>6</v>
      </c>
      <c r="Z402" s="368" t="str">
        <f t="shared" si="99"/>
        <v/>
      </c>
      <c r="AA402" s="371"/>
      <c r="AB402" s="372"/>
      <c r="AC402" s="373"/>
      <c r="AD402" s="373"/>
      <c r="AE402" s="373"/>
      <c r="AF402" s="371"/>
      <c r="AG402" s="373"/>
      <c r="AH402" s="2"/>
      <c r="AI402" s="2"/>
      <c r="AJ402" s="2"/>
    </row>
    <row r="403" spans="1:36" x14ac:dyDescent="0.2">
      <c r="A403" s="306">
        <f>Crop!B436</f>
        <v>42027</v>
      </c>
      <c r="B403" s="307"/>
      <c r="C403" s="308"/>
      <c r="D403" s="304" t="str">
        <f>IF(OR($A403&lt;$A$3,$A403&gt;$A$7),"",Crop!$D436)</f>
        <v/>
      </c>
      <c r="E403" s="304" t="str">
        <f t="shared" si="93"/>
        <v/>
      </c>
      <c r="F403" s="304" t="str">
        <f>IF(OR(A403&lt;A$3,A403&gt;A$7),"",Crop!U436)</f>
        <v/>
      </c>
      <c r="G403" s="304" t="str">
        <f t="shared" si="94"/>
        <v/>
      </c>
      <c r="H403" s="309" t="str">
        <f>IF(OR(A403&lt;A$3,A403&gt;A$7),"",YTD!E400)</f>
        <v/>
      </c>
      <c r="I403" s="310" t="str">
        <f t="shared" si="95"/>
        <v/>
      </c>
      <c r="J403" s="311"/>
      <c r="K403" s="309" t="str">
        <f t="shared" si="96"/>
        <v/>
      </c>
      <c r="L403" s="312" t="str">
        <f t="shared" si="100"/>
        <v/>
      </c>
      <c r="M403" s="366" t="str">
        <f t="shared" si="101"/>
        <v/>
      </c>
      <c r="N403" s="328" t="str">
        <f t="shared" si="91"/>
        <v/>
      </c>
      <c r="O403" s="313" t="str">
        <f t="shared" si="92"/>
        <v/>
      </c>
      <c r="P403" s="307"/>
      <c r="Q403" s="309">
        <f t="shared" si="102"/>
        <v>0.8</v>
      </c>
      <c r="R403" s="307"/>
      <c r="S403" s="314">
        <f t="shared" si="103"/>
        <v>10</v>
      </c>
      <c r="T403" s="304" t="str">
        <f t="shared" si="97"/>
        <v/>
      </c>
      <c r="U403" s="304" t="str">
        <f>IF(A403=YTD!B$6,E403,IF(OR(A403&lt;YTD!B$6,A403&gt;YTD!B$10),"",U402+E403))</f>
        <v/>
      </c>
      <c r="V403" s="304" t="str">
        <f t="shared" si="104"/>
        <v/>
      </c>
      <c r="W403" s="315" t="e">
        <f>IF(I403="",#N/A,YTD!G$8-I403)</f>
        <v>#N/A</v>
      </c>
      <c r="X403" s="368">
        <f t="shared" si="98"/>
        <v>0</v>
      </c>
      <c r="Y403" s="368">
        <f t="shared" si="105"/>
        <v>6</v>
      </c>
      <c r="Z403" s="368" t="str">
        <f t="shared" si="99"/>
        <v/>
      </c>
      <c r="AA403" s="371"/>
      <c r="AB403" s="372"/>
      <c r="AC403" s="373"/>
      <c r="AD403" s="373"/>
      <c r="AE403" s="373"/>
      <c r="AF403" s="371"/>
      <c r="AG403" s="373"/>
      <c r="AH403" s="2"/>
      <c r="AI403" s="2"/>
      <c r="AJ403" s="2"/>
    </row>
    <row r="404" spans="1:36" x14ac:dyDescent="0.2">
      <c r="A404" s="306">
        <f>Crop!B437</f>
        <v>42028</v>
      </c>
      <c r="B404" s="307"/>
      <c r="C404" s="308"/>
      <c r="D404" s="304" t="str">
        <f>IF(OR($A404&lt;$A$3,$A404&gt;$A$7),"",Crop!$D437)</f>
        <v/>
      </c>
      <c r="E404" s="304" t="str">
        <f t="shared" si="93"/>
        <v/>
      </c>
      <c r="F404" s="304" t="str">
        <f>IF(OR(A404&lt;A$3,A404&gt;A$7),"",Crop!U437)</f>
        <v/>
      </c>
      <c r="G404" s="304" t="str">
        <f t="shared" si="94"/>
        <v/>
      </c>
      <c r="H404" s="309" t="str">
        <f>IF(OR(A404&lt;A$3,A404&gt;A$7),"",YTD!E401)</f>
        <v/>
      </c>
      <c r="I404" s="310" t="str">
        <f t="shared" si="95"/>
        <v/>
      </c>
      <c r="J404" s="311"/>
      <c r="K404" s="309" t="str">
        <f t="shared" si="96"/>
        <v/>
      </c>
      <c r="L404" s="312" t="str">
        <f t="shared" si="100"/>
        <v/>
      </c>
      <c r="M404" s="366" t="str">
        <f t="shared" si="101"/>
        <v/>
      </c>
      <c r="N404" s="328" t="str">
        <f t="shared" si="91"/>
        <v/>
      </c>
      <c r="O404" s="313" t="str">
        <f t="shared" si="92"/>
        <v/>
      </c>
      <c r="P404" s="307"/>
      <c r="Q404" s="309">
        <f t="shared" si="102"/>
        <v>0.8</v>
      </c>
      <c r="R404" s="307"/>
      <c r="S404" s="314">
        <f t="shared" si="103"/>
        <v>10</v>
      </c>
      <c r="T404" s="304" t="str">
        <f t="shared" si="97"/>
        <v/>
      </c>
      <c r="U404" s="304" t="str">
        <f>IF(A404=YTD!B$6,E404,IF(OR(A404&lt;YTD!B$6,A404&gt;YTD!B$10),"",U403+E404))</f>
        <v/>
      </c>
      <c r="V404" s="304" t="str">
        <f t="shared" si="104"/>
        <v/>
      </c>
      <c r="W404" s="315" t="e">
        <f>IF(I404="",#N/A,YTD!G$8-I404)</f>
        <v>#N/A</v>
      </c>
      <c r="X404" s="368">
        <f t="shared" si="98"/>
        <v>0</v>
      </c>
      <c r="Y404" s="368">
        <f t="shared" si="105"/>
        <v>6</v>
      </c>
      <c r="Z404" s="368" t="str">
        <f t="shared" si="99"/>
        <v/>
      </c>
      <c r="AA404" s="371"/>
      <c r="AB404" s="372"/>
      <c r="AC404" s="373"/>
      <c r="AD404" s="373"/>
      <c r="AE404" s="373"/>
      <c r="AF404" s="371"/>
      <c r="AG404" s="373"/>
      <c r="AH404" s="2"/>
      <c r="AI404" s="2"/>
      <c r="AJ404" s="2"/>
    </row>
    <row r="405" spans="1:36" x14ac:dyDescent="0.2">
      <c r="A405" s="306">
        <f>Crop!B438</f>
        <v>42029</v>
      </c>
      <c r="B405" s="307"/>
      <c r="C405" s="308"/>
      <c r="D405" s="304" t="str">
        <f>IF(OR($A405&lt;$A$3,$A405&gt;$A$7),"",Crop!$D438)</f>
        <v/>
      </c>
      <c r="E405" s="304" t="str">
        <f t="shared" si="93"/>
        <v/>
      </c>
      <c r="F405" s="304" t="str">
        <f>IF(OR(A405&lt;A$3,A405&gt;A$7),"",Crop!U438)</f>
        <v/>
      </c>
      <c r="G405" s="304" t="str">
        <f t="shared" si="94"/>
        <v/>
      </c>
      <c r="H405" s="309" t="str">
        <f>IF(OR(A405&lt;A$3,A405&gt;A$7),"",YTD!E402)</f>
        <v/>
      </c>
      <c r="I405" s="310" t="str">
        <f t="shared" si="95"/>
        <v/>
      </c>
      <c r="J405" s="311"/>
      <c r="K405" s="309" t="str">
        <f t="shared" si="96"/>
        <v/>
      </c>
      <c r="L405" s="312" t="str">
        <f t="shared" si="100"/>
        <v/>
      </c>
      <c r="M405" s="366" t="str">
        <f t="shared" si="101"/>
        <v/>
      </c>
      <c r="N405" s="328" t="str">
        <f t="shared" si="91"/>
        <v/>
      </c>
      <c r="O405" s="313" t="str">
        <f t="shared" si="92"/>
        <v/>
      </c>
      <c r="P405" s="307"/>
      <c r="Q405" s="309">
        <f t="shared" si="102"/>
        <v>0.8</v>
      </c>
      <c r="R405" s="307"/>
      <c r="S405" s="314">
        <f t="shared" si="103"/>
        <v>10</v>
      </c>
      <c r="T405" s="304" t="str">
        <f t="shared" si="97"/>
        <v/>
      </c>
      <c r="U405" s="304" t="str">
        <f>IF(A405=YTD!B$6,E405,IF(OR(A405&lt;YTD!B$6,A405&gt;YTD!B$10),"",U404+E405))</f>
        <v/>
      </c>
      <c r="V405" s="304" t="str">
        <f t="shared" si="104"/>
        <v/>
      </c>
      <c r="W405" s="315" t="e">
        <f>IF(I405="",#N/A,YTD!G$8-I405)</f>
        <v>#N/A</v>
      </c>
      <c r="X405" s="368">
        <f t="shared" si="98"/>
        <v>0</v>
      </c>
      <c r="Y405" s="368">
        <f t="shared" si="105"/>
        <v>6</v>
      </c>
      <c r="Z405" s="368" t="str">
        <f t="shared" si="99"/>
        <v/>
      </c>
      <c r="AA405" s="371"/>
      <c r="AB405" s="372"/>
      <c r="AC405" s="373"/>
      <c r="AD405" s="373"/>
      <c r="AE405" s="373"/>
      <c r="AF405" s="371"/>
      <c r="AG405" s="373"/>
      <c r="AH405" s="2"/>
      <c r="AI405" s="2"/>
      <c r="AJ405" s="2"/>
    </row>
    <row r="406" spans="1:36" x14ac:dyDescent="0.2">
      <c r="A406" s="306">
        <f>Crop!B439</f>
        <v>42030</v>
      </c>
      <c r="B406" s="307"/>
      <c r="C406" s="308"/>
      <c r="D406" s="304" t="str">
        <f>IF(OR($A406&lt;$A$3,$A406&gt;$A$7),"",Crop!$D439)</f>
        <v/>
      </c>
      <c r="E406" s="304" t="str">
        <f t="shared" si="93"/>
        <v/>
      </c>
      <c r="F406" s="304" t="str">
        <f>IF(OR(A406&lt;A$3,A406&gt;A$7),"",Crop!U439)</f>
        <v/>
      </c>
      <c r="G406" s="304" t="str">
        <f t="shared" si="94"/>
        <v/>
      </c>
      <c r="H406" s="309" t="str">
        <f>IF(OR(A406&lt;A$3,A406&gt;A$7),"",YTD!E403)</f>
        <v/>
      </c>
      <c r="I406" s="310" t="str">
        <f t="shared" si="95"/>
        <v/>
      </c>
      <c r="J406" s="311"/>
      <c r="K406" s="309" t="str">
        <f t="shared" si="96"/>
        <v/>
      </c>
      <c r="L406" s="312" t="str">
        <f t="shared" si="100"/>
        <v/>
      </c>
      <c r="M406" s="366" t="str">
        <f t="shared" si="101"/>
        <v/>
      </c>
      <c r="N406" s="328" t="str">
        <f t="shared" si="91"/>
        <v/>
      </c>
      <c r="O406" s="313" t="str">
        <f t="shared" si="92"/>
        <v/>
      </c>
      <c r="P406" s="307"/>
      <c r="Q406" s="309">
        <f t="shared" si="102"/>
        <v>0.8</v>
      </c>
      <c r="R406" s="307"/>
      <c r="S406" s="314">
        <f t="shared" si="103"/>
        <v>10</v>
      </c>
      <c r="T406" s="304" t="str">
        <f t="shared" si="97"/>
        <v/>
      </c>
      <c r="U406" s="304" t="str">
        <f>IF(A406=YTD!B$6,E406,IF(OR(A406&lt;YTD!B$6,A406&gt;YTD!B$10),"",U405+E406))</f>
        <v/>
      </c>
      <c r="V406" s="304" t="str">
        <f t="shared" si="104"/>
        <v/>
      </c>
      <c r="W406" s="315" t="e">
        <f>IF(I406="",#N/A,YTD!G$8-I406)</f>
        <v>#N/A</v>
      </c>
      <c r="X406" s="368">
        <f t="shared" si="98"/>
        <v>0</v>
      </c>
      <c r="Y406" s="368">
        <f t="shared" si="105"/>
        <v>6</v>
      </c>
      <c r="Z406" s="368" t="str">
        <f t="shared" si="99"/>
        <v/>
      </c>
      <c r="AA406" s="371"/>
      <c r="AB406" s="372"/>
      <c r="AC406" s="373"/>
      <c r="AD406" s="373"/>
      <c r="AE406" s="373"/>
      <c r="AF406" s="371"/>
      <c r="AG406" s="373"/>
      <c r="AH406" s="2"/>
      <c r="AI406" s="2"/>
      <c r="AJ406" s="2"/>
    </row>
    <row r="407" spans="1:36" x14ac:dyDescent="0.2">
      <c r="A407" s="306">
        <f>Crop!B440</f>
        <v>42031</v>
      </c>
      <c r="B407" s="307"/>
      <c r="C407" s="308"/>
      <c r="D407" s="304" t="str">
        <f>IF(OR($A407&lt;$A$3,$A407&gt;$A$7),"",Crop!$D440)</f>
        <v/>
      </c>
      <c r="E407" s="304" t="str">
        <f t="shared" si="93"/>
        <v/>
      </c>
      <c r="F407" s="304" t="str">
        <f>IF(OR(A407&lt;A$3,A407&gt;A$7),"",Crop!U440)</f>
        <v/>
      </c>
      <c r="G407" s="304" t="str">
        <f t="shared" si="94"/>
        <v/>
      </c>
      <c r="H407" s="309" t="str">
        <f>IF(OR(A407&lt;A$3,A407&gt;A$7),"",YTD!E404)</f>
        <v/>
      </c>
      <c r="I407" s="310" t="str">
        <f t="shared" si="95"/>
        <v/>
      </c>
      <c r="J407" s="311"/>
      <c r="K407" s="309" t="str">
        <f t="shared" si="96"/>
        <v/>
      </c>
      <c r="L407" s="312" t="str">
        <f t="shared" si="100"/>
        <v/>
      </c>
      <c r="M407" s="366" t="str">
        <f t="shared" si="101"/>
        <v/>
      </c>
      <c r="N407" s="328" t="str">
        <f t="shared" si="91"/>
        <v/>
      </c>
      <c r="O407" s="313" t="str">
        <f t="shared" si="92"/>
        <v/>
      </c>
      <c r="P407" s="307"/>
      <c r="Q407" s="309">
        <f t="shared" si="102"/>
        <v>0.8</v>
      </c>
      <c r="R407" s="307"/>
      <c r="S407" s="314">
        <f t="shared" si="103"/>
        <v>10</v>
      </c>
      <c r="T407" s="304" t="str">
        <f t="shared" si="97"/>
        <v/>
      </c>
      <c r="U407" s="304" t="str">
        <f>IF(A407=YTD!B$6,E407,IF(OR(A407&lt;YTD!B$6,A407&gt;YTD!B$10),"",U406+E407))</f>
        <v/>
      </c>
      <c r="V407" s="304" t="str">
        <f t="shared" si="104"/>
        <v/>
      </c>
      <c r="W407" s="315" t="e">
        <f>IF(I407="",#N/A,YTD!G$8-I407)</f>
        <v>#N/A</v>
      </c>
      <c r="X407" s="368">
        <f t="shared" si="98"/>
        <v>0</v>
      </c>
      <c r="Y407" s="368">
        <f t="shared" si="105"/>
        <v>6</v>
      </c>
      <c r="Z407" s="368" t="str">
        <f t="shared" si="99"/>
        <v/>
      </c>
      <c r="AA407" s="371"/>
      <c r="AB407" s="372"/>
      <c r="AC407" s="373"/>
      <c r="AD407" s="373"/>
      <c r="AE407" s="373"/>
      <c r="AF407" s="371"/>
      <c r="AG407" s="373"/>
      <c r="AH407" s="2"/>
      <c r="AI407" s="2"/>
      <c r="AJ407" s="2"/>
    </row>
    <row r="408" spans="1:36" x14ac:dyDescent="0.2">
      <c r="A408" s="306">
        <f>Crop!B441</f>
        <v>42032</v>
      </c>
      <c r="B408" s="307"/>
      <c r="C408" s="308"/>
      <c r="D408" s="304" t="str">
        <f>IF(OR($A408&lt;$A$3,$A408&gt;$A$7),"",Crop!$D441)</f>
        <v/>
      </c>
      <c r="E408" s="304" t="str">
        <f t="shared" si="93"/>
        <v/>
      </c>
      <c r="F408" s="304" t="str">
        <f>IF(OR(A408&lt;A$3,A408&gt;A$7),"",Crop!U441)</f>
        <v/>
      </c>
      <c r="G408" s="304" t="str">
        <f t="shared" si="94"/>
        <v/>
      </c>
      <c r="H408" s="309" t="str">
        <f>IF(OR(A408&lt;A$3,A408&gt;A$7),"",YTD!E405)</f>
        <v/>
      </c>
      <c r="I408" s="310" t="str">
        <f t="shared" si="95"/>
        <v/>
      </c>
      <c r="J408" s="311"/>
      <c r="K408" s="309" t="str">
        <f t="shared" si="96"/>
        <v/>
      </c>
      <c r="L408" s="312" t="str">
        <f t="shared" si="100"/>
        <v/>
      </c>
      <c r="M408" s="366" t="str">
        <f t="shared" si="101"/>
        <v/>
      </c>
      <c r="N408" s="328" t="str">
        <f t="shared" si="91"/>
        <v/>
      </c>
      <c r="O408" s="313" t="str">
        <f t="shared" si="92"/>
        <v/>
      </c>
      <c r="P408" s="307"/>
      <c r="Q408" s="309">
        <f t="shared" si="102"/>
        <v>0.8</v>
      </c>
      <c r="R408" s="307"/>
      <c r="S408" s="314">
        <f t="shared" si="103"/>
        <v>10</v>
      </c>
      <c r="T408" s="304" t="str">
        <f t="shared" si="97"/>
        <v/>
      </c>
      <c r="U408" s="304" t="str">
        <f>IF(A408=YTD!B$6,E408,IF(OR(A408&lt;YTD!B$6,A408&gt;YTD!B$10),"",U407+E408))</f>
        <v/>
      </c>
      <c r="V408" s="304" t="str">
        <f t="shared" si="104"/>
        <v/>
      </c>
      <c r="W408" s="315" t="e">
        <f>IF(I408="",#N/A,YTD!G$8-I408)</f>
        <v>#N/A</v>
      </c>
      <c r="X408" s="368">
        <f t="shared" si="98"/>
        <v>0</v>
      </c>
      <c r="Y408" s="368">
        <f t="shared" si="105"/>
        <v>6</v>
      </c>
      <c r="Z408" s="368" t="str">
        <f t="shared" si="99"/>
        <v/>
      </c>
      <c r="AA408" s="371"/>
      <c r="AB408" s="372"/>
      <c r="AC408" s="373"/>
      <c r="AD408" s="373"/>
      <c r="AE408" s="373"/>
      <c r="AF408" s="371"/>
      <c r="AG408" s="373"/>
      <c r="AH408" s="2"/>
      <c r="AI408" s="2"/>
      <c r="AJ408" s="2"/>
    </row>
    <row r="409" spans="1:36" x14ac:dyDescent="0.2">
      <c r="A409" s="306">
        <f>Crop!B442</f>
        <v>42033</v>
      </c>
      <c r="B409" s="307"/>
      <c r="C409" s="308"/>
      <c r="D409" s="304" t="str">
        <f>IF(OR($A409&lt;$A$3,$A409&gt;$A$7),"",Crop!$D442)</f>
        <v/>
      </c>
      <c r="E409" s="304" t="str">
        <f t="shared" si="93"/>
        <v/>
      </c>
      <c r="F409" s="304" t="str">
        <f>IF(OR(A409&lt;A$3,A409&gt;A$7),"",Crop!U442)</f>
        <v/>
      </c>
      <c r="G409" s="304" t="str">
        <f t="shared" si="94"/>
        <v/>
      </c>
      <c r="H409" s="309" t="str">
        <f>IF(OR(A409&lt;A$3,A409&gt;A$7),"",YTD!E406)</f>
        <v/>
      </c>
      <c r="I409" s="310" t="str">
        <f t="shared" si="95"/>
        <v/>
      </c>
      <c r="J409" s="311"/>
      <c r="K409" s="309" t="str">
        <f t="shared" si="96"/>
        <v/>
      </c>
      <c r="L409" s="312" t="str">
        <f t="shared" si="100"/>
        <v/>
      </c>
      <c r="M409" s="366" t="str">
        <f t="shared" si="101"/>
        <v/>
      </c>
      <c r="N409" s="328" t="str">
        <f t="shared" si="91"/>
        <v/>
      </c>
      <c r="O409" s="313" t="str">
        <f t="shared" si="92"/>
        <v/>
      </c>
      <c r="P409" s="307"/>
      <c r="Q409" s="309">
        <f t="shared" si="102"/>
        <v>0.8</v>
      </c>
      <c r="R409" s="307"/>
      <c r="S409" s="314">
        <f t="shared" si="103"/>
        <v>10</v>
      </c>
      <c r="T409" s="304" t="str">
        <f t="shared" si="97"/>
        <v/>
      </c>
      <c r="U409" s="304" t="str">
        <f>IF(A409=YTD!B$6,E409,IF(OR(A409&lt;YTD!B$6,A409&gt;YTD!B$10),"",U408+E409))</f>
        <v/>
      </c>
      <c r="V409" s="304" t="str">
        <f t="shared" si="104"/>
        <v/>
      </c>
      <c r="W409" s="315" t="e">
        <f>IF(I409="",#N/A,YTD!G$8-I409)</f>
        <v>#N/A</v>
      </c>
      <c r="X409" s="368">
        <f t="shared" si="98"/>
        <v>0</v>
      </c>
      <c r="Y409" s="368">
        <f t="shared" si="105"/>
        <v>6</v>
      </c>
      <c r="Z409" s="368" t="str">
        <f t="shared" si="99"/>
        <v/>
      </c>
      <c r="AA409" s="371"/>
      <c r="AB409" s="372"/>
      <c r="AC409" s="373"/>
      <c r="AD409" s="373"/>
      <c r="AE409" s="373"/>
      <c r="AF409" s="371"/>
      <c r="AG409" s="373"/>
      <c r="AH409" s="2"/>
      <c r="AI409" s="2"/>
      <c r="AJ409" s="2"/>
    </row>
    <row r="410" spans="1:36" x14ac:dyDescent="0.2">
      <c r="A410" s="306">
        <f>Crop!B443</f>
        <v>42034</v>
      </c>
      <c r="B410" s="307"/>
      <c r="C410" s="308"/>
      <c r="D410" s="304" t="str">
        <f>IF(OR($A410&lt;$A$3,$A410&gt;$A$7),"",Crop!$D443)</f>
        <v/>
      </c>
      <c r="E410" s="304" t="str">
        <f t="shared" si="93"/>
        <v/>
      </c>
      <c r="F410" s="304" t="str">
        <f>IF(OR(A410&lt;A$3,A410&gt;A$7),"",Crop!U443)</f>
        <v/>
      </c>
      <c r="G410" s="304" t="str">
        <f t="shared" si="94"/>
        <v/>
      </c>
      <c r="H410" s="309" t="str">
        <f>IF(OR(A410&lt;A$3,A410&gt;A$7),"",YTD!E407)</f>
        <v/>
      </c>
      <c r="I410" s="310" t="str">
        <f t="shared" si="95"/>
        <v/>
      </c>
      <c r="J410" s="311"/>
      <c r="K410" s="309" t="str">
        <f t="shared" si="96"/>
        <v/>
      </c>
      <c r="L410" s="312" t="str">
        <f t="shared" si="100"/>
        <v/>
      </c>
      <c r="M410" s="366" t="str">
        <f t="shared" si="101"/>
        <v/>
      </c>
      <c r="N410" s="328" t="str">
        <f t="shared" si="91"/>
        <v/>
      </c>
      <c r="O410" s="313" t="str">
        <f t="shared" si="92"/>
        <v/>
      </c>
      <c r="P410" s="307"/>
      <c r="Q410" s="309">
        <f t="shared" si="102"/>
        <v>0.8</v>
      </c>
      <c r="R410" s="307"/>
      <c r="S410" s="314">
        <f t="shared" si="103"/>
        <v>10</v>
      </c>
      <c r="T410" s="304" t="str">
        <f t="shared" si="97"/>
        <v/>
      </c>
      <c r="U410" s="304" t="str">
        <f>IF(A410=YTD!B$6,E410,IF(OR(A410&lt;YTD!B$6,A410&gt;YTD!B$10),"",U409+E410))</f>
        <v/>
      </c>
      <c r="V410" s="304" t="str">
        <f t="shared" si="104"/>
        <v/>
      </c>
      <c r="W410" s="315" t="e">
        <f>IF(I410="",#N/A,YTD!G$8-I410)</f>
        <v>#N/A</v>
      </c>
      <c r="X410" s="368">
        <f t="shared" si="98"/>
        <v>0</v>
      </c>
      <c r="Y410" s="368">
        <f t="shared" si="105"/>
        <v>6</v>
      </c>
      <c r="Z410" s="368" t="str">
        <f t="shared" si="99"/>
        <v/>
      </c>
      <c r="AA410" s="371"/>
      <c r="AB410" s="372"/>
      <c r="AC410" s="373"/>
      <c r="AD410" s="373"/>
      <c r="AE410" s="373"/>
      <c r="AF410" s="371"/>
      <c r="AG410" s="373"/>
      <c r="AH410" s="2"/>
      <c r="AI410" s="2"/>
      <c r="AJ410" s="2"/>
    </row>
    <row r="411" spans="1:36" x14ac:dyDescent="0.2">
      <c r="A411" s="306">
        <f>Crop!B444</f>
        <v>42035</v>
      </c>
      <c r="B411" s="307"/>
      <c r="C411" s="308"/>
      <c r="D411" s="304" t="str">
        <f>IF(OR($A411&lt;$A$3,$A411&gt;$A$7),"",Crop!$D444)</f>
        <v/>
      </c>
      <c r="E411" s="304" t="str">
        <f t="shared" si="93"/>
        <v/>
      </c>
      <c r="F411" s="304" t="str">
        <f>IF(OR(A411&lt;A$3,A411&gt;A$7),"",Crop!U444)</f>
        <v/>
      </c>
      <c r="G411" s="304" t="str">
        <f t="shared" si="94"/>
        <v/>
      </c>
      <c r="H411" s="309" t="str">
        <f>IF(OR(A411&lt;A$3,A411&gt;A$7),"",YTD!E408)</f>
        <v/>
      </c>
      <c r="I411" s="310" t="str">
        <f t="shared" si="95"/>
        <v/>
      </c>
      <c r="J411" s="311"/>
      <c r="K411" s="309" t="str">
        <f t="shared" si="96"/>
        <v/>
      </c>
      <c r="L411" s="312" t="str">
        <f t="shared" si="100"/>
        <v/>
      </c>
      <c r="M411" s="366" t="str">
        <f t="shared" si="101"/>
        <v/>
      </c>
      <c r="N411" s="328" t="str">
        <f t="shared" si="91"/>
        <v/>
      </c>
      <c r="O411" s="313" t="str">
        <f t="shared" si="92"/>
        <v/>
      </c>
      <c r="P411" s="307"/>
      <c r="Q411" s="309">
        <f t="shared" si="102"/>
        <v>0.8</v>
      </c>
      <c r="R411" s="307"/>
      <c r="S411" s="314">
        <f t="shared" si="103"/>
        <v>10</v>
      </c>
      <c r="T411" s="304" t="str">
        <f t="shared" si="97"/>
        <v/>
      </c>
      <c r="U411" s="304" t="str">
        <f>IF(A411=YTD!B$6,E411,IF(OR(A411&lt;YTD!B$6,A411&gt;YTD!B$10),"",U410+E411))</f>
        <v/>
      </c>
      <c r="V411" s="304" t="str">
        <f t="shared" si="104"/>
        <v/>
      </c>
      <c r="W411" s="315" t="e">
        <f>IF(I411="",#N/A,YTD!G$8-I411)</f>
        <v>#N/A</v>
      </c>
      <c r="X411" s="368">
        <f t="shared" si="98"/>
        <v>0</v>
      </c>
      <c r="Y411" s="368">
        <f t="shared" si="105"/>
        <v>6</v>
      </c>
      <c r="Z411" s="368" t="str">
        <f t="shared" si="99"/>
        <v/>
      </c>
      <c r="AA411" s="371"/>
      <c r="AB411" s="372"/>
      <c r="AC411" s="373"/>
      <c r="AD411" s="373"/>
      <c r="AE411" s="373"/>
      <c r="AF411" s="371"/>
      <c r="AG411" s="373"/>
      <c r="AH411" s="2"/>
      <c r="AI411" s="2"/>
      <c r="AJ411" s="2"/>
    </row>
    <row r="412" spans="1:36" x14ac:dyDescent="0.2">
      <c r="A412" s="306">
        <f>Crop!B445</f>
        <v>42036</v>
      </c>
      <c r="B412" s="307"/>
      <c r="C412" s="308"/>
      <c r="D412" s="304" t="str">
        <f>IF(OR($A412&lt;$A$3,$A412&gt;$A$7),"",Crop!$D445)</f>
        <v/>
      </c>
      <c r="E412" s="304" t="str">
        <f t="shared" si="93"/>
        <v/>
      </c>
      <c r="F412" s="304" t="str">
        <f>IF(OR(A412&lt;A$3,A412&gt;A$7),"",Crop!U445)</f>
        <v/>
      </c>
      <c r="G412" s="304" t="str">
        <f t="shared" si="94"/>
        <v/>
      </c>
      <c r="H412" s="309" t="str">
        <f>IF(OR(A412&lt;A$3,A412&gt;A$7),"",YTD!E409)</f>
        <v/>
      </c>
      <c r="I412" s="310" t="str">
        <f t="shared" si="95"/>
        <v/>
      </c>
      <c r="J412" s="311"/>
      <c r="K412" s="309" t="str">
        <f t="shared" si="96"/>
        <v/>
      </c>
      <c r="L412" s="312" t="str">
        <f t="shared" si="100"/>
        <v/>
      </c>
      <c r="M412" s="366" t="str">
        <f t="shared" si="101"/>
        <v/>
      </c>
      <c r="N412" s="328" t="str">
        <f t="shared" si="91"/>
        <v/>
      </c>
      <c r="O412" s="313" t="str">
        <f t="shared" si="92"/>
        <v/>
      </c>
      <c r="P412" s="307"/>
      <c r="Q412" s="309">
        <f t="shared" si="102"/>
        <v>0.8</v>
      </c>
      <c r="R412" s="307"/>
      <c r="S412" s="314">
        <f t="shared" si="103"/>
        <v>10</v>
      </c>
      <c r="T412" s="304" t="str">
        <f t="shared" si="97"/>
        <v/>
      </c>
      <c r="U412" s="304" t="str">
        <f>IF(A412=YTD!B$6,E412,IF(OR(A412&lt;YTD!B$6,A412&gt;YTD!B$10),"",U411+E412))</f>
        <v/>
      </c>
      <c r="V412" s="304" t="str">
        <f t="shared" si="104"/>
        <v/>
      </c>
      <c r="W412" s="315" t="e">
        <f>IF(I412="",#N/A,YTD!G$8-I412)</f>
        <v>#N/A</v>
      </c>
      <c r="X412" s="368">
        <f t="shared" si="98"/>
        <v>0</v>
      </c>
      <c r="Y412" s="368">
        <f t="shared" si="105"/>
        <v>6</v>
      </c>
      <c r="Z412" s="368" t="str">
        <f t="shared" si="99"/>
        <v/>
      </c>
      <c r="AA412" s="371"/>
      <c r="AB412" s="372"/>
      <c r="AC412" s="373"/>
      <c r="AD412" s="373"/>
      <c r="AE412" s="373"/>
      <c r="AF412" s="371"/>
      <c r="AG412" s="373"/>
      <c r="AH412" s="2"/>
      <c r="AI412" s="2"/>
      <c r="AJ412" s="2"/>
    </row>
    <row r="413" spans="1:36" x14ac:dyDescent="0.2">
      <c r="A413" s="306">
        <f>Crop!B446</f>
        <v>42037</v>
      </c>
      <c r="B413" s="307"/>
      <c r="C413" s="308"/>
      <c r="D413" s="304" t="str">
        <f>IF(OR($A413&lt;$A$3,$A413&gt;$A$7),"",Crop!$D446)</f>
        <v/>
      </c>
      <c r="E413" s="304" t="str">
        <f t="shared" si="93"/>
        <v/>
      </c>
      <c r="F413" s="304" t="str">
        <f>IF(OR(A413&lt;A$3,A413&gt;A$7),"",Crop!U446)</f>
        <v/>
      </c>
      <c r="G413" s="304" t="str">
        <f t="shared" si="94"/>
        <v/>
      </c>
      <c r="H413" s="309" t="str">
        <f>IF(OR(A413&lt;A$3,A413&gt;A$7),"",YTD!E410)</f>
        <v/>
      </c>
      <c r="I413" s="310" t="str">
        <f t="shared" si="95"/>
        <v/>
      </c>
      <c r="J413" s="311"/>
      <c r="K413" s="309" t="str">
        <f t="shared" si="96"/>
        <v/>
      </c>
      <c r="L413" s="312" t="str">
        <f t="shared" si="100"/>
        <v/>
      </c>
      <c r="M413" s="366" t="str">
        <f t="shared" si="101"/>
        <v/>
      </c>
      <c r="N413" s="328" t="str">
        <f t="shared" si="91"/>
        <v/>
      </c>
      <c r="O413" s="313" t="str">
        <f t="shared" si="92"/>
        <v/>
      </c>
      <c r="P413" s="307"/>
      <c r="Q413" s="309">
        <f t="shared" si="102"/>
        <v>0.8</v>
      </c>
      <c r="R413" s="307"/>
      <c r="S413" s="314">
        <f t="shared" si="103"/>
        <v>10</v>
      </c>
      <c r="T413" s="304" t="str">
        <f t="shared" si="97"/>
        <v/>
      </c>
      <c r="U413" s="304" t="str">
        <f>IF(A413=YTD!B$6,E413,IF(OR(A413&lt;YTD!B$6,A413&gt;YTD!B$10),"",U412+E413))</f>
        <v/>
      </c>
      <c r="V413" s="304" t="str">
        <f t="shared" si="104"/>
        <v/>
      </c>
      <c r="W413" s="315" t="e">
        <f>IF(I413="",#N/A,YTD!G$8-I413)</f>
        <v>#N/A</v>
      </c>
      <c r="X413" s="368">
        <f t="shared" si="98"/>
        <v>0</v>
      </c>
      <c r="Y413" s="368">
        <f t="shared" si="105"/>
        <v>6</v>
      </c>
      <c r="Z413" s="368" t="str">
        <f t="shared" si="99"/>
        <v/>
      </c>
      <c r="AA413" s="371"/>
      <c r="AB413" s="372"/>
      <c r="AC413" s="373"/>
      <c r="AD413" s="373"/>
      <c r="AE413" s="373"/>
      <c r="AF413" s="371"/>
      <c r="AG413" s="373"/>
      <c r="AH413" s="2"/>
      <c r="AI413" s="2"/>
      <c r="AJ413" s="2"/>
    </row>
    <row r="414" spans="1:36" x14ac:dyDescent="0.2">
      <c r="A414" s="306">
        <f>Crop!B447</f>
        <v>42038</v>
      </c>
      <c r="B414" s="307"/>
      <c r="C414" s="308"/>
      <c r="D414" s="304" t="str">
        <f>IF(OR($A414&lt;$A$3,$A414&gt;$A$7),"",Crop!$D447)</f>
        <v/>
      </c>
      <c r="E414" s="304" t="str">
        <f t="shared" si="93"/>
        <v/>
      </c>
      <c r="F414" s="304" t="str">
        <f>IF(OR(A414&lt;A$3,A414&gt;A$7),"",Crop!U447)</f>
        <v/>
      </c>
      <c r="G414" s="304" t="str">
        <f t="shared" si="94"/>
        <v/>
      </c>
      <c r="H414" s="309" t="str">
        <f>IF(OR(A414&lt;A$3,A414&gt;A$7),"",YTD!E411)</f>
        <v/>
      </c>
      <c r="I414" s="310" t="str">
        <f t="shared" si="95"/>
        <v/>
      </c>
      <c r="J414" s="311"/>
      <c r="K414" s="309" t="str">
        <f t="shared" si="96"/>
        <v/>
      </c>
      <c r="L414" s="312" t="str">
        <f t="shared" si="100"/>
        <v/>
      </c>
      <c r="M414" s="366" t="str">
        <f t="shared" si="101"/>
        <v/>
      </c>
      <c r="N414" s="328" t="str">
        <f t="shared" si="91"/>
        <v/>
      </c>
      <c r="O414" s="313" t="str">
        <f t="shared" si="92"/>
        <v/>
      </c>
      <c r="P414" s="307"/>
      <c r="Q414" s="309">
        <f t="shared" si="102"/>
        <v>0.8</v>
      </c>
      <c r="R414" s="307"/>
      <c r="S414" s="314">
        <f t="shared" si="103"/>
        <v>10</v>
      </c>
      <c r="T414" s="304" t="str">
        <f t="shared" si="97"/>
        <v/>
      </c>
      <c r="U414" s="304" t="str">
        <f>IF(A414=YTD!B$6,E414,IF(OR(A414&lt;YTD!B$6,A414&gt;YTD!B$10),"",U413+E414))</f>
        <v/>
      </c>
      <c r="V414" s="304" t="str">
        <f t="shared" si="104"/>
        <v/>
      </c>
      <c r="W414" s="315" t="e">
        <f>IF(I414="",#N/A,YTD!G$8-I414)</f>
        <v>#N/A</v>
      </c>
      <c r="X414" s="368">
        <f t="shared" si="98"/>
        <v>0</v>
      </c>
      <c r="Y414" s="368">
        <f t="shared" si="105"/>
        <v>6</v>
      </c>
      <c r="Z414" s="368" t="str">
        <f t="shared" si="99"/>
        <v/>
      </c>
      <c r="AA414" s="371"/>
      <c r="AB414" s="372"/>
      <c r="AC414" s="373"/>
      <c r="AD414" s="373"/>
      <c r="AE414" s="373"/>
      <c r="AF414" s="371"/>
      <c r="AG414" s="373"/>
      <c r="AH414" s="2"/>
      <c r="AI414" s="2"/>
      <c r="AJ414" s="2"/>
    </row>
    <row r="415" spans="1:36" x14ac:dyDescent="0.2">
      <c r="A415" s="306">
        <f>Crop!B448</f>
        <v>42039</v>
      </c>
      <c r="B415" s="307"/>
      <c r="C415" s="308"/>
      <c r="D415" s="304" t="str">
        <f>IF(OR($A415&lt;$A$3,$A415&gt;$A$7),"",Crop!$D448)</f>
        <v/>
      </c>
      <c r="E415" s="304" t="str">
        <f t="shared" si="93"/>
        <v/>
      </c>
      <c r="F415" s="304" t="str">
        <f>IF(OR(A415&lt;A$3,A415&gt;A$7),"",Crop!U448)</f>
        <v/>
      </c>
      <c r="G415" s="304" t="str">
        <f t="shared" si="94"/>
        <v/>
      </c>
      <c r="H415" s="309" t="str">
        <f>IF(OR(A415&lt;A$3,A415&gt;A$7),"",YTD!E412)</f>
        <v/>
      </c>
      <c r="I415" s="310" t="str">
        <f t="shared" si="95"/>
        <v/>
      </c>
      <c r="J415" s="311"/>
      <c r="K415" s="309" t="str">
        <f t="shared" si="96"/>
        <v/>
      </c>
      <c r="L415" s="312" t="str">
        <f t="shared" si="100"/>
        <v/>
      </c>
      <c r="M415" s="366" t="str">
        <f t="shared" si="101"/>
        <v/>
      </c>
      <c r="N415" s="328" t="str">
        <f t="shared" si="91"/>
        <v/>
      </c>
      <c r="O415" s="313" t="str">
        <f t="shared" si="92"/>
        <v/>
      </c>
      <c r="P415" s="307"/>
      <c r="Q415" s="309">
        <f t="shared" si="102"/>
        <v>0.8</v>
      </c>
      <c r="R415" s="307"/>
      <c r="S415" s="314">
        <f t="shared" si="103"/>
        <v>10</v>
      </c>
      <c r="T415" s="304" t="str">
        <f t="shared" si="97"/>
        <v/>
      </c>
      <c r="U415" s="304" t="str">
        <f>IF(A415=YTD!B$6,E415,IF(OR(A415&lt;YTD!B$6,A415&gt;YTD!B$10),"",U414+E415))</f>
        <v/>
      </c>
      <c r="V415" s="304" t="str">
        <f t="shared" si="104"/>
        <v/>
      </c>
      <c r="W415" s="315" t="e">
        <f>IF(I415="",#N/A,YTD!G$8-I415)</f>
        <v>#N/A</v>
      </c>
      <c r="X415" s="368">
        <f t="shared" si="98"/>
        <v>0</v>
      </c>
      <c r="Y415" s="368">
        <f t="shared" si="105"/>
        <v>6</v>
      </c>
      <c r="Z415" s="368" t="str">
        <f t="shared" si="99"/>
        <v/>
      </c>
      <c r="AA415" s="371"/>
      <c r="AB415" s="372"/>
      <c r="AC415" s="373"/>
      <c r="AD415" s="373"/>
      <c r="AE415" s="373"/>
      <c r="AF415" s="371"/>
      <c r="AG415" s="373"/>
      <c r="AH415" s="2"/>
      <c r="AI415" s="2"/>
      <c r="AJ415" s="2"/>
    </row>
    <row r="416" spans="1:36" x14ac:dyDescent="0.2">
      <c r="A416" s="306">
        <f>Crop!B449</f>
        <v>42040</v>
      </c>
      <c r="B416" s="307"/>
      <c r="C416" s="308"/>
      <c r="D416" s="304" t="str">
        <f>IF(OR($A416&lt;$A$3,$A416&gt;$A$7),"",Crop!$D449)</f>
        <v/>
      </c>
      <c r="E416" s="304" t="str">
        <f t="shared" si="93"/>
        <v/>
      </c>
      <c r="F416" s="304" t="str">
        <f>IF(OR(A416&lt;A$3,A416&gt;A$7),"",Crop!U449)</f>
        <v/>
      </c>
      <c r="G416" s="304" t="str">
        <f t="shared" si="94"/>
        <v/>
      </c>
      <c r="H416" s="309" t="str">
        <f>IF(OR(A416&lt;A$3,A416&gt;A$7),"",YTD!E413)</f>
        <v/>
      </c>
      <c r="I416" s="310" t="str">
        <f t="shared" si="95"/>
        <v/>
      </c>
      <c r="J416" s="311"/>
      <c r="K416" s="309" t="str">
        <f t="shared" si="96"/>
        <v/>
      </c>
      <c r="L416" s="312" t="str">
        <f t="shared" si="100"/>
        <v/>
      </c>
      <c r="M416" s="366" t="str">
        <f t="shared" si="101"/>
        <v/>
      </c>
      <c r="N416" s="328" t="str">
        <f t="shared" si="91"/>
        <v/>
      </c>
      <c r="O416" s="313" t="str">
        <f t="shared" si="92"/>
        <v/>
      </c>
      <c r="P416" s="307"/>
      <c r="Q416" s="309">
        <f t="shared" si="102"/>
        <v>0.8</v>
      </c>
      <c r="R416" s="307"/>
      <c r="S416" s="314">
        <f t="shared" si="103"/>
        <v>10</v>
      </c>
      <c r="T416" s="304" t="str">
        <f t="shared" si="97"/>
        <v/>
      </c>
      <c r="U416" s="304" t="str">
        <f>IF(A416=YTD!B$6,E416,IF(OR(A416&lt;YTD!B$6,A416&gt;YTD!B$10),"",U415+E416))</f>
        <v/>
      </c>
      <c r="V416" s="304" t="str">
        <f t="shared" si="104"/>
        <v/>
      </c>
      <c r="W416" s="315" t="e">
        <f>IF(I416="",#N/A,YTD!G$8-I416)</f>
        <v>#N/A</v>
      </c>
      <c r="X416" s="368">
        <f t="shared" si="98"/>
        <v>0</v>
      </c>
      <c r="Y416" s="368">
        <f t="shared" si="105"/>
        <v>6</v>
      </c>
      <c r="Z416" s="368" t="str">
        <f t="shared" si="99"/>
        <v/>
      </c>
      <c r="AA416" s="371"/>
      <c r="AB416" s="372"/>
      <c r="AC416" s="373"/>
      <c r="AD416" s="373"/>
      <c r="AE416" s="373"/>
      <c r="AF416" s="371"/>
      <c r="AG416" s="373"/>
      <c r="AH416" s="2"/>
      <c r="AI416" s="2"/>
      <c r="AJ416" s="2"/>
    </row>
    <row r="417" spans="1:36" x14ac:dyDescent="0.2">
      <c r="A417" s="306">
        <f>Crop!B450</f>
        <v>42041</v>
      </c>
      <c r="B417" s="307"/>
      <c r="C417" s="308"/>
      <c r="D417" s="304" t="str">
        <f>IF(OR($A417&lt;$A$3,$A417&gt;$A$7),"",Crop!$D450)</f>
        <v/>
      </c>
      <c r="E417" s="304" t="str">
        <f t="shared" si="93"/>
        <v/>
      </c>
      <c r="F417" s="304" t="str">
        <f>IF(OR(A417&lt;A$3,A417&gt;A$7),"",Crop!U450)</f>
        <v/>
      </c>
      <c r="G417" s="304" t="str">
        <f t="shared" si="94"/>
        <v/>
      </c>
      <c r="H417" s="309" t="str">
        <f>IF(OR(A417&lt;A$3,A417&gt;A$7),"",YTD!E414)</f>
        <v/>
      </c>
      <c r="I417" s="310" t="str">
        <f t="shared" si="95"/>
        <v/>
      </c>
      <c r="J417" s="311"/>
      <c r="K417" s="309" t="str">
        <f t="shared" si="96"/>
        <v/>
      </c>
      <c r="L417" s="312" t="str">
        <f t="shared" si="100"/>
        <v/>
      </c>
      <c r="M417" s="366" t="str">
        <f t="shared" si="101"/>
        <v/>
      </c>
      <c r="N417" s="328" t="str">
        <f t="shared" si="91"/>
        <v/>
      </c>
      <c r="O417" s="313" t="str">
        <f t="shared" si="92"/>
        <v/>
      </c>
      <c r="P417" s="307"/>
      <c r="Q417" s="309">
        <f t="shared" si="102"/>
        <v>0.8</v>
      </c>
      <c r="R417" s="307"/>
      <c r="S417" s="314">
        <f t="shared" si="103"/>
        <v>10</v>
      </c>
      <c r="T417" s="304" t="str">
        <f t="shared" si="97"/>
        <v/>
      </c>
      <c r="U417" s="304" t="str">
        <f>IF(A417=YTD!B$6,E417,IF(OR(A417&lt;YTD!B$6,A417&gt;YTD!B$10),"",U416+E417))</f>
        <v/>
      </c>
      <c r="V417" s="304" t="str">
        <f t="shared" si="104"/>
        <v/>
      </c>
      <c r="W417" s="315" t="e">
        <f>IF(I417="",#N/A,YTD!G$8-I417)</f>
        <v>#N/A</v>
      </c>
      <c r="X417" s="368">
        <f t="shared" si="98"/>
        <v>0</v>
      </c>
      <c r="Y417" s="368">
        <f t="shared" si="105"/>
        <v>6</v>
      </c>
      <c r="Z417" s="368" t="str">
        <f t="shared" si="99"/>
        <v/>
      </c>
      <c r="AA417" s="371"/>
      <c r="AB417" s="372"/>
      <c r="AC417" s="373"/>
      <c r="AD417" s="373"/>
      <c r="AE417" s="373"/>
      <c r="AF417" s="371"/>
      <c r="AG417" s="373"/>
      <c r="AH417" s="2"/>
      <c r="AI417" s="2"/>
      <c r="AJ417" s="2"/>
    </row>
    <row r="418" spans="1:36" x14ac:dyDescent="0.2">
      <c r="A418" s="306">
        <f>Crop!B451</f>
        <v>42042</v>
      </c>
      <c r="B418" s="307"/>
      <c r="C418" s="308"/>
      <c r="D418" s="304" t="str">
        <f>IF(OR($A418&lt;$A$3,$A418&gt;$A$7),"",Crop!$D451)</f>
        <v/>
      </c>
      <c r="E418" s="304" t="str">
        <f t="shared" si="93"/>
        <v/>
      </c>
      <c r="F418" s="304" t="str">
        <f>IF(OR(A418&lt;A$3,A418&gt;A$7),"",Crop!U451)</f>
        <v/>
      </c>
      <c r="G418" s="304" t="str">
        <f t="shared" si="94"/>
        <v/>
      </c>
      <c r="H418" s="309" t="str">
        <f>IF(OR(A418&lt;A$3,A418&gt;A$7),"",YTD!E415)</f>
        <v/>
      </c>
      <c r="I418" s="310" t="str">
        <f t="shared" si="95"/>
        <v/>
      </c>
      <c r="J418" s="311"/>
      <c r="K418" s="309" t="str">
        <f t="shared" si="96"/>
        <v/>
      </c>
      <c r="L418" s="312" t="str">
        <f t="shared" si="100"/>
        <v/>
      </c>
      <c r="M418" s="366" t="str">
        <f t="shared" si="101"/>
        <v/>
      </c>
      <c r="N418" s="328" t="str">
        <f t="shared" si="91"/>
        <v/>
      </c>
      <c r="O418" s="313" t="str">
        <f t="shared" si="92"/>
        <v/>
      </c>
      <c r="P418" s="307"/>
      <c r="Q418" s="309">
        <f t="shared" si="102"/>
        <v>0.8</v>
      </c>
      <c r="R418" s="307"/>
      <c r="S418" s="314">
        <f t="shared" si="103"/>
        <v>10</v>
      </c>
      <c r="T418" s="304" t="str">
        <f t="shared" si="97"/>
        <v/>
      </c>
      <c r="U418" s="304" t="str">
        <f>IF(A418=YTD!B$6,E418,IF(OR(A418&lt;YTD!B$6,A418&gt;YTD!B$10),"",U417+E418))</f>
        <v/>
      </c>
      <c r="V418" s="304" t="str">
        <f t="shared" si="104"/>
        <v/>
      </c>
      <c r="W418" s="315" t="e">
        <f>IF(I418="",#N/A,YTD!G$8-I418)</f>
        <v>#N/A</v>
      </c>
      <c r="X418" s="368">
        <f t="shared" si="98"/>
        <v>0</v>
      </c>
      <c r="Y418" s="368">
        <f t="shared" si="105"/>
        <v>6</v>
      </c>
      <c r="Z418" s="368" t="str">
        <f t="shared" si="99"/>
        <v/>
      </c>
      <c r="AA418" s="371"/>
      <c r="AB418" s="372"/>
      <c r="AC418" s="373"/>
      <c r="AD418" s="373"/>
      <c r="AE418" s="373"/>
      <c r="AF418" s="371"/>
      <c r="AG418" s="373"/>
      <c r="AH418" s="2"/>
      <c r="AI418" s="2"/>
      <c r="AJ418" s="2"/>
    </row>
    <row r="419" spans="1:36" x14ac:dyDescent="0.2">
      <c r="A419" s="306">
        <f>Crop!B452</f>
        <v>42043</v>
      </c>
      <c r="B419" s="307"/>
      <c r="C419" s="308"/>
      <c r="D419" s="304" t="str">
        <f>IF(OR($A419&lt;$A$3,$A419&gt;$A$7),"",Crop!$D452)</f>
        <v/>
      </c>
      <c r="E419" s="304" t="str">
        <f t="shared" si="93"/>
        <v/>
      </c>
      <c r="F419" s="304" t="str">
        <f>IF(OR(A419&lt;A$3,A419&gt;A$7),"",Crop!U452)</f>
        <v/>
      </c>
      <c r="G419" s="304" t="str">
        <f t="shared" si="94"/>
        <v/>
      </c>
      <c r="H419" s="309" t="str">
        <f>IF(OR(A419&lt;A$3,A419&gt;A$7),"",YTD!E416)</f>
        <v/>
      </c>
      <c r="I419" s="310" t="str">
        <f t="shared" si="95"/>
        <v/>
      </c>
      <c r="J419" s="311"/>
      <c r="K419" s="309" t="str">
        <f t="shared" si="96"/>
        <v/>
      </c>
      <c r="L419" s="312" t="str">
        <f t="shared" si="100"/>
        <v/>
      </c>
      <c r="M419" s="366" t="str">
        <f t="shared" si="101"/>
        <v/>
      </c>
      <c r="N419" s="328" t="str">
        <f t="shared" si="91"/>
        <v/>
      </c>
      <c r="O419" s="313" t="str">
        <f t="shared" si="92"/>
        <v/>
      </c>
      <c r="P419" s="307"/>
      <c r="Q419" s="309">
        <f t="shared" si="102"/>
        <v>0.8</v>
      </c>
      <c r="R419" s="307"/>
      <c r="S419" s="314">
        <f t="shared" si="103"/>
        <v>10</v>
      </c>
      <c r="T419" s="304" t="str">
        <f t="shared" si="97"/>
        <v/>
      </c>
      <c r="U419" s="304" t="str">
        <f>IF(A419=YTD!B$6,E419,IF(OR(A419&lt;YTD!B$6,A419&gt;YTD!B$10),"",U418+E419))</f>
        <v/>
      </c>
      <c r="V419" s="304" t="str">
        <f t="shared" si="104"/>
        <v/>
      </c>
      <c r="W419" s="315" t="e">
        <f>IF(I419="",#N/A,YTD!G$8-I419)</f>
        <v>#N/A</v>
      </c>
      <c r="X419" s="368">
        <f t="shared" si="98"/>
        <v>0</v>
      </c>
      <c r="Y419" s="368">
        <f t="shared" si="105"/>
        <v>6</v>
      </c>
      <c r="Z419" s="368" t="str">
        <f t="shared" si="99"/>
        <v/>
      </c>
      <c r="AA419" s="371"/>
      <c r="AB419" s="372"/>
      <c r="AC419" s="373"/>
      <c r="AD419" s="373"/>
      <c r="AE419" s="373"/>
      <c r="AF419" s="371"/>
      <c r="AG419" s="373"/>
      <c r="AH419" s="2"/>
      <c r="AI419" s="2"/>
      <c r="AJ419" s="2"/>
    </row>
    <row r="420" spans="1:36" x14ac:dyDescent="0.2">
      <c r="A420" s="306">
        <f>Crop!B453</f>
        <v>42044</v>
      </c>
      <c r="B420" s="307"/>
      <c r="C420" s="308"/>
      <c r="D420" s="304" t="str">
        <f>IF(OR($A420&lt;$A$3,$A420&gt;$A$7),"",Crop!$D453)</f>
        <v/>
      </c>
      <c r="E420" s="304" t="str">
        <f t="shared" si="93"/>
        <v/>
      </c>
      <c r="F420" s="304" t="str">
        <f>IF(OR(A420&lt;A$3,A420&gt;A$7),"",Crop!U453)</f>
        <v/>
      </c>
      <c r="G420" s="304" t="str">
        <f t="shared" si="94"/>
        <v/>
      </c>
      <c r="H420" s="309" t="str">
        <f>IF(OR(A420&lt;A$3,A420&gt;A$7),"",YTD!E417)</f>
        <v/>
      </c>
      <c r="I420" s="310" t="str">
        <f t="shared" si="95"/>
        <v/>
      </c>
      <c r="J420" s="311"/>
      <c r="K420" s="309" t="str">
        <f t="shared" si="96"/>
        <v/>
      </c>
      <c r="L420" s="312" t="str">
        <f t="shared" si="100"/>
        <v/>
      </c>
      <c r="M420" s="366" t="str">
        <f t="shared" si="101"/>
        <v/>
      </c>
      <c r="N420" s="328" t="str">
        <f t="shared" si="91"/>
        <v/>
      </c>
      <c r="O420" s="313" t="str">
        <f t="shared" si="92"/>
        <v/>
      </c>
      <c r="P420" s="307"/>
      <c r="Q420" s="309">
        <f t="shared" si="102"/>
        <v>0.8</v>
      </c>
      <c r="R420" s="307"/>
      <c r="S420" s="314">
        <f t="shared" si="103"/>
        <v>10</v>
      </c>
      <c r="T420" s="304" t="str">
        <f t="shared" si="97"/>
        <v/>
      </c>
      <c r="U420" s="304" t="str">
        <f>IF(A420=YTD!B$6,E420,IF(OR(A420&lt;YTD!B$6,A420&gt;YTD!B$10),"",U419+E420))</f>
        <v/>
      </c>
      <c r="V420" s="304" t="str">
        <f t="shared" si="104"/>
        <v/>
      </c>
      <c r="W420" s="315" t="e">
        <f>IF(I420="",#N/A,YTD!G$8-I420)</f>
        <v>#N/A</v>
      </c>
      <c r="X420" s="368">
        <f t="shared" si="98"/>
        <v>0</v>
      </c>
      <c r="Y420" s="368">
        <f t="shared" si="105"/>
        <v>6</v>
      </c>
      <c r="Z420" s="368" t="str">
        <f t="shared" si="99"/>
        <v/>
      </c>
      <c r="AA420" s="371"/>
      <c r="AB420" s="372"/>
      <c r="AC420" s="373"/>
      <c r="AD420" s="373"/>
      <c r="AE420" s="373"/>
      <c r="AF420" s="371"/>
      <c r="AG420" s="373"/>
      <c r="AH420" s="2"/>
      <c r="AI420" s="2"/>
      <c r="AJ420" s="2"/>
    </row>
    <row r="421" spans="1:36" x14ac:dyDescent="0.2">
      <c r="A421" s="306">
        <f>Crop!B454</f>
        <v>42045</v>
      </c>
      <c r="B421" s="307"/>
      <c r="C421" s="308"/>
      <c r="D421" s="304" t="str">
        <f>IF(OR($A421&lt;$A$3,$A421&gt;$A$7),"",Crop!$D454)</f>
        <v/>
      </c>
      <c r="E421" s="304" t="str">
        <f t="shared" si="93"/>
        <v/>
      </c>
      <c r="F421" s="304" t="str">
        <f>IF(OR(A421&lt;A$3,A421&gt;A$7),"",Crop!U454)</f>
        <v/>
      </c>
      <c r="G421" s="304" t="str">
        <f t="shared" si="94"/>
        <v/>
      </c>
      <c r="H421" s="309" t="str">
        <f>IF(OR(A421&lt;A$3,A421&gt;A$7),"",YTD!E418)</f>
        <v/>
      </c>
      <c r="I421" s="310" t="str">
        <f t="shared" si="95"/>
        <v/>
      </c>
      <c r="J421" s="311"/>
      <c r="K421" s="309" t="str">
        <f t="shared" si="96"/>
        <v/>
      </c>
      <c r="L421" s="312" t="str">
        <f t="shared" si="100"/>
        <v/>
      </c>
      <c r="M421" s="366" t="str">
        <f t="shared" si="101"/>
        <v/>
      </c>
      <c r="N421" s="328" t="str">
        <f t="shared" si="91"/>
        <v/>
      </c>
      <c r="O421" s="313" t="str">
        <f t="shared" si="92"/>
        <v/>
      </c>
      <c r="P421" s="307"/>
      <c r="Q421" s="309">
        <f t="shared" si="102"/>
        <v>0.8</v>
      </c>
      <c r="R421" s="307"/>
      <c r="S421" s="314">
        <f t="shared" si="103"/>
        <v>10</v>
      </c>
      <c r="T421" s="304" t="str">
        <f t="shared" si="97"/>
        <v/>
      </c>
      <c r="U421" s="304" t="str">
        <f>IF(A421=YTD!B$6,E421,IF(OR(A421&lt;YTD!B$6,A421&gt;YTD!B$10),"",U420+E421))</f>
        <v/>
      </c>
      <c r="V421" s="304" t="str">
        <f t="shared" si="104"/>
        <v/>
      </c>
      <c r="W421" s="315" t="e">
        <f>IF(I421="",#N/A,YTD!G$8-I421)</f>
        <v>#N/A</v>
      </c>
      <c r="X421" s="368">
        <f t="shared" si="98"/>
        <v>0</v>
      </c>
      <c r="Y421" s="368">
        <f t="shared" si="105"/>
        <v>6</v>
      </c>
      <c r="Z421" s="368" t="str">
        <f t="shared" si="99"/>
        <v/>
      </c>
      <c r="AA421" s="371"/>
      <c r="AB421" s="372"/>
      <c r="AC421" s="373"/>
      <c r="AD421" s="373"/>
      <c r="AE421" s="373"/>
      <c r="AF421" s="371"/>
      <c r="AG421" s="373"/>
      <c r="AH421" s="2"/>
      <c r="AI421" s="2"/>
      <c r="AJ421" s="2"/>
    </row>
    <row r="422" spans="1:36" x14ac:dyDescent="0.2">
      <c r="A422" s="306">
        <f>Crop!B455</f>
        <v>42046</v>
      </c>
      <c r="B422" s="307"/>
      <c r="C422" s="308"/>
      <c r="D422" s="304" t="str">
        <f>IF(OR($A422&lt;$A$3,$A422&gt;$A$7),"",Crop!$D455)</f>
        <v/>
      </c>
      <c r="E422" s="304" t="str">
        <f t="shared" si="93"/>
        <v/>
      </c>
      <c r="F422" s="304" t="str">
        <f>IF(OR(A422&lt;A$3,A422&gt;A$7),"",Crop!U455)</f>
        <v/>
      </c>
      <c r="G422" s="304" t="str">
        <f t="shared" si="94"/>
        <v/>
      </c>
      <c r="H422" s="309" t="str">
        <f>IF(OR(A422&lt;A$3,A422&gt;A$7),"",YTD!E419)</f>
        <v/>
      </c>
      <c r="I422" s="310" t="str">
        <f t="shared" si="95"/>
        <v/>
      </c>
      <c r="J422" s="311"/>
      <c r="K422" s="309" t="str">
        <f t="shared" si="96"/>
        <v/>
      </c>
      <c r="L422" s="312" t="str">
        <f t="shared" si="100"/>
        <v/>
      </c>
      <c r="M422" s="366" t="str">
        <f t="shared" si="101"/>
        <v/>
      </c>
      <c r="N422" s="328" t="str">
        <f t="shared" si="91"/>
        <v/>
      </c>
      <c r="O422" s="313" t="str">
        <f t="shared" si="92"/>
        <v/>
      </c>
      <c r="P422" s="307"/>
      <c r="Q422" s="309">
        <f t="shared" si="102"/>
        <v>0.8</v>
      </c>
      <c r="R422" s="307"/>
      <c r="S422" s="314">
        <f t="shared" si="103"/>
        <v>10</v>
      </c>
      <c r="T422" s="304" t="str">
        <f t="shared" si="97"/>
        <v/>
      </c>
      <c r="U422" s="304" t="str">
        <f>IF(A422=YTD!B$6,E422,IF(OR(A422&lt;YTD!B$6,A422&gt;YTD!B$10),"",U421+E422))</f>
        <v/>
      </c>
      <c r="V422" s="304" t="str">
        <f t="shared" si="104"/>
        <v/>
      </c>
      <c r="W422" s="315" t="e">
        <f>IF(I422="",#N/A,YTD!G$8-I422)</f>
        <v>#N/A</v>
      </c>
      <c r="X422" s="368">
        <f t="shared" si="98"/>
        <v>0</v>
      </c>
      <c r="Y422" s="368">
        <f t="shared" si="105"/>
        <v>6</v>
      </c>
      <c r="Z422" s="368" t="str">
        <f t="shared" si="99"/>
        <v/>
      </c>
      <c r="AA422" s="371"/>
      <c r="AB422" s="372"/>
      <c r="AC422" s="373"/>
      <c r="AD422" s="373"/>
      <c r="AE422" s="373"/>
      <c r="AF422" s="371"/>
      <c r="AG422" s="373"/>
      <c r="AH422" s="2"/>
      <c r="AI422" s="2"/>
      <c r="AJ422" s="2"/>
    </row>
    <row r="423" spans="1:36" x14ac:dyDescent="0.2">
      <c r="A423" s="306">
        <f>Crop!B456</f>
        <v>42047</v>
      </c>
      <c r="B423" s="307"/>
      <c r="C423" s="308"/>
      <c r="D423" s="304" t="str">
        <f>IF(OR($A423&lt;$A$3,$A423&gt;$A$7),"",Crop!$D456)</f>
        <v/>
      </c>
      <c r="E423" s="304" t="str">
        <f t="shared" si="93"/>
        <v/>
      </c>
      <c r="F423" s="304" t="str">
        <f>IF(OR(A423&lt;A$3,A423&gt;A$7),"",Crop!U456)</f>
        <v/>
      </c>
      <c r="G423" s="304" t="str">
        <f t="shared" si="94"/>
        <v/>
      </c>
      <c r="H423" s="309" t="str">
        <f>IF(OR(A423&lt;A$3,A423&gt;A$7),"",YTD!E420)</f>
        <v/>
      </c>
      <c r="I423" s="310" t="str">
        <f t="shared" si="95"/>
        <v/>
      </c>
      <c r="J423" s="311"/>
      <c r="K423" s="309" t="str">
        <f t="shared" si="96"/>
        <v/>
      </c>
      <c r="L423" s="312" t="str">
        <f t="shared" si="100"/>
        <v/>
      </c>
      <c r="M423" s="366" t="str">
        <f t="shared" si="101"/>
        <v/>
      </c>
      <c r="N423" s="328" t="str">
        <f t="shared" si="91"/>
        <v/>
      </c>
      <c r="O423" s="313" t="str">
        <f t="shared" si="92"/>
        <v/>
      </c>
      <c r="P423" s="307"/>
      <c r="Q423" s="309">
        <f t="shared" si="102"/>
        <v>0.8</v>
      </c>
      <c r="R423" s="307"/>
      <c r="S423" s="314">
        <f t="shared" si="103"/>
        <v>10</v>
      </c>
      <c r="T423" s="304" t="str">
        <f t="shared" si="97"/>
        <v/>
      </c>
      <c r="U423" s="304" t="str">
        <f>IF(A423=YTD!B$6,E423,IF(OR(A423&lt;YTD!B$6,A423&gt;YTD!B$10),"",U422+E423))</f>
        <v/>
      </c>
      <c r="V423" s="304" t="str">
        <f t="shared" si="104"/>
        <v/>
      </c>
      <c r="W423" s="315" t="e">
        <f>IF(I423="",#N/A,YTD!G$8-I423)</f>
        <v>#N/A</v>
      </c>
      <c r="X423" s="368">
        <f t="shared" si="98"/>
        <v>0</v>
      </c>
      <c r="Y423" s="368">
        <f t="shared" si="105"/>
        <v>6</v>
      </c>
      <c r="Z423" s="368" t="str">
        <f t="shared" si="99"/>
        <v/>
      </c>
      <c r="AA423" s="371"/>
      <c r="AB423" s="372"/>
      <c r="AC423" s="373"/>
      <c r="AD423" s="373"/>
      <c r="AE423" s="373"/>
      <c r="AF423" s="371"/>
      <c r="AG423" s="373"/>
      <c r="AH423" s="2"/>
      <c r="AI423" s="2"/>
      <c r="AJ423" s="2"/>
    </row>
    <row r="424" spans="1:36" x14ac:dyDescent="0.2">
      <c r="A424" s="306">
        <f>Crop!B457</f>
        <v>42048</v>
      </c>
      <c r="B424" s="307"/>
      <c r="C424" s="308"/>
      <c r="D424" s="304" t="str">
        <f>IF(OR($A424&lt;$A$3,$A424&gt;$A$7),"",Crop!$D457)</f>
        <v/>
      </c>
      <c r="E424" s="304" t="str">
        <f t="shared" si="93"/>
        <v/>
      </c>
      <c r="F424" s="304" t="str">
        <f>IF(OR(A424&lt;A$3,A424&gt;A$7),"",Crop!U457)</f>
        <v/>
      </c>
      <c r="G424" s="304" t="str">
        <f t="shared" si="94"/>
        <v/>
      </c>
      <c r="H424" s="309" t="str">
        <f>IF(OR(A424&lt;A$3,A424&gt;A$7),"",YTD!E421)</f>
        <v/>
      </c>
      <c r="I424" s="310" t="str">
        <f t="shared" si="95"/>
        <v/>
      </c>
      <c r="J424" s="311"/>
      <c r="K424" s="309" t="str">
        <f t="shared" si="96"/>
        <v/>
      </c>
      <c r="L424" s="312" t="str">
        <f t="shared" si="100"/>
        <v/>
      </c>
      <c r="M424" s="366" t="str">
        <f t="shared" si="101"/>
        <v/>
      </c>
      <c r="N424" s="328" t="str">
        <f t="shared" si="91"/>
        <v/>
      </c>
      <c r="O424" s="313" t="str">
        <f t="shared" si="92"/>
        <v/>
      </c>
      <c r="P424" s="307"/>
      <c r="Q424" s="309">
        <f t="shared" si="102"/>
        <v>0.8</v>
      </c>
      <c r="R424" s="307"/>
      <c r="S424" s="314">
        <f t="shared" si="103"/>
        <v>10</v>
      </c>
      <c r="T424" s="304" t="str">
        <f t="shared" si="97"/>
        <v/>
      </c>
      <c r="U424" s="304" t="str">
        <f>IF(A424=YTD!B$6,E424,IF(OR(A424&lt;YTD!B$6,A424&gt;YTD!B$10),"",U423+E424))</f>
        <v/>
      </c>
      <c r="V424" s="304" t="str">
        <f t="shared" si="104"/>
        <v/>
      </c>
      <c r="W424" s="315" t="e">
        <f>IF(I424="",#N/A,YTD!G$8-I424)</f>
        <v>#N/A</v>
      </c>
      <c r="X424" s="368">
        <f t="shared" si="98"/>
        <v>0</v>
      </c>
      <c r="Y424" s="368">
        <f t="shared" si="105"/>
        <v>6</v>
      </c>
      <c r="Z424" s="368" t="str">
        <f>IF(X424=1,Y424,"")</f>
        <v/>
      </c>
      <c r="AA424" s="371"/>
      <c r="AB424" s="372"/>
      <c r="AC424" s="373"/>
      <c r="AD424" s="373"/>
      <c r="AE424" s="373"/>
      <c r="AF424" s="371"/>
      <c r="AG424" s="373"/>
      <c r="AH424" s="2"/>
      <c r="AI424" s="2"/>
      <c r="AJ424" s="2"/>
    </row>
    <row r="425" spans="1:36" x14ac:dyDescent="0.2">
      <c r="A425" s="306">
        <f>Crop!B458</f>
        <v>42049</v>
      </c>
      <c r="B425" s="307"/>
      <c r="C425" s="308"/>
      <c r="D425" s="304" t="str">
        <f>IF(OR($A425&lt;$A$3,$A425&gt;$A$7),"",Crop!$D458)</f>
        <v/>
      </c>
      <c r="E425" s="304" t="str">
        <f t="shared" si="93"/>
        <v/>
      </c>
      <c r="F425" s="304" t="str">
        <f>IF(OR(A425&lt;A$3,A425&gt;A$7),"",Crop!U458)</f>
        <v/>
      </c>
      <c r="G425" s="304" t="str">
        <f t="shared" si="94"/>
        <v/>
      </c>
      <c r="H425" s="309" t="str">
        <f>IF(OR(A425&lt;A$3,A425&gt;A$7),"",YTD!E422)</f>
        <v/>
      </c>
      <c r="I425" s="310" t="str">
        <f t="shared" si="95"/>
        <v/>
      </c>
      <c r="J425" s="311"/>
      <c r="K425" s="309" t="str">
        <f t="shared" si="96"/>
        <v/>
      </c>
      <c r="L425" s="312" t="str">
        <f t="shared" si="100"/>
        <v/>
      </c>
      <c r="M425" s="366" t="str">
        <f t="shared" si="101"/>
        <v/>
      </c>
      <c r="N425" s="328" t="str">
        <f t="shared" si="91"/>
        <v/>
      </c>
      <c r="O425" s="313" t="str">
        <f t="shared" si="92"/>
        <v/>
      </c>
      <c r="P425" s="307"/>
      <c r="Q425" s="309">
        <f t="shared" si="102"/>
        <v>0.8</v>
      </c>
      <c r="R425" s="307"/>
      <c r="S425" s="314">
        <f t="shared" si="103"/>
        <v>10</v>
      </c>
      <c r="T425" s="304" t="str">
        <f t="shared" si="97"/>
        <v/>
      </c>
      <c r="U425" s="304" t="str">
        <f>IF(A425=YTD!B$6,E425,IF(OR(A425&lt;YTD!B$6,A425&gt;YTD!B$10),"",U424+E425))</f>
        <v/>
      </c>
      <c r="V425" s="304" t="str">
        <f t="shared" si="104"/>
        <v/>
      </c>
      <c r="W425" s="315" t="e">
        <f>IF(I425="",#N/A,YTD!G$8-I425)</f>
        <v>#N/A</v>
      </c>
      <c r="X425" s="368">
        <f t="shared" si="98"/>
        <v>0</v>
      </c>
      <c r="Y425" s="368">
        <f t="shared" si="105"/>
        <v>6</v>
      </c>
      <c r="Z425" s="368" t="str">
        <f t="shared" ref="Z425:Z488" si="106">IF(X425=1,Y425,"")</f>
        <v/>
      </c>
      <c r="AA425" s="371"/>
      <c r="AB425" s="372"/>
      <c r="AC425" s="373"/>
      <c r="AD425" s="373"/>
      <c r="AE425" s="373"/>
      <c r="AF425" s="371"/>
      <c r="AG425" s="373"/>
      <c r="AH425" s="2"/>
      <c r="AI425" s="2"/>
      <c r="AJ425" s="2"/>
    </row>
    <row r="426" spans="1:36" x14ac:dyDescent="0.2">
      <c r="A426" s="306">
        <f>Crop!B459</f>
        <v>42050</v>
      </c>
      <c r="B426" s="307"/>
      <c r="C426" s="308"/>
      <c r="D426" s="304" t="str">
        <f>IF(OR($A426&lt;$A$3,$A426&gt;$A$7),"",Crop!$D459)</f>
        <v/>
      </c>
      <c r="E426" s="304" t="str">
        <f t="shared" si="93"/>
        <v/>
      </c>
      <c r="F426" s="304" t="str">
        <f>IF(OR(A426&lt;A$3,A426&gt;A$7),"",Crop!U459)</f>
        <v/>
      </c>
      <c r="G426" s="304" t="str">
        <f t="shared" si="94"/>
        <v/>
      </c>
      <c r="H426" s="309" t="str">
        <f>IF(OR(A426&lt;A$3,A426&gt;A$7),"",YTD!E423)</f>
        <v/>
      </c>
      <c r="I426" s="310" t="str">
        <f t="shared" si="95"/>
        <v/>
      </c>
      <c r="J426" s="311"/>
      <c r="K426" s="309" t="str">
        <f t="shared" si="96"/>
        <v/>
      </c>
      <c r="L426" s="312" t="str">
        <f t="shared" si="100"/>
        <v/>
      </c>
      <c r="M426" s="366" t="str">
        <f t="shared" si="101"/>
        <v/>
      </c>
      <c r="N426" s="328" t="str">
        <f t="shared" si="91"/>
        <v/>
      </c>
      <c r="O426" s="313" t="str">
        <f t="shared" si="92"/>
        <v/>
      </c>
      <c r="P426" s="307"/>
      <c r="Q426" s="309">
        <f t="shared" si="102"/>
        <v>0.8</v>
      </c>
      <c r="R426" s="307"/>
      <c r="S426" s="314">
        <f t="shared" si="103"/>
        <v>10</v>
      </c>
      <c r="T426" s="304" t="str">
        <f t="shared" si="97"/>
        <v/>
      </c>
      <c r="U426" s="304" t="str">
        <f>IF(A426=YTD!B$6,E426,IF(OR(A426&lt;YTD!B$6,A426&gt;YTD!B$10),"",U425+E426))</f>
        <v/>
      </c>
      <c r="V426" s="304" t="str">
        <f t="shared" si="104"/>
        <v/>
      </c>
      <c r="W426" s="315" t="e">
        <f>IF(I426="",#N/A,YTD!G$8-I426)</f>
        <v>#N/A</v>
      </c>
      <c r="X426" s="368">
        <f t="shared" si="98"/>
        <v>0</v>
      </c>
      <c r="Y426" s="368">
        <f t="shared" si="105"/>
        <v>6</v>
      </c>
      <c r="Z426" s="368" t="str">
        <f t="shared" si="106"/>
        <v/>
      </c>
      <c r="AA426" s="371"/>
      <c r="AB426" s="372"/>
      <c r="AC426" s="373"/>
      <c r="AD426" s="373"/>
      <c r="AE426" s="373"/>
      <c r="AF426" s="371"/>
      <c r="AG426" s="373"/>
      <c r="AH426" s="2"/>
      <c r="AI426" s="2"/>
      <c r="AJ426" s="2"/>
    </row>
    <row r="427" spans="1:36" x14ac:dyDescent="0.2">
      <c r="A427" s="306">
        <f>Crop!B460</f>
        <v>42051</v>
      </c>
      <c r="B427" s="307"/>
      <c r="C427" s="308"/>
      <c r="D427" s="304" t="str">
        <f>IF(OR($A427&lt;$A$3,$A427&gt;$A$7),"",Crop!$D460)</f>
        <v/>
      </c>
      <c r="E427" s="304" t="str">
        <f t="shared" si="93"/>
        <v/>
      </c>
      <c r="F427" s="304" t="str">
        <f>IF(OR(A427&lt;A$3,A427&gt;A$7),"",Crop!U460)</f>
        <v/>
      </c>
      <c r="G427" s="304" t="str">
        <f t="shared" si="94"/>
        <v/>
      </c>
      <c r="H427" s="309" t="str">
        <f>IF(OR(A427&lt;A$3,A427&gt;A$7),"",YTD!E424)</f>
        <v/>
      </c>
      <c r="I427" s="310" t="str">
        <f t="shared" si="95"/>
        <v/>
      </c>
      <c r="J427" s="311"/>
      <c r="K427" s="309" t="str">
        <f t="shared" si="96"/>
        <v/>
      </c>
      <c r="L427" s="312" t="str">
        <f t="shared" si="100"/>
        <v/>
      </c>
      <c r="M427" s="366" t="str">
        <f t="shared" si="101"/>
        <v/>
      </c>
      <c r="N427" s="328" t="str">
        <f t="shared" si="91"/>
        <v/>
      </c>
      <c r="O427" s="313" t="str">
        <f t="shared" si="92"/>
        <v/>
      </c>
      <c r="P427" s="307"/>
      <c r="Q427" s="309">
        <f t="shared" si="102"/>
        <v>0.8</v>
      </c>
      <c r="R427" s="307"/>
      <c r="S427" s="314">
        <f t="shared" si="103"/>
        <v>10</v>
      </c>
      <c r="T427" s="304" t="str">
        <f t="shared" si="97"/>
        <v/>
      </c>
      <c r="U427" s="304" t="str">
        <f>IF(A427=YTD!B$6,E427,IF(OR(A427&lt;YTD!B$6,A427&gt;YTD!B$10),"",U426+E427))</f>
        <v/>
      </c>
      <c r="V427" s="304" t="str">
        <f t="shared" si="104"/>
        <v/>
      </c>
      <c r="W427" s="315" t="e">
        <f>IF(I427="",#N/A,YTD!G$8-I427)</f>
        <v>#N/A</v>
      </c>
      <c r="X427" s="368">
        <f t="shared" si="98"/>
        <v>0</v>
      </c>
      <c r="Y427" s="368">
        <f t="shared" si="105"/>
        <v>6</v>
      </c>
      <c r="Z427" s="368" t="str">
        <f t="shared" si="106"/>
        <v/>
      </c>
      <c r="AA427" s="371"/>
      <c r="AB427" s="372"/>
      <c r="AC427" s="373"/>
      <c r="AD427" s="373"/>
      <c r="AE427" s="373"/>
      <c r="AF427" s="371"/>
      <c r="AG427" s="373"/>
      <c r="AH427" s="2"/>
      <c r="AI427" s="2"/>
      <c r="AJ427" s="2"/>
    </row>
    <row r="428" spans="1:36" x14ac:dyDescent="0.2">
      <c r="A428" s="306">
        <f>Crop!B461</f>
        <v>42052</v>
      </c>
      <c r="B428" s="307"/>
      <c r="C428" s="308"/>
      <c r="D428" s="304" t="str">
        <f>IF(OR($A428&lt;$A$3,$A428&gt;$A$7),"",Crop!$D461)</f>
        <v/>
      </c>
      <c r="E428" s="304" t="str">
        <f t="shared" si="93"/>
        <v/>
      </c>
      <c r="F428" s="304" t="str">
        <f>IF(OR(A428&lt;A$3,A428&gt;A$7),"",Crop!U461)</f>
        <v/>
      </c>
      <c r="G428" s="304" t="str">
        <f t="shared" si="94"/>
        <v/>
      </c>
      <c r="H428" s="309" t="str">
        <f>IF(OR(A428&lt;A$3,A428&gt;A$7),"",YTD!E425)</f>
        <v/>
      </c>
      <c r="I428" s="310" t="str">
        <f t="shared" si="95"/>
        <v/>
      </c>
      <c r="J428" s="311"/>
      <c r="K428" s="309" t="str">
        <f t="shared" si="96"/>
        <v/>
      </c>
      <c r="L428" s="312" t="str">
        <f t="shared" si="100"/>
        <v/>
      </c>
      <c r="M428" s="366" t="str">
        <f t="shared" si="101"/>
        <v/>
      </c>
      <c r="N428" s="328" t="str">
        <f t="shared" si="91"/>
        <v/>
      </c>
      <c r="O428" s="313" t="str">
        <f t="shared" si="92"/>
        <v/>
      </c>
      <c r="P428" s="307"/>
      <c r="Q428" s="309">
        <f t="shared" si="102"/>
        <v>0.8</v>
      </c>
      <c r="R428" s="307"/>
      <c r="S428" s="314">
        <f t="shared" si="103"/>
        <v>10</v>
      </c>
      <c r="T428" s="304" t="str">
        <f t="shared" si="97"/>
        <v/>
      </c>
      <c r="U428" s="304" t="str">
        <f>IF(A428=YTD!B$6,E428,IF(OR(A428&lt;YTD!B$6,A428&gt;YTD!B$10),"",U427+E428))</f>
        <v/>
      </c>
      <c r="V428" s="304" t="str">
        <f t="shared" si="104"/>
        <v/>
      </c>
      <c r="W428" s="315" t="e">
        <f>IF(I428="",#N/A,YTD!G$8-I428)</f>
        <v>#N/A</v>
      </c>
      <c r="X428" s="368">
        <f t="shared" si="98"/>
        <v>0</v>
      </c>
      <c r="Y428" s="368">
        <f t="shared" si="105"/>
        <v>6</v>
      </c>
      <c r="Z428" s="368" t="str">
        <f t="shared" si="106"/>
        <v/>
      </c>
      <c r="AA428" s="371"/>
      <c r="AB428" s="372"/>
      <c r="AC428" s="373"/>
      <c r="AD428" s="373"/>
      <c r="AE428" s="373"/>
      <c r="AF428" s="371"/>
      <c r="AG428" s="373"/>
      <c r="AH428" s="2"/>
      <c r="AI428" s="2"/>
      <c r="AJ428" s="2"/>
    </row>
    <row r="429" spans="1:36" x14ac:dyDescent="0.2">
      <c r="A429" s="306">
        <f>Crop!B462</f>
        <v>42053</v>
      </c>
      <c r="B429" s="307"/>
      <c r="C429" s="308"/>
      <c r="D429" s="304" t="str">
        <f>IF(OR($A429&lt;$A$3,$A429&gt;$A$7),"",Crop!$D462)</f>
        <v/>
      </c>
      <c r="E429" s="304" t="str">
        <f t="shared" si="93"/>
        <v/>
      </c>
      <c r="F429" s="304" t="str">
        <f>IF(OR(A429&lt;A$3,A429&gt;A$7),"",Crop!U462)</f>
        <v/>
      </c>
      <c r="G429" s="304" t="str">
        <f t="shared" si="94"/>
        <v/>
      </c>
      <c r="H429" s="309" t="str">
        <f>IF(OR(A429&lt;A$3,A429&gt;A$7),"",YTD!E426)</f>
        <v/>
      </c>
      <c r="I429" s="310" t="str">
        <f t="shared" si="95"/>
        <v/>
      </c>
      <c r="J429" s="311"/>
      <c r="K429" s="309" t="str">
        <f t="shared" si="96"/>
        <v/>
      </c>
      <c r="L429" s="312" t="str">
        <f t="shared" si="100"/>
        <v/>
      </c>
      <c r="M429" s="366" t="str">
        <f t="shared" si="101"/>
        <v/>
      </c>
      <c r="N429" s="328" t="str">
        <f t="shared" si="91"/>
        <v/>
      </c>
      <c r="O429" s="313" t="str">
        <f t="shared" si="92"/>
        <v/>
      </c>
      <c r="P429" s="307"/>
      <c r="Q429" s="309">
        <f t="shared" si="102"/>
        <v>0.8</v>
      </c>
      <c r="R429" s="307"/>
      <c r="S429" s="314">
        <f t="shared" si="103"/>
        <v>10</v>
      </c>
      <c r="T429" s="304" t="str">
        <f t="shared" si="97"/>
        <v/>
      </c>
      <c r="U429" s="304" t="str">
        <f>IF(A429=YTD!B$6,E429,IF(OR(A429&lt;YTD!B$6,A429&gt;YTD!B$10),"",U428+E429))</f>
        <v/>
      </c>
      <c r="V429" s="304" t="str">
        <f t="shared" si="104"/>
        <v/>
      </c>
      <c r="W429" s="315" t="e">
        <f>IF(I429="",#N/A,YTD!G$8-I429)</f>
        <v>#N/A</v>
      </c>
      <c r="X429" s="368">
        <f t="shared" si="98"/>
        <v>0</v>
      </c>
      <c r="Y429" s="368">
        <f t="shared" si="105"/>
        <v>6</v>
      </c>
      <c r="Z429" s="368" t="str">
        <f t="shared" si="106"/>
        <v/>
      </c>
      <c r="AA429" s="371"/>
      <c r="AB429" s="372"/>
      <c r="AC429" s="373"/>
      <c r="AD429" s="373"/>
      <c r="AE429" s="373"/>
      <c r="AF429" s="371"/>
      <c r="AG429" s="373"/>
      <c r="AH429" s="2"/>
      <c r="AI429" s="2"/>
      <c r="AJ429" s="2"/>
    </row>
    <row r="430" spans="1:36" x14ac:dyDescent="0.2">
      <c r="A430" s="306">
        <f>Crop!B463</f>
        <v>42054</v>
      </c>
      <c r="B430" s="307"/>
      <c r="C430" s="308"/>
      <c r="D430" s="304" t="str">
        <f>IF(OR($A430&lt;$A$3,$A430&gt;$A$7),"",Crop!$D463)</f>
        <v/>
      </c>
      <c r="E430" s="304" t="str">
        <f t="shared" si="93"/>
        <v/>
      </c>
      <c r="F430" s="304" t="str">
        <f>IF(OR(A430&lt;A$3,A430&gt;A$7),"",Crop!U463)</f>
        <v/>
      </c>
      <c r="G430" s="304" t="str">
        <f t="shared" si="94"/>
        <v/>
      </c>
      <c r="H430" s="309" t="str">
        <f>IF(OR(A430&lt;A$3,A430&gt;A$7),"",YTD!E427)</f>
        <v/>
      </c>
      <c r="I430" s="310" t="str">
        <f t="shared" si="95"/>
        <v/>
      </c>
      <c r="J430" s="311"/>
      <c r="K430" s="309" t="str">
        <f t="shared" si="96"/>
        <v/>
      </c>
      <c r="L430" s="312" t="str">
        <f t="shared" si="100"/>
        <v/>
      </c>
      <c r="M430" s="366" t="str">
        <f t="shared" si="101"/>
        <v/>
      </c>
      <c r="N430" s="328" t="str">
        <f t="shared" si="91"/>
        <v/>
      </c>
      <c r="O430" s="313" t="str">
        <f t="shared" si="92"/>
        <v/>
      </c>
      <c r="P430" s="307"/>
      <c r="Q430" s="309">
        <f t="shared" si="102"/>
        <v>0.8</v>
      </c>
      <c r="R430" s="307"/>
      <c r="S430" s="314">
        <f t="shared" si="103"/>
        <v>10</v>
      </c>
      <c r="T430" s="304" t="str">
        <f t="shared" si="97"/>
        <v/>
      </c>
      <c r="U430" s="304" t="str">
        <f>IF(A430=YTD!B$6,E430,IF(OR(A430&lt;YTD!B$6,A430&gt;YTD!B$10),"",U429+E430))</f>
        <v/>
      </c>
      <c r="V430" s="304" t="str">
        <f t="shared" si="104"/>
        <v/>
      </c>
      <c r="W430" s="315" t="e">
        <f>IF(I430="",#N/A,YTD!G$8-I430)</f>
        <v>#N/A</v>
      </c>
      <c r="X430" s="368">
        <f t="shared" si="98"/>
        <v>0</v>
      </c>
      <c r="Y430" s="368">
        <f t="shared" si="105"/>
        <v>6</v>
      </c>
      <c r="Z430" s="368" t="str">
        <f t="shared" si="106"/>
        <v/>
      </c>
      <c r="AA430" s="371"/>
      <c r="AB430" s="372"/>
      <c r="AC430" s="373"/>
      <c r="AD430" s="373"/>
      <c r="AE430" s="373"/>
      <c r="AF430" s="371"/>
      <c r="AG430" s="373"/>
      <c r="AH430" s="2"/>
      <c r="AI430" s="2"/>
      <c r="AJ430" s="2"/>
    </row>
    <row r="431" spans="1:36" x14ac:dyDescent="0.2">
      <c r="A431" s="306">
        <f>Crop!B464</f>
        <v>42055</v>
      </c>
      <c r="B431" s="307"/>
      <c r="C431" s="308"/>
      <c r="D431" s="304" t="str">
        <f>IF(OR($A431&lt;$A$3,$A431&gt;$A$7),"",Crop!$D464)</f>
        <v/>
      </c>
      <c r="E431" s="304" t="str">
        <f t="shared" si="93"/>
        <v/>
      </c>
      <c r="F431" s="304" t="str">
        <f>IF(OR(A431&lt;A$3,A431&gt;A$7),"",Crop!U464)</f>
        <v/>
      </c>
      <c r="G431" s="304" t="str">
        <f t="shared" si="94"/>
        <v/>
      </c>
      <c r="H431" s="309" t="str">
        <f>IF(OR(A431&lt;A$3,A431&gt;A$7),"",YTD!E428)</f>
        <v/>
      </c>
      <c r="I431" s="310" t="str">
        <f t="shared" si="95"/>
        <v/>
      </c>
      <c r="J431" s="311"/>
      <c r="K431" s="309" t="str">
        <f t="shared" si="96"/>
        <v/>
      </c>
      <c r="L431" s="312" t="str">
        <f t="shared" si="100"/>
        <v/>
      </c>
      <c r="M431" s="366" t="str">
        <f t="shared" si="101"/>
        <v/>
      </c>
      <c r="N431" s="328" t="str">
        <f t="shared" si="91"/>
        <v/>
      </c>
      <c r="O431" s="313" t="str">
        <f t="shared" si="92"/>
        <v/>
      </c>
      <c r="P431" s="307"/>
      <c r="Q431" s="309">
        <f t="shared" si="102"/>
        <v>0.8</v>
      </c>
      <c r="R431" s="307"/>
      <c r="S431" s="314">
        <f t="shared" si="103"/>
        <v>10</v>
      </c>
      <c r="T431" s="304" t="str">
        <f t="shared" si="97"/>
        <v/>
      </c>
      <c r="U431" s="304" t="str">
        <f>IF(A431=YTD!B$6,E431,IF(OR(A431&lt;YTD!B$6,A431&gt;YTD!B$10),"",U430+E431))</f>
        <v/>
      </c>
      <c r="V431" s="304" t="str">
        <f t="shared" si="104"/>
        <v/>
      </c>
      <c r="W431" s="315" t="e">
        <f>IF(I431="",#N/A,YTD!G$8-I431)</f>
        <v>#N/A</v>
      </c>
      <c r="X431" s="368">
        <f t="shared" si="98"/>
        <v>0</v>
      </c>
      <c r="Y431" s="368">
        <f t="shared" si="105"/>
        <v>6</v>
      </c>
      <c r="Z431" s="368" t="str">
        <f t="shared" si="106"/>
        <v/>
      </c>
      <c r="AA431" s="371"/>
      <c r="AB431" s="372"/>
      <c r="AC431" s="373"/>
      <c r="AD431" s="373"/>
      <c r="AE431" s="373"/>
      <c r="AF431" s="371"/>
      <c r="AG431" s="373"/>
      <c r="AH431" s="2"/>
      <c r="AI431" s="2"/>
      <c r="AJ431" s="2"/>
    </row>
    <row r="432" spans="1:36" x14ac:dyDescent="0.2">
      <c r="A432" s="306">
        <f>Crop!B465</f>
        <v>42056</v>
      </c>
      <c r="B432" s="307"/>
      <c r="C432" s="308"/>
      <c r="D432" s="304" t="str">
        <f>IF(OR($A432&lt;$A$3,$A432&gt;$A$7),"",Crop!$D465)</f>
        <v/>
      </c>
      <c r="E432" s="304" t="str">
        <f t="shared" si="93"/>
        <v/>
      </c>
      <c r="F432" s="304" t="str">
        <f>IF(OR(A432&lt;A$3,A432&gt;A$7),"",Crop!U465)</f>
        <v/>
      </c>
      <c r="G432" s="304" t="str">
        <f t="shared" si="94"/>
        <v/>
      </c>
      <c r="H432" s="309" t="str">
        <f>IF(OR(A432&lt;A$3,A432&gt;A$7),"",YTD!E429)</f>
        <v/>
      </c>
      <c r="I432" s="310" t="str">
        <f t="shared" si="95"/>
        <v/>
      </c>
      <c r="J432" s="311"/>
      <c r="K432" s="309" t="str">
        <f t="shared" si="96"/>
        <v/>
      </c>
      <c r="L432" s="312" t="str">
        <f t="shared" si="100"/>
        <v/>
      </c>
      <c r="M432" s="366" t="str">
        <f t="shared" si="101"/>
        <v/>
      </c>
      <c r="N432" s="328" t="str">
        <f t="shared" si="91"/>
        <v/>
      </c>
      <c r="O432" s="313" t="str">
        <f t="shared" si="92"/>
        <v/>
      </c>
      <c r="P432" s="307"/>
      <c r="Q432" s="309">
        <f t="shared" si="102"/>
        <v>0.8</v>
      </c>
      <c r="R432" s="307"/>
      <c r="S432" s="314">
        <f t="shared" si="103"/>
        <v>10</v>
      </c>
      <c r="T432" s="304" t="str">
        <f t="shared" si="97"/>
        <v/>
      </c>
      <c r="U432" s="304" t="str">
        <f>IF(A432=YTD!B$6,E432,IF(OR(A432&lt;YTD!B$6,A432&gt;YTD!B$10),"",U431+E432))</f>
        <v/>
      </c>
      <c r="V432" s="304" t="str">
        <f t="shared" si="104"/>
        <v/>
      </c>
      <c r="W432" s="315" t="e">
        <f>IF(I432="",#N/A,YTD!G$8-I432)</f>
        <v>#N/A</v>
      </c>
      <c r="X432" s="368">
        <f t="shared" si="98"/>
        <v>0</v>
      </c>
      <c r="Y432" s="368">
        <f t="shared" si="105"/>
        <v>6</v>
      </c>
      <c r="Z432" s="368" t="str">
        <f t="shared" si="106"/>
        <v/>
      </c>
      <c r="AA432" s="371"/>
      <c r="AB432" s="372"/>
      <c r="AC432" s="373"/>
      <c r="AD432" s="373"/>
      <c r="AE432" s="373"/>
      <c r="AF432" s="371"/>
      <c r="AG432" s="373"/>
      <c r="AH432" s="2"/>
      <c r="AI432" s="2"/>
      <c r="AJ432" s="2"/>
    </row>
    <row r="433" spans="1:36" x14ac:dyDescent="0.2">
      <c r="A433" s="306">
        <f>Crop!B466</f>
        <v>42057</v>
      </c>
      <c r="B433" s="307"/>
      <c r="C433" s="308"/>
      <c r="D433" s="304" t="str">
        <f>IF(OR($A433&lt;$A$3,$A433&gt;$A$7),"",Crop!$D466)</f>
        <v/>
      </c>
      <c r="E433" s="304" t="str">
        <f t="shared" si="93"/>
        <v/>
      </c>
      <c r="F433" s="304" t="str">
        <f>IF(OR(A433&lt;A$3,A433&gt;A$7),"",Crop!U466)</f>
        <v/>
      </c>
      <c r="G433" s="304" t="str">
        <f t="shared" si="94"/>
        <v/>
      </c>
      <c r="H433" s="309" t="str">
        <f>IF(OR(A433&lt;A$3,A433&gt;A$7),"",YTD!E430)</f>
        <v/>
      </c>
      <c r="I433" s="310" t="str">
        <f t="shared" si="95"/>
        <v/>
      </c>
      <c r="J433" s="311"/>
      <c r="K433" s="309" t="str">
        <f t="shared" si="96"/>
        <v/>
      </c>
      <c r="L433" s="312" t="str">
        <f t="shared" si="100"/>
        <v/>
      </c>
      <c r="M433" s="366" t="str">
        <f t="shared" si="101"/>
        <v/>
      </c>
      <c r="N433" s="328" t="str">
        <f t="shared" si="91"/>
        <v/>
      </c>
      <c r="O433" s="313" t="str">
        <f t="shared" si="92"/>
        <v/>
      </c>
      <c r="P433" s="307"/>
      <c r="Q433" s="309">
        <f t="shared" si="102"/>
        <v>0.8</v>
      </c>
      <c r="R433" s="307"/>
      <c r="S433" s="314">
        <f t="shared" si="103"/>
        <v>10</v>
      </c>
      <c r="T433" s="304" t="str">
        <f t="shared" si="97"/>
        <v/>
      </c>
      <c r="U433" s="304" t="str">
        <f>IF(A433=YTD!B$6,E433,IF(OR(A433&lt;YTD!B$6,A433&gt;YTD!B$10),"",U432+E433))</f>
        <v/>
      </c>
      <c r="V433" s="304" t="str">
        <f t="shared" si="104"/>
        <v/>
      </c>
      <c r="W433" s="315" t="e">
        <f>IF(I433="",#N/A,YTD!G$8-I433)</f>
        <v>#N/A</v>
      </c>
      <c r="X433" s="368">
        <f t="shared" si="98"/>
        <v>0</v>
      </c>
      <c r="Y433" s="368">
        <f t="shared" si="105"/>
        <v>6</v>
      </c>
      <c r="Z433" s="368" t="str">
        <f t="shared" si="106"/>
        <v/>
      </c>
      <c r="AA433" s="371"/>
      <c r="AB433" s="372"/>
      <c r="AC433" s="373"/>
      <c r="AD433" s="373"/>
      <c r="AE433" s="373"/>
      <c r="AF433" s="371"/>
      <c r="AG433" s="373"/>
      <c r="AH433" s="2"/>
      <c r="AI433" s="2"/>
      <c r="AJ433" s="2"/>
    </row>
    <row r="434" spans="1:36" x14ac:dyDescent="0.2">
      <c r="A434" s="306">
        <f>Crop!B467</f>
        <v>42058</v>
      </c>
      <c r="B434" s="307"/>
      <c r="C434" s="308"/>
      <c r="D434" s="304" t="str">
        <f>IF(OR($A434&lt;$A$3,$A434&gt;$A$7),"",Crop!$D467)</f>
        <v/>
      </c>
      <c r="E434" s="304" t="str">
        <f t="shared" si="93"/>
        <v/>
      </c>
      <c r="F434" s="304" t="str">
        <f>IF(OR(A434&lt;A$3,A434&gt;A$7),"",Crop!U467)</f>
        <v/>
      </c>
      <c r="G434" s="304" t="str">
        <f t="shared" si="94"/>
        <v/>
      </c>
      <c r="H434" s="309" t="str">
        <f>IF(OR(A434&lt;A$3,A434&gt;A$7),"",YTD!E431)</f>
        <v/>
      </c>
      <c r="I434" s="310" t="str">
        <f t="shared" si="95"/>
        <v/>
      </c>
      <c r="J434" s="311"/>
      <c r="K434" s="309" t="str">
        <f t="shared" si="96"/>
        <v/>
      </c>
      <c r="L434" s="312" t="str">
        <f t="shared" si="100"/>
        <v/>
      </c>
      <c r="M434" s="366" t="str">
        <f t="shared" si="101"/>
        <v/>
      </c>
      <c r="N434" s="328" t="str">
        <f t="shared" si="91"/>
        <v/>
      </c>
      <c r="O434" s="313" t="str">
        <f t="shared" si="92"/>
        <v/>
      </c>
      <c r="P434" s="307"/>
      <c r="Q434" s="309">
        <f t="shared" si="102"/>
        <v>0.8</v>
      </c>
      <c r="R434" s="307"/>
      <c r="S434" s="314">
        <f t="shared" si="103"/>
        <v>10</v>
      </c>
      <c r="T434" s="304" t="str">
        <f t="shared" si="97"/>
        <v/>
      </c>
      <c r="U434" s="304" t="str">
        <f>IF(A434=YTD!B$6,E434,IF(OR(A434&lt;YTD!B$6,A434&gt;YTD!B$10),"",U433+E434))</f>
        <v/>
      </c>
      <c r="V434" s="304" t="str">
        <f t="shared" si="104"/>
        <v/>
      </c>
      <c r="W434" s="315" t="e">
        <f>IF(I434="",#N/A,YTD!G$8-I434)</f>
        <v>#N/A</v>
      </c>
      <c r="X434" s="368">
        <f t="shared" si="98"/>
        <v>0</v>
      </c>
      <c r="Y434" s="368">
        <f t="shared" si="105"/>
        <v>6</v>
      </c>
      <c r="Z434" s="368" t="str">
        <f t="shared" si="106"/>
        <v/>
      </c>
      <c r="AA434" s="371"/>
      <c r="AB434" s="372"/>
      <c r="AC434" s="373"/>
      <c r="AD434" s="373"/>
      <c r="AE434" s="373"/>
      <c r="AF434" s="371"/>
      <c r="AG434" s="373"/>
      <c r="AH434" s="2"/>
      <c r="AI434" s="2"/>
      <c r="AJ434" s="2"/>
    </row>
    <row r="435" spans="1:36" x14ac:dyDescent="0.2">
      <c r="A435" s="306">
        <f>Crop!B468</f>
        <v>42059</v>
      </c>
      <c r="B435" s="307"/>
      <c r="C435" s="308"/>
      <c r="D435" s="304" t="str">
        <f>IF(OR($A435&lt;$A$3,$A435&gt;$A$7),"",Crop!$D468)</f>
        <v/>
      </c>
      <c r="E435" s="304" t="str">
        <f t="shared" si="93"/>
        <v/>
      </c>
      <c r="F435" s="304" t="str">
        <f>IF(OR(A435&lt;A$3,A435&gt;A$7),"",Crop!U468)</f>
        <v/>
      </c>
      <c r="G435" s="304" t="str">
        <f t="shared" si="94"/>
        <v/>
      </c>
      <c r="H435" s="309" t="str">
        <f>IF(OR(A435&lt;A$3,A435&gt;A$7),"",YTD!E432)</f>
        <v/>
      </c>
      <c r="I435" s="310" t="str">
        <f t="shared" si="95"/>
        <v/>
      </c>
      <c r="J435" s="311"/>
      <c r="K435" s="309" t="str">
        <f t="shared" si="96"/>
        <v/>
      </c>
      <c r="L435" s="312" t="str">
        <f t="shared" si="100"/>
        <v/>
      </c>
      <c r="M435" s="366" t="str">
        <f t="shared" si="101"/>
        <v/>
      </c>
      <c r="N435" s="328" t="str">
        <f t="shared" si="91"/>
        <v/>
      </c>
      <c r="O435" s="313" t="str">
        <f t="shared" si="92"/>
        <v/>
      </c>
      <c r="P435" s="307"/>
      <c r="Q435" s="309">
        <f t="shared" si="102"/>
        <v>0.8</v>
      </c>
      <c r="R435" s="307"/>
      <c r="S435" s="314">
        <f t="shared" si="103"/>
        <v>10</v>
      </c>
      <c r="T435" s="304" t="str">
        <f t="shared" si="97"/>
        <v/>
      </c>
      <c r="U435" s="304" t="str">
        <f>IF(A435=YTD!B$6,E435,IF(OR(A435&lt;YTD!B$6,A435&gt;YTD!B$10),"",U434+E435))</f>
        <v/>
      </c>
      <c r="V435" s="304" t="str">
        <f t="shared" si="104"/>
        <v/>
      </c>
      <c r="W435" s="315" t="e">
        <f>IF(I435="",#N/A,YTD!G$8-I435)</f>
        <v>#N/A</v>
      </c>
      <c r="X435" s="368">
        <f t="shared" si="98"/>
        <v>0</v>
      </c>
      <c r="Y435" s="368">
        <f t="shared" si="105"/>
        <v>6</v>
      </c>
      <c r="Z435" s="368" t="str">
        <f t="shared" si="106"/>
        <v/>
      </c>
      <c r="AA435" s="371"/>
      <c r="AB435" s="372"/>
      <c r="AC435" s="373"/>
      <c r="AD435" s="373"/>
      <c r="AE435" s="373"/>
      <c r="AF435" s="371"/>
      <c r="AG435" s="373"/>
      <c r="AH435" s="2"/>
      <c r="AI435" s="2"/>
      <c r="AJ435" s="2"/>
    </row>
    <row r="436" spans="1:36" x14ac:dyDescent="0.2">
      <c r="A436" s="306">
        <f>Crop!B469</f>
        <v>42060</v>
      </c>
      <c r="B436" s="307"/>
      <c r="C436" s="308"/>
      <c r="D436" s="304" t="str">
        <f>IF(OR($A436&lt;$A$3,$A436&gt;$A$7),"",Crop!$D469)</f>
        <v/>
      </c>
      <c r="E436" s="304" t="str">
        <f t="shared" si="93"/>
        <v/>
      </c>
      <c r="F436" s="304" t="str">
        <f>IF(OR(A436&lt;A$3,A436&gt;A$7),"",Crop!U469)</f>
        <v/>
      </c>
      <c r="G436" s="304" t="str">
        <f t="shared" si="94"/>
        <v/>
      </c>
      <c r="H436" s="309" t="str">
        <f>IF(OR(A436&lt;A$3,A436&gt;A$7),"",YTD!E433)</f>
        <v/>
      </c>
      <c r="I436" s="310" t="str">
        <f t="shared" si="95"/>
        <v/>
      </c>
      <c r="J436" s="311"/>
      <c r="K436" s="309" t="str">
        <f t="shared" si="96"/>
        <v/>
      </c>
      <c r="L436" s="312" t="str">
        <f t="shared" si="100"/>
        <v/>
      </c>
      <c r="M436" s="366" t="str">
        <f t="shared" si="101"/>
        <v/>
      </c>
      <c r="N436" s="328" t="str">
        <f t="shared" si="91"/>
        <v/>
      </c>
      <c r="O436" s="313" t="str">
        <f t="shared" si="92"/>
        <v/>
      </c>
      <c r="P436" s="307"/>
      <c r="Q436" s="309">
        <f t="shared" si="102"/>
        <v>0.8</v>
      </c>
      <c r="R436" s="307"/>
      <c r="S436" s="314">
        <f t="shared" si="103"/>
        <v>10</v>
      </c>
      <c r="T436" s="304" t="str">
        <f t="shared" si="97"/>
        <v/>
      </c>
      <c r="U436" s="304" t="str">
        <f>IF(A436=YTD!B$6,E436,IF(OR(A436&lt;YTD!B$6,A436&gt;YTD!B$10),"",U435+E436))</f>
        <v/>
      </c>
      <c r="V436" s="304" t="str">
        <f t="shared" si="104"/>
        <v/>
      </c>
      <c r="W436" s="315" t="e">
        <f>IF(I436="",#N/A,YTD!G$8-I436)</f>
        <v>#N/A</v>
      </c>
      <c r="X436" s="368">
        <f t="shared" si="98"/>
        <v>0</v>
      </c>
      <c r="Y436" s="368">
        <f t="shared" si="105"/>
        <v>6</v>
      </c>
      <c r="Z436" s="368" t="str">
        <f t="shared" si="106"/>
        <v/>
      </c>
      <c r="AA436" s="371"/>
      <c r="AB436" s="372"/>
      <c r="AC436" s="373"/>
      <c r="AD436" s="373"/>
      <c r="AE436" s="373"/>
      <c r="AF436" s="371"/>
      <c r="AG436" s="373"/>
      <c r="AH436" s="2"/>
      <c r="AI436" s="2"/>
      <c r="AJ436" s="2"/>
    </row>
    <row r="437" spans="1:36" x14ac:dyDescent="0.2">
      <c r="A437" s="306">
        <f>Crop!B470</f>
        <v>42061</v>
      </c>
      <c r="B437" s="307"/>
      <c r="C437" s="308"/>
      <c r="D437" s="304" t="str">
        <f>IF(OR($A437&lt;$A$3,$A437&gt;$A$7),"",Crop!$D470)</f>
        <v/>
      </c>
      <c r="E437" s="304" t="str">
        <f t="shared" si="93"/>
        <v/>
      </c>
      <c r="F437" s="304" t="str">
        <f>IF(OR(A437&lt;A$3,A437&gt;A$7),"",Crop!U470)</f>
        <v/>
      </c>
      <c r="G437" s="304" t="str">
        <f t="shared" si="94"/>
        <v/>
      </c>
      <c r="H437" s="309" t="str">
        <f>IF(OR(A437&lt;A$3,A437&gt;A$7),"",YTD!E434)</f>
        <v/>
      </c>
      <c r="I437" s="310" t="str">
        <f t="shared" si="95"/>
        <v/>
      </c>
      <c r="J437" s="311"/>
      <c r="K437" s="309" t="str">
        <f t="shared" si="96"/>
        <v/>
      </c>
      <c r="L437" s="312" t="str">
        <f t="shared" si="100"/>
        <v/>
      </c>
      <c r="M437" s="366" t="str">
        <f t="shared" si="101"/>
        <v/>
      </c>
      <c r="N437" s="328" t="str">
        <f t="shared" si="91"/>
        <v/>
      </c>
      <c r="O437" s="313" t="str">
        <f t="shared" si="92"/>
        <v/>
      </c>
      <c r="P437" s="307"/>
      <c r="Q437" s="309">
        <f t="shared" si="102"/>
        <v>0.8</v>
      </c>
      <c r="R437" s="307"/>
      <c r="S437" s="314">
        <f t="shared" si="103"/>
        <v>10</v>
      </c>
      <c r="T437" s="304" t="str">
        <f t="shared" si="97"/>
        <v/>
      </c>
      <c r="U437" s="304" t="str">
        <f>IF(A437=YTD!B$6,E437,IF(OR(A437&lt;YTD!B$6,A437&gt;YTD!B$10),"",U436+E437))</f>
        <v/>
      </c>
      <c r="V437" s="304" t="str">
        <f t="shared" si="104"/>
        <v/>
      </c>
      <c r="W437" s="315" t="e">
        <f>IF(I437="",#N/A,YTD!G$8-I437)</f>
        <v>#N/A</v>
      </c>
      <c r="X437" s="368">
        <f t="shared" si="98"/>
        <v>0</v>
      </c>
      <c r="Y437" s="368">
        <f t="shared" si="105"/>
        <v>6</v>
      </c>
      <c r="Z437" s="368" t="str">
        <f t="shared" si="106"/>
        <v/>
      </c>
      <c r="AA437" s="371"/>
      <c r="AB437" s="372"/>
      <c r="AC437" s="373"/>
      <c r="AD437" s="373"/>
      <c r="AE437" s="373"/>
      <c r="AF437" s="371"/>
      <c r="AG437" s="373"/>
      <c r="AH437" s="2"/>
      <c r="AI437" s="2"/>
      <c r="AJ437" s="2"/>
    </row>
    <row r="438" spans="1:36" x14ac:dyDescent="0.2">
      <c r="A438" s="306">
        <f>Crop!B471</f>
        <v>42062</v>
      </c>
      <c r="B438" s="307"/>
      <c r="C438" s="308"/>
      <c r="D438" s="304" t="str">
        <f>IF(OR($A438&lt;$A$3,$A438&gt;$A$7),"",Crop!$D471)</f>
        <v/>
      </c>
      <c r="E438" s="304" t="str">
        <f t="shared" si="93"/>
        <v/>
      </c>
      <c r="F438" s="304" t="str">
        <f>IF(OR(A438&lt;A$3,A438&gt;A$7),"",Crop!U471)</f>
        <v/>
      </c>
      <c r="G438" s="304" t="str">
        <f t="shared" si="94"/>
        <v/>
      </c>
      <c r="H438" s="309" t="str">
        <f>IF(OR(A438&lt;A$3,A438&gt;A$7),"",YTD!E435)</f>
        <v/>
      </c>
      <c r="I438" s="310" t="str">
        <f t="shared" si="95"/>
        <v/>
      </c>
      <c r="J438" s="311"/>
      <c r="K438" s="309" t="str">
        <f t="shared" si="96"/>
        <v/>
      </c>
      <c r="L438" s="312" t="str">
        <f t="shared" si="100"/>
        <v/>
      </c>
      <c r="M438" s="366" t="str">
        <f t="shared" si="101"/>
        <v/>
      </c>
      <c r="N438" s="328" t="str">
        <f t="shared" si="91"/>
        <v/>
      </c>
      <c r="O438" s="313" t="str">
        <f t="shared" si="92"/>
        <v/>
      </c>
      <c r="P438" s="307"/>
      <c r="Q438" s="309">
        <f t="shared" si="102"/>
        <v>0.8</v>
      </c>
      <c r="R438" s="307"/>
      <c r="S438" s="314">
        <f t="shared" si="103"/>
        <v>10</v>
      </c>
      <c r="T438" s="304" t="str">
        <f t="shared" si="97"/>
        <v/>
      </c>
      <c r="U438" s="304" t="str">
        <f>IF(A438=YTD!B$6,E438,IF(OR(A438&lt;YTD!B$6,A438&gt;YTD!B$10),"",U437+E438))</f>
        <v/>
      </c>
      <c r="V438" s="304" t="str">
        <f t="shared" si="104"/>
        <v/>
      </c>
      <c r="W438" s="315" t="e">
        <f>IF(I438="",#N/A,YTD!G$8-I438)</f>
        <v>#N/A</v>
      </c>
      <c r="X438" s="368">
        <f t="shared" si="98"/>
        <v>0</v>
      </c>
      <c r="Y438" s="368">
        <f t="shared" si="105"/>
        <v>6</v>
      </c>
      <c r="Z438" s="368" t="str">
        <f t="shared" si="106"/>
        <v/>
      </c>
      <c r="AA438" s="371"/>
      <c r="AB438" s="372"/>
      <c r="AC438" s="373"/>
      <c r="AD438" s="373"/>
      <c r="AE438" s="373"/>
      <c r="AF438" s="371"/>
      <c r="AG438" s="373"/>
      <c r="AH438" s="2"/>
      <c r="AI438" s="2"/>
      <c r="AJ438" s="2"/>
    </row>
    <row r="439" spans="1:36" x14ac:dyDescent="0.2">
      <c r="A439" s="306">
        <f>Crop!B472</f>
        <v>42063</v>
      </c>
      <c r="B439" s="307"/>
      <c r="C439" s="308"/>
      <c r="D439" s="304" t="str">
        <f>IF(OR($A439&lt;$A$3,$A439&gt;$A$7),"",Crop!$D472)</f>
        <v/>
      </c>
      <c r="E439" s="304" t="str">
        <f t="shared" si="93"/>
        <v/>
      </c>
      <c r="F439" s="304" t="str">
        <f>IF(OR(A439&lt;A$3,A439&gt;A$7),"",Crop!U472)</f>
        <v/>
      </c>
      <c r="G439" s="304" t="str">
        <f t="shared" si="94"/>
        <v/>
      </c>
      <c r="H439" s="309" t="str">
        <f>IF(OR(A439&lt;A$3,A439&gt;A$7),"",YTD!E436)</f>
        <v/>
      </c>
      <c r="I439" s="310" t="str">
        <f t="shared" si="95"/>
        <v/>
      </c>
      <c r="J439" s="311"/>
      <c r="K439" s="309" t="str">
        <f t="shared" si="96"/>
        <v/>
      </c>
      <c r="L439" s="312" t="str">
        <f t="shared" si="100"/>
        <v/>
      </c>
      <c r="M439" s="366" t="str">
        <f t="shared" si="101"/>
        <v/>
      </c>
      <c r="N439" s="328" t="str">
        <f t="shared" si="91"/>
        <v/>
      </c>
      <c r="O439" s="313" t="str">
        <f t="shared" si="92"/>
        <v/>
      </c>
      <c r="P439" s="307"/>
      <c r="Q439" s="309">
        <f t="shared" si="102"/>
        <v>0.8</v>
      </c>
      <c r="R439" s="307"/>
      <c r="S439" s="314">
        <f t="shared" si="103"/>
        <v>10</v>
      </c>
      <c r="T439" s="304" t="str">
        <f t="shared" si="97"/>
        <v/>
      </c>
      <c r="U439" s="304" t="str">
        <f>IF(A439=YTD!B$6,E439,IF(OR(A439&lt;YTD!B$6,A439&gt;YTD!B$10),"",U438+E439))</f>
        <v/>
      </c>
      <c r="V439" s="304" t="str">
        <f t="shared" si="104"/>
        <v/>
      </c>
      <c r="W439" s="315" t="e">
        <f>IF(I439="",#N/A,YTD!G$8-I439)</f>
        <v>#N/A</v>
      </c>
      <c r="X439" s="368">
        <f t="shared" si="98"/>
        <v>0</v>
      </c>
      <c r="Y439" s="368">
        <f t="shared" si="105"/>
        <v>6</v>
      </c>
      <c r="Z439" s="368" t="str">
        <f t="shared" si="106"/>
        <v/>
      </c>
      <c r="AA439" s="371"/>
      <c r="AB439" s="372"/>
      <c r="AC439" s="373"/>
      <c r="AD439" s="373"/>
      <c r="AE439" s="373"/>
      <c r="AF439" s="371"/>
      <c r="AG439" s="373"/>
      <c r="AH439" s="2"/>
      <c r="AI439" s="2"/>
      <c r="AJ439" s="2"/>
    </row>
    <row r="440" spans="1:36" x14ac:dyDescent="0.2">
      <c r="A440" s="306">
        <f>Crop!B473</f>
        <v>42064</v>
      </c>
      <c r="B440" s="307"/>
      <c r="C440" s="308"/>
      <c r="D440" s="304" t="str">
        <f>IF(OR($A440&lt;$A$3,$A440&gt;$A$7),"",Crop!$D473)</f>
        <v/>
      </c>
      <c r="E440" s="304" t="str">
        <f t="shared" si="93"/>
        <v/>
      </c>
      <c r="F440" s="304" t="str">
        <f>IF(OR(A440&lt;A$3,A440&gt;A$7),"",Crop!U473)</f>
        <v/>
      </c>
      <c r="G440" s="304" t="str">
        <f t="shared" si="94"/>
        <v/>
      </c>
      <c r="H440" s="309" t="str">
        <f>IF(OR(A440&lt;A$3,A440&gt;A$7),"",YTD!E437)</f>
        <v/>
      </c>
      <c r="I440" s="310" t="str">
        <f t="shared" si="95"/>
        <v/>
      </c>
      <c r="J440" s="311"/>
      <c r="K440" s="309" t="str">
        <f t="shared" si="96"/>
        <v/>
      </c>
      <c r="L440" s="312" t="str">
        <f t="shared" si="100"/>
        <v/>
      </c>
      <c r="M440" s="366" t="str">
        <f t="shared" si="101"/>
        <v/>
      </c>
      <c r="N440" s="328" t="str">
        <f t="shared" si="91"/>
        <v/>
      </c>
      <c r="O440" s="313" t="str">
        <f t="shared" si="92"/>
        <v/>
      </c>
      <c r="P440" s="307"/>
      <c r="Q440" s="309">
        <f t="shared" si="102"/>
        <v>0.8</v>
      </c>
      <c r="R440" s="307"/>
      <c r="S440" s="314">
        <f t="shared" si="103"/>
        <v>10</v>
      </c>
      <c r="T440" s="304" t="str">
        <f t="shared" si="97"/>
        <v/>
      </c>
      <c r="U440" s="304" t="str">
        <f>IF(A440=YTD!B$6,E440,IF(OR(A440&lt;YTD!B$6,A440&gt;YTD!B$10),"",U439+E440))</f>
        <v/>
      </c>
      <c r="V440" s="304" t="str">
        <f t="shared" si="104"/>
        <v/>
      </c>
      <c r="W440" s="315" t="e">
        <f>IF(I440="",#N/A,YTD!G$8-I440)</f>
        <v>#N/A</v>
      </c>
      <c r="X440" s="368">
        <f t="shared" si="98"/>
        <v>0</v>
      </c>
      <c r="Y440" s="368">
        <f t="shared" si="105"/>
        <v>6</v>
      </c>
      <c r="Z440" s="368" t="str">
        <f t="shared" si="106"/>
        <v/>
      </c>
      <c r="AA440" s="371"/>
      <c r="AB440" s="372"/>
      <c r="AC440" s="373"/>
      <c r="AD440" s="373"/>
      <c r="AE440" s="373"/>
      <c r="AF440" s="371"/>
      <c r="AG440" s="373"/>
      <c r="AH440" s="2"/>
      <c r="AI440" s="2"/>
      <c r="AJ440" s="2"/>
    </row>
    <row r="441" spans="1:36" x14ac:dyDescent="0.2">
      <c r="A441" s="306">
        <f>Crop!B474</f>
        <v>42065</v>
      </c>
      <c r="B441" s="307"/>
      <c r="C441" s="308"/>
      <c r="D441" s="304" t="str">
        <f>IF(OR($A441&lt;$A$3,$A441&gt;$A$7),"",Crop!$D474)</f>
        <v/>
      </c>
      <c r="E441" s="304" t="str">
        <f t="shared" si="93"/>
        <v/>
      </c>
      <c r="F441" s="304" t="str">
        <f>IF(OR(A441&lt;A$3,A441&gt;A$7),"",Crop!U474)</f>
        <v/>
      </c>
      <c r="G441" s="304" t="str">
        <f t="shared" si="94"/>
        <v/>
      </c>
      <c r="H441" s="309" t="str">
        <f>IF(OR(A441&lt;A$3,A441&gt;A$7),"",YTD!E438)</f>
        <v/>
      </c>
      <c r="I441" s="310" t="str">
        <f t="shared" si="95"/>
        <v/>
      </c>
      <c r="J441" s="311"/>
      <c r="K441" s="309" t="str">
        <f t="shared" si="96"/>
        <v/>
      </c>
      <c r="L441" s="312" t="str">
        <f t="shared" si="100"/>
        <v/>
      </c>
      <c r="M441" s="366" t="str">
        <f t="shared" si="101"/>
        <v/>
      </c>
      <c r="N441" s="328" t="str">
        <f t="shared" si="91"/>
        <v/>
      </c>
      <c r="O441" s="313" t="str">
        <f t="shared" si="92"/>
        <v/>
      </c>
      <c r="P441" s="307"/>
      <c r="Q441" s="309">
        <f t="shared" si="102"/>
        <v>0.8</v>
      </c>
      <c r="R441" s="307"/>
      <c r="S441" s="314">
        <f t="shared" si="103"/>
        <v>10</v>
      </c>
      <c r="T441" s="304" t="str">
        <f t="shared" si="97"/>
        <v/>
      </c>
      <c r="U441" s="304" t="str">
        <f>IF(A441=YTD!B$6,E441,IF(OR(A441&lt;YTD!B$6,A441&gt;YTD!B$10),"",U440+E441))</f>
        <v/>
      </c>
      <c r="V441" s="304" t="str">
        <f t="shared" si="104"/>
        <v/>
      </c>
      <c r="W441" s="315" t="e">
        <f>IF(I441="",#N/A,YTD!G$8-I441)</f>
        <v>#N/A</v>
      </c>
      <c r="X441" s="368">
        <f t="shared" si="98"/>
        <v>0</v>
      </c>
      <c r="Y441" s="368">
        <f t="shared" si="105"/>
        <v>6</v>
      </c>
      <c r="Z441" s="368" t="str">
        <f t="shared" si="106"/>
        <v/>
      </c>
      <c r="AA441" s="371"/>
      <c r="AB441" s="372"/>
      <c r="AC441" s="373"/>
      <c r="AD441" s="373"/>
      <c r="AE441" s="373"/>
      <c r="AF441" s="371"/>
      <c r="AG441" s="373"/>
      <c r="AH441" s="2"/>
      <c r="AI441" s="2"/>
      <c r="AJ441" s="2"/>
    </row>
    <row r="442" spans="1:36" x14ac:dyDescent="0.2">
      <c r="A442" s="306">
        <f>Crop!B475</f>
        <v>42066</v>
      </c>
      <c r="B442" s="307"/>
      <c r="C442" s="308"/>
      <c r="D442" s="304" t="str">
        <f>IF(OR($A442&lt;$A$3,$A442&gt;$A$7),"",Crop!$D475)</f>
        <v/>
      </c>
      <c r="E442" s="304" t="str">
        <f t="shared" si="93"/>
        <v/>
      </c>
      <c r="F442" s="304" t="str">
        <f>IF(OR(A442&lt;A$3,A442&gt;A$7),"",Crop!U475)</f>
        <v/>
      </c>
      <c r="G442" s="304" t="str">
        <f t="shared" si="94"/>
        <v/>
      </c>
      <c r="H442" s="309" t="str">
        <f>IF(OR(A442&lt;A$3,A442&gt;A$7),"",YTD!E439)</f>
        <v/>
      </c>
      <c r="I442" s="310" t="str">
        <f t="shared" si="95"/>
        <v/>
      </c>
      <c r="J442" s="311"/>
      <c r="K442" s="309" t="str">
        <f t="shared" si="96"/>
        <v/>
      </c>
      <c r="L442" s="312" t="str">
        <f t="shared" si="100"/>
        <v/>
      </c>
      <c r="M442" s="366" t="str">
        <f t="shared" si="101"/>
        <v/>
      </c>
      <c r="N442" s="328" t="str">
        <f t="shared" si="91"/>
        <v/>
      </c>
      <c r="O442" s="313" t="str">
        <f t="shared" si="92"/>
        <v/>
      </c>
      <c r="P442" s="307"/>
      <c r="Q442" s="309">
        <f t="shared" si="102"/>
        <v>0.8</v>
      </c>
      <c r="R442" s="307"/>
      <c r="S442" s="314">
        <f t="shared" si="103"/>
        <v>10</v>
      </c>
      <c r="T442" s="304" t="str">
        <f t="shared" si="97"/>
        <v/>
      </c>
      <c r="U442" s="304" t="str">
        <f>IF(A442=YTD!B$6,E442,IF(OR(A442&lt;YTD!B$6,A442&gt;YTD!B$10),"",U441+E442))</f>
        <v/>
      </c>
      <c r="V442" s="304" t="str">
        <f t="shared" si="104"/>
        <v/>
      </c>
      <c r="W442" s="315" t="e">
        <f>IF(I442="",#N/A,YTD!G$8-I442)</f>
        <v>#N/A</v>
      </c>
      <c r="X442" s="368">
        <f t="shared" si="98"/>
        <v>0</v>
      </c>
      <c r="Y442" s="368">
        <f t="shared" si="105"/>
        <v>6</v>
      </c>
      <c r="Z442" s="368" t="str">
        <f t="shared" si="106"/>
        <v/>
      </c>
      <c r="AA442" s="371"/>
      <c r="AB442" s="372"/>
      <c r="AC442" s="373"/>
      <c r="AD442" s="373"/>
      <c r="AE442" s="373"/>
      <c r="AF442" s="371"/>
      <c r="AG442" s="373"/>
      <c r="AH442" s="2"/>
      <c r="AI442" s="2"/>
      <c r="AJ442" s="2"/>
    </row>
    <row r="443" spans="1:36" x14ac:dyDescent="0.2">
      <c r="A443" s="306">
        <f>Crop!B476</f>
        <v>42067</v>
      </c>
      <c r="B443" s="307"/>
      <c r="C443" s="308"/>
      <c r="D443" s="304" t="str">
        <f>IF(OR($A443&lt;$A$3,$A443&gt;$A$7),"",Crop!$D476)</f>
        <v/>
      </c>
      <c r="E443" s="304" t="str">
        <f t="shared" si="93"/>
        <v/>
      </c>
      <c r="F443" s="304" t="str">
        <f>IF(OR(A443&lt;A$3,A443&gt;A$7),"",Crop!U476)</f>
        <v/>
      </c>
      <c r="G443" s="304" t="str">
        <f t="shared" si="94"/>
        <v/>
      </c>
      <c r="H443" s="309" t="str">
        <f>IF(OR(A443&lt;A$3,A443&gt;A$7),"",YTD!E440)</f>
        <v/>
      </c>
      <c r="I443" s="310" t="str">
        <f t="shared" si="95"/>
        <v/>
      </c>
      <c r="J443" s="311"/>
      <c r="K443" s="309" t="str">
        <f t="shared" si="96"/>
        <v/>
      </c>
      <c r="L443" s="312" t="str">
        <f t="shared" si="100"/>
        <v/>
      </c>
      <c r="M443" s="366" t="str">
        <f t="shared" si="101"/>
        <v/>
      </c>
      <c r="N443" s="328" t="str">
        <f t="shared" si="91"/>
        <v/>
      </c>
      <c r="O443" s="313" t="str">
        <f t="shared" si="92"/>
        <v/>
      </c>
      <c r="P443" s="307"/>
      <c r="Q443" s="309">
        <f t="shared" si="102"/>
        <v>0.8</v>
      </c>
      <c r="R443" s="307"/>
      <c r="S443" s="314">
        <f t="shared" si="103"/>
        <v>10</v>
      </c>
      <c r="T443" s="304" t="str">
        <f t="shared" si="97"/>
        <v/>
      </c>
      <c r="U443" s="304" t="str">
        <f>IF(A443=YTD!B$6,E443,IF(OR(A443&lt;YTD!B$6,A443&gt;YTD!B$10),"",U442+E443))</f>
        <v/>
      </c>
      <c r="V443" s="304" t="str">
        <f t="shared" si="104"/>
        <v/>
      </c>
      <c r="W443" s="315" t="e">
        <f>IF(I443="",#N/A,YTD!G$8-I443)</f>
        <v>#N/A</v>
      </c>
      <c r="X443" s="368">
        <f t="shared" si="98"/>
        <v>0</v>
      </c>
      <c r="Y443" s="368">
        <f t="shared" si="105"/>
        <v>6</v>
      </c>
      <c r="Z443" s="368" t="str">
        <f t="shared" si="106"/>
        <v/>
      </c>
      <c r="AA443" s="371"/>
      <c r="AB443" s="372"/>
      <c r="AC443" s="373"/>
      <c r="AD443" s="373"/>
      <c r="AE443" s="373"/>
      <c r="AF443" s="371"/>
      <c r="AG443" s="373"/>
      <c r="AH443" s="2"/>
      <c r="AI443" s="2"/>
      <c r="AJ443" s="2"/>
    </row>
    <row r="444" spans="1:36" x14ac:dyDescent="0.2">
      <c r="A444" s="306">
        <f>Crop!B477</f>
        <v>42068</v>
      </c>
      <c r="B444" s="307"/>
      <c r="C444" s="308"/>
      <c r="D444" s="304" t="str">
        <f>IF(OR($A444&lt;$A$3,$A444&gt;$A$7),"",Crop!$D477)</f>
        <v/>
      </c>
      <c r="E444" s="304" t="str">
        <f t="shared" si="93"/>
        <v/>
      </c>
      <c r="F444" s="304" t="str">
        <f>IF(OR(A444&lt;A$3,A444&gt;A$7),"",Crop!U477)</f>
        <v/>
      </c>
      <c r="G444" s="304" t="str">
        <f t="shared" si="94"/>
        <v/>
      </c>
      <c r="H444" s="309" t="str">
        <f>IF(OR(A444&lt;A$3,A444&gt;A$7),"",YTD!E441)</f>
        <v/>
      </c>
      <c r="I444" s="310" t="str">
        <f t="shared" si="95"/>
        <v/>
      </c>
      <c r="J444" s="311"/>
      <c r="K444" s="309" t="str">
        <f t="shared" si="96"/>
        <v/>
      </c>
      <c r="L444" s="312" t="str">
        <f t="shared" si="100"/>
        <v/>
      </c>
      <c r="M444" s="366" t="str">
        <f t="shared" si="101"/>
        <v/>
      </c>
      <c r="N444" s="328" t="str">
        <f t="shared" ref="N444:N507" si="107">IF(L444="","",INT(M444/S444))</f>
        <v/>
      </c>
      <c r="O444" s="313" t="str">
        <f t="shared" ref="O444:O507" si="108">IF(N444="","",MOD(M444/S444,N444)*60)</f>
        <v/>
      </c>
      <c r="P444" s="307"/>
      <c r="Q444" s="309">
        <f t="shared" si="102"/>
        <v>0.8</v>
      </c>
      <c r="R444" s="307"/>
      <c r="S444" s="314">
        <f t="shared" si="103"/>
        <v>10</v>
      </c>
      <c r="T444" s="304" t="str">
        <f t="shared" si="97"/>
        <v/>
      </c>
      <c r="U444" s="304" t="str">
        <f>IF(A444=YTD!B$6,E444,IF(OR(A444&lt;YTD!B$6,A444&gt;YTD!B$10),"",U443+E444))</f>
        <v/>
      </c>
      <c r="V444" s="304" t="str">
        <f t="shared" si="104"/>
        <v/>
      </c>
      <c r="W444" s="315" t="e">
        <f>IF(I444="",#N/A,YTD!G$8-I444)</f>
        <v>#N/A</v>
      </c>
      <c r="X444" s="368">
        <f t="shared" si="98"/>
        <v>0</v>
      </c>
      <c r="Y444" s="368">
        <f t="shared" si="105"/>
        <v>6</v>
      </c>
      <c r="Z444" s="368" t="str">
        <f t="shared" si="106"/>
        <v/>
      </c>
      <c r="AA444" s="371"/>
      <c r="AB444" s="372"/>
      <c r="AC444" s="373"/>
      <c r="AD444" s="373"/>
      <c r="AE444" s="373"/>
      <c r="AF444" s="371"/>
      <c r="AG444" s="373"/>
      <c r="AH444" s="2"/>
      <c r="AI444" s="2"/>
      <c r="AJ444" s="2"/>
    </row>
    <row r="445" spans="1:36" x14ac:dyDescent="0.2">
      <c r="A445" s="306">
        <f>Crop!B478</f>
        <v>42069</v>
      </c>
      <c r="B445" s="307"/>
      <c r="C445" s="308"/>
      <c r="D445" s="304" t="str">
        <f>IF(OR($A445&lt;$A$3,$A445&gt;$A$7),"",Crop!$D478)</f>
        <v/>
      </c>
      <c r="E445" s="304" t="str">
        <f t="shared" si="93"/>
        <v/>
      </c>
      <c r="F445" s="304" t="str">
        <f>IF(OR(A445&lt;A$3,A445&gt;A$7),"",Crop!U478)</f>
        <v/>
      </c>
      <c r="G445" s="304" t="str">
        <f t="shared" si="94"/>
        <v/>
      </c>
      <c r="H445" s="309" t="str">
        <f>IF(OR(A445&lt;A$3,A445&gt;A$7),"",YTD!E442)</f>
        <v/>
      </c>
      <c r="I445" s="310" t="str">
        <f t="shared" si="95"/>
        <v/>
      </c>
      <c r="J445" s="311"/>
      <c r="K445" s="309" t="str">
        <f t="shared" si="96"/>
        <v/>
      </c>
      <c r="L445" s="312" t="str">
        <f t="shared" si="100"/>
        <v/>
      </c>
      <c r="M445" s="366" t="str">
        <f t="shared" si="101"/>
        <v/>
      </c>
      <c r="N445" s="328" t="str">
        <f t="shared" si="107"/>
        <v/>
      </c>
      <c r="O445" s="313" t="str">
        <f t="shared" si="108"/>
        <v/>
      </c>
      <c r="P445" s="307"/>
      <c r="Q445" s="309">
        <f t="shared" si="102"/>
        <v>0.8</v>
      </c>
      <c r="R445" s="307"/>
      <c r="S445" s="314">
        <f t="shared" si="103"/>
        <v>10</v>
      </c>
      <c r="T445" s="304" t="str">
        <f t="shared" si="97"/>
        <v/>
      </c>
      <c r="U445" s="304" t="str">
        <f>IF(A445=YTD!B$6,E445,IF(OR(A445&lt;YTD!B$6,A445&gt;YTD!B$10),"",U444+E445))</f>
        <v/>
      </c>
      <c r="V445" s="304" t="str">
        <f t="shared" si="104"/>
        <v/>
      </c>
      <c r="W445" s="315" t="e">
        <f>IF(I445="",#N/A,YTD!G$8-I445)</f>
        <v>#N/A</v>
      </c>
      <c r="X445" s="368">
        <f t="shared" si="98"/>
        <v>0</v>
      </c>
      <c r="Y445" s="368">
        <f t="shared" si="105"/>
        <v>6</v>
      </c>
      <c r="Z445" s="368" t="str">
        <f t="shared" si="106"/>
        <v/>
      </c>
      <c r="AA445" s="371"/>
      <c r="AB445" s="372"/>
      <c r="AC445" s="373"/>
      <c r="AD445" s="373"/>
      <c r="AE445" s="373"/>
      <c r="AF445" s="371"/>
      <c r="AG445" s="373"/>
      <c r="AH445" s="2"/>
      <c r="AI445" s="2"/>
      <c r="AJ445" s="2"/>
    </row>
    <row r="446" spans="1:36" x14ac:dyDescent="0.2">
      <c r="A446" s="306">
        <f>Crop!B479</f>
        <v>42070</v>
      </c>
      <c r="B446" s="307"/>
      <c r="C446" s="308"/>
      <c r="D446" s="304" t="str">
        <f>IF(OR($A446&lt;$A$3,$A446&gt;$A$7),"",Crop!$D479)</f>
        <v/>
      </c>
      <c r="E446" s="304" t="str">
        <f t="shared" si="93"/>
        <v/>
      </c>
      <c r="F446" s="304" t="str">
        <f>IF(OR(A446&lt;A$3,A446&gt;A$7),"",Crop!U479)</f>
        <v/>
      </c>
      <c r="G446" s="304" t="str">
        <f t="shared" si="94"/>
        <v/>
      </c>
      <c r="H446" s="309" t="str">
        <f>IF(OR(A446&lt;A$3,A446&gt;A$7),"",YTD!E443)</f>
        <v/>
      </c>
      <c r="I446" s="310" t="str">
        <f t="shared" si="95"/>
        <v/>
      </c>
      <c r="J446" s="311"/>
      <c r="K446" s="309" t="str">
        <f t="shared" si="96"/>
        <v/>
      </c>
      <c r="L446" s="312" t="str">
        <f t="shared" si="100"/>
        <v/>
      </c>
      <c r="M446" s="366" t="str">
        <f t="shared" si="101"/>
        <v/>
      </c>
      <c r="N446" s="328" t="str">
        <f t="shared" si="107"/>
        <v/>
      </c>
      <c r="O446" s="313" t="str">
        <f t="shared" si="108"/>
        <v/>
      </c>
      <c r="P446" s="307"/>
      <c r="Q446" s="309">
        <f t="shared" si="102"/>
        <v>0.8</v>
      </c>
      <c r="R446" s="307"/>
      <c r="S446" s="314">
        <f t="shared" si="103"/>
        <v>10</v>
      </c>
      <c r="T446" s="304" t="str">
        <f t="shared" si="97"/>
        <v/>
      </c>
      <c r="U446" s="304" t="str">
        <f>IF(A446=YTD!B$6,E446,IF(OR(A446&lt;YTD!B$6,A446&gt;YTD!B$10),"",U445+E446))</f>
        <v/>
      </c>
      <c r="V446" s="304" t="str">
        <f t="shared" si="104"/>
        <v/>
      </c>
      <c r="W446" s="315" t="e">
        <f>IF(I446="",#N/A,YTD!G$8-I446)</f>
        <v>#N/A</v>
      </c>
      <c r="X446" s="368">
        <f t="shared" si="98"/>
        <v>0</v>
      </c>
      <c r="Y446" s="368">
        <f t="shared" si="105"/>
        <v>6</v>
      </c>
      <c r="Z446" s="368" t="str">
        <f t="shared" si="106"/>
        <v/>
      </c>
      <c r="AA446" s="371"/>
      <c r="AB446" s="372"/>
      <c r="AC446" s="373"/>
      <c r="AD446" s="373"/>
      <c r="AE446" s="373"/>
      <c r="AF446" s="371"/>
      <c r="AG446" s="373"/>
      <c r="AH446" s="2"/>
      <c r="AI446" s="2"/>
      <c r="AJ446" s="2"/>
    </row>
    <row r="447" spans="1:36" x14ac:dyDescent="0.2">
      <c r="A447" s="306">
        <f>Crop!B480</f>
        <v>42071</v>
      </c>
      <c r="B447" s="307"/>
      <c r="C447" s="308"/>
      <c r="D447" s="304" t="str">
        <f>IF(OR($A447&lt;$A$3,$A447&gt;$A$7),"",Crop!$D480)</f>
        <v/>
      </c>
      <c r="E447" s="304" t="str">
        <f t="shared" si="93"/>
        <v/>
      </c>
      <c r="F447" s="304" t="str">
        <f>IF(OR(A447&lt;A$3,A447&gt;A$7),"",Crop!U480)</f>
        <v/>
      </c>
      <c r="G447" s="304" t="str">
        <f t="shared" si="94"/>
        <v/>
      </c>
      <c r="H447" s="309" t="str">
        <f>IF(OR(A447&lt;A$3,A447&gt;A$7),"",YTD!E444)</f>
        <v/>
      </c>
      <c r="I447" s="310" t="str">
        <f t="shared" si="95"/>
        <v/>
      </c>
      <c r="J447" s="311"/>
      <c r="K447" s="309" t="str">
        <f t="shared" si="96"/>
        <v/>
      </c>
      <c r="L447" s="312" t="str">
        <f t="shared" si="100"/>
        <v/>
      </c>
      <c r="M447" s="366" t="str">
        <f t="shared" si="101"/>
        <v/>
      </c>
      <c r="N447" s="328" t="str">
        <f t="shared" si="107"/>
        <v/>
      </c>
      <c r="O447" s="313" t="str">
        <f t="shared" si="108"/>
        <v/>
      </c>
      <c r="P447" s="307"/>
      <c r="Q447" s="309">
        <f t="shared" si="102"/>
        <v>0.8</v>
      </c>
      <c r="R447" s="307"/>
      <c r="S447" s="314">
        <f t="shared" si="103"/>
        <v>10</v>
      </c>
      <c r="T447" s="304" t="str">
        <f t="shared" si="97"/>
        <v/>
      </c>
      <c r="U447" s="304" t="str">
        <f>IF(A447=YTD!B$6,E447,IF(OR(A447&lt;YTD!B$6,A447&gt;YTD!B$10),"",U446+E447))</f>
        <v/>
      </c>
      <c r="V447" s="304" t="str">
        <f t="shared" si="104"/>
        <v/>
      </c>
      <c r="W447" s="315" t="e">
        <f>IF(I447="",#N/A,YTD!G$8-I447)</f>
        <v>#N/A</v>
      </c>
      <c r="X447" s="368">
        <f t="shared" si="98"/>
        <v>0</v>
      </c>
      <c r="Y447" s="368">
        <f t="shared" si="105"/>
        <v>6</v>
      </c>
      <c r="Z447" s="368" t="str">
        <f t="shared" si="106"/>
        <v/>
      </c>
      <c r="AA447" s="371"/>
      <c r="AB447" s="372"/>
      <c r="AC447" s="373"/>
      <c r="AD447" s="373"/>
      <c r="AE447" s="373"/>
      <c r="AF447" s="371"/>
      <c r="AG447" s="373"/>
      <c r="AH447" s="2"/>
      <c r="AI447" s="2"/>
      <c r="AJ447" s="2"/>
    </row>
    <row r="448" spans="1:36" x14ac:dyDescent="0.2">
      <c r="A448" s="306">
        <f>Crop!B481</f>
        <v>42072</v>
      </c>
      <c r="B448" s="307"/>
      <c r="C448" s="308"/>
      <c r="D448" s="304" t="str">
        <f>IF(OR($A448&lt;$A$3,$A448&gt;$A$7),"",Crop!$D481)</f>
        <v/>
      </c>
      <c r="E448" s="304" t="str">
        <f t="shared" si="93"/>
        <v/>
      </c>
      <c r="F448" s="304" t="str">
        <f>IF(OR(A448&lt;A$3,A448&gt;A$7),"",Crop!U481)</f>
        <v/>
      </c>
      <c r="G448" s="304" t="str">
        <f t="shared" si="94"/>
        <v/>
      </c>
      <c r="H448" s="309" t="str">
        <f>IF(OR(A448&lt;A$3,A448&gt;A$7),"",YTD!E445)</f>
        <v/>
      </c>
      <c r="I448" s="310" t="str">
        <f t="shared" si="95"/>
        <v/>
      </c>
      <c r="J448" s="311"/>
      <c r="K448" s="309" t="str">
        <f t="shared" si="96"/>
        <v/>
      </c>
      <c r="L448" s="312" t="str">
        <f t="shared" si="100"/>
        <v/>
      </c>
      <c r="M448" s="366" t="str">
        <f t="shared" si="101"/>
        <v/>
      </c>
      <c r="N448" s="328" t="str">
        <f t="shared" si="107"/>
        <v/>
      </c>
      <c r="O448" s="313" t="str">
        <f t="shared" si="108"/>
        <v/>
      </c>
      <c r="P448" s="307"/>
      <c r="Q448" s="309">
        <f t="shared" si="102"/>
        <v>0.8</v>
      </c>
      <c r="R448" s="307"/>
      <c r="S448" s="314">
        <f t="shared" si="103"/>
        <v>10</v>
      </c>
      <c r="T448" s="304" t="str">
        <f t="shared" si="97"/>
        <v/>
      </c>
      <c r="U448" s="304" t="str">
        <f>IF(A448=YTD!B$6,E448,IF(OR(A448&lt;YTD!B$6,A448&gt;YTD!B$10),"",U447+E448))</f>
        <v/>
      </c>
      <c r="V448" s="304" t="str">
        <f t="shared" si="104"/>
        <v/>
      </c>
      <c r="W448" s="315" t="e">
        <f>IF(I448="",#N/A,YTD!G$8-I448)</f>
        <v>#N/A</v>
      </c>
      <c r="X448" s="368">
        <f t="shared" si="98"/>
        <v>0</v>
      </c>
      <c r="Y448" s="368">
        <f t="shared" si="105"/>
        <v>6</v>
      </c>
      <c r="Z448" s="368" t="str">
        <f t="shared" si="106"/>
        <v/>
      </c>
      <c r="AA448" s="371"/>
      <c r="AB448" s="372"/>
      <c r="AC448" s="373"/>
      <c r="AD448" s="373"/>
      <c r="AE448" s="373"/>
      <c r="AF448" s="371"/>
      <c r="AG448" s="373"/>
      <c r="AH448" s="2"/>
      <c r="AI448" s="2"/>
      <c r="AJ448" s="2"/>
    </row>
    <row r="449" spans="1:36" x14ac:dyDescent="0.2">
      <c r="A449" s="306">
        <f>Crop!B482</f>
        <v>42073</v>
      </c>
      <c r="B449" s="307"/>
      <c r="C449" s="308"/>
      <c r="D449" s="304" t="str">
        <f>IF(OR($A449&lt;$A$3,$A449&gt;$A$7),"",Crop!$D482)</f>
        <v/>
      </c>
      <c r="E449" s="304" t="str">
        <f t="shared" si="93"/>
        <v/>
      </c>
      <c r="F449" s="304" t="str">
        <f>IF(OR(A449&lt;A$3,A449&gt;A$7),"",Crop!U482)</f>
        <v/>
      </c>
      <c r="G449" s="304" t="str">
        <f t="shared" si="94"/>
        <v/>
      </c>
      <c r="H449" s="309" t="str">
        <f>IF(OR(A449&lt;A$3,A449&gt;A$7),"",YTD!E446)</f>
        <v/>
      </c>
      <c r="I449" s="310" t="str">
        <f t="shared" si="95"/>
        <v/>
      </c>
      <c r="J449" s="311"/>
      <c r="K449" s="309" t="str">
        <f t="shared" si="96"/>
        <v/>
      </c>
      <c r="L449" s="312" t="str">
        <f t="shared" si="100"/>
        <v/>
      </c>
      <c r="M449" s="366" t="str">
        <f t="shared" si="101"/>
        <v/>
      </c>
      <c r="N449" s="328" t="str">
        <f t="shared" si="107"/>
        <v/>
      </c>
      <c r="O449" s="313" t="str">
        <f t="shared" si="108"/>
        <v/>
      </c>
      <c r="P449" s="307"/>
      <c r="Q449" s="309">
        <f t="shared" si="102"/>
        <v>0.8</v>
      </c>
      <c r="R449" s="307"/>
      <c r="S449" s="314">
        <f t="shared" si="103"/>
        <v>10</v>
      </c>
      <c r="T449" s="304" t="str">
        <f t="shared" si="97"/>
        <v/>
      </c>
      <c r="U449" s="304" t="str">
        <f>IF(A449=YTD!B$6,E449,IF(OR(A449&lt;YTD!B$6,A449&gt;YTD!B$10),"",U448+E449))</f>
        <v/>
      </c>
      <c r="V449" s="304" t="str">
        <f t="shared" si="104"/>
        <v/>
      </c>
      <c r="W449" s="315" t="e">
        <f>IF(I449="",#N/A,YTD!G$8-I449)</f>
        <v>#N/A</v>
      </c>
      <c r="X449" s="368">
        <f t="shared" si="98"/>
        <v>0</v>
      </c>
      <c r="Y449" s="368">
        <f t="shared" si="105"/>
        <v>6</v>
      </c>
      <c r="Z449" s="368" t="str">
        <f t="shared" si="106"/>
        <v/>
      </c>
      <c r="AA449" s="371"/>
      <c r="AB449" s="372"/>
      <c r="AC449" s="373"/>
      <c r="AD449" s="373"/>
      <c r="AE449" s="373"/>
      <c r="AF449" s="371"/>
      <c r="AG449" s="373"/>
      <c r="AH449" s="2"/>
      <c r="AI449" s="2"/>
      <c r="AJ449" s="2"/>
    </row>
    <row r="450" spans="1:36" x14ac:dyDescent="0.2">
      <c r="A450" s="306">
        <f>Crop!B483</f>
        <v>42074</v>
      </c>
      <c r="B450" s="307"/>
      <c r="C450" s="308"/>
      <c r="D450" s="304" t="str">
        <f>IF(OR($A450&lt;$A$3,$A450&gt;$A$7),"",Crop!$D483)</f>
        <v/>
      </c>
      <c r="E450" s="304" t="str">
        <f t="shared" si="93"/>
        <v/>
      </c>
      <c r="F450" s="304" t="str">
        <f>IF(OR(A450&lt;A$3,A450&gt;A$7),"",Crop!U483)</f>
        <v/>
      </c>
      <c r="G450" s="304" t="str">
        <f t="shared" si="94"/>
        <v/>
      </c>
      <c r="H450" s="309" t="str">
        <f>IF(OR(A450&lt;A$3,A450&gt;A$7),"",YTD!E447)</f>
        <v/>
      </c>
      <c r="I450" s="310" t="str">
        <f t="shared" si="95"/>
        <v/>
      </c>
      <c r="J450" s="311"/>
      <c r="K450" s="309" t="str">
        <f t="shared" si="96"/>
        <v/>
      </c>
      <c r="L450" s="312" t="str">
        <f t="shared" si="100"/>
        <v/>
      </c>
      <c r="M450" s="366" t="str">
        <f t="shared" si="101"/>
        <v/>
      </c>
      <c r="N450" s="328" t="str">
        <f t="shared" si="107"/>
        <v/>
      </c>
      <c r="O450" s="313" t="str">
        <f t="shared" si="108"/>
        <v/>
      </c>
      <c r="P450" s="307"/>
      <c r="Q450" s="309">
        <f t="shared" si="102"/>
        <v>0.8</v>
      </c>
      <c r="R450" s="307"/>
      <c r="S450" s="314">
        <f t="shared" si="103"/>
        <v>10</v>
      </c>
      <c r="T450" s="304" t="str">
        <f t="shared" si="97"/>
        <v/>
      </c>
      <c r="U450" s="304" t="str">
        <f>IF(A450=YTD!B$6,E450,IF(OR(A450&lt;YTD!B$6,A450&gt;YTD!B$10),"",U449+E450))</f>
        <v/>
      </c>
      <c r="V450" s="304" t="str">
        <f t="shared" si="104"/>
        <v/>
      </c>
      <c r="W450" s="315" t="e">
        <f>IF(I450="",#N/A,YTD!G$8-I450)</f>
        <v>#N/A</v>
      </c>
      <c r="X450" s="368">
        <f t="shared" si="98"/>
        <v>0</v>
      </c>
      <c r="Y450" s="368">
        <f t="shared" si="105"/>
        <v>6</v>
      </c>
      <c r="Z450" s="368" t="str">
        <f t="shared" si="106"/>
        <v/>
      </c>
      <c r="AA450" s="371"/>
      <c r="AB450" s="372"/>
      <c r="AC450" s="373"/>
      <c r="AD450" s="373"/>
      <c r="AE450" s="373"/>
      <c r="AF450" s="371"/>
      <c r="AG450" s="373"/>
      <c r="AH450" s="2"/>
      <c r="AI450" s="2"/>
      <c r="AJ450" s="2"/>
    </row>
    <row r="451" spans="1:36" x14ac:dyDescent="0.2">
      <c r="A451" s="306">
        <f>Crop!B484</f>
        <v>42075</v>
      </c>
      <c r="B451" s="307"/>
      <c r="C451" s="308"/>
      <c r="D451" s="304" t="str">
        <f>IF(OR($A451&lt;$A$3,$A451&gt;$A$7),"",Crop!$D484)</f>
        <v/>
      </c>
      <c r="E451" s="304" t="str">
        <f t="shared" si="93"/>
        <v/>
      </c>
      <c r="F451" s="304" t="str">
        <f>IF(OR(A451&lt;A$3,A451&gt;A$7),"",Crop!U484)</f>
        <v/>
      </c>
      <c r="G451" s="304" t="str">
        <f t="shared" si="94"/>
        <v/>
      </c>
      <c r="H451" s="309" t="str">
        <f>IF(OR(A451&lt;A$3,A451&gt;A$7),"",YTD!E448)</f>
        <v/>
      </c>
      <c r="I451" s="310" t="str">
        <f t="shared" si="95"/>
        <v/>
      </c>
      <c r="J451" s="311"/>
      <c r="K451" s="309" t="str">
        <f t="shared" si="96"/>
        <v/>
      </c>
      <c r="L451" s="312" t="str">
        <f t="shared" si="100"/>
        <v/>
      </c>
      <c r="M451" s="366" t="str">
        <f t="shared" si="101"/>
        <v/>
      </c>
      <c r="N451" s="328" t="str">
        <f t="shared" si="107"/>
        <v/>
      </c>
      <c r="O451" s="313" t="str">
        <f t="shared" si="108"/>
        <v/>
      </c>
      <c r="P451" s="307"/>
      <c r="Q451" s="309">
        <f t="shared" si="102"/>
        <v>0.8</v>
      </c>
      <c r="R451" s="307"/>
      <c r="S451" s="314">
        <f t="shared" si="103"/>
        <v>10</v>
      </c>
      <c r="T451" s="304" t="str">
        <f t="shared" si="97"/>
        <v/>
      </c>
      <c r="U451" s="304" t="str">
        <f>IF(A451=YTD!B$6,E451,IF(OR(A451&lt;YTD!B$6,A451&gt;YTD!B$10),"",U450+E451))</f>
        <v/>
      </c>
      <c r="V451" s="304" t="str">
        <f t="shared" si="104"/>
        <v/>
      </c>
      <c r="W451" s="315" t="e">
        <f>IF(I451="",#N/A,YTD!G$8-I451)</f>
        <v>#N/A</v>
      </c>
      <c r="X451" s="368">
        <f t="shared" si="98"/>
        <v>0</v>
      </c>
      <c r="Y451" s="368">
        <f t="shared" si="105"/>
        <v>6</v>
      </c>
      <c r="Z451" s="368" t="str">
        <f t="shared" si="106"/>
        <v/>
      </c>
      <c r="AA451" s="371"/>
      <c r="AB451" s="372"/>
      <c r="AC451" s="373"/>
      <c r="AD451" s="373"/>
      <c r="AE451" s="373"/>
      <c r="AF451" s="371"/>
      <c r="AG451" s="373"/>
      <c r="AH451" s="2"/>
      <c r="AI451" s="2"/>
      <c r="AJ451" s="2"/>
    </row>
    <row r="452" spans="1:36" x14ac:dyDescent="0.2">
      <c r="A452" s="306">
        <f>Crop!B485</f>
        <v>42076</v>
      </c>
      <c r="B452" s="307"/>
      <c r="C452" s="308"/>
      <c r="D452" s="304" t="str">
        <f>IF(OR($A452&lt;$A$3,$A452&gt;$A$7),"",Crop!$D485)</f>
        <v/>
      </c>
      <c r="E452" s="304" t="str">
        <f t="shared" si="93"/>
        <v/>
      </c>
      <c r="F452" s="304" t="str">
        <f>IF(OR(A452&lt;A$3,A452&gt;A$7),"",Crop!U485)</f>
        <v/>
      </c>
      <c r="G452" s="304" t="str">
        <f t="shared" si="94"/>
        <v/>
      </c>
      <c r="H452" s="309" t="str">
        <f>IF(OR(A452&lt;A$3,A452&gt;A$7),"",YTD!E449)</f>
        <v/>
      </c>
      <c r="I452" s="310" t="str">
        <f t="shared" si="95"/>
        <v/>
      </c>
      <c r="J452" s="311"/>
      <c r="K452" s="309" t="str">
        <f t="shared" si="96"/>
        <v/>
      </c>
      <c r="L452" s="312" t="str">
        <f t="shared" si="100"/>
        <v/>
      </c>
      <c r="M452" s="366" t="str">
        <f t="shared" si="101"/>
        <v/>
      </c>
      <c r="N452" s="328" t="str">
        <f t="shared" si="107"/>
        <v/>
      </c>
      <c r="O452" s="313" t="str">
        <f t="shared" si="108"/>
        <v/>
      </c>
      <c r="P452" s="307"/>
      <c r="Q452" s="309">
        <f t="shared" si="102"/>
        <v>0.8</v>
      </c>
      <c r="R452" s="307"/>
      <c r="S452" s="314">
        <f t="shared" si="103"/>
        <v>10</v>
      </c>
      <c r="T452" s="304" t="str">
        <f t="shared" si="97"/>
        <v/>
      </c>
      <c r="U452" s="304" t="str">
        <f>IF(A452=YTD!B$6,E452,IF(OR(A452&lt;YTD!B$6,A452&gt;YTD!B$10),"",U451+E452))</f>
        <v/>
      </c>
      <c r="V452" s="304" t="str">
        <f t="shared" si="104"/>
        <v/>
      </c>
      <c r="W452" s="315" t="e">
        <f>IF(I452="",#N/A,YTD!G$8-I452)</f>
        <v>#N/A</v>
      </c>
      <c r="X452" s="368">
        <f t="shared" si="98"/>
        <v>0</v>
      </c>
      <c r="Y452" s="368">
        <f t="shared" si="105"/>
        <v>6</v>
      </c>
      <c r="Z452" s="368" t="str">
        <f t="shared" si="106"/>
        <v/>
      </c>
      <c r="AA452" s="371"/>
      <c r="AB452" s="372"/>
      <c r="AC452" s="373"/>
      <c r="AD452" s="373"/>
      <c r="AE452" s="373"/>
      <c r="AF452" s="371"/>
      <c r="AG452" s="373"/>
      <c r="AH452" s="2"/>
      <c r="AI452" s="2"/>
      <c r="AJ452" s="2"/>
    </row>
    <row r="453" spans="1:36" x14ac:dyDescent="0.2">
      <c r="A453" s="306">
        <f>Crop!B486</f>
        <v>42077</v>
      </c>
      <c r="B453" s="307"/>
      <c r="C453" s="308"/>
      <c r="D453" s="304" t="str">
        <f>IF(OR($A453&lt;$A$3,$A453&gt;$A$7),"",Crop!$D486)</f>
        <v/>
      </c>
      <c r="E453" s="304" t="str">
        <f t="shared" si="93"/>
        <v/>
      </c>
      <c r="F453" s="304" t="str">
        <f>IF(OR(A453&lt;A$3,A453&gt;A$7),"",Crop!U486)</f>
        <v/>
      </c>
      <c r="G453" s="304" t="str">
        <f t="shared" si="94"/>
        <v/>
      </c>
      <c r="H453" s="309" t="str">
        <f>IF(OR(A453&lt;A$3,A453&gt;A$7),"",YTD!E450)</f>
        <v/>
      </c>
      <c r="I453" s="310" t="str">
        <f t="shared" si="95"/>
        <v/>
      </c>
      <c r="J453" s="311"/>
      <c r="K453" s="309" t="str">
        <f t="shared" si="96"/>
        <v/>
      </c>
      <c r="L453" s="312" t="str">
        <f t="shared" si="100"/>
        <v/>
      </c>
      <c r="M453" s="366" t="str">
        <f t="shared" si="101"/>
        <v/>
      </c>
      <c r="N453" s="328" t="str">
        <f t="shared" si="107"/>
        <v/>
      </c>
      <c r="O453" s="313" t="str">
        <f t="shared" si="108"/>
        <v/>
      </c>
      <c r="P453" s="307"/>
      <c r="Q453" s="309">
        <f t="shared" si="102"/>
        <v>0.8</v>
      </c>
      <c r="R453" s="307"/>
      <c r="S453" s="314">
        <f t="shared" si="103"/>
        <v>10</v>
      </c>
      <c r="T453" s="304" t="str">
        <f t="shared" si="97"/>
        <v/>
      </c>
      <c r="U453" s="304" t="str">
        <f>IF(A453=YTD!B$6,E453,IF(OR(A453&lt;YTD!B$6,A453&gt;YTD!B$10),"",U452+E453))</f>
        <v/>
      </c>
      <c r="V453" s="304" t="str">
        <f t="shared" si="104"/>
        <v/>
      </c>
      <c r="W453" s="315" t="e">
        <f>IF(I453="",#N/A,YTD!G$8-I453)</f>
        <v>#N/A</v>
      </c>
      <c r="X453" s="368">
        <f t="shared" si="98"/>
        <v>0</v>
      </c>
      <c r="Y453" s="368">
        <f t="shared" si="105"/>
        <v>6</v>
      </c>
      <c r="Z453" s="368" t="str">
        <f t="shared" si="106"/>
        <v/>
      </c>
      <c r="AA453" s="371"/>
      <c r="AB453" s="372"/>
      <c r="AC453" s="373"/>
      <c r="AD453" s="373"/>
      <c r="AE453" s="373"/>
      <c r="AF453" s="371"/>
      <c r="AG453" s="373"/>
      <c r="AH453" s="2"/>
      <c r="AI453" s="2"/>
      <c r="AJ453" s="2"/>
    </row>
    <row r="454" spans="1:36" x14ac:dyDescent="0.2">
      <c r="A454" s="306">
        <f>Crop!B487</f>
        <v>42078</v>
      </c>
      <c r="B454" s="307"/>
      <c r="C454" s="308"/>
      <c r="D454" s="304" t="str">
        <f>IF(OR($A454&lt;$A$3,$A454&gt;$A$7),"",Crop!$D487)</f>
        <v/>
      </c>
      <c r="E454" s="304" t="str">
        <f t="shared" si="93"/>
        <v/>
      </c>
      <c r="F454" s="304" t="str">
        <f>IF(OR(A454&lt;A$3,A454&gt;A$7),"",Crop!U487)</f>
        <v/>
      </c>
      <c r="G454" s="304" t="str">
        <f t="shared" si="94"/>
        <v/>
      </c>
      <c r="H454" s="309" t="str">
        <f>IF(OR(A454&lt;A$3,A454&gt;A$7),"",YTD!E451)</f>
        <v/>
      </c>
      <c r="I454" s="310" t="str">
        <f t="shared" si="95"/>
        <v/>
      </c>
      <c r="J454" s="311"/>
      <c r="K454" s="309" t="str">
        <f t="shared" si="96"/>
        <v/>
      </c>
      <c r="L454" s="312" t="str">
        <f t="shared" si="100"/>
        <v/>
      </c>
      <c r="M454" s="366" t="str">
        <f t="shared" si="101"/>
        <v/>
      </c>
      <c r="N454" s="328" t="str">
        <f t="shared" si="107"/>
        <v/>
      </c>
      <c r="O454" s="313" t="str">
        <f t="shared" si="108"/>
        <v/>
      </c>
      <c r="P454" s="307"/>
      <c r="Q454" s="309">
        <f t="shared" si="102"/>
        <v>0.8</v>
      </c>
      <c r="R454" s="307"/>
      <c r="S454" s="314">
        <f t="shared" si="103"/>
        <v>10</v>
      </c>
      <c r="T454" s="304" t="str">
        <f t="shared" si="97"/>
        <v/>
      </c>
      <c r="U454" s="304" t="str">
        <f>IF(A454=YTD!B$6,E454,IF(OR(A454&lt;YTD!B$6,A454&gt;YTD!B$10),"",U453+E454))</f>
        <v/>
      </c>
      <c r="V454" s="304" t="str">
        <f t="shared" si="104"/>
        <v/>
      </c>
      <c r="W454" s="315" t="e">
        <f>IF(I454="",#N/A,YTD!G$8-I454)</f>
        <v>#N/A</v>
      </c>
      <c r="X454" s="368">
        <f t="shared" si="98"/>
        <v>0</v>
      </c>
      <c r="Y454" s="368">
        <f t="shared" si="105"/>
        <v>6</v>
      </c>
      <c r="Z454" s="368" t="str">
        <f t="shared" si="106"/>
        <v/>
      </c>
      <c r="AA454" s="371"/>
      <c r="AB454" s="372"/>
      <c r="AC454" s="373"/>
      <c r="AD454" s="373"/>
      <c r="AE454" s="373"/>
      <c r="AF454" s="371"/>
      <c r="AG454" s="373"/>
      <c r="AH454" s="2"/>
      <c r="AI454" s="2"/>
      <c r="AJ454" s="2"/>
    </row>
    <row r="455" spans="1:36" x14ac:dyDescent="0.2">
      <c r="A455" s="306">
        <f>Crop!B488</f>
        <v>42079</v>
      </c>
      <c r="B455" s="307"/>
      <c r="C455" s="308"/>
      <c r="D455" s="304" t="str">
        <f>IF(OR($A455&lt;$A$3,$A455&gt;$A$7),"",Crop!$D488)</f>
        <v/>
      </c>
      <c r="E455" s="304" t="str">
        <f t="shared" si="93"/>
        <v/>
      </c>
      <c r="F455" s="304" t="str">
        <f>IF(OR(A455&lt;A$3,A455&gt;A$7),"",Crop!U488)</f>
        <v/>
      </c>
      <c r="G455" s="304" t="str">
        <f t="shared" si="94"/>
        <v/>
      </c>
      <c r="H455" s="309" t="str">
        <f>IF(OR(A455&lt;A$3,A455&gt;A$7),"",YTD!E452)</f>
        <v/>
      </c>
      <c r="I455" s="310" t="str">
        <f t="shared" si="95"/>
        <v/>
      </c>
      <c r="J455" s="311"/>
      <c r="K455" s="309" t="str">
        <f t="shared" si="96"/>
        <v/>
      </c>
      <c r="L455" s="312" t="str">
        <f t="shared" si="100"/>
        <v/>
      </c>
      <c r="M455" s="366" t="str">
        <f t="shared" si="101"/>
        <v/>
      </c>
      <c r="N455" s="328" t="str">
        <f t="shared" si="107"/>
        <v/>
      </c>
      <c r="O455" s="313" t="str">
        <f t="shared" si="108"/>
        <v/>
      </c>
      <c r="P455" s="307"/>
      <c r="Q455" s="309">
        <f t="shared" si="102"/>
        <v>0.8</v>
      </c>
      <c r="R455" s="307"/>
      <c r="S455" s="314">
        <f t="shared" si="103"/>
        <v>10</v>
      </c>
      <c r="T455" s="304" t="str">
        <f t="shared" si="97"/>
        <v/>
      </c>
      <c r="U455" s="304" t="str">
        <f>IF(A455=YTD!B$6,E455,IF(OR(A455&lt;YTD!B$6,A455&gt;YTD!B$10),"",U454+E455))</f>
        <v/>
      </c>
      <c r="V455" s="304" t="str">
        <f t="shared" si="104"/>
        <v/>
      </c>
      <c r="W455" s="315" t="e">
        <f>IF(I455="",#N/A,YTD!G$8-I455)</f>
        <v>#N/A</v>
      </c>
      <c r="X455" s="368">
        <f t="shared" si="98"/>
        <v>0</v>
      </c>
      <c r="Y455" s="368">
        <f t="shared" si="105"/>
        <v>6</v>
      </c>
      <c r="Z455" s="368" t="str">
        <f t="shared" si="106"/>
        <v/>
      </c>
      <c r="AA455" s="371"/>
      <c r="AB455" s="372"/>
      <c r="AC455" s="373"/>
      <c r="AD455" s="373"/>
      <c r="AE455" s="373"/>
      <c r="AF455" s="371"/>
      <c r="AG455" s="373"/>
      <c r="AH455" s="2"/>
      <c r="AI455" s="2"/>
      <c r="AJ455" s="2"/>
    </row>
    <row r="456" spans="1:36" x14ac:dyDescent="0.2">
      <c r="A456" s="306">
        <f>Crop!B489</f>
        <v>42080</v>
      </c>
      <c r="B456" s="307"/>
      <c r="C456" s="308"/>
      <c r="D456" s="304" t="str">
        <f>IF(OR($A456&lt;$A$3,$A456&gt;$A$7),"",Crop!$D489)</f>
        <v/>
      </c>
      <c r="E456" s="304" t="str">
        <f t="shared" si="93"/>
        <v/>
      </c>
      <c r="F456" s="304" t="str">
        <f>IF(OR(A456&lt;A$3,A456&gt;A$7),"",Crop!U489)</f>
        <v/>
      </c>
      <c r="G456" s="304" t="str">
        <f t="shared" si="94"/>
        <v/>
      </c>
      <c r="H456" s="309" t="str">
        <f>IF(OR(A456&lt;A$3,A456&gt;A$7),"",YTD!E453)</f>
        <v/>
      </c>
      <c r="I456" s="310" t="str">
        <f t="shared" si="95"/>
        <v/>
      </c>
      <c r="J456" s="311"/>
      <c r="K456" s="309" t="str">
        <f t="shared" si="96"/>
        <v/>
      </c>
      <c r="L456" s="312" t="str">
        <f t="shared" si="100"/>
        <v/>
      </c>
      <c r="M456" s="366" t="str">
        <f t="shared" si="101"/>
        <v/>
      </c>
      <c r="N456" s="328" t="str">
        <f t="shared" si="107"/>
        <v/>
      </c>
      <c r="O456" s="313" t="str">
        <f t="shared" si="108"/>
        <v/>
      </c>
      <c r="P456" s="307"/>
      <c r="Q456" s="309">
        <f t="shared" si="102"/>
        <v>0.8</v>
      </c>
      <c r="R456" s="307"/>
      <c r="S456" s="314">
        <f t="shared" si="103"/>
        <v>10</v>
      </c>
      <c r="T456" s="304" t="str">
        <f t="shared" si="97"/>
        <v/>
      </c>
      <c r="U456" s="304" t="str">
        <f>IF(A456=YTD!B$6,E456,IF(OR(A456&lt;YTD!B$6,A456&gt;YTD!B$10),"",U455+E456))</f>
        <v/>
      </c>
      <c r="V456" s="304" t="str">
        <f t="shared" si="104"/>
        <v/>
      </c>
      <c r="W456" s="315" t="e">
        <f>IF(I456="",#N/A,YTD!G$8-I456)</f>
        <v>#N/A</v>
      </c>
      <c r="X456" s="368">
        <f t="shared" si="98"/>
        <v>0</v>
      </c>
      <c r="Y456" s="368">
        <f t="shared" si="105"/>
        <v>6</v>
      </c>
      <c r="Z456" s="368" t="str">
        <f t="shared" si="106"/>
        <v/>
      </c>
      <c r="AA456" s="371"/>
      <c r="AB456" s="372"/>
      <c r="AC456" s="373"/>
      <c r="AD456" s="373"/>
      <c r="AE456" s="373"/>
      <c r="AF456" s="371"/>
      <c r="AG456" s="373"/>
      <c r="AH456" s="2"/>
      <c r="AI456" s="2"/>
      <c r="AJ456" s="2"/>
    </row>
    <row r="457" spans="1:36" x14ac:dyDescent="0.2">
      <c r="A457" s="306">
        <f>Crop!B490</f>
        <v>42081</v>
      </c>
      <c r="B457" s="307"/>
      <c r="C457" s="308"/>
      <c r="D457" s="304" t="str">
        <f>IF(OR($A457&lt;$A$3,$A457&gt;$A$7),"",Crop!$D490)</f>
        <v/>
      </c>
      <c r="E457" s="304" t="str">
        <f t="shared" si="93"/>
        <v/>
      </c>
      <c r="F457" s="304" t="str">
        <f>IF(OR(A457&lt;A$3,A457&gt;A$7),"",Crop!U490)</f>
        <v/>
      </c>
      <c r="G457" s="304" t="str">
        <f t="shared" si="94"/>
        <v/>
      </c>
      <c r="H457" s="309" t="str">
        <f>IF(OR(A457&lt;A$3,A457&gt;A$7),"",YTD!E454)</f>
        <v/>
      </c>
      <c r="I457" s="310" t="str">
        <f t="shared" si="95"/>
        <v/>
      </c>
      <c r="J457" s="311"/>
      <c r="K457" s="309" t="str">
        <f t="shared" si="96"/>
        <v/>
      </c>
      <c r="L457" s="312" t="str">
        <f t="shared" si="100"/>
        <v/>
      </c>
      <c r="M457" s="366" t="str">
        <f t="shared" si="101"/>
        <v/>
      </c>
      <c r="N457" s="328" t="str">
        <f t="shared" si="107"/>
        <v/>
      </c>
      <c r="O457" s="313" t="str">
        <f t="shared" si="108"/>
        <v/>
      </c>
      <c r="P457" s="307"/>
      <c r="Q457" s="309">
        <f t="shared" si="102"/>
        <v>0.8</v>
      </c>
      <c r="R457" s="307"/>
      <c r="S457" s="314">
        <f t="shared" si="103"/>
        <v>10</v>
      </c>
      <c r="T457" s="304" t="str">
        <f t="shared" si="97"/>
        <v/>
      </c>
      <c r="U457" s="304" t="str">
        <f>IF(A457=YTD!B$6,E457,IF(OR(A457&lt;YTD!B$6,A457&gt;YTD!B$10),"",U456+E457))</f>
        <v/>
      </c>
      <c r="V457" s="304" t="str">
        <f t="shared" si="104"/>
        <v/>
      </c>
      <c r="W457" s="315" t="e">
        <f>IF(I457="",#N/A,YTD!G$8-I457)</f>
        <v>#N/A</v>
      </c>
      <c r="X457" s="368">
        <f t="shared" si="98"/>
        <v>0</v>
      </c>
      <c r="Y457" s="368">
        <f t="shared" si="105"/>
        <v>6</v>
      </c>
      <c r="Z457" s="368" t="str">
        <f t="shared" si="106"/>
        <v/>
      </c>
      <c r="AA457" s="371"/>
      <c r="AB457" s="372"/>
      <c r="AC457" s="373"/>
      <c r="AD457" s="373"/>
      <c r="AE457" s="373"/>
      <c r="AF457" s="371"/>
      <c r="AG457" s="373"/>
      <c r="AH457" s="2"/>
      <c r="AI457" s="2"/>
      <c r="AJ457" s="2"/>
    </row>
    <row r="458" spans="1:36" x14ac:dyDescent="0.2">
      <c r="A458" s="306">
        <f>Crop!B491</f>
        <v>42082</v>
      </c>
      <c r="B458" s="307"/>
      <c r="C458" s="308"/>
      <c r="D458" s="304" t="str">
        <f>IF(OR($A458&lt;$A$3,$A458&gt;$A$7),"",Crop!$D491)</f>
        <v/>
      </c>
      <c r="E458" s="304" t="str">
        <f t="shared" si="93"/>
        <v/>
      </c>
      <c r="F458" s="304" t="str">
        <f>IF(OR(A458&lt;A$3,A458&gt;A$7),"",Crop!U491)</f>
        <v/>
      </c>
      <c r="G458" s="304" t="str">
        <f t="shared" si="94"/>
        <v/>
      </c>
      <c r="H458" s="309" t="str">
        <f>IF(OR(A458&lt;A$3,A458&gt;A$7),"",YTD!E455)</f>
        <v/>
      </c>
      <c r="I458" s="310" t="str">
        <f t="shared" si="95"/>
        <v/>
      </c>
      <c r="J458" s="311"/>
      <c r="K458" s="309" t="str">
        <f t="shared" si="96"/>
        <v/>
      </c>
      <c r="L458" s="312" t="str">
        <f t="shared" si="100"/>
        <v/>
      </c>
      <c r="M458" s="366" t="str">
        <f t="shared" si="101"/>
        <v/>
      </c>
      <c r="N458" s="328" t="str">
        <f t="shared" si="107"/>
        <v/>
      </c>
      <c r="O458" s="313" t="str">
        <f t="shared" si="108"/>
        <v/>
      </c>
      <c r="P458" s="307"/>
      <c r="Q458" s="309">
        <f t="shared" si="102"/>
        <v>0.8</v>
      </c>
      <c r="R458" s="307"/>
      <c r="S458" s="314">
        <f t="shared" si="103"/>
        <v>10</v>
      </c>
      <c r="T458" s="304" t="str">
        <f t="shared" si="97"/>
        <v/>
      </c>
      <c r="U458" s="304" t="str">
        <f>IF(A458=YTD!B$6,E458,IF(OR(A458&lt;YTD!B$6,A458&gt;YTD!B$10),"",U457+E458))</f>
        <v/>
      </c>
      <c r="V458" s="304" t="str">
        <f t="shared" si="104"/>
        <v/>
      </c>
      <c r="W458" s="315" t="e">
        <f>IF(I458="",#N/A,YTD!G$8-I458)</f>
        <v>#N/A</v>
      </c>
      <c r="X458" s="368">
        <f t="shared" si="98"/>
        <v>0</v>
      </c>
      <c r="Y458" s="368">
        <f t="shared" si="105"/>
        <v>6</v>
      </c>
      <c r="Z458" s="368" t="str">
        <f t="shared" si="106"/>
        <v/>
      </c>
      <c r="AA458" s="371"/>
      <c r="AB458" s="372"/>
      <c r="AC458" s="373"/>
      <c r="AD458" s="373"/>
      <c r="AE458" s="373"/>
      <c r="AF458" s="371"/>
      <c r="AG458" s="373"/>
      <c r="AH458" s="2"/>
      <c r="AI458" s="2"/>
      <c r="AJ458" s="2"/>
    </row>
    <row r="459" spans="1:36" x14ac:dyDescent="0.2">
      <c r="A459" s="306">
        <f>Crop!B492</f>
        <v>42083</v>
      </c>
      <c r="B459" s="307"/>
      <c r="C459" s="308"/>
      <c r="D459" s="304" t="str">
        <f>IF(OR($A459&lt;$A$3,$A459&gt;$A$7),"",Crop!$D492)</f>
        <v/>
      </c>
      <c r="E459" s="304" t="str">
        <f t="shared" si="93"/>
        <v/>
      </c>
      <c r="F459" s="304" t="str">
        <f>IF(OR(A459&lt;A$3,A459&gt;A$7),"",Crop!U492)</f>
        <v/>
      </c>
      <c r="G459" s="304" t="str">
        <f t="shared" si="94"/>
        <v/>
      </c>
      <c r="H459" s="309" t="str">
        <f>IF(OR(A459&lt;A$3,A459&gt;A$7),"",YTD!E456)</f>
        <v/>
      </c>
      <c r="I459" s="310" t="str">
        <f t="shared" si="95"/>
        <v/>
      </c>
      <c r="J459" s="311"/>
      <c r="K459" s="309" t="str">
        <f t="shared" si="96"/>
        <v/>
      </c>
      <c r="L459" s="312" t="str">
        <f t="shared" si="100"/>
        <v/>
      </c>
      <c r="M459" s="366" t="str">
        <f t="shared" si="101"/>
        <v/>
      </c>
      <c r="N459" s="328" t="str">
        <f t="shared" si="107"/>
        <v/>
      </c>
      <c r="O459" s="313" t="str">
        <f t="shared" si="108"/>
        <v/>
      </c>
      <c r="P459" s="307"/>
      <c r="Q459" s="309">
        <f t="shared" si="102"/>
        <v>0.8</v>
      </c>
      <c r="R459" s="307"/>
      <c r="S459" s="314">
        <f t="shared" si="103"/>
        <v>10</v>
      </c>
      <c r="T459" s="304" t="str">
        <f t="shared" si="97"/>
        <v/>
      </c>
      <c r="U459" s="304" t="str">
        <f>IF(A459=YTD!B$6,E459,IF(OR(A459&lt;YTD!B$6,A459&gt;YTD!B$10),"",U458+E459))</f>
        <v/>
      </c>
      <c r="V459" s="304" t="str">
        <f t="shared" si="104"/>
        <v/>
      </c>
      <c r="W459" s="315" t="e">
        <f>IF(I459="",#N/A,YTD!G$8-I459)</f>
        <v>#N/A</v>
      </c>
      <c r="X459" s="368">
        <f t="shared" si="98"/>
        <v>0</v>
      </c>
      <c r="Y459" s="368">
        <f t="shared" si="105"/>
        <v>6</v>
      </c>
      <c r="Z459" s="368" t="str">
        <f t="shared" si="106"/>
        <v/>
      </c>
      <c r="AA459" s="371"/>
      <c r="AB459" s="372"/>
      <c r="AC459" s="373"/>
      <c r="AD459" s="373"/>
      <c r="AE459" s="373"/>
      <c r="AF459" s="371"/>
      <c r="AG459" s="373"/>
      <c r="AH459" s="2"/>
      <c r="AI459" s="2"/>
      <c r="AJ459" s="2"/>
    </row>
    <row r="460" spans="1:36" x14ac:dyDescent="0.2">
      <c r="A460" s="306">
        <f>Crop!B493</f>
        <v>42084</v>
      </c>
      <c r="B460" s="307"/>
      <c r="C460" s="308"/>
      <c r="D460" s="304" t="str">
        <f>IF(OR($A460&lt;$A$3,$A460&gt;$A$7),"",Crop!$D493)</f>
        <v/>
      </c>
      <c r="E460" s="304" t="str">
        <f t="shared" si="93"/>
        <v/>
      </c>
      <c r="F460" s="304" t="str">
        <f>IF(OR(A460&lt;A$3,A460&gt;A$7),"",Crop!U493)</f>
        <v/>
      </c>
      <c r="G460" s="304" t="str">
        <f t="shared" si="94"/>
        <v/>
      </c>
      <c r="H460" s="309" t="str">
        <f>IF(OR(A460&lt;A$3,A460&gt;A$7),"",YTD!E457)</f>
        <v/>
      </c>
      <c r="I460" s="310" t="str">
        <f t="shared" si="95"/>
        <v/>
      </c>
      <c r="J460" s="311"/>
      <c r="K460" s="309" t="str">
        <f t="shared" si="96"/>
        <v/>
      </c>
      <c r="L460" s="312" t="str">
        <f t="shared" si="100"/>
        <v/>
      </c>
      <c r="M460" s="366" t="str">
        <f t="shared" si="101"/>
        <v/>
      </c>
      <c r="N460" s="328" t="str">
        <f t="shared" si="107"/>
        <v/>
      </c>
      <c r="O460" s="313" t="str">
        <f t="shared" si="108"/>
        <v/>
      </c>
      <c r="P460" s="307"/>
      <c r="Q460" s="309">
        <f t="shared" si="102"/>
        <v>0.8</v>
      </c>
      <c r="R460" s="307"/>
      <c r="S460" s="314">
        <f t="shared" si="103"/>
        <v>10</v>
      </c>
      <c r="T460" s="304" t="str">
        <f t="shared" si="97"/>
        <v/>
      </c>
      <c r="U460" s="304" t="str">
        <f>IF(A460=YTD!B$6,E460,IF(OR(A460&lt;YTD!B$6,A460&gt;YTD!B$10),"",U459+E460))</f>
        <v/>
      </c>
      <c r="V460" s="304" t="str">
        <f t="shared" si="104"/>
        <v/>
      </c>
      <c r="W460" s="315" t="e">
        <f>IF(I460="",#N/A,YTD!G$8-I460)</f>
        <v>#N/A</v>
      </c>
      <c r="X460" s="368">
        <f t="shared" si="98"/>
        <v>0</v>
      </c>
      <c r="Y460" s="368">
        <f t="shared" si="105"/>
        <v>6</v>
      </c>
      <c r="Z460" s="368" t="str">
        <f t="shared" si="106"/>
        <v/>
      </c>
      <c r="AA460" s="371"/>
      <c r="AB460" s="372"/>
      <c r="AC460" s="373"/>
      <c r="AD460" s="373"/>
      <c r="AE460" s="373"/>
      <c r="AF460" s="371"/>
      <c r="AG460" s="373"/>
      <c r="AH460" s="2"/>
      <c r="AI460" s="2"/>
      <c r="AJ460" s="2"/>
    </row>
    <row r="461" spans="1:36" x14ac:dyDescent="0.2">
      <c r="A461" s="306">
        <f>Crop!B494</f>
        <v>42085</v>
      </c>
      <c r="B461" s="307"/>
      <c r="C461" s="308"/>
      <c r="D461" s="304" t="str">
        <f>IF(OR($A461&lt;$A$3,$A461&gt;$A$7),"",Crop!$D494)</f>
        <v/>
      </c>
      <c r="E461" s="304" t="str">
        <f t="shared" si="93"/>
        <v/>
      </c>
      <c r="F461" s="304" t="str">
        <f>IF(OR(A461&lt;A$3,A461&gt;A$7),"",Crop!U494)</f>
        <v/>
      </c>
      <c r="G461" s="304" t="str">
        <f t="shared" si="94"/>
        <v/>
      </c>
      <c r="H461" s="309" t="str">
        <f>IF(OR(A461&lt;A$3,A461&gt;A$7),"",YTD!E458)</f>
        <v/>
      </c>
      <c r="I461" s="310" t="str">
        <f t="shared" si="95"/>
        <v/>
      </c>
      <c r="J461" s="311"/>
      <c r="K461" s="309" t="str">
        <f t="shared" si="96"/>
        <v/>
      </c>
      <c r="L461" s="312" t="str">
        <f t="shared" si="100"/>
        <v/>
      </c>
      <c r="M461" s="366" t="str">
        <f t="shared" si="101"/>
        <v/>
      </c>
      <c r="N461" s="328" t="str">
        <f t="shared" si="107"/>
        <v/>
      </c>
      <c r="O461" s="313" t="str">
        <f t="shared" si="108"/>
        <v/>
      </c>
      <c r="P461" s="307"/>
      <c r="Q461" s="309">
        <f t="shared" si="102"/>
        <v>0.8</v>
      </c>
      <c r="R461" s="307"/>
      <c r="S461" s="314">
        <f t="shared" si="103"/>
        <v>10</v>
      </c>
      <c r="T461" s="304" t="str">
        <f t="shared" si="97"/>
        <v/>
      </c>
      <c r="U461" s="304" t="str">
        <f>IF(A461=YTD!B$6,E461,IF(OR(A461&lt;YTD!B$6,A461&gt;YTD!B$10),"",U460+E461))</f>
        <v/>
      </c>
      <c r="V461" s="304" t="str">
        <f t="shared" si="104"/>
        <v/>
      </c>
      <c r="W461" s="315" t="e">
        <f>IF(I461="",#N/A,YTD!G$8-I461)</f>
        <v>#N/A</v>
      </c>
      <c r="X461" s="368">
        <f t="shared" si="98"/>
        <v>0</v>
      </c>
      <c r="Y461" s="368">
        <f t="shared" si="105"/>
        <v>6</v>
      </c>
      <c r="Z461" s="368" t="str">
        <f t="shared" si="106"/>
        <v/>
      </c>
      <c r="AA461" s="371"/>
      <c r="AB461" s="372"/>
      <c r="AC461" s="373"/>
      <c r="AD461" s="373"/>
      <c r="AE461" s="373"/>
      <c r="AF461" s="371"/>
      <c r="AG461" s="373"/>
      <c r="AH461" s="2"/>
      <c r="AI461" s="2"/>
      <c r="AJ461" s="2"/>
    </row>
    <row r="462" spans="1:36" x14ac:dyDescent="0.2">
      <c r="A462" s="306">
        <f>Crop!B495</f>
        <v>42086</v>
      </c>
      <c r="B462" s="307"/>
      <c r="C462" s="308"/>
      <c r="D462" s="304" t="str">
        <f>IF(OR($A462&lt;$A$3,$A462&gt;$A$7),"",Crop!$D495)</f>
        <v/>
      </c>
      <c r="E462" s="304" t="str">
        <f t="shared" si="93"/>
        <v/>
      </c>
      <c r="F462" s="304" t="str">
        <f>IF(OR(A462&lt;A$3,A462&gt;A$7),"",Crop!U495)</f>
        <v/>
      </c>
      <c r="G462" s="304" t="str">
        <f t="shared" si="94"/>
        <v/>
      </c>
      <c r="H462" s="309" t="str">
        <f>IF(OR(A462&lt;A$3,A462&gt;A$7),"",YTD!E459)</f>
        <v/>
      </c>
      <c r="I462" s="310" t="str">
        <f t="shared" si="95"/>
        <v/>
      </c>
      <c r="J462" s="311"/>
      <c r="K462" s="309" t="str">
        <f t="shared" si="96"/>
        <v/>
      </c>
      <c r="L462" s="312" t="str">
        <f t="shared" si="100"/>
        <v/>
      </c>
      <c r="M462" s="366" t="str">
        <f t="shared" si="101"/>
        <v/>
      </c>
      <c r="N462" s="328" t="str">
        <f t="shared" si="107"/>
        <v/>
      </c>
      <c r="O462" s="313" t="str">
        <f t="shared" si="108"/>
        <v/>
      </c>
      <c r="P462" s="307"/>
      <c r="Q462" s="309">
        <f t="shared" si="102"/>
        <v>0.8</v>
      </c>
      <c r="R462" s="307"/>
      <c r="S462" s="314">
        <f t="shared" si="103"/>
        <v>10</v>
      </c>
      <c r="T462" s="304" t="str">
        <f t="shared" si="97"/>
        <v/>
      </c>
      <c r="U462" s="304" t="str">
        <f>IF(A462=YTD!B$6,E462,IF(OR(A462&lt;YTD!B$6,A462&gt;YTD!B$10),"",U461+E462))</f>
        <v/>
      </c>
      <c r="V462" s="304" t="str">
        <f t="shared" si="104"/>
        <v/>
      </c>
      <c r="W462" s="315" t="e">
        <f>IF(I462="",#N/A,YTD!G$8-I462)</f>
        <v>#N/A</v>
      </c>
      <c r="X462" s="368">
        <f t="shared" si="98"/>
        <v>0</v>
      </c>
      <c r="Y462" s="368">
        <f t="shared" si="105"/>
        <v>6</v>
      </c>
      <c r="Z462" s="368" t="str">
        <f t="shared" si="106"/>
        <v/>
      </c>
      <c r="AA462" s="371"/>
      <c r="AB462" s="372"/>
      <c r="AC462" s="373"/>
      <c r="AD462" s="373"/>
      <c r="AE462" s="373"/>
      <c r="AF462" s="371"/>
      <c r="AG462" s="373"/>
      <c r="AH462" s="2"/>
      <c r="AI462" s="2"/>
      <c r="AJ462" s="2"/>
    </row>
    <row r="463" spans="1:36" x14ac:dyDescent="0.2">
      <c r="A463" s="306">
        <f>Crop!B496</f>
        <v>42087</v>
      </c>
      <c r="B463" s="307"/>
      <c r="C463" s="308"/>
      <c r="D463" s="304" t="str">
        <f>IF(OR($A463&lt;$A$3,$A463&gt;$A$7),"",Crop!$D496)</f>
        <v/>
      </c>
      <c r="E463" s="304" t="str">
        <f t="shared" si="93"/>
        <v/>
      </c>
      <c r="F463" s="304" t="str">
        <f>IF(OR(A463&lt;A$3,A463&gt;A$7),"",Crop!U496)</f>
        <v/>
      </c>
      <c r="G463" s="304" t="str">
        <f t="shared" si="94"/>
        <v/>
      </c>
      <c r="H463" s="309" t="str">
        <f>IF(OR(A463&lt;A$3,A463&gt;A$7),"",YTD!E460)</f>
        <v/>
      </c>
      <c r="I463" s="310" t="str">
        <f t="shared" si="95"/>
        <v/>
      </c>
      <c r="J463" s="311"/>
      <c r="K463" s="309" t="str">
        <f t="shared" si="96"/>
        <v/>
      </c>
      <c r="L463" s="312" t="str">
        <f t="shared" si="100"/>
        <v/>
      </c>
      <c r="M463" s="366" t="str">
        <f t="shared" si="101"/>
        <v/>
      </c>
      <c r="N463" s="328" t="str">
        <f t="shared" si="107"/>
        <v/>
      </c>
      <c r="O463" s="313" t="str">
        <f t="shared" si="108"/>
        <v/>
      </c>
      <c r="P463" s="307"/>
      <c r="Q463" s="309">
        <f t="shared" si="102"/>
        <v>0.8</v>
      </c>
      <c r="R463" s="307"/>
      <c r="S463" s="314">
        <f t="shared" si="103"/>
        <v>10</v>
      </c>
      <c r="T463" s="304" t="str">
        <f t="shared" si="97"/>
        <v/>
      </c>
      <c r="U463" s="304" t="str">
        <f>IF(A463=YTD!B$6,E463,IF(OR(A463&lt;YTD!B$6,A463&gt;YTD!B$10),"",U462+E463))</f>
        <v/>
      </c>
      <c r="V463" s="304" t="str">
        <f t="shared" si="104"/>
        <v/>
      </c>
      <c r="W463" s="315" t="e">
        <f>IF(I463="",#N/A,YTD!G$8-I463)</f>
        <v>#N/A</v>
      </c>
      <c r="X463" s="368">
        <f t="shared" si="98"/>
        <v>0</v>
      </c>
      <c r="Y463" s="368">
        <f t="shared" si="105"/>
        <v>6</v>
      </c>
      <c r="Z463" s="368" t="str">
        <f t="shared" si="106"/>
        <v/>
      </c>
      <c r="AA463" s="371"/>
      <c r="AB463" s="372"/>
      <c r="AC463" s="373"/>
      <c r="AD463" s="373"/>
      <c r="AE463" s="373"/>
      <c r="AF463" s="371"/>
      <c r="AG463" s="373"/>
      <c r="AH463" s="2"/>
      <c r="AI463" s="2"/>
      <c r="AJ463" s="2"/>
    </row>
    <row r="464" spans="1:36" x14ac:dyDescent="0.2">
      <c r="A464" s="306">
        <f>Crop!B497</f>
        <v>42088</v>
      </c>
      <c r="B464" s="307"/>
      <c r="C464" s="308"/>
      <c r="D464" s="304" t="str">
        <f>IF(OR($A464&lt;$A$3,$A464&gt;$A$7),"",Crop!$D497)</f>
        <v/>
      </c>
      <c r="E464" s="304" t="str">
        <f t="shared" ref="E464:E527" si="109">IF(C464="",D464,C464)</f>
        <v/>
      </c>
      <c r="F464" s="304" t="str">
        <f>IF(OR(A464&lt;A$3,A464&gt;A$7),"",Crop!U497)</f>
        <v/>
      </c>
      <c r="G464" s="304" t="str">
        <f t="shared" ref="G464:G527" si="110">IF(OR(A464&lt;A$3,A464&gt;A$7),"",E464*F464)</f>
        <v/>
      </c>
      <c r="H464" s="309" t="str">
        <f>IF(OR(A464&lt;A$3,A464&gt;A$7),"",YTD!E461)</f>
        <v/>
      </c>
      <c r="I464" s="310" t="str">
        <f t="shared" ref="I464:I527" si="111">IF(A464=A$3-1,I$13,IF(OR(A464&lt;A$3,A464&gt;A$7),"",IF(T464="A",I463+G464-K464-J464,IF(J464&gt;0,I463+G464-K464-J464,I463+G464-K464))))</f>
        <v/>
      </c>
      <c r="J464" s="311"/>
      <c r="K464" s="309" t="str">
        <f t="shared" ref="K464:K527" si="112">IF(U464="","",IF(AND(E464="",B464=""),"",IF(B464="",0,IF(B464&gt;I463+G464,I463+G464,B464))))</f>
        <v/>
      </c>
      <c r="L464" s="312" t="str">
        <f t="shared" si="100"/>
        <v/>
      </c>
      <c r="M464" s="366" t="str">
        <f t="shared" si="101"/>
        <v/>
      </c>
      <c r="N464" s="328" t="str">
        <f t="shared" si="107"/>
        <v/>
      </c>
      <c r="O464" s="313" t="str">
        <f t="shared" si="108"/>
        <v/>
      </c>
      <c r="P464" s="307"/>
      <c r="Q464" s="309">
        <f t="shared" si="102"/>
        <v>0.8</v>
      </c>
      <c r="R464" s="307"/>
      <c r="S464" s="314">
        <f t="shared" si="103"/>
        <v>10</v>
      </c>
      <c r="T464" s="304" t="str">
        <f t="shared" ref="T464:T527" si="113">IF(A464=A$3,"A",IF(A464=A$4,"B",IF(A464=A$5,"C",IF(A464=A$6,"D",IF(A464=A$7,"E","")))))</f>
        <v/>
      </c>
      <c r="U464" s="304" t="str">
        <f>IF(A464=YTD!B$6,E464,IF(OR(A464&lt;YTD!B$6,A464&gt;YTD!B$10),"",U463+E464))</f>
        <v/>
      </c>
      <c r="V464" s="304" t="str">
        <f t="shared" si="104"/>
        <v/>
      </c>
      <c r="W464" s="315" t="e">
        <f>IF(I464="",#N/A,YTD!G$8-I464)</f>
        <v>#N/A</v>
      </c>
      <c r="X464" s="368">
        <f t="shared" ref="X464:X527" si="114">IF(J464="",0,1)</f>
        <v>0</v>
      </c>
      <c r="Y464" s="368">
        <f t="shared" si="105"/>
        <v>6</v>
      </c>
      <c r="Z464" s="368" t="str">
        <f t="shared" si="106"/>
        <v/>
      </c>
      <c r="AA464" s="371"/>
      <c r="AB464" s="372"/>
      <c r="AC464" s="373"/>
      <c r="AD464" s="373"/>
      <c r="AE464" s="373"/>
      <c r="AF464" s="371"/>
      <c r="AG464" s="373"/>
      <c r="AH464" s="2"/>
      <c r="AI464" s="2"/>
      <c r="AJ464" s="2"/>
    </row>
    <row r="465" spans="1:36" x14ac:dyDescent="0.2">
      <c r="A465" s="306">
        <f>Crop!B498</f>
        <v>42089</v>
      </c>
      <c r="B465" s="307"/>
      <c r="C465" s="308"/>
      <c r="D465" s="304" t="str">
        <f>IF(OR($A465&lt;$A$3,$A465&gt;$A$7),"",Crop!$D498)</f>
        <v/>
      </c>
      <c r="E465" s="304" t="str">
        <f t="shared" si="109"/>
        <v/>
      </c>
      <c r="F465" s="304" t="str">
        <f>IF(OR(A465&lt;A$3,A465&gt;A$7),"",Crop!U498)</f>
        <v/>
      </c>
      <c r="G465" s="304" t="str">
        <f t="shared" si="110"/>
        <v/>
      </c>
      <c r="H465" s="309" t="str">
        <f>IF(OR(A465&lt;A$3,A465&gt;A$7),"",YTD!E462)</f>
        <v/>
      </c>
      <c r="I465" s="310" t="str">
        <f t="shared" si="111"/>
        <v/>
      </c>
      <c r="J465" s="311"/>
      <c r="K465" s="309" t="str">
        <f t="shared" si="112"/>
        <v/>
      </c>
      <c r="L465" s="312" t="str">
        <f t="shared" ref="L465:L528" si="115">IF(J465="","",J465/Q465)</f>
        <v/>
      </c>
      <c r="M465" s="366" t="str">
        <f t="shared" ref="M465:M528" si="116">IF(L465="","",L465/(1-$I$8))</f>
        <v/>
      </c>
      <c r="N465" s="328" t="str">
        <f t="shared" si="107"/>
        <v/>
      </c>
      <c r="O465" s="313" t="str">
        <f t="shared" si="108"/>
        <v/>
      </c>
      <c r="P465" s="307"/>
      <c r="Q465" s="309">
        <f t="shared" ref="Q465:Q528" si="117">IF(P465="",Q464,P465)</f>
        <v>0.8</v>
      </c>
      <c r="R465" s="307"/>
      <c r="S465" s="314">
        <f t="shared" ref="S465:S528" si="118">IF(R465="",S464,R465)</f>
        <v>10</v>
      </c>
      <c r="T465" s="304" t="str">
        <f t="shared" si="113"/>
        <v/>
      </c>
      <c r="U465" s="304" t="str">
        <f>IF(A465=YTD!B$6,E465,IF(OR(A465&lt;YTD!B$6,A465&gt;YTD!B$10),"",U464+E465))</f>
        <v/>
      </c>
      <c r="V465" s="304" t="str">
        <f t="shared" ref="V465:V528" si="119">IF(G465="","",IF(G464="",G465,V464+G465))</f>
        <v/>
      </c>
      <c r="W465" s="315" t="e">
        <f>IF(I465="",#N/A,YTD!G$8-I465)</f>
        <v>#N/A</v>
      </c>
      <c r="X465" s="368">
        <f t="shared" si="114"/>
        <v>0</v>
      </c>
      <c r="Y465" s="368">
        <f t="shared" si="105"/>
        <v>6</v>
      </c>
      <c r="Z465" s="368" t="str">
        <f t="shared" si="106"/>
        <v/>
      </c>
      <c r="AA465" s="371"/>
      <c r="AB465" s="372"/>
      <c r="AC465" s="373"/>
      <c r="AD465" s="373"/>
      <c r="AE465" s="373"/>
      <c r="AF465" s="371"/>
      <c r="AG465" s="373"/>
      <c r="AH465" s="2"/>
      <c r="AI465" s="2"/>
      <c r="AJ465" s="2"/>
    </row>
    <row r="466" spans="1:36" x14ac:dyDescent="0.2">
      <c r="A466" s="306">
        <f>Crop!B499</f>
        <v>42090</v>
      </c>
      <c r="B466" s="307"/>
      <c r="C466" s="308"/>
      <c r="D466" s="304" t="str">
        <f>IF(OR($A466&lt;$A$3,$A466&gt;$A$7),"",Crop!$D499)</f>
        <v/>
      </c>
      <c r="E466" s="304" t="str">
        <f t="shared" si="109"/>
        <v/>
      </c>
      <c r="F466" s="304" t="str">
        <f>IF(OR(A466&lt;A$3,A466&gt;A$7),"",Crop!U499)</f>
        <v/>
      </c>
      <c r="G466" s="304" t="str">
        <f t="shared" si="110"/>
        <v/>
      </c>
      <c r="H466" s="309" t="str">
        <f>IF(OR(A466&lt;A$3,A466&gt;A$7),"",YTD!E463)</f>
        <v/>
      </c>
      <c r="I466" s="310" t="str">
        <f t="shared" si="111"/>
        <v/>
      </c>
      <c r="J466" s="311"/>
      <c r="K466" s="309" t="str">
        <f t="shared" si="112"/>
        <v/>
      </c>
      <c r="L466" s="312" t="str">
        <f t="shared" si="115"/>
        <v/>
      </c>
      <c r="M466" s="366" t="str">
        <f t="shared" si="116"/>
        <v/>
      </c>
      <c r="N466" s="328" t="str">
        <f t="shared" si="107"/>
        <v/>
      </c>
      <c r="O466" s="313" t="str">
        <f t="shared" si="108"/>
        <v/>
      </c>
      <c r="P466" s="307"/>
      <c r="Q466" s="309">
        <f t="shared" si="117"/>
        <v>0.8</v>
      </c>
      <c r="R466" s="307"/>
      <c r="S466" s="314">
        <f t="shared" si="118"/>
        <v>10</v>
      </c>
      <c r="T466" s="304" t="str">
        <f t="shared" si="113"/>
        <v/>
      </c>
      <c r="U466" s="304" t="str">
        <f>IF(A466=YTD!B$6,E466,IF(OR(A466&lt;YTD!B$6,A466&gt;YTD!B$10),"",U465+E466))</f>
        <v/>
      </c>
      <c r="V466" s="304" t="str">
        <f t="shared" si="119"/>
        <v/>
      </c>
      <c r="W466" s="315" t="e">
        <f>IF(I466="",#N/A,YTD!G$8-I466)</f>
        <v>#N/A</v>
      </c>
      <c r="X466" s="368">
        <f t="shared" si="114"/>
        <v>0</v>
      </c>
      <c r="Y466" s="368">
        <f t="shared" ref="Y466:Y529" si="120">Y465+X466</f>
        <v>6</v>
      </c>
      <c r="Z466" s="368" t="str">
        <f t="shared" si="106"/>
        <v/>
      </c>
      <c r="AA466" s="371"/>
      <c r="AB466" s="372"/>
      <c r="AC466" s="373"/>
      <c r="AD466" s="373"/>
      <c r="AE466" s="373"/>
      <c r="AF466" s="371"/>
      <c r="AG466" s="373"/>
      <c r="AH466" s="2"/>
      <c r="AI466" s="2"/>
      <c r="AJ466" s="2"/>
    </row>
    <row r="467" spans="1:36" x14ac:dyDescent="0.2">
      <c r="A467" s="306">
        <f>Crop!B500</f>
        <v>42091</v>
      </c>
      <c r="B467" s="307"/>
      <c r="C467" s="308"/>
      <c r="D467" s="304" t="str">
        <f>IF(OR($A467&lt;$A$3,$A467&gt;$A$7),"",Crop!$D500)</f>
        <v/>
      </c>
      <c r="E467" s="304" t="str">
        <f t="shared" si="109"/>
        <v/>
      </c>
      <c r="F467" s="304" t="str">
        <f>IF(OR(A467&lt;A$3,A467&gt;A$7),"",Crop!U500)</f>
        <v/>
      </c>
      <c r="G467" s="304" t="str">
        <f t="shared" si="110"/>
        <v/>
      </c>
      <c r="H467" s="309" t="str">
        <f>IF(OR(A467&lt;A$3,A467&gt;A$7),"",YTD!E464)</f>
        <v/>
      </c>
      <c r="I467" s="310" t="str">
        <f t="shared" si="111"/>
        <v/>
      </c>
      <c r="J467" s="311"/>
      <c r="K467" s="309" t="str">
        <f t="shared" si="112"/>
        <v/>
      </c>
      <c r="L467" s="312" t="str">
        <f t="shared" si="115"/>
        <v/>
      </c>
      <c r="M467" s="366" t="str">
        <f t="shared" si="116"/>
        <v/>
      </c>
      <c r="N467" s="328" t="str">
        <f t="shared" si="107"/>
        <v/>
      </c>
      <c r="O467" s="313" t="str">
        <f t="shared" si="108"/>
        <v/>
      </c>
      <c r="P467" s="307"/>
      <c r="Q467" s="309">
        <f t="shared" si="117"/>
        <v>0.8</v>
      </c>
      <c r="R467" s="307"/>
      <c r="S467" s="314">
        <f t="shared" si="118"/>
        <v>10</v>
      </c>
      <c r="T467" s="304" t="str">
        <f t="shared" si="113"/>
        <v/>
      </c>
      <c r="U467" s="304" t="str">
        <f>IF(A467=YTD!B$6,E467,IF(OR(A467&lt;YTD!B$6,A467&gt;YTD!B$10),"",U466+E467))</f>
        <v/>
      </c>
      <c r="V467" s="304" t="str">
        <f t="shared" si="119"/>
        <v/>
      </c>
      <c r="W467" s="315" t="e">
        <f>IF(I467="",#N/A,YTD!G$8-I467)</f>
        <v>#N/A</v>
      </c>
      <c r="X467" s="368">
        <f t="shared" si="114"/>
        <v>0</v>
      </c>
      <c r="Y467" s="368">
        <f t="shared" si="120"/>
        <v>6</v>
      </c>
      <c r="Z467" s="368" t="str">
        <f t="shared" si="106"/>
        <v/>
      </c>
      <c r="AA467" s="371"/>
      <c r="AB467" s="372"/>
      <c r="AC467" s="373"/>
      <c r="AD467" s="373"/>
      <c r="AE467" s="373"/>
      <c r="AF467" s="371"/>
      <c r="AG467" s="373"/>
      <c r="AH467" s="2"/>
      <c r="AI467" s="2"/>
      <c r="AJ467" s="2"/>
    </row>
    <row r="468" spans="1:36" x14ac:dyDescent="0.2">
      <c r="A468" s="306">
        <f>Crop!B501</f>
        <v>42092</v>
      </c>
      <c r="B468" s="307"/>
      <c r="C468" s="308"/>
      <c r="D468" s="304" t="str">
        <f>IF(OR($A468&lt;$A$3,$A468&gt;$A$7),"",Crop!$D501)</f>
        <v/>
      </c>
      <c r="E468" s="304" t="str">
        <f t="shared" si="109"/>
        <v/>
      </c>
      <c r="F468" s="304" t="str">
        <f>IF(OR(A468&lt;A$3,A468&gt;A$7),"",Crop!U501)</f>
        <v/>
      </c>
      <c r="G468" s="304" t="str">
        <f t="shared" si="110"/>
        <v/>
      </c>
      <c r="H468" s="309" t="str">
        <f>IF(OR(A468&lt;A$3,A468&gt;A$7),"",YTD!E465)</f>
        <v/>
      </c>
      <c r="I468" s="310" t="str">
        <f t="shared" si="111"/>
        <v/>
      </c>
      <c r="J468" s="311"/>
      <c r="K468" s="309" t="str">
        <f t="shared" si="112"/>
        <v/>
      </c>
      <c r="L468" s="312" t="str">
        <f t="shared" si="115"/>
        <v/>
      </c>
      <c r="M468" s="366" t="str">
        <f t="shared" si="116"/>
        <v/>
      </c>
      <c r="N468" s="328" t="str">
        <f t="shared" si="107"/>
        <v/>
      </c>
      <c r="O468" s="313" t="str">
        <f t="shared" si="108"/>
        <v/>
      </c>
      <c r="P468" s="307"/>
      <c r="Q468" s="309">
        <f t="shared" si="117"/>
        <v>0.8</v>
      </c>
      <c r="R468" s="307"/>
      <c r="S468" s="314">
        <f t="shared" si="118"/>
        <v>10</v>
      </c>
      <c r="T468" s="304" t="str">
        <f t="shared" si="113"/>
        <v/>
      </c>
      <c r="U468" s="304" t="str">
        <f>IF(A468=YTD!B$6,E468,IF(OR(A468&lt;YTD!B$6,A468&gt;YTD!B$10),"",U467+E468))</f>
        <v/>
      </c>
      <c r="V468" s="304" t="str">
        <f t="shared" si="119"/>
        <v/>
      </c>
      <c r="W468" s="315" t="e">
        <f>IF(I468="",#N/A,YTD!G$8-I468)</f>
        <v>#N/A</v>
      </c>
      <c r="X468" s="368">
        <f t="shared" si="114"/>
        <v>0</v>
      </c>
      <c r="Y468" s="368">
        <f t="shared" si="120"/>
        <v>6</v>
      </c>
      <c r="Z468" s="368" t="str">
        <f t="shared" si="106"/>
        <v/>
      </c>
      <c r="AA468" s="371"/>
      <c r="AB468" s="372"/>
      <c r="AC468" s="373"/>
      <c r="AD468" s="373"/>
      <c r="AE468" s="373"/>
      <c r="AF468" s="371"/>
      <c r="AG468" s="373"/>
      <c r="AH468" s="2"/>
      <c r="AI468" s="2"/>
      <c r="AJ468" s="2"/>
    </row>
    <row r="469" spans="1:36" x14ac:dyDescent="0.2">
      <c r="A469" s="306">
        <f>Crop!B502</f>
        <v>42093</v>
      </c>
      <c r="B469" s="307"/>
      <c r="C469" s="308"/>
      <c r="D469" s="304" t="str">
        <f>IF(OR($A469&lt;$A$3,$A469&gt;$A$7),"",Crop!$D502)</f>
        <v/>
      </c>
      <c r="E469" s="304" t="str">
        <f t="shared" si="109"/>
        <v/>
      </c>
      <c r="F469" s="304" t="str">
        <f>IF(OR(A469&lt;A$3,A469&gt;A$7),"",Crop!U502)</f>
        <v/>
      </c>
      <c r="G469" s="304" t="str">
        <f t="shared" si="110"/>
        <v/>
      </c>
      <c r="H469" s="309" t="str">
        <f>IF(OR(A469&lt;A$3,A469&gt;A$7),"",YTD!E466)</f>
        <v/>
      </c>
      <c r="I469" s="310" t="str">
        <f t="shared" si="111"/>
        <v/>
      </c>
      <c r="J469" s="311"/>
      <c r="K469" s="309" t="str">
        <f t="shared" si="112"/>
        <v/>
      </c>
      <c r="L469" s="312" t="str">
        <f t="shared" si="115"/>
        <v/>
      </c>
      <c r="M469" s="366" t="str">
        <f t="shared" si="116"/>
        <v/>
      </c>
      <c r="N469" s="328" t="str">
        <f t="shared" si="107"/>
        <v/>
      </c>
      <c r="O469" s="313" t="str">
        <f t="shared" si="108"/>
        <v/>
      </c>
      <c r="P469" s="307"/>
      <c r="Q469" s="309">
        <f t="shared" si="117"/>
        <v>0.8</v>
      </c>
      <c r="R469" s="307"/>
      <c r="S469" s="314">
        <f t="shared" si="118"/>
        <v>10</v>
      </c>
      <c r="T469" s="304" t="str">
        <f t="shared" si="113"/>
        <v/>
      </c>
      <c r="U469" s="304" t="str">
        <f>IF(A469=YTD!B$6,E469,IF(OR(A469&lt;YTD!B$6,A469&gt;YTD!B$10),"",U468+E469))</f>
        <v/>
      </c>
      <c r="V469" s="304" t="str">
        <f t="shared" si="119"/>
        <v/>
      </c>
      <c r="W469" s="315" t="e">
        <f>IF(I469="",#N/A,YTD!G$8-I469)</f>
        <v>#N/A</v>
      </c>
      <c r="X469" s="368">
        <f t="shared" si="114"/>
        <v>0</v>
      </c>
      <c r="Y469" s="368">
        <f t="shared" si="120"/>
        <v>6</v>
      </c>
      <c r="Z469" s="368" t="str">
        <f t="shared" si="106"/>
        <v/>
      </c>
      <c r="AA469" s="371"/>
      <c r="AB469" s="372"/>
      <c r="AC469" s="373"/>
      <c r="AD469" s="373"/>
      <c r="AE469" s="373"/>
      <c r="AF469" s="371"/>
      <c r="AG469" s="373"/>
      <c r="AH469" s="2"/>
      <c r="AI469" s="2"/>
      <c r="AJ469" s="2"/>
    </row>
    <row r="470" spans="1:36" x14ac:dyDescent="0.2">
      <c r="A470" s="306">
        <f>Crop!B503</f>
        <v>42094</v>
      </c>
      <c r="B470" s="307"/>
      <c r="C470" s="308"/>
      <c r="D470" s="304" t="str">
        <f>IF(OR($A470&lt;$A$3,$A470&gt;$A$7),"",Crop!$D503)</f>
        <v/>
      </c>
      <c r="E470" s="304" t="str">
        <f t="shared" si="109"/>
        <v/>
      </c>
      <c r="F470" s="304" t="str">
        <f>IF(OR(A470&lt;A$3,A470&gt;A$7),"",Crop!U503)</f>
        <v/>
      </c>
      <c r="G470" s="304" t="str">
        <f t="shared" si="110"/>
        <v/>
      </c>
      <c r="H470" s="309" t="str">
        <f>IF(OR(A470&lt;A$3,A470&gt;A$7),"",YTD!E467)</f>
        <v/>
      </c>
      <c r="I470" s="310" t="str">
        <f t="shared" si="111"/>
        <v/>
      </c>
      <c r="J470" s="311"/>
      <c r="K470" s="309" t="str">
        <f t="shared" si="112"/>
        <v/>
      </c>
      <c r="L470" s="312" t="str">
        <f t="shared" si="115"/>
        <v/>
      </c>
      <c r="M470" s="366" t="str">
        <f t="shared" si="116"/>
        <v/>
      </c>
      <c r="N470" s="328" t="str">
        <f t="shared" si="107"/>
        <v/>
      </c>
      <c r="O470" s="313" t="str">
        <f t="shared" si="108"/>
        <v/>
      </c>
      <c r="P470" s="307"/>
      <c r="Q470" s="309">
        <f t="shared" si="117"/>
        <v>0.8</v>
      </c>
      <c r="R470" s="307"/>
      <c r="S470" s="314">
        <f t="shared" si="118"/>
        <v>10</v>
      </c>
      <c r="T470" s="304" t="str">
        <f t="shared" si="113"/>
        <v/>
      </c>
      <c r="U470" s="304" t="str">
        <f>IF(A470=YTD!B$6,E470,IF(OR(A470&lt;YTD!B$6,A470&gt;YTD!B$10),"",U469+E470))</f>
        <v/>
      </c>
      <c r="V470" s="304" t="str">
        <f t="shared" si="119"/>
        <v/>
      </c>
      <c r="W470" s="315" t="e">
        <f>IF(I470="",#N/A,YTD!G$8-I470)</f>
        <v>#N/A</v>
      </c>
      <c r="X470" s="368">
        <f t="shared" si="114"/>
        <v>0</v>
      </c>
      <c r="Y470" s="368">
        <f t="shared" si="120"/>
        <v>6</v>
      </c>
      <c r="Z470" s="368" t="str">
        <f t="shared" si="106"/>
        <v/>
      </c>
      <c r="AA470" s="371"/>
      <c r="AB470" s="372"/>
      <c r="AC470" s="373"/>
      <c r="AD470" s="373"/>
      <c r="AE470" s="373"/>
      <c r="AF470" s="371"/>
      <c r="AG470" s="373"/>
      <c r="AH470" s="2"/>
      <c r="AI470" s="2"/>
      <c r="AJ470" s="2"/>
    </row>
    <row r="471" spans="1:36" x14ac:dyDescent="0.2">
      <c r="A471" s="306">
        <f>Crop!B504</f>
        <v>42095</v>
      </c>
      <c r="B471" s="307"/>
      <c r="C471" s="308"/>
      <c r="D471" s="304" t="str">
        <f>IF(OR($A471&lt;$A$3,$A471&gt;$A$7),"",Crop!$D504)</f>
        <v/>
      </c>
      <c r="E471" s="304" t="str">
        <f t="shared" si="109"/>
        <v/>
      </c>
      <c r="F471" s="304" t="str">
        <f>IF(OR(A471&lt;A$3,A471&gt;A$7),"",Crop!U504)</f>
        <v/>
      </c>
      <c r="G471" s="304" t="str">
        <f t="shared" si="110"/>
        <v/>
      </c>
      <c r="H471" s="309" t="str">
        <f>IF(OR(A471&lt;A$3,A471&gt;A$7),"",YTD!E468)</f>
        <v/>
      </c>
      <c r="I471" s="310" t="str">
        <f t="shared" si="111"/>
        <v/>
      </c>
      <c r="J471" s="311"/>
      <c r="K471" s="309" t="str">
        <f t="shared" si="112"/>
        <v/>
      </c>
      <c r="L471" s="312" t="str">
        <f t="shared" si="115"/>
        <v/>
      </c>
      <c r="M471" s="366" t="str">
        <f t="shared" si="116"/>
        <v/>
      </c>
      <c r="N471" s="328" t="str">
        <f t="shared" si="107"/>
        <v/>
      </c>
      <c r="O471" s="313" t="str">
        <f t="shared" si="108"/>
        <v/>
      </c>
      <c r="P471" s="307"/>
      <c r="Q471" s="309">
        <f t="shared" si="117"/>
        <v>0.8</v>
      </c>
      <c r="R471" s="307"/>
      <c r="S471" s="314">
        <f t="shared" si="118"/>
        <v>10</v>
      </c>
      <c r="T471" s="304" t="str">
        <f t="shared" si="113"/>
        <v/>
      </c>
      <c r="U471" s="304" t="str">
        <f>IF(A471=YTD!B$6,E471,IF(OR(A471&lt;YTD!B$6,A471&gt;YTD!B$10),"",U470+E471))</f>
        <v/>
      </c>
      <c r="V471" s="304" t="str">
        <f t="shared" si="119"/>
        <v/>
      </c>
      <c r="W471" s="315" t="e">
        <f>IF(I471="",#N/A,YTD!G$8-I471)</f>
        <v>#N/A</v>
      </c>
      <c r="X471" s="368">
        <f t="shared" si="114"/>
        <v>0</v>
      </c>
      <c r="Y471" s="368">
        <f t="shared" si="120"/>
        <v>6</v>
      </c>
      <c r="Z471" s="368" t="str">
        <f t="shared" si="106"/>
        <v/>
      </c>
      <c r="AA471" s="371"/>
      <c r="AB471" s="372"/>
      <c r="AC471" s="373"/>
      <c r="AD471" s="373"/>
      <c r="AE471" s="373"/>
      <c r="AF471" s="371"/>
      <c r="AG471" s="373"/>
      <c r="AH471" s="2"/>
      <c r="AI471" s="2"/>
      <c r="AJ471" s="2"/>
    </row>
    <row r="472" spans="1:36" x14ac:dyDescent="0.2">
      <c r="A472" s="306">
        <f>Crop!B505</f>
        <v>42096</v>
      </c>
      <c r="B472" s="307"/>
      <c r="C472" s="308"/>
      <c r="D472" s="304" t="str">
        <f>IF(OR($A472&lt;$A$3,$A472&gt;$A$7),"",Crop!$D505)</f>
        <v/>
      </c>
      <c r="E472" s="304" t="str">
        <f t="shared" si="109"/>
        <v/>
      </c>
      <c r="F472" s="304" t="str">
        <f>IF(OR(A472&lt;A$3,A472&gt;A$7),"",Crop!U505)</f>
        <v/>
      </c>
      <c r="G472" s="304" t="str">
        <f t="shared" si="110"/>
        <v/>
      </c>
      <c r="H472" s="309" t="str">
        <f>IF(OR(A472&lt;A$3,A472&gt;A$7),"",YTD!E469)</f>
        <v/>
      </c>
      <c r="I472" s="310" t="str">
        <f t="shared" si="111"/>
        <v/>
      </c>
      <c r="J472" s="311"/>
      <c r="K472" s="309" t="str">
        <f t="shared" si="112"/>
        <v/>
      </c>
      <c r="L472" s="312" t="str">
        <f t="shared" si="115"/>
        <v/>
      </c>
      <c r="M472" s="366" t="str">
        <f t="shared" si="116"/>
        <v/>
      </c>
      <c r="N472" s="328" t="str">
        <f t="shared" si="107"/>
        <v/>
      </c>
      <c r="O472" s="313" t="str">
        <f t="shared" si="108"/>
        <v/>
      </c>
      <c r="P472" s="307"/>
      <c r="Q472" s="309">
        <f t="shared" si="117"/>
        <v>0.8</v>
      </c>
      <c r="R472" s="307"/>
      <c r="S472" s="314">
        <f t="shared" si="118"/>
        <v>10</v>
      </c>
      <c r="T472" s="304" t="str">
        <f t="shared" si="113"/>
        <v/>
      </c>
      <c r="U472" s="304" t="str">
        <f>IF(A472=YTD!B$6,E472,IF(OR(A472&lt;YTD!B$6,A472&gt;YTD!B$10),"",U471+E472))</f>
        <v/>
      </c>
      <c r="V472" s="304" t="str">
        <f t="shared" si="119"/>
        <v/>
      </c>
      <c r="W472" s="315" t="e">
        <f>IF(I472="",#N/A,YTD!G$8-I472)</f>
        <v>#N/A</v>
      </c>
      <c r="X472" s="368">
        <f t="shared" si="114"/>
        <v>0</v>
      </c>
      <c r="Y472" s="368">
        <f t="shared" si="120"/>
        <v>6</v>
      </c>
      <c r="Z472" s="368" t="str">
        <f t="shared" si="106"/>
        <v/>
      </c>
      <c r="AA472" s="371"/>
      <c r="AB472" s="372"/>
      <c r="AC472" s="373"/>
      <c r="AD472" s="373"/>
      <c r="AE472" s="373"/>
      <c r="AF472" s="371"/>
      <c r="AG472" s="373"/>
      <c r="AH472" s="2"/>
      <c r="AI472" s="2"/>
      <c r="AJ472" s="2"/>
    </row>
    <row r="473" spans="1:36" x14ac:dyDescent="0.2">
      <c r="A473" s="306">
        <f>Crop!B506</f>
        <v>42097</v>
      </c>
      <c r="B473" s="307"/>
      <c r="C473" s="308"/>
      <c r="D473" s="304" t="str">
        <f>IF(OR($A473&lt;$A$3,$A473&gt;$A$7),"",Crop!$D506)</f>
        <v/>
      </c>
      <c r="E473" s="304" t="str">
        <f t="shared" si="109"/>
        <v/>
      </c>
      <c r="F473" s="304" t="str">
        <f>IF(OR(A473&lt;A$3,A473&gt;A$7),"",Crop!U506)</f>
        <v/>
      </c>
      <c r="G473" s="304" t="str">
        <f t="shared" si="110"/>
        <v/>
      </c>
      <c r="H473" s="309" t="str">
        <f>IF(OR(A473&lt;A$3,A473&gt;A$7),"",YTD!E470)</f>
        <v/>
      </c>
      <c r="I473" s="310" t="str">
        <f t="shared" si="111"/>
        <v/>
      </c>
      <c r="J473" s="311"/>
      <c r="K473" s="309" t="str">
        <f t="shared" si="112"/>
        <v/>
      </c>
      <c r="L473" s="312" t="str">
        <f t="shared" si="115"/>
        <v/>
      </c>
      <c r="M473" s="366" t="str">
        <f t="shared" si="116"/>
        <v/>
      </c>
      <c r="N473" s="328" t="str">
        <f t="shared" si="107"/>
        <v/>
      </c>
      <c r="O473" s="313" t="str">
        <f t="shared" si="108"/>
        <v/>
      </c>
      <c r="P473" s="307"/>
      <c r="Q473" s="309">
        <f t="shared" si="117"/>
        <v>0.8</v>
      </c>
      <c r="R473" s="307"/>
      <c r="S473" s="314">
        <f t="shared" si="118"/>
        <v>10</v>
      </c>
      <c r="T473" s="304" t="str">
        <f t="shared" si="113"/>
        <v/>
      </c>
      <c r="U473" s="304" t="str">
        <f>IF(A473=YTD!B$6,E473,IF(OR(A473&lt;YTD!B$6,A473&gt;YTD!B$10),"",U472+E473))</f>
        <v/>
      </c>
      <c r="V473" s="304" t="str">
        <f t="shared" si="119"/>
        <v/>
      </c>
      <c r="W473" s="315" t="e">
        <f>IF(I473="",#N/A,YTD!G$8-I473)</f>
        <v>#N/A</v>
      </c>
      <c r="X473" s="368">
        <f t="shared" si="114"/>
        <v>0</v>
      </c>
      <c r="Y473" s="368">
        <f t="shared" si="120"/>
        <v>6</v>
      </c>
      <c r="Z473" s="368" t="str">
        <f t="shared" si="106"/>
        <v/>
      </c>
      <c r="AA473" s="371"/>
      <c r="AB473" s="372"/>
      <c r="AC473" s="373"/>
      <c r="AD473" s="373"/>
      <c r="AE473" s="373"/>
      <c r="AF473" s="371"/>
      <c r="AG473" s="373"/>
      <c r="AH473" s="2"/>
      <c r="AI473" s="2"/>
      <c r="AJ473" s="2"/>
    </row>
    <row r="474" spans="1:36" x14ac:dyDescent="0.2">
      <c r="A474" s="306">
        <f>Crop!B507</f>
        <v>42098</v>
      </c>
      <c r="B474" s="307"/>
      <c r="C474" s="308"/>
      <c r="D474" s="304" t="str">
        <f>IF(OR($A474&lt;$A$3,$A474&gt;$A$7),"",Crop!$D507)</f>
        <v/>
      </c>
      <c r="E474" s="304" t="str">
        <f t="shared" si="109"/>
        <v/>
      </c>
      <c r="F474" s="304" t="str">
        <f>IF(OR(A474&lt;A$3,A474&gt;A$7),"",Crop!U507)</f>
        <v/>
      </c>
      <c r="G474" s="304" t="str">
        <f t="shared" si="110"/>
        <v/>
      </c>
      <c r="H474" s="309" t="str">
        <f>IF(OR(A474&lt;A$3,A474&gt;A$7),"",YTD!E471)</f>
        <v/>
      </c>
      <c r="I474" s="310" t="str">
        <f t="shared" si="111"/>
        <v/>
      </c>
      <c r="J474" s="311"/>
      <c r="K474" s="309" t="str">
        <f t="shared" si="112"/>
        <v/>
      </c>
      <c r="L474" s="312" t="str">
        <f t="shared" si="115"/>
        <v/>
      </c>
      <c r="M474" s="366" t="str">
        <f t="shared" si="116"/>
        <v/>
      </c>
      <c r="N474" s="328" t="str">
        <f t="shared" si="107"/>
        <v/>
      </c>
      <c r="O474" s="313" t="str">
        <f t="shared" si="108"/>
        <v/>
      </c>
      <c r="P474" s="307"/>
      <c r="Q474" s="309">
        <f t="shared" si="117"/>
        <v>0.8</v>
      </c>
      <c r="R474" s="307"/>
      <c r="S474" s="314">
        <f t="shared" si="118"/>
        <v>10</v>
      </c>
      <c r="T474" s="304" t="str">
        <f t="shared" si="113"/>
        <v/>
      </c>
      <c r="U474" s="304" t="str">
        <f>IF(A474=YTD!B$6,E474,IF(OR(A474&lt;YTD!B$6,A474&gt;YTD!B$10),"",U473+E474))</f>
        <v/>
      </c>
      <c r="V474" s="304" t="str">
        <f t="shared" si="119"/>
        <v/>
      </c>
      <c r="W474" s="315" t="e">
        <f>IF(I474="",#N/A,YTD!G$8-I474)</f>
        <v>#N/A</v>
      </c>
      <c r="X474" s="368">
        <f t="shared" si="114"/>
        <v>0</v>
      </c>
      <c r="Y474" s="368">
        <f t="shared" si="120"/>
        <v>6</v>
      </c>
      <c r="Z474" s="368" t="str">
        <f t="shared" si="106"/>
        <v/>
      </c>
      <c r="AA474" s="371"/>
      <c r="AB474" s="372"/>
      <c r="AC474" s="373"/>
      <c r="AD474" s="373"/>
      <c r="AE474" s="373"/>
      <c r="AF474" s="371"/>
      <c r="AG474" s="373"/>
      <c r="AH474" s="2"/>
      <c r="AI474" s="2"/>
      <c r="AJ474" s="2"/>
    </row>
    <row r="475" spans="1:36" x14ac:dyDescent="0.2">
      <c r="A475" s="306">
        <f>Crop!B508</f>
        <v>42099</v>
      </c>
      <c r="B475" s="307"/>
      <c r="C475" s="308"/>
      <c r="D475" s="304" t="str">
        <f>IF(OR($A475&lt;$A$3,$A475&gt;$A$7),"",Crop!$D508)</f>
        <v/>
      </c>
      <c r="E475" s="304" t="str">
        <f t="shared" si="109"/>
        <v/>
      </c>
      <c r="F475" s="304" t="str">
        <f>IF(OR(A475&lt;A$3,A475&gt;A$7),"",Crop!U508)</f>
        <v/>
      </c>
      <c r="G475" s="304" t="str">
        <f t="shared" si="110"/>
        <v/>
      </c>
      <c r="H475" s="309" t="str">
        <f>IF(OR(A475&lt;A$3,A475&gt;A$7),"",YTD!E472)</f>
        <v/>
      </c>
      <c r="I475" s="310" t="str">
        <f t="shared" si="111"/>
        <v/>
      </c>
      <c r="J475" s="311"/>
      <c r="K475" s="309" t="str">
        <f t="shared" si="112"/>
        <v/>
      </c>
      <c r="L475" s="312" t="str">
        <f t="shared" si="115"/>
        <v/>
      </c>
      <c r="M475" s="366" t="str">
        <f t="shared" si="116"/>
        <v/>
      </c>
      <c r="N475" s="328" t="str">
        <f t="shared" si="107"/>
        <v/>
      </c>
      <c r="O475" s="313" t="str">
        <f t="shared" si="108"/>
        <v/>
      </c>
      <c r="P475" s="307"/>
      <c r="Q475" s="309">
        <f t="shared" si="117"/>
        <v>0.8</v>
      </c>
      <c r="R475" s="307"/>
      <c r="S475" s="314">
        <f t="shared" si="118"/>
        <v>10</v>
      </c>
      <c r="T475" s="304" t="str">
        <f t="shared" si="113"/>
        <v/>
      </c>
      <c r="U475" s="304" t="str">
        <f>IF(A475=YTD!B$6,E475,IF(OR(A475&lt;YTD!B$6,A475&gt;YTD!B$10),"",U474+E475))</f>
        <v/>
      </c>
      <c r="V475" s="304" t="str">
        <f t="shared" si="119"/>
        <v/>
      </c>
      <c r="W475" s="315" t="e">
        <f>IF(I475="",#N/A,YTD!G$8-I475)</f>
        <v>#N/A</v>
      </c>
      <c r="X475" s="368">
        <f t="shared" si="114"/>
        <v>0</v>
      </c>
      <c r="Y475" s="368">
        <f t="shared" si="120"/>
        <v>6</v>
      </c>
      <c r="Z475" s="368" t="str">
        <f t="shared" si="106"/>
        <v/>
      </c>
      <c r="AA475" s="371"/>
      <c r="AB475" s="372"/>
      <c r="AC475" s="373"/>
      <c r="AD475" s="373"/>
      <c r="AE475" s="373"/>
      <c r="AF475" s="371"/>
      <c r="AG475" s="373"/>
      <c r="AH475" s="2"/>
      <c r="AI475" s="2"/>
      <c r="AJ475" s="2"/>
    </row>
    <row r="476" spans="1:36" x14ac:dyDescent="0.2">
      <c r="A476" s="306">
        <f>Crop!B509</f>
        <v>42100</v>
      </c>
      <c r="B476" s="307"/>
      <c r="C476" s="308"/>
      <c r="D476" s="304" t="str">
        <f>IF(OR($A476&lt;$A$3,$A476&gt;$A$7),"",Crop!$D509)</f>
        <v/>
      </c>
      <c r="E476" s="304" t="str">
        <f t="shared" si="109"/>
        <v/>
      </c>
      <c r="F476" s="304" t="str">
        <f>IF(OR(A476&lt;A$3,A476&gt;A$7),"",Crop!U509)</f>
        <v/>
      </c>
      <c r="G476" s="304" t="str">
        <f t="shared" si="110"/>
        <v/>
      </c>
      <c r="H476" s="309" t="str">
        <f>IF(OR(A476&lt;A$3,A476&gt;A$7),"",YTD!E473)</f>
        <v/>
      </c>
      <c r="I476" s="310" t="str">
        <f t="shared" si="111"/>
        <v/>
      </c>
      <c r="J476" s="311"/>
      <c r="K476" s="309" t="str">
        <f t="shared" si="112"/>
        <v/>
      </c>
      <c r="L476" s="312" t="str">
        <f t="shared" si="115"/>
        <v/>
      </c>
      <c r="M476" s="366" t="str">
        <f t="shared" si="116"/>
        <v/>
      </c>
      <c r="N476" s="328" t="str">
        <f t="shared" si="107"/>
        <v/>
      </c>
      <c r="O476" s="313" t="str">
        <f t="shared" si="108"/>
        <v/>
      </c>
      <c r="P476" s="307"/>
      <c r="Q476" s="309">
        <f t="shared" si="117"/>
        <v>0.8</v>
      </c>
      <c r="R476" s="307"/>
      <c r="S476" s="314">
        <f t="shared" si="118"/>
        <v>10</v>
      </c>
      <c r="T476" s="304" t="str">
        <f t="shared" si="113"/>
        <v/>
      </c>
      <c r="U476" s="304" t="str">
        <f>IF(A476=YTD!B$6,E476,IF(OR(A476&lt;YTD!B$6,A476&gt;YTD!B$10),"",U475+E476))</f>
        <v/>
      </c>
      <c r="V476" s="304" t="str">
        <f t="shared" si="119"/>
        <v/>
      </c>
      <c r="W476" s="315" t="e">
        <f>IF(I476="",#N/A,YTD!G$8-I476)</f>
        <v>#N/A</v>
      </c>
      <c r="X476" s="368">
        <f t="shared" si="114"/>
        <v>0</v>
      </c>
      <c r="Y476" s="368">
        <f t="shared" si="120"/>
        <v>6</v>
      </c>
      <c r="Z476" s="368" t="str">
        <f t="shared" si="106"/>
        <v/>
      </c>
      <c r="AA476" s="371"/>
      <c r="AB476" s="372"/>
      <c r="AC476" s="373"/>
      <c r="AD476" s="373"/>
      <c r="AE476" s="373"/>
      <c r="AF476" s="371"/>
      <c r="AG476" s="373"/>
      <c r="AH476" s="2"/>
      <c r="AI476" s="2"/>
      <c r="AJ476" s="2"/>
    </row>
    <row r="477" spans="1:36" x14ac:dyDescent="0.2">
      <c r="A477" s="306">
        <f>Crop!B510</f>
        <v>42101</v>
      </c>
      <c r="B477" s="307"/>
      <c r="C477" s="308"/>
      <c r="D477" s="304" t="str">
        <f>IF(OR($A477&lt;$A$3,$A477&gt;$A$7),"",Crop!$D510)</f>
        <v/>
      </c>
      <c r="E477" s="304" t="str">
        <f t="shared" si="109"/>
        <v/>
      </c>
      <c r="F477" s="304" t="str">
        <f>IF(OR(A477&lt;A$3,A477&gt;A$7),"",Crop!U510)</f>
        <v/>
      </c>
      <c r="G477" s="304" t="str">
        <f t="shared" si="110"/>
        <v/>
      </c>
      <c r="H477" s="309" t="str">
        <f>IF(OR(A477&lt;A$3,A477&gt;A$7),"",YTD!E474)</f>
        <v/>
      </c>
      <c r="I477" s="310" t="str">
        <f t="shared" si="111"/>
        <v/>
      </c>
      <c r="J477" s="311"/>
      <c r="K477" s="309" t="str">
        <f t="shared" si="112"/>
        <v/>
      </c>
      <c r="L477" s="312" t="str">
        <f t="shared" si="115"/>
        <v/>
      </c>
      <c r="M477" s="366" t="str">
        <f t="shared" si="116"/>
        <v/>
      </c>
      <c r="N477" s="328" t="str">
        <f t="shared" si="107"/>
        <v/>
      </c>
      <c r="O477" s="313" t="str">
        <f t="shared" si="108"/>
        <v/>
      </c>
      <c r="P477" s="307"/>
      <c r="Q477" s="309">
        <f t="shared" si="117"/>
        <v>0.8</v>
      </c>
      <c r="R477" s="307"/>
      <c r="S477" s="314">
        <f t="shared" si="118"/>
        <v>10</v>
      </c>
      <c r="T477" s="304" t="str">
        <f t="shared" si="113"/>
        <v/>
      </c>
      <c r="U477" s="304" t="str">
        <f>IF(A477=YTD!B$6,E477,IF(OR(A477&lt;YTD!B$6,A477&gt;YTD!B$10),"",U476+E477))</f>
        <v/>
      </c>
      <c r="V477" s="304" t="str">
        <f t="shared" si="119"/>
        <v/>
      </c>
      <c r="W477" s="315" t="e">
        <f>IF(I477="",#N/A,YTD!G$8-I477)</f>
        <v>#N/A</v>
      </c>
      <c r="X477" s="368">
        <f t="shared" si="114"/>
        <v>0</v>
      </c>
      <c r="Y477" s="368">
        <f t="shared" si="120"/>
        <v>6</v>
      </c>
      <c r="Z477" s="368" t="str">
        <f t="shared" si="106"/>
        <v/>
      </c>
      <c r="AA477" s="371"/>
      <c r="AB477" s="372"/>
      <c r="AC477" s="373"/>
      <c r="AD477" s="373"/>
      <c r="AE477" s="373"/>
      <c r="AF477" s="371"/>
      <c r="AG477" s="373"/>
      <c r="AH477" s="2"/>
      <c r="AI477" s="2"/>
      <c r="AJ477" s="2"/>
    </row>
    <row r="478" spans="1:36" x14ac:dyDescent="0.2">
      <c r="A478" s="306">
        <f>Crop!B511</f>
        <v>42102</v>
      </c>
      <c r="B478" s="307"/>
      <c r="C478" s="308"/>
      <c r="D478" s="304" t="str">
        <f>IF(OR($A478&lt;$A$3,$A478&gt;$A$7),"",Crop!$D511)</f>
        <v/>
      </c>
      <c r="E478" s="304" t="str">
        <f t="shared" si="109"/>
        <v/>
      </c>
      <c r="F478" s="304" t="str">
        <f>IF(OR(A478&lt;A$3,A478&gt;A$7),"",Crop!U511)</f>
        <v/>
      </c>
      <c r="G478" s="304" t="str">
        <f t="shared" si="110"/>
        <v/>
      </c>
      <c r="H478" s="309" t="str">
        <f>IF(OR(A478&lt;A$3,A478&gt;A$7),"",YTD!E475)</f>
        <v/>
      </c>
      <c r="I478" s="310" t="str">
        <f t="shared" si="111"/>
        <v/>
      </c>
      <c r="J478" s="311"/>
      <c r="K478" s="309" t="str">
        <f t="shared" si="112"/>
        <v/>
      </c>
      <c r="L478" s="312" t="str">
        <f t="shared" si="115"/>
        <v/>
      </c>
      <c r="M478" s="366" t="str">
        <f t="shared" si="116"/>
        <v/>
      </c>
      <c r="N478" s="328" t="str">
        <f t="shared" si="107"/>
        <v/>
      </c>
      <c r="O478" s="313" t="str">
        <f t="shared" si="108"/>
        <v/>
      </c>
      <c r="P478" s="307"/>
      <c r="Q478" s="309">
        <f t="shared" si="117"/>
        <v>0.8</v>
      </c>
      <c r="R478" s="307"/>
      <c r="S478" s="314">
        <f t="shared" si="118"/>
        <v>10</v>
      </c>
      <c r="T478" s="304" t="str">
        <f t="shared" si="113"/>
        <v/>
      </c>
      <c r="U478" s="304" t="str">
        <f>IF(A478=YTD!B$6,E478,IF(OR(A478&lt;YTD!B$6,A478&gt;YTD!B$10),"",U477+E478))</f>
        <v/>
      </c>
      <c r="V478" s="304" t="str">
        <f t="shared" si="119"/>
        <v/>
      </c>
      <c r="W478" s="315" t="e">
        <f>IF(I478="",#N/A,YTD!G$8-I478)</f>
        <v>#N/A</v>
      </c>
      <c r="X478" s="368">
        <f t="shared" si="114"/>
        <v>0</v>
      </c>
      <c r="Y478" s="368">
        <f t="shared" si="120"/>
        <v>6</v>
      </c>
      <c r="Z478" s="368" t="str">
        <f t="shared" si="106"/>
        <v/>
      </c>
      <c r="AA478" s="371"/>
      <c r="AB478" s="372"/>
      <c r="AC478" s="373"/>
      <c r="AD478" s="373"/>
      <c r="AE478" s="373"/>
      <c r="AF478" s="371"/>
      <c r="AG478" s="373"/>
      <c r="AH478" s="2"/>
      <c r="AI478" s="2"/>
      <c r="AJ478" s="2"/>
    </row>
    <row r="479" spans="1:36" x14ac:dyDescent="0.2">
      <c r="A479" s="306">
        <f>Crop!B512</f>
        <v>42103</v>
      </c>
      <c r="B479" s="307"/>
      <c r="C479" s="308"/>
      <c r="D479" s="304" t="str">
        <f>IF(OR($A479&lt;$A$3,$A479&gt;$A$7),"",Crop!$D512)</f>
        <v/>
      </c>
      <c r="E479" s="304" t="str">
        <f t="shared" si="109"/>
        <v/>
      </c>
      <c r="F479" s="304" t="str">
        <f>IF(OR(A479&lt;A$3,A479&gt;A$7),"",Crop!U512)</f>
        <v/>
      </c>
      <c r="G479" s="304" t="str">
        <f t="shared" si="110"/>
        <v/>
      </c>
      <c r="H479" s="309" t="str">
        <f>IF(OR(A479&lt;A$3,A479&gt;A$7),"",YTD!E476)</f>
        <v/>
      </c>
      <c r="I479" s="310" t="str">
        <f t="shared" si="111"/>
        <v/>
      </c>
      <c r="J479" s="311"/>
      <c r="K479" s="309" t="str">
        <f t="shared" si="112"/>
        <v/>
      </c>
      <c r="L479" s="312" t="str">
        <f t="shared" si="115"/>
        <v/>
      </c>
      <c r="M479" s="366" t="str">
        <f t="shared" si="116"/>
        <v/>
      </c>
      <c r="N479" s="328" t="str">
        <f t="shared" si="107"/>
        <v/>
      </c>
      <c r="O479" s="313" t="str">
        <f t="shared" si="108"/>
        <v/>
      </c>
      <c r="P479" s="307"/>
      <c r="Q479" s="309">
        <f t="shared" si="117"/>
        <v>0.8</v>
      </c>
      <c r="R479" s="307"/>
      <c r="S479" s="314">
        <f t="shared" si="118"/>
        <v>10</v>
      </c>
      <c r="T479" s="304" t="str">
        <f t="shared" si="113"/>
        <v/>
      </c>
      <c r="U479" s="304" t="str">
        <f>IF(A479=YTD!B$6,E479,IF(OR(A479&lt;YTD!B$6,A479&gt;YTD!B$10),"",U478+E479))</f>
        <v/>
      </c>
      <c r="V479" s="304" t="str">
        <f t="shared" si="119"/>
        <v/>
      </c>
      <c r="W479" s="315" t="e">
        <f>IF(I479="",#N/A,YTD!G$8-I479)</f>
        <v>#N/A</v>
      </c>
      <c r="X479" s="368">
        <f t="shared" si="114"/>
        <v>0</v>
      </c>
      <c r="Y479" s="368">
        <f t="shared" si="120"/>
        <v>6</v>
      </c>
      <c r="Z479" s="368" t="str">
        <f t="shared" si="106"/>
        <v/>
      </c>
      <c r="AA479" s="371"/>
      <c r="AB479" s="372"/>
      <c r="AC479" s="373"/>
      <c r="AD479" s="373"/>
      <c r="AE479" s="373"/>
      <c r="AF479" s="371"/>
      <c r="AG479" s="373"/>
      <c r="AH479" s="2"/>
      <c r="AI479" s="2"/>
      <c r="AJ479" s="2"/>
    </row>
    <row r="480" spans="1:36" x14ac:dyDescent="0.2">
      <c r="A480" s="306">
        <f>Crop!B513</f>
        <v>42104</v>
      </c>
      <c r="B480" s="307"/>
      <c r="C480" s="308"/>
      <c r="D480" s="304" t="str">
        <f>IF(OR($A480&lt;$A$3,$A480&gt;$A$7),"",Crop!$D513)</f>
        <v/>
      </c>
      <c r="E480" s="304" t="str">
        <f t="shared" si="109"/>
        <v/>
      </c>
      <c r="F480" s="304" t="str">
        <f>IF(OR(A480&lt;A$3,A480&gt;A$7),"",Crop!U513)</f>
        <v/>
      </c>
      <c r="G480" s="304" t="str">
        <f t="shared" si="110"/>
        <v/>
      </c>
      <c r="H480" s="309" t="str">
        <f>IF(OR(A480&lt;A$3,A480&gt;A$7),"",YTD!E477)</f>
        <v/>
      </c>
      <c r="I480" s="310" t="str">
        <f t="shared" si="111"/>
        <v/>
      </c>
      <c r="J480" s="311"/>
      <c r="K480" s="309" t="str">
        <f t="shared" si="112"/>
        <v/>
      </c>
      <c r="L480" s="312" t="str">
        <f t="shared" si="115"/>
        <v/>
      </c>
      <c r="M480" s="366" t="str">
        <f t="shared" si="116"/>
        <v/>
      </c>
      <c r="N480" s="328" t="str">
        <f t="shared" si="107"/>
        <v/>
      </c>
      <c r="O480" s="313" t="str">
        <f t="shared" si="108"/>
        <v/>
      </c>
      <c r="P480" s="307"/>
      <c r="Q480" s="309">
        <f t="shared" si="117"/>
        <v>0.8</v>
      </c>
      <c r="R480" s="307"/>
      <c r="S480" s="314">
        <f t="shared" si="118"/>
        <v>10</v>
      </c>
      <c r="T480" s="304" t="str">
        <f t="shared" si="113"/>
        <v/>
      </c>
      <c r="U480" s="304" t="str">
        <f>IF(A480=YTD!B$6,E480,IF(OR(A480&lt;YTD!B$6,A480&gt;YTD!B$10),"",U479+E480))</f>
        <v/>
      </c>
      <c r="V480" s="304" t="str">
        <f t="shared" si="119"/>
        <v/>
      </c>
      <c r="W480" s="315" t="e">
        <f>IF(I480="",#N/A,YTD!G$8-I480)</f>
        <v>#N/A</v>
      </c>
      <c r="X480" s="368">
        <f t="shared" si="114"/>
        <v>0</v>
      </c>
      <c r="Y480" s="368">
        <f t="shared" si="120"/>
        <v>6</v>
      </c>
      <c r="Z480" s="368" t="str">
        <f t="shared" si="106"/>
        <v/>
      </c>
      <c r="AA480" s="371"/>
      <c r="AB480" s="372"/>
      <c r="AC480" s="373"/>
      <c r="AD480" s="373"/>
      <c r="AE480" s="373"/>
      <c r="AF480" s="371"/>
      <c r="AG480" s="373"/>
      <c r="AH480" s="2"/>
      <c r="AI480" s="2"/>
      <c r="AJ480" s="2"/>
    </row>
    <row r="481" spans="1:36" x14ac:dyDescent="0.2">
      <c r="A481" s="306">
        <f>Crop!B514</f>
        <v>42105</v>
      </c>
      <c r="B481" s="307"/>
      <c r="C481" s="308"/>
      <c r="D481" s="304" t="str">
        <f>IF(OR($A481&lt;$A$3,$A481&gt;$A$7),"",Crop!$D514)</f>
        <v/>
      </c>
      <c r="E481" s="304" t="str">
        <f t="shared" si="109"/>
        <v/>
      </c>
      <c r="F481" s="304" t="str">
        <f>IF(OR(A481&lt;A$3,A481&gt;A$7),"",Crop!U514)</f>
        <v/>
      </c>
      <c r="G481" s="304" t="str">
        <f t="shared" si="110"/>
        <v/>
      </c>
      <c r="H481" s="309" t="str">
        <f>IF(OR(A481&lt;A$3,A481&gt;A$7),"",YTD!E478)</f>
        <v/>
      </c>
      <c r="I481" s="310" t="str">
        <f t="shared" si="111"/>
        <v/>
      </c>
      <c r="J481" s="311"/>
      <c r="K481" s="309" t="str">
        <f t="shared" si="112"/>
        <v/>
      </c>
      <c r="L481" s="312" t="str">
        <f t="shared" si="115"/>
        <v/>
      </c>
      <c r="M481" s="366" t="str">
        <f t="shared" si="116"/>
        <v/>
      </c>
      <c r="N481" s="328" t="str">
        <f t="shared" si="107"/>
        <v/>
      </c>
      <c r="O481" s="313" t="str">
        <f t="shared" si="108"/>
        <v/>
      </c>
      <c r="P481" s="307"/>
      <c r="Q481" s="309">
        <f t="shared" si="117"/>
        <v>0.8</v>
      </c>
      <c r="R481" s="307"/>
      <c r="S481" s="314">
        <f t="shared" si="118"/>
        <v>10</v>
      </c>
      <c r="T481" s="304" t="str">
        <f t="shared" si="113"/>
        <v/>
      </c>
      <c r="U481" s="304" t="str">
        <f>IF(A481=YTD!B$6,E481,IF(OR(A481&lt;YTD!B$6,A481&gt;YTD!B$10),"",U480+E481))</f>
        <v/>
      </c>
      <c r="V481" s="304" t="str">
        <f t="shared" si="119"/>
        <v/>
      </c>
      <c r="W481" s="315" t="e">
        <f>IF(I481="",#N/A,YTD!G$8-I481)</f>
        <v>#N/A</v>
      </c>
      <c r="X481" s="368">
        <f t="shared" si="114"/>
        <v>0</v>
      </c>
      <c r="Y481" s="368">
        <f t="shared" si="120"/>
        <v>6</v>
      </c>
      <c r="Z481" s="368" t="str">
        <f t="shared" si="106"/>
        <v/>
      </c>
      <c r="AA481" s="371"/>
      <c r="AB481" s="372"/>
      <c r="AC481" s="373"/>
      <c r="AD481" s="373"/>
      <c r="AE481" s="373"/>
      <c r="AF481" s="371"/>
      <c r="AG481" s="373"/>
      <c r="AH481" s="2"/>
      <c r="AI481" s="2"/>
      <c r="AJ481" s="2"/>
    </row>
    <row r="482" spans="1:36" x14ac:dyDescent="0.2">
      <c r="A482" s="306">
        <f>Crop!B515</f>
        <v>42106</v>
      </c>
      <c r="B482" s="307"/>
      <c r="C482" s="308"/>
      <c r="D482" s="304" t="str">
        <f>IF(OR($A482&lt;$A$3,$A482&gt;$A$7),"",Crop!$D515)</f>
        <v/>
      </c>
      <c r="E482" s="304" t="str">
        <f t="shared" si="109"/>
        <v/>
      </c>
      <c r="F482" s="304" t="str">
        <f>IF(OR(A482&lt;A$3,A482&gt;A$7),"",Crop!U515)</f>
        <v/>
      </c>
      <c r="G482" s="304" t="str">
        <f t="shared" si="110"/>
        <v/>
      </c>
      <c r="H482" s="309" t="str">
        <f>IF(OR(A482&lt;A$3,A482&gt;A$7),"",YTD!E479)</f>
        <v/>
      </c>
      <c r="I482" s="310" t="str">
        <f t="shared" si="111"/>
        <v/>
      </c>
      <c r="J482" s="311"/>
      <c r="K482" s="309" t="str">
        <f t="shared" si="112"/>
        <v/>
      </c>
      <c r="L482" s="312" t="str">
        <f t="shared" si="115"/>
        <v/>
      </c>
      <c r="M482" s="366" t="str">
        <f t="shared" si="116"/>
        <v/>
      </c>
      <c r="N482" s="328" t="str">
        <f t="shared" si="107"/>
        <v/>
      </c>
      <c r="O482" s="313" t="str">
        <f t="shared" si="108"/>
        <v/>
      </c>
      <c r="P482" s="307"/>
      <c r="Q482" s="309">
        <f t="shared" si="117"/>
        <v>0.8</v>
      </c>
      <c r="R482" s="307"/>
      <c r="S482" s="314">
        <f t="shared" si="118"/>
        <v>10</v>
      </c>
      <c r="T482" s="304" t="str">
        <f t="shared" si="113"/>
        <v/>
      </c>
      <c r="U482" s="304" t="str">
        <f>IF(A482=YTD!B$6,E482,IF(OR(A482&lt;YTD!B$6,A482&gt;YTD!B$10),"",U481+E482))</f>
        <v/>
      </c>
      <c r="V482" s="304" t="str">
        <f t="shared" si="119"/>
        <v/>
      </c>
      <c r="W482" s="315" t="e">
        <f>IF(I482="",#N/A,YTD!G$8-I482)</f>
        <v>#N/A</v>
      </c>
      <c r="X482" s="368">
        <f t="shared" si="114"/>
        <v>0</v>
      </c>
      <c r="Y482" s="368">
        <f t="shared" si="120"/>
        <v>6</v>
      </c>
      <c r="Z482" s="368" t="str">
        <f t="shared" si="106"/>
        <v/>
      </c>
      <c r="AA482" s="371"/>
      <c r="AB482" s="372"/>
      <c r="AC482" s="373"/>
      <c r="AD482" s="373"/>
      <c r="AE482" s="373"/>
      <c r="AF482" s="371"/>
      <c r="AG482" s="373"/>
      <c r="AH482" s="2"/>
      <c r="AI482" s="2"/>
      <c r="AJ482" s="2"/>
    </row>
    <row r="483" spans="1:36" x14ac:dyDescent="0.2">
      <c r="A483" s="306">
        <f>Crop!B516</f>
        <v>42107</v>
      </c>
      <c r="B483" s="307"/>
      <c r="C483" s="308"/>
      <c r="D483" s="304" t="str">
        <f>IF(OR($A483&lt;$A$3,$A483&gt;$A$7),"",Crop!$D516)</f>
        <v/>
      </c>
      <c r="E483" s="304" t="str">
        <f t="shared" si="109"/>
        <v/>
      </c>
      <c r="F483" s="304" t="str">
        <f>IF(OR(A483&lt;A$3,A483&gt;A$7),"",Crop!U516)</f>
        <v/>
      </c>
      <c r="G483" s="304" t="str">
        <f t="shared" si="110"/>
        <v/>
      </c>
      <c r="H483" s="309" t="str">
        <f>IF(OR(A483&lt;A$3,A483&gt;A$7),"",YTD!E480)</f>
        <v/>
      </c>
      <c r="I483" s="310" t="str">
        <f t="shared" si="111"/>
        <v/>
      </c>
      <c r="J483" s="311"/>
      <c r="K483" s="309" t="str">
        <f t="shared" si="112"/>
        <v/>
      </c>
      <c r="L483" s="312" t="str">
        <f t="shared" si="115"/>
        <v/>
      </c>
      <c r="M483" s="366" t="str">
        <f t="shared" si="116"/>
        <v/>
      </c>
      <c r="N483" s="328" t="str">
        <f t="shared" si="107"/>
        <v/>
      </c>
      <c r="O483" s="313" t="str">
        <f t="shared" si="108"/>
        <v/>
      </c>
      <c r="P483" s="307"/>
      <c r="Q483" s="309">
        <f t="shared" si="117"/>
        <v>0.8</v>
      </c>
      <c r="R483" s="307"/>
      <c r="S483" s="314">
        <f t="shared" si="118"/>
        <v>10</v>
      </c>
      <c r="T483" s="304" t="str">
        <f t="shared" si="113"/>
        <v/>
      </c>
      <c r="U483" s="304" t="str">
        <f>IF(A483=YTD!B$6,E483,IF(OR(A483&lt;YTD!B$6,A483&gt;YTD!B$10),"",U482+E483))</f>
        <v/>
      </c>
      <c r="V483" s="304" t="str">
        <f t="shared" si="119"/>
        <v/>
      </c>
      <c r="W483" s="315" t="e">
        <f>IF(I483="",#N/A,YTD!G$8-I483)</f>
        <v>#N/A</v>
      </c>
      <c r="X483" s="368">
        <f t="shared" si="114"/>
        <v>0</v>
      </c>
      <c r="Y483" s="368">
        <f t="shared" si="120"/>
        <v>6</v>
      </c>
      <c r="Z483" s="368" t="str">
        <f t="shared" si="106"/>
        <v/>
      </c>
      <c r="AA483" s="371"/>
      <c r="AB483" s="372"/>
      <c r="AC483" s="373"/>
      <c r="AD483" s="373"/>
      <c r="AE483" s="373"/>
      <c r="AF483" s="371"/>
      <c r="AG483" s="373"/>
      <c r="AH483" s="2"/>
      <c r="AI483" s="2"/>
      <c r="AJ483" s="2"/>
    </row>
    <row r="484" spans="1:36" x14ac:dyDescent="0.2">
      <c r="A484" s="306">
        <f>Crop!B517</f>
        <v>42108</v>
      </c>
      <c r="B484" s="307"/>
      <c r="C484" s="308"/>
      <c r="D484" s="304" t="str">
        <f>IF(OR($A484&lt;$A$3,$A484&gt;$A$7),"",Crop!$D517)</f>
        <v/>
      </c>
      <c r="E484" s="304" t="str">
        <f t="shared" si="109"/>
        <v/>
      </c>
      <c r="F484" s="304" t="str">
        <f>IF(OR(A484&lt;A$3,A484&gt;A$7),"",Crop!U517)</f>
        <v/>
      </c>
      <c r="G484" s="304" t="str">
        <f t="shared" si="110"/>
        <v/>
      </c>
      <c r="H484" s="309" t="str">
        <f>IF(OR(A484&lt;A$3,A484&gt;A$7),"",YTD!E481)</f>
        <v/>
      </c>
      <c r="I484" s="310" t="str">
        <f t="shared" si="111"/>
        <v/>
      </c>
      <c r="J484" s="311"/>
      <c r="K484" s="309" t="str">
        <f t="shared" si="112"/>
        <v/>
      </c>
      <c r="L484" s="312" t="str">
        <f t="shared" si="115"/>
        <v/>
      </c>
      <c r="M484" s="366" t="str">
        <f t="shared" si="116"/>
        <v/>
      </c>
      <c r="N484" s="328" t="str">
        <f t="shared" si="107"/>
        <v/>
      </c>
      <c r="O484" s="313" t="str">
        <f t="shared" si="108"/>
        <v/>
      </c>
      <c r="P484" s="307"/>
      <c r="Q484" s="309">
        <f t="shared" si="117"/>
        <v>0.8</v>
      </c>
      <c r="R484" s="307"/>
      <c r="S484" s="314">
        <f t="shared" si="118"/>
        <v>10</v>
      </c>
      <c r="T484" s="304" t="str">
        <f t="shared" si="113"/>
        <v/>
      </c>
      <c r="U484" s="304" t="str">
        <f>IF(A484=YTD!B$6,E484,IF(OR(A484&lt;YTD!B$6,A484&gt;YTD!B$10),"",U483+E484))</f>
        <v/>
      </c>
      <c r="V484" s="304" t="str">
        <f t="shared" si="119"/>
        <v/>
      </c>
      <c r="W484" s="315" t="e">
        <f>IF(I484="",#N/A,YTD!G$8-I484)</f>
        <v>#N/A</v>
      </c>
      <c r="X484" s="368">
        <f t="shared" si="114"/>
        <v>0</v>
      </c>
      <c r="Y484" s="368">
        <f t="shared" si="120"/>
        <v>6</v>
      </c>
      <c r="Z484" s="368" t="str">
        <f t="shared" si="106"/>
        <v/>
      </c>
      <c r="AA484" s="371"/>
      <c r="AB484" s="372"/>
      <c r="AC484" s="373"/>
      <c r="AD484" s="373"/>
      <c r="AE484" s="373"/>
      <c r="AF484" s="371"/>
      <c r="AG484" s="373"/>
      <c r="AH484" s="2"/>
      <c r="AI484" s="2"/>
      <c r="AJ484" s="2"/>
    </row>
    <row r="485" spans="1:36" x14ac:dyDescent="0.2">
      <c r="A485" s="306">
        <f>Crop!B518</f>
        <v>42109</v>
      </c>
      <c r="B485" s="307"/>
      <c r="C485" s="308"/>
      <c r="D485" s="304" t="str">
        <f>IF(OR($A485&lt;$A$3,$A485&gt;$A$7),"",Crop!$D518)</f>
        <v/>
      </c>
      <c r="E485" s="304" t="str">
        <f t="shared" si="109"/>
        <v/>
      </c>
      <c r="F485" s="304" t="str">
        <f>IF(OR(A485&lt;A$3,A485&gt;A$7),"",Crop!U518)</f>
        <v/>
      </c>
      <c r="G485" s="304" t="str">
        <f t="shared" si="110"/>
        <v/>
      </c>
      <c r="H485" s="309" t="str">
        <f>IF(OR(A485&lt;A$3,A485&gt;A$7),"",YTD!E482)</f>
        <v/>
      </c>
      <c r="I485" s="310" t="str">
        <f t="shared" si="111"/>
        <v/>
      </c>
      <c r="J485" s="311"/>
      <c r="K485" s="309" t="str">
        <f t="shared" si="112"/>
        <v/>
      </c>
      <c r="L485" s="312" t="str">
        <f t="shared" si="115"/>
        <v/>
      </c>
      <c r="M485" s="366" t="str">
        <f t="shared" si="116"/>
        <v/>
      </c>
      <c r="N485" s="328" t="str">
        <f t="shared" si="107"/>
        <v/>
      </c>
      <c r="O485" s="313" t="str">
        <f t="shared" si="108"/>
        <v/>
      </c>
      <c r="P485" s="307"/>
      <c r="Q485" s="309">
        <f t="shared" si="117"/>
        <v>0.8</v>
      </c>
      <c r="R485" s="307"/>
      <c r="S485" s="314">
        <f t="shared" si="118"/>
        <v>10</v>
      </c>
      <c r="T485" s="304" t="str">
        <f t="shared" si="113"/>
        <v/>
      </c>
      <c r="U485" s="304" t="str">
        <f>IF(A485=YTD!B$6,E485,IF(OR(A485&lt;YTD!B$6,A485&gt;YTD!B$10),"",U484+E485))</f>
        <v/>
      </c>
      <c r="V485" s="304" t="str">
        <f t="shared" si="119"/>
        <v/>
      </c>
      <c r="W485" s="315" t="e">
        <f>IF(I485="",#N/A,YTD!G$8-I485)</f>
        <v>#N/A</v>
      </c>
      <c r="X485" s="368">
        <f t="shared" si="114"/>
        <v>0</v>
      </c>
      <c r="Y485" s="368">
        <f t="shared" si="120"/>
        <v>6</v>
      </c>
      <c r="Z485" s="368" t="str">
        <f t="shared" si="106"/>
        <v/>
      </c>
      <c r="AA485" s="371"/>
      <c r="AB485" s="372"/>
      <c r="AC485" s="373"/>
      <c r="AD485" s="373"/>
      <c r="AE485" s="373"/>
      <c r="AF485" s="371"/>
      <c r="AG485" s="373"/>
      <c r="AH485" s="2"/>
      <c r="AI485" s="2"/>
      <c r="AJ485" s="2"/>
    </row>
    <row r="486" spans="1:36" x14ac:dyDescent="0.2">
      <c r="A486" s="306">
        <f>Crop!B519</f>
        <v>42110</v>
      </c>
      <c r="B486" s="307"/>
      <c r="C486" s="308"/>
      <c r="D486" s="304" t="str">
        <f>IF(OR($A486&lt;$A$3,$A486&gt;$A$7),"",Crop!$D519)</f>
        <v/>
      </c>
      <c r="E486" s="304" t="str">
        <f t="shared" si="109"/>
        <v/>
      </c>
      <c r="F486" s="304" t="str">
        <f>IF(OR(A486&lt;A$3,A486&gt;A$7),"",Crop!U519)</f>
        <v/>
      </c>
      <c r="G486" s="304" t="str">
        <f t="shared" si="110"/>
        <v/>
      </c>
      <c r="H486" s="309" t="str">
        <f>IF(OR(A486&lt;A$3,A486&gt;A$7),"",YTD!E483)</f>
        <v/>
      </c>
      <c r="I486" s="310" t="str">
        <f t="shared" si="111"/>
        <v/>
      </c>
      <c r="J486" s="311"/>
      <c r="K486" s="309" t="str">
        <f t="shared" si="112"/>
        <v/>
      </c>
      <c r="L486" s="312" t="str">
        <f t="shared" si="115"/>
        <v/>
      </c>
      <c r="M486" s="366" t="str">
        <f t="shared" si="116"/>
        <v/>
      </c>
      <c r="N486" s="328" t="str">
        <f t="shared" si="107"/>
        <v/>
      </c>
      <c r="O486" s="313" t="str">
        <f t="shared" si="108"/>
        <v/>
      </c>
      <c r="P486" s="307"/>
      <c r="Q486" s="309">
        <f t="shared" si="117"/>
        <v>0.8</v>
      </c>
      <c r="R486" s="307"/>
      <c r="S486" s="314">
        <f t="shared" si="118"/>
        <v>10</v>
      </c>
      <c r="T486" s="304" t="str">
        <f t="shared" si="113"/>
        <v/>
      </c>
      <c r="U486" s="304" t="str">
        <f>IF(A486=YTD!B$6,E486,IF(OR(A486&lt;YTD!B$6,A486&gt;YTD!B$10),"",U485+E486))</f>
        <v/>
      </c>
      <c r="V486" s="304" t="str">
        <f t="shared" si="119"/>
        <v/>
      </c>
      <c r="W486" s="315" t="e">
        <f>IF(I486="",#N/A,YTD!G$8-I486)</f>
        <v>#N/A</v>
      </c>
      <c r="X486" s="368">
        <f t="shared" si="114"/>
        <v>0</v>
      </c>
      <c r="Y486" s="368">
        <f t="shared" si="120"/>
        <v>6</v>
      </c>
      <c r="Z486" s="368" t="str">
        <f t="shared" si="106"/>
        <v/>
      </c>
      <c r="AA486" s="371"/>
      <c r="AB486" s="372"/>
      <c r="AC486" s="373"/>
      <c r="AD486" s="373"/>
      <c r="AE486" s="373"/>
      <c r="AF486" s="371"/>
      <c r="AG486" s="373"/>
      <c r="AH486" s="2"/>
      <c r="AI486" s="2"/>
      <c r="AJ486" s="2"/>
    </row>
    <row r="487" spans="1:36" x14ac:dyDescent="0.2">
      <c r="A487" s="306">
        <f>Crop!B520</f>
        <v>42111</v>
      </c>
      <c r="B487" s="307"/>
      <c r="C487" s="308"/>
      <c r="D487" s="304" t="str">
        <f>IF(OR($A487&lt;$A$3,$A487&gt;$A$7),"",Crop!$D520)</f>
        <v/>
      </c>
      <c r="E487" s="304" t="str">
        <f t="shared" si="109"/>
        <v/>
      </c>
      <c r="F487" s="304" t="str">
        <f>IF(OR(A487&lt;A$3,A487&gt;A$7),"",Crop!U520)</f>
        <v/>
      </c>
      <c r="G487" s="304" t="str">
        <f t="shared" si="110"/>
        <v/>
      </c>
      <c r="H487" s="309" t="str">
        <f>IF(OR(A487&lt;A$3,A487&gt;A$7),"",YTD!E484)</f>
        <v/>
      </c>
      <c r="I487" s="310" t="str">
        <f t="shared" si="111"/>
        <v/>
      </c>
      <c r="J487" s="311"/>
      <c r="K487" s="309" t="str">
        <f t="shared" si="112"/>
        <v/>
      </c>
      <c r="L487" s="312" t="str">
        <f t="shared" si="115"/>
        <v/>
      </c>
      <c r="M487" s="366" t="str">
        <f t="shared" si="116"/>
        <v/>
      </c>
      <c r="N487" s="328" t="str">
        <f t="shared" si="107"/>
        <v/>
      </c>
      <c r="O487" s="313" t="str">
        <f t="shared" si="108"/>
        <v/>
      </c>
      <c r="P487" s="307"/>
      <c r="Q487" s="309">
        <f t="shared" si="117"/>
        <v>0.8</v>
      </c>
      <c r="R487" s="307"/>
      <c r="S487" s="314">
        <f t="shared" si="118"/>
        <v>10</v>
      </c>
      <c r="T487" s="304" t="str">
        <f t="shared" si="113"/>
        <v/>
      </c>
      <c r="U487" s="304" t="str">
        <f>IF(A487=YTD!B$6,E487,IF(OR(A487&lt;YTD!B$6,A487&gt;YTD!B$10),"",U486+E487))</f>
        <v/>
      </c>
      <c r="V487" s="304" t="str">
        <f t="shared" si="119"/>
        <v/>
      </c>
      <c r="W487" s="315" t="e">
        <f>IF(I487="",#N/A,YTD!G$8-I487)</f>
        <v>#N/A</v>
      </c>
      <c r="X487" s="368">
        <f t="shared" si="114"/>
        <v>0</v>
      </c>
      <c r="Y487" s="368">
        <f t="shared" si="120"/>
        <v>6</v>
      </c>
      <c r="Z487" s="368" t="str">
        <f t="shared" si="106"/>
        <v/>
      </c>
      <c r="AA487" s="371"/>
      <c r="AB487" s="372"/>
      <c r="AC487" s="373"/>
      <c r="AD487" s="373"/>
      <c r="AE487" s="373"/>
      <c r="AF487" s="371"/>
      <c r="AG487" s="373"/>
      <c r="AH487" s="2"/>
      <c r="AI487" s="2"/>
      <c r="AJ487" s="2"/>
    </row>
    <row r="488" spans="1:36" x14ac:dyDescent="0.2">
      <c r="A488" s="306">
        <f>Crop!B521</f>
        <v>42112</v>
      </c>
      <c r="B488" s="307"/>
      <c r="C488" s="308"/>
      <c r="D488" s="304" t="str">
        <f>IF(OR($A488&lt;$A$3,$A488&gt;$A$7),"",Crop!$D521)</f>
        <v/>
      </c>
      <c r="E488" s="304" t="str">
        <f t="shared" si="109"/>
        <v/>
      </c>
      <c r="F488" s="304" t="str">
        <f>IF(OR(A488&lt;A$3,A488&gt;A$7),"",Crop!U521)</f>
        <v/>
      </c>
      <c r="G488" s="304" t="str">
        <f t="shared" si="110"/>
        <v/>
      </c>
      <c r="H488" s="309" t="str">
        <f>IF(OR(A488&lt;A$3,A488&gt;A$7),"",YTD!E485)</f>
        <v/>
      </c>
      <c r="I488" s="310" t="str">
        <f t="shared" si="111"/>
        <v/>
      </c>
      <c r="J488" s="311"/>
      <c r="K488" s="309" t="str">
        <f t="shared" si="112"/>
        <v/>
      </c>
      <c r="L488" s="312" t="str">
        <f t="shared" si="115"/>
        <v/>
      </c>
      <c r="M488" s="366" t="str">
        <f t="shared" si="116"/>
        <v/>
      </c>
      <c r="N488" s="328" t="str">
        <f t="shared" si="107"/>
        <v/>
      </c>
      <c r="O488" s="313" t="str">
        <f t="shared" si="108"/>
        <v/>
      </c>
      <c r="P488" s="307"/>
      <c r="Q488" s="309">
        <f t="shared" si="117"/>
        <v>0.8</v>
      </c>
      <c r="R488" s="307"/>
      <c r="S488" s="314">
        <f t="shared" si="118"/>
        <v>10</v>
      </c>
      <c r="T488" s="304" t="str">
        <f t="shared" si="113"/>
        <v/>
      </c>
      <c r="U488" s="304" t="str">
        <f>IF(A488=YTD!B$6,E488,IF(OR(A488&lt;YTD!B$6,A488&gt;YTD!B$10),"",U487+E488))</f>
        <v/>
      </c>
      <c r="V488" s="304" t="str">
        <f t="shared" si="119"/>
        <v/>
      </c>
      <c r="W488" s="315" t="e">
        <f>IF(I488="",#N/A,YTD!G$8-I488)</f>
        <v>#N/A</v>
      </c>
      <c r="X488" s="368">
        <f t="shared" si="114"/>
        <v>0</v>
      </c>
      <c r="Y488" s="368">
        <f t="shared" si="120"/>
        <v>6</v>
      </c>
      <c r="Z488" s="368" t="str">
        <f t="shared" si="106"/>
        <v/>
      </c>
      <c r="AA488" s="371"/>
      <c r="AB488" s="372"/>
      <c r="AC488" s="373"/>
      <c r="AD488" s="373"/>
      <c r="AE488" s="373"/>
      <c r="AF488" s="371"/>
      <c r="AG488" s="373"/>
      <c r="AH488" s="2"/>
      <c r="AI488" s="2"/>
      <c r="AJ488" s="2"/>
    </row>
    <row r="489" spans="1:36" x14ac:dyDescent="0.2">
      <c r="A489" s="306">
        <f>Crop!B522</f>
        <v>42113</v>
      </c>
      <c r="B489" s="307"/>
      <c r="C489" s="308"/>
      <c r="D489" s="304" t="str">
        <f>IF(OR($A489&lt;$A$3,$A489&gt;$A$7),"",Crop!$D522)</f>
        <v/>
      </c>
      <c r="E489" s="304" t="str">
        <f t="shared" si="109"/>
        <v/>
      </c>
      <c r="F489" s="304" t="str">
        <f>IF(OR(A489&lt;A$3,A489&gt;A$7),"",Crop!U522)</f>
        <v/>
      </c>
      <c r="G489" s="304" t="str">
        <f t="shared" si="110"/>
        <v/>
      </c>
      <c r="H489" s="309" t="str">
        <f>IF(OR(A489&lt;A$3,A489&gt;A$7),"",YTD!E486)</f>
        <v/>
      </c>
      <c r="I489" s="310" t="str">
        <f t="shared" si="111"/>
        <v/>
      </c>
      <c r="J489" s="311"/>
      <c r="K489" s="309" t="str">
        <f t="shared" si="112"/>
        <v/>
      </c>
      <c r="L489" s="312" t="str">
        <f t="shared" si="115"/>
        <v/>
      </c>
      <c r="M489" s="366" t="str">
        <f t="shared" si="116"/>
        <v/>
      </c>
      <c r="N489" s="328" t="str">
        <f t="shared" si="107"/>
        <v/>
      </c>
      <c r="O489" s="313" t="str">
        <f t="shared" si="108"/>
        <v/>
      </c>
      <c r="P489" s="307"/>
      <c r="Q489" s="309">
        <f t="shared" si="117"/>
        <v>0.8</v>
      </c>
      <c r="R489" s="307"/>
      <c r="S489" s="314">
        <f t="shared" si="118"/>
        <v>10</v>
      </c>
      <c r="T489" s="304" t="str">
        <f t="shared" si="113"/>
        <v/>
      </c>
      <c r="U489" s="304" t="str">
        <f>IF(A489=YTD!B$6,E489,IF(OR(A489&lt;YTD!B$6,A489&gt;YTD!B$10),"",U488+E489))</f>
        <v/>
      </c>
      <c r="V489" s="304" t="str">
        <f t="shared" si="119"/>
        <v/>
      </c>
      <c r="W489" s="315" t="e">
        <f>IF(I489="",#N/A,YTD!G$8-I489)</f>
        <v>#N/A</v>
      </c>
      <c r="X489" s="368">
        <f t="shared" si="114"/>
        <v>0</v>
      </c>
      <c r="Y489" s="368">
        <f t="shared" si="120"/>
        <v>6</v>
      </c>
      <c r="Z489" s="368" t="str">
        <f t="shared" ref="Z489:Z552" si="121">IF(X489=1,Y489,"")</f>
        <v/>
      </c>
      <c r="AA489" s="371"/>
      <c r="AB489" s="372"/>
      <c r="AC489" s="373"/>
      <c r="AD489" s="373"/>
      <c r="AE489" s="373"/>
      <c r="AF489" s="371"/>
      <c r="AG489" s="373"/>
      <c r="AH489" s="2"/>
      <c r="AI489" s="2"/>
      <c r="AJ489" s="2"/>
    </row>
    <row r="490" spans="1:36" x14ac:dyDescent="0.2">
      <c r="A490" s="306">
        <f>Crop!B523</f>
        <v>42114</v>
      </c>
      <c r="B490" s="307"/>
      <c r="C490" s="308"/>
      <c r="D490" s="304" t="str">
        <f>IF(OR($A490&lt;$A$3,$A490&gt;$A$7),"",Crop!$D523)</f>
        <v/>
      </c>
      <c r="E490" s="304" t="str">
        <f t="shared" si="109"/>
        <v/>
      </c>
      <c r="F490" s="304" t="str">
        <f>IF(OR(A490&lt;A$3,A490&gt;A$7),"",Crop!U523)</f>
        <v/>
      </c>
      <c r="G490" s="304" t="str">
        <f t="shared" si="110"/>
        <v/>
      </c>
      <c r="H490" s="309" t="str">
        <f>IF(OR(A490&lt;A$3,A490&gt;A$7),"",YTD!E487)</f>
        <v/>
      </c>
      <c r="I490" s="310" t="str">
        <f t="shared" si="111"/>
        <v/>
      </c>
      <c r="J490" s="311"/>
      <c r="K490" s="309" t="str">
        <f t="shared" si="112"/>
        <v/>
      </c>
      <c r="L490" s="312" t="str">
        <f t="shared" si="115"/>
        <v/>
      </c>
      <c r="M490" s="366" t="str">
        <f t="shared" si="116"/>
        <v/>
      </c>
      <c r="N490" s="328" t="str">
        <f t="shared" si="107"/>
        <v/>
      </c>
      <c r="O490" s="313" t="str">
        <f t="shared" si="108"/>
        <v/>
      </c>
      <c r="P490" s="307"/>
      <c r="Q490" s="309">
        <f t="shared" si="117"/>
        <v>0.8</v>
      </c>
      <c r="R490" s="307"/>
      <c r="S490" s="314">
        <f t="shared" si="118"/>
        <v>10</v>
      </c>
      <c r="T490" s="304" t="str">
        <f t="shared" si="113"/>
        <v/>
      </c>
      <c r="U490" s="304" t="str">
        <f>IF(A490=YTD!B$6,E490,IF(OR(A490&lt;YTD!B$6,A490&gt;YTD!B$10),"",U489+E490))</f>
        <v/>
      </c>
      <c r="V490" s="304" t="str">
        <f t="shared" si="119"/>
        <v/>
      </c>
      <c r="W490" s="315" t="e">
        <f>IF(I490="",#N/A,YTD!G$8-I490)</f>
        <v>#N/A</v>
      </c>
      <c r="X490" s="368">
        <f t="shared" si="114"/>
        <v>0</v>
      </c>
      <c r="Y490" s="368">
        <f t="shared" si="120"/>
        <v>6</v>
      </c>
      <c r="Z490" s="368" t="str">
        <f t="shared" si="121"/>
        <v/>
      </c>
      <c r="AA490" s="371"/>
      <c r="AB490" s="372"/>
      <c r="AC490" s="373"/>
      <c r="AD490" s="373"/>
      <c r="AE490" s="373"/>
      <c r="AF490" s="371"/>
      <c r="AG490" s="373"/>
      <c r="AH490" s="2"/>
      <c r="AI490" s="2"/>
      <c r="AJ490" s="2"/>
    </row>
    <row r="491" spans="1:36" x14ac:dyDescent="0.2">
      <c r="A491" s="306">
        <f>Crop!B524</f>
        <v>42115</v>
      </c>
      <c r="B491" s="307"/>
      <c r="C491" s="308"/>
      <c r="D491" s="304" t="str">
        <f>IF(OR($A491&lt;$A$3,$A491&gt;$A$7),"",Crop!$D524)</f>
        <v/>
      </c>
      <c r="E491" s="304" t="str">
        <f t="shared" si="109"/>
        <v/>
      </c>
      <c r="F491" s="304" t="str">
        <f>IF(OR(A491&lt;A$3,A491&gt;A$7),"",Crop!U524)</f>
        <v/>
      </c>
      <c r="G491" s="304" t="str">
        <f t="shared" si="110"/>
        <v/>
      </c>
      <c r="H491" s="309" t="str">
        <f>IF(OR(A491&lt;A$3,A491&gt;A$7),"",YTD!E488)</f>
        <v/>
      </c>
      <c r="I491" s="310" t="str">
        <f t="shared" si="111"/>
        <v/>
      </c>
      <c r="J491" s="311"/>
      <c r="K491" s="309" t="str">
        <f t="shared" si="112"/>
        <v/>
      </c>
      <c r="L491" s="312" t="str">
        <f t="shared" si="115"/>
        <v/>
      </c>
      <c r="M491" s="366" t="str">
        <f t="shared" si="116"/>
        <v/>
      </c>
      <c r="N491" s="328" t="str">
        <f t="shared" si="107"/>
        <v/>
      </c>
      <c r="O491" s="313" t="str">
        <f t="shared" si="108"/>
        <v/>
      </c>
      <c r="P491" s="307"/>
      <c r="Q491" s="309">
        <f t="shared" si="117"/>
        <v>0.8</v>
      </c>
      <c r="R491" s="307"/>
      <c r="S491" s="314">
        <f t="shared" si="118"/>
        <v>10</v>
      </c>
      <c r="T491" s="304" t="str">
        <f t="shared" si="113"/>
        <v/>
      </c>
      <c r="U491" s="304" t="str">
        <f>IF(A491=YTD!B$6,E491,IF(OR(A491&lt;YTD!B$6,A491&gt;YTD!B$10),"",U490+E491))</f>
        <v/>
      </c>
      <c r="V491" s="304" t="str">
        <f t="shared" si="119"/>
        <v/>
      </c>
      <c r="W491" s="315" t="e">
        <f>IF(I491="",#N/A,YTD!G$8-I491)</f>
        <v>#N/A</v>
      </c>
      <c r="X491" s="368">
        <f t="shared" si="114"/>
        <v>0</v>
      </c>
      <c r="Y491" s="368">
        <f t="shared" si="120"/>
        <v>6</v>
      </c>
      <c r="Z491" s="368" t="str">
        <f t="shared" si="121"/>
        <v/>
      </c>
      <c r="AA491" s="371"/>
      <c r="AB491" s="372"/>
      <c r="AC491" s="373"/>
      <c r="AD491" s="373"/>
      <c r="AE491" s="373"/>
      <c r="AF491" s="371"/>
      <c r="AG491" s="373"/>
      <c r="AH491" s="2"/>
      <c r="AI491" s="2"/>
      <c r="AJ491" s="2"/>
    </row>
    <row r="492" spans="1:36" x14ac:dyDescent="0.2">
      <c r="A492" s="306">
        <f>Crop!B525</f>
        <v>42116</v>
      </c>
      <c r="B492" s="307"/>
      <c r="C492" s="308"/>
      <c r="D492" s="304" t="str">
        <f>IF(OR($A492&lt;$A$3,$A492&gt;$A$7),"",Crop!$D525)</f>
        <v/>
      </c>
      <c r="E492" s="304" t="str">
        <f t="shared" si="109"/>
        <v/>
      </c>
      <c r="F492" s="304" t="str">
        <f>IF(OR(A492&lt;A$3,A492&gt;A$7),"",Crop!U525)</f>
        <v/>
      </c>
      <c r="G492" s="304" t="str">
        <f t="shared" si="110"/>
        <v/>
      </c>
      <c r="H492" s="309" t="str">
        <f>IF(OR(A492&lt;A$3,A492&gt;A$7),"",YTD!E489)</f>
        <v/>
      </c>
      <c r="I492" s="310" t="str">
        <f t="shared" si="111"/>
        <v/>
      </c>
      <c r="J492" s="311"/>
      <c r="K492" s="309" t="str">
        <f t="shared" si="112"/>
        <v/>
      </c>
      <c r="L492" s="312" t="str">
        <f t="shared" si="115"/>
        <v/>
      </c>
      <c r="M492" s="366" t="str">
        <f t="shared" si="116"/>
        <v/>
      </c>
      <c r="N492" s="328" t="str">
        <f t="shared" si="107"/>
        <v/>
      </c>
      <c r="O492" s="313" t="str">
        <f t="shared" si="108"/>
        <v/>
      </c>
      <c r="P492" s="307"/>
      <c r="Q492" s="309">
        <f t="shared" si="117"/>
        <v>0.8</v>
      </c>
      <c r="R492" s="307"/>
      <c r="S492" s="314">
        <f t="shared" si="118"/>
        <v>10</v>
      </c>
      <c r="T492" s="304" t="str">
        <f t="shared" si="113"/>
        <v/>
      </c>
      <c r="U492" s="304" t="str">
        <f>IF(A492=YTD!B$6,E492,IF(OR(A492&lt;YTD!B$6,A492&gt;YTD!B$10),"",U491+E492))</f>
        <v/>
      </c>
      <c r="V492" s="304" t="str">
        <f t="shared" si="119"/>
        <v/>
      </c>
      <c r="W492" s="315" t="e">
        <f>IF(I492="",#N/A,YTD!G$8-I492)</f>
        <v>#N/A</v>
      </c>
      <c r="X492" s="368">
        <f t="shared" si="114"/>
        <v>0</v>
      </c>
      <c r="Y492" s="368">
        <f t="shared" si="120"/>
        <v>6</v>
      </c>
      <c r="Z492" s="368" t="str">
        <f t="shared" si="121"/>
        <v/>
      </c>
      <c r="AA492" s="371"/>
      <c r="AB492" s="372"/>
      <c r="AC492" s="373"/>
      <c r="AD492" s="373"/>
      <c r="AE492" s="373"/>
      <c r="AF492" s="371"/>
      <c r="AG492" s="373"/>
      <c r="AH492" s="2"/>
      <c r="AI492" s="2"/>
      <c r="AJ492" s="2"/>
    </row>
    <row r="493" spans="1:36" x14ac:dyDescent="0.2">
      <c r="A493" s="306">
        <f>Crop!B526</f>
        <v>42117</v>
      </c>
      <c r="B493" s="307"/>
      <c r="C493" s="308"/>
      <c r="D493" s="304" t="str">
        <f>IF(OR($A493&lt;$A$3,$A493&gt;$A$7),"",Crop!$D526)</f>
        <v/>
      </c>
      <c r="E493" s="304" t="str">
        <f t="shared" si="109"/>
        <v/>
      </c>
      <c r="F493" s="304" t="str">
        <f>IF(OR(A493&lt;A$3,A493&gt;A$7),"",Crop!U526)</f>
        <v/>
      </c>
      <c r="G493" s="304" t="str">
        <f t="shared" si="110"/>
        <v/>
      </c>
      <c r="H493" s="309" t="str">
        <f>IF(OR(A493&lt;A$3,A493&gt;A$7),"",YTD!E490)</f>
        <v/>
      </c>
      <c r="I493" s="310" t="str">
        <f t="shared" si="111"/>
        <v/>
      </c>
      <c r="J493" s="311"/>
      <c r="K493" s="309" t="str">
        <f t="shared" si="112"/>
        <v/>
      </c>
      <c r="L493" s="312" t="str">
        <f t="shared" si="115"/>
        <v/>
      </c>
      <c r="M493" s="366" t="str">
        <f t="shared" si="116"/>
        <v/>
      </c>
      <c r="N493" s="328" t="str">
        <f t="shared" si="107"/>
        <v/>
      </c>
      <c r="O493" s="313" t="str">
        <f t="shared" si="108"/>
        <v/>
      </c>
      <c r="P493" s="307"/>
      <c r="Q493" s="309">
        <f t="shared" si="117"/>
        <v>0.8</v>
      </c>
      <c r="R493" s="307"/>
      <c r="S493" s="314">
        <f t="shared" si="118"/>
        <v>10</v>
      </c>
      <c r="T493" s="304" t="str">
        <f t="shared" si="113"/>
        <v/>
      </c>
      <c r="U493" s="304" t="str">
        <f>IF(A493=YTD!B$6,E493,IF(OR(A493&lt;YTD!B$6,A493&gt;YTD!B$10),"",U492+E493))</f>
        <v/>
      </c>
      <c r="V493" s="304" t="str">
        <f t="shared" si="119"/>
        <v/>
      </c>
      <c r="W493" s="315" t="e">
        <f>IF(I493="",#N/A,YTD!G$8-I493)</f>
        <v>#N/A</v>
      </c>
      <c r="X493" s="368">
        <f t="shared" si="114"/>
        <v>0</v>
      </c>
      <c r="Y493" s="368">
        <f t="shared" si="120"/>
        <v>6</v>
      </c>
      <c r="Z493" s="368" t="str">
        <f t="shared" si="121"/>
        <v/>
      </c>
      <c r="AA493" s="371"/>
      <c r="AB493" s="372"/>
      <c r="AC493" s="373"/>
      <c r="AD493" s="373"/>
      <c r="AE493" s="373"/>
      <c r="AF493" s="371"/>
      <c r="AG493" s="373"/>
      <c r="AH493" s="2"/>
      <c r="AI493" s="2"/>
      <c r="AJ493" s="2"/>
    </row>
    <row r="494" spans="1:36" x14ac:dyDescent="0.2">
      <c r="A494" s="306">
        <f>Crop!B527</f>
        <v>42118</v>
      </c>
      <c r="B494" s="307"/>
      <c r="C494" s="308"/>
      <c r="D494" s="304" t="str">
        <f>IF(OR($A494&lt;$A$3,$A494&gt;$A$7),"",Crop!$D527)</f>
        <v/>
      </c>
      <c r="E494" s="304" t="str">
        <f t="shared" si="109"/>
        <v/>
      </c>
      <c r="F494" s="304" t="str">
        <f>IF(OR(A494&lt;A$3,A494&gt;A$7),"",Crop!U527)</f>
        <v/>
      </c>
      <c r="G494" s="304" t="str">
        <f t="shared" si="110"/>
        <v/>
      </c>
      <c r="H494" s="309" t="str">
        <f>IF(OR(A494&lt;A$3,A494&gt;A$7),"",YTD!E491)</f>
        <v/>
      </c>
      <c r="I494" s="310" t="str">
        <f t="shared" si="111"/>
        <v/>
      </c>
      <c r="J494" s="311"/>
      <c r="K494" s="309" t="str">
        <f t="shared" si="112"/>
        <v/>
      </c>
      <c r="L494" s="312" t="str">
        <f t="shared" si="115"/>
        <v/>
      </c>
      <c r="M494" s="366" t="str">
        <f t="shared" si="116"/>
        <v/>
      </c>
      <c r="N494" s="328" t="str">
        <f t="shared" si="107"/>
        <v/>
      </c>
      <c r="O494" s="313" t="str">
        <f t="shared" si="108"/>
        <v/>
      </c>
      <c r="P494" s="307"/>
      <c r="Q494" s="309">
        <f t="shared" si="117"/>
        <v>0.8</v>
      </c>
      <c r="R494" s="307"/>
      <c r="S494" s="314">
        <f t="shared" si="118"/>
        <v>10</v>
      </c>
      <c r="T494" s="304" t="str">
        <f t="shared" si="113"/>
        <v/>
      </c>
      <c r="U494" s="304" t="str">
        <f>IF(A494=YTD!B$6,E494,IF(OR(A494&lt;YTD!B$6,A494&gt;YTD!B$10),"",U493+E494))</f>
        <v/>
      </c>
      <c r="V494" s="304" t="str">
        <f t="shared" si="119"/>
        <v/>
      </c>
      <c r="W494" s="315" t="e">
        <f>IF(I494="",#N/A,YTD!G$8-I494)</f>
        <v>#N/A</v>
      </c>
      <c r="X494" s="368">
        <f t="shared" si="114"/>
        <v>0</v>
      </c>
      <c r="Y494" s="368">
        <f t="shared" si="120"/>
        <v>6</v>
      </c>
      <c r="Z494" s="368" t="str">
        <f t="shared" si="121"/>
        <v/>
      </c>
      <c r="AA494" s="371"/>
      <c r="AB494" s="372"/>
      <c r="AC494" s="373"/>
      <c r="AD494" s="373"/>
      <c r="AE494" s="373"/>
      <c r="AF494" s="371"/>
      <c r="AG494" s="373"/>
      <c r="AH494" s="2"/>
      <c r="AI494" s="2"/>
      <c r="AJ494" s="2"/>
    </row>
    <row r="495" spans="1:36" x14ac:dyDescent="0.2">
      <c r="A495" s="306">
        <f>Crop!B528</f>
        <v>42119</v>
      </c>
      <c r="B495" s="307"/>
      <c r="C495" s="308"/>
      <c r="D495" s="304" t="str">
        <f>IF(OR($A495&lt;$A$3,$A495&gt;$A$7),"",Crop!$D528)</f>
        <v/>
      </c>
      <c r="E495" s="304" t="str">
        <f t="shared" si="109"/>
        <v/>
      </c>
      <c r="F495" s="304" t="str">
        <f>IF(OR(A495&lt;A$3,A495&gt;A$7),"",Crop!U528)</f>
        <v/>
      </c>
      <c r="G495" s="304" t="str">
        <f t="shared" si="110"/>
        <v/>
      </c>
      <c r="H495" s="309" t="str">
        <f>IF(OR(A495&lt;A$3,A495&gt;A$7),"",YTD!E492)</f>
        <v/>
      </c>
      <c r="I495" s="310" t="str">
        <f t="shared" si="111"/>
        <v/>
      </c>
      <c r="J495" s="311"/>
      <c r="K495" s="309" t="str">
        <f t="shared" si="112"/>
        <v/>
      </c>
      <c r="L495" s="312" t="str">
        <f t="shared" si="115"/>
        <v/>
      </c>
      <c r="M495" s="366" t="str">
        <f t="shared" si="116"/>
        <v/>
      </c>
      <c r="N495" s="328" t="str">
        <f t="shared" si="107"/>
        <v/>
      </c>
      <c r="O495" s="313" t="str">
        <f t="shared" si="108"/>
        <v/>
      </c>
      <c r="P495" s="307"/>
      <c r="Q495" s="309">
        <f t="shared" si="117"/>
        <v>0.8</v>
      </c>
      <c r="R495" s="307"/>
      <c r="S495" s="314">
        <f t="shared" si="118"/>
        <v>10</v>
      </c>
      <c r="T495" s="304" t="str">
        <f t="shared" si="113"/>
        <v/>
      </c>
      <c r="U495" s="304" t="str">
        <f>IF(A495=YTD!B$6,E495,IF(OR(A495&lt;YTD!B$6,A495&gt;YTD!B$10),"",U494+E495))</f>
        <v/>
      </c>
      <c r="V495" s="304" t="str">
        <f t="shared" si="119"/>
        <v/>
      </c>
      <c r="W495" s="315" t="e">
        <f>IF(I495="",#N/A,YTD!G$8-I495)</f>
        <v>#N/A</v>
      </c>
      <c r="X495" s="368">
        <f t="shared" si="114"/>
        <v>0</v>
      </c>
      <c r="Y495" s="368">
        <f t="shared" si="120"/>
        <v>6</v>
      </c>
      <c r="Z495" s="368" t="str">
        <f t="shared" si="121"/>
        <v/>
      </c>
      <c r="AA495" s="371"/>
      <c r="AB495" s="372"/>
      <c r="AC495" s="373"/>
      <c r="AD495" s="373"/>
      <c r="AE495" s="373"/>
      <c r="AF495" s="371"/>
      <c r="AG495" s="373"/>
      <c r="AH495" s="2"/>
      <c r="AI495" s="2"/>
      <c r="AJ495" s="2"/>
    </row>
    <row r="496" spans="1:36" x14ac:dyDescent="0.2">
      <c r="A496" s="306">
        <f>Crop!B529</f>
        <v>42120</v>
      </c>
      <c r="B496" s="307"/>
      <c r="C496" s="308"/>
      <c r="D496" s="304" t="str">
        <f>IF(OR($A496&lt;$A$3,$A496&gt;$A$7),"",Crop!$D529)</f>
        <v/>
      </c>
      <c r="E496" s="304" t="str">
        <f t="shared" si="109"/>
        <v/>
      </c>
      <c r="F496" s="304" t="str">
        <f>IF(OR(A496&lt;A$3,A496&gt;A$7),"",Crop!U529)</f>
        <v/>
      </c>
      <c r="G496" s="304" t="str">
        <f t="shared" si="110"/>
        <v/>
      </c>
      <c r="H496" s="309" t="str">
        <f>IF(OR(A496&lt;A$3,A496&gt;A$7),"",YTD!E493)</f>
        <v/>
      </c>
      <c r="I496" s="310" t="str">
        <f t="shared" si="111"/>
        <v/>
      </c>
      <c r="J496" s="311"/>
      <c r="K496" s="309" t="str">
        <f t="shared" si="112"/>
        <v/>
      </c>
      <c r="L496" s="312" t="str">
        <f t="shared" si="115"/>
        <v/>
      </c>
      <c r="M496" s="366" t="str">
        <f t="shared" si="116"/>
        <v/>
      </c>
      <c r="N496" s="328" t="str">
        <f t="shared" si="107"/>
        <v/>
      </c>
      <c r="O496" s="313" t="str">
        <f t="shared" si="108"/>
        <v/>
      </c>
      <c r="P496" s="307"/>
      <c r="Q496" s="309">
        <f t="shared" si="117"/>
        <v>0.8</v>
      </c>
      <c r="R496" s="307"/>
      <c r="S496" s="314">
        <f t="shared" si="118"/>
        <v>10</v>
      </c>
      <c r="T496" s="304" t="str">
        <f t="shared" si="113"/>
        <v/>
      </c>
      <c r="U496" s="304" t="str">
        <f>IF(A496=YTD!B$6,E496,IF(OR(A496&lt;YTD!B$6,A496&gt;YTD!B$10),"",U495+E496))</f>
        <v/>
      </c>
      <c r="V496" s="304" t="str">
        <f t="shared" si="119"/>
        <v/>
      </c>
      <c r="W496" s="315" t="e">
        <f>IF(I496="",#N/A,YTD!G$8-I496)</f>
        <v>#N/A</v>
      </c>
      <c r="X496" s="368">
        <f t="shared" si="114"/>
        <v>0</v>
      </c>
      <c r="Y496" s="368">
        <f t="shared" si="120"/>
        <v>6</v>
      </c>
      <c r="Z496" s="368" t="str">
        <f t="shared" si="121"/>
        <v/>
      </c>
      <c r="AA496" s="371"/>
      <c r="AB496" s="372"/>
      <c r="AC496" s="373"/>
      <c r="AD496" s="373"/>
      <c r="AE496" s="373"/>
      <c r="AF496" s="371"/>
      <c r="AG496" s="373"/>
      <c r="AH496" s="2"/>
      <c r="AI496" s="2"/>
      <c r="AJ496" s="2"/>
    </row>
    <row r="497" spans="1:36" x14ac:dyDescent="0.2">
      <c r="A497" s="306">
        <f>Crop!B530</f>
        <v>42121</v>
      </c>
      <c r="B497" s="307"/>
      <c r="C497" s="308"/>
      <c r="D497" s="304" t="str">
        <f>IF(OR($A497&lt;$A$3,$A497&gt;$A$7),"",Crop!$D530)</f>
        <v/>
      </c>
      <c r="E497" s="304" t="str">
        <f t="shared" si="109"/>
        <v/>
      </c>
      <c r="F497" s="304" t="str">
        <f>IF(OR(A497&lt;A$3,A497&gt;A$7),"",Crop!U530)</f>
        <v/>
      </c>
      <c r="G497" s="304" t="str">
        <f t="shared" si="110"/>
        <v/>
      </c>
      <c r="H497" s="309" t="str">
        <f>IF(OR(A497&lt;A$3,A497&gt;A$7),"",YTD!E494)</f>
        <v/>
      </c>
      <c r="I497" s="310" t="str">
        <f t="shared" si="111"/>
        <v/>
      </c>
      <c r="J497" s="311"/>
      <c r="K497" s="309" t="str">
        <f t="shared" si="112"/>
        <v/>
      </c>
      <c r="L497" s="312" t="str">
        <f t="shared" si="115"/>
        <v/>
      </c>
      <c r="M497" s="366" t="str">
        <f t="shared" si="116"/>
        <v/>
      </c>
      <c r="N497" s="328" t="str">
        <f t="shared" si="107"/>
        <v/>
      </c>
      <c r="O497" s="313" t="str">
        <f t="shared" si="108"/>
        <v/>
      </c>
      <c r="P497" s="307"/>
      <c r="Q497" s="309">
        <f t="shared" si="117"/>
        <v>0.8</v>
      </c>
      <c r="R497" s="307"/>
      <c r="S497" s="314">
        <f t="shared" si="118"/>
        <v>10</v>
      </c>
      <c r="T497" s="304" t="str">
        <f t="shared" si="113"/>
        <v/>
      </c>
      <c r="U497" s="304" t="str">
        <f>IF(A497=YTD!B$6,E497,IF(OR(A497&lt;YTD!B$6,A497&gt;YTD!B$10),"",U496+E497))</f>
        <v/>
      </c>
      <c r="V497" s="304" t="str">
        <f t="shared" si="119"/>
        <v/>
      </c>
      <c r="W497" s="315" t="e">
        <f>IF(I497="",#N/A,YTD!G$8-I497)</f>
        <v>#N/A</v>
      </c>
      <c r="X497" s="368">
        <f t="shared" si="114"/>
        <v>0</v>
      </c>
      <c r="Y497" s="368">
        <f t="shared" si="120"/>
        <v>6</v>
      </c>
      <c r="Z497" s="368" t="str">
        <f t="shared" si="121"/>
        <v/>
      </c>
      <c r="AA497" s="371"/>
      <c r="AB497" s="372"/>
      <c r="AC497" s="373"/>
      <c r="AD497" s="373"/>
      <c r="AE497" s="373"/>
      <c r="AF497" s="371"/>
      <c r="AG497" s="373"/>
      <c r="AH497" s="2"/>
      <c r="AI497" s="2"/>
      <c r="AJ497" s="2"/>
    </row>
    <row r="498" spans="1:36" x14ac:dyDescent="0.2">
      <c r="A498" s="306">
        <f>Crop!B531</f>
        <v>42122</v>
      </c>
      <c r="B498" s="307"/>
      <c r="C498" s="308"/>
      <c r="D498" s="304" t="str">
        <f>IF(OR($A498&lt;$A$3,$A498&gt;$A$7),"",Crop!$D531)</f>
        <v/>
      </c>
      <c r="E498" s="304" t="str">
        <f t="shared" si="109"/>
        <v/>
      </c>
      <c r="F498" s="304" t="str">
        <f>IF(OR(A498&lt;A$3,A498&gt;A$7),"",Crop!U531)</f>
        <v/>
      </c>
      <c r="G498" s="304" t="str">
        <f t="shared" si="110"/>
        <v/>
      </c>
      <c r="H498" s="309" t="str">
        <f>IF(OR(A498&lt;A$3,A498&gt;A$7),"",YTD!E495)</f>
        <v/>
      </c>
      <c r="I498" s="310" t="str">
        <f t="shared" si="111"/>
        <v/>
      </c>
      <c r="J498" s="311"/>
      <c r="K498" s="309" t="str">
        <f t="shared" si="112"/>
        <v/>
      </c>
      <c r="L498" s="312" t="str">
        <f t="shared" si="115"/>
        <v/>
      </c>
      <c r="M498" s="366" t="str">
        <f t="shared" si="116"/>
        <v/>
      </c>
      <c r="N498" s="328" t="str">
        <f t="shared" si="107"/>
        <v/>
      </c>
      <c r="O498" s="313" t="str">
        <f t="shared" si="108"/>
        <v/>
      </c>
      <c r="P498" s="307"/>
      <c r="Q498" s="309">
        <f t="shared" si="117"/>
        <v>0.8</v>
      </c>
      <c r="R498" s="307"/>
      <c r="S498" s="314">
        <f t="shared" si="118"/>
        <v>10</v>
      </c>
      <c r="T498" s="304" t="str">
        <f t="shared" si="113"/>
        <v/>
      </c>
      <c r="U498" s="304" t="str">
        <f>IF(A498=YTD!B$6,E498,IF(OR(A498&lt;YTD!B$6,A498&gt;YTD!B$10),"",U497+E498))</f>
        <v/>
      </c>
      <c r="V498" s="304" t="str">
        <f t="shared" si="119"/>
        <v/>
      </c>
      <c r="W498" s="315" t="e">
        <f>IF(I498="",#N/A,YTD!G$8-I498)</f>
        <v>#N/A</v>
      </c>
      <c r="X498" s="368">
        <f t="shared" si="114"/>
        <v>0</v>
      </c>
      <c r="Y498" s="368">
        <f t="shared" si="120"/>
        <v>6</v>
      </c>
      <c r="Z498" s="368" t="str">
        <f t="shared" si="121"/>
        <v/>
      </c>
      <c r="AA498" s="371"/>
      <c r="AB498" s="372"/>
      <c r="AC498" s="373"/>
      <c r="AD498" s="373"/>
      <c r="AE498" s="373"/>
      <c r="AF498" s="371"/>
      <c r="AG498" s="373"/>
      <c r="AH498" s="2"/>
      <c r="AI498" s="2"/>
      <c r="AJ498" s="2"/>
    </row>
    <row r="499" spans="1:36" x14ac:dyDescent="0.2">
      <c r="A499" s="306">
        <f>Crop!B532</f>
        <v>42123</v>
      </c>
      <c r="B499" s="307"/>
      <c r="C499" s="308"/>
      <c r="D499" s="304" t="str">
        <f>IF(OR($A499&lt;$A$3,$A499&gt;$A$7),"",Crop!$D532)</f>
        <v/>
      </c>
      <c r="E499" s="304" t="str">
        <f t="shared" si="109"/>
        <v/>
      </c>
      <c r="F499" s="304" t="str">
        <f>IF(OR(A499&lt;A$3,A499&gt;A$7),"",Crop!U532)</f>
        <v/>
      </c>
      <c r="G499" s="304" t="str">
        <f t="shared" si="110"/>
        <v/>
      </c>
      <c r="H499" s="309" t="str">
        <f>IF(OR(A499&lt;A$3,A499&gt;A$7),"",YTD!E496)</f>
        <v/>
      </c>
      <c r="I499" s="310" t="str">
        <f t="shared" si="111"/>
        <v/>
      </c>
      <c r="J499" s="311"/>
      <c r="K499" s="309" t="str">
        <f t="shared" si="112"/>
        <v/>
      </c>
      <c r="L499" s="312" t="str">
        <f t="shared" si="115"/>
        <v/>
      </c>
      <c r="M499" s="366" t="str">
        <f t="shared" si="116"/>
        <v/>
      </c>
      <c r="N499" s="328" t="str">
        <f t="shared" si="107"/>
        <v/>
      </c>
      <c r="O499" s="313" t="str">
        <f t="shared" si="108"/>
        <v/>
      </c>
      <c r="P499" s="307"/>
      <c r="Q499" s="309">
        <f t="shared" si="117"/>
        <v>0.8</v>
      </c>
      <c r="R499" s="307"/>
      <c r="S499" s="314">
        <f t="shared" si="118"/>
        <v>10</v>
      </c>
      <c r="T499" s="304" t="str">
        <f t="shared" si="113"/>
        <v/>
      </c>
      <c r="U499" s="304" t="str">
        <f>IF(A499=YTD!B$6,E499,IF(OR(A499&lt;YTD!B$6,A499&gt;YTD!B$10),"",U498+E499))</f>
        <v/>
      </c>
      <c r="V499" s="304" t="str">
        <f t="shared" si="119"/>
        <v/>
      </c>
      <c r="W499" s="315" t="e">
        <f>IF(I499="",#N/A,YTD!G$8-I499)</f>
        <v>#N/A</v>
      </c>
      <c r="X499" s="368">
        <f t="shared" si="114"/>
        <v>0</v>
      </c>
      <c r="Y499" s="368">
        <f t="shared" si="120"/>
        <v>6</v>
      </c>
      <c r="Z499" s="368" t="str">
        <f t="shared" si="121"/>
        <v/>
      </c>
      <c r="AA499" s="371"/>
      <c r="AB499" s="372"/>
      <c r="AC499" s="373"/>
      <c r="AD499" s="373"/>
      <c r="AE499" s="373"/>
      <c r="AF499" s="371"/>
      <c r="AG499" s="373"/>
      <c r="AH499" s="2"/>
      <c r="AI499" s="2"/>
      <c r="AJ499" s="2"/>
    </row>
    <row r="500" spans="1:36" x14ac:dyDescent="0.2">
      <c r="A500" s="306">
        <f>Crop!B533</f>
        <v>42124</v>
      </c>
      <c r="B500" s="307"/>
      <c r="C500" s="308"/>
      <c r="D500" s="304" t="str">
        <f>IF(OR($A500&lt;$A$3,$A500&gt;$A$7),"",Crop!$D533)</f>
        <v/>
      </c>
      <c r="E500" s="304" t="str">
        <f t="shared" si="109"/>
        <v/>
      </c>
      <c r="F500" s="304" t="str">
        <f>IF(OR(A500&lt;A$3,A500&gt;A$7),"",Crop!U533)</f>
        <v/>
      </c>
      <c r="G500" s="304" t="str">
        <f t="shared" si="110"/>
        <v/>
      </c>
      <c r="H500" s="309" t="str">
        <f>IF(OR(A500&lt;A$3,A500&gt;A$7),"",YTD!E497)</f>
        <v/>
      </c>
      <c r="I500" s="310" t="str">
        <f t="shared" si="111"/>
        <v/>
      </c>
      <c r="J500" s="311"/>
      <c r="K500" s="309" t="str">
        <f t="shared" si="112"/>
        <v/>
      </c>
      <c r="L500" s="312" t="str">
        <f t="shared" si="115"/>
        <v/>
      </c>
      <c r="M500" s="366" t="str">
        <f t="shared" si="116"/>
        <v/>
      </c>
      <c r="N500" s="328" t="str">
        <f t="shared" si="107"/>
        <v/>
      </c>
      <c r="O500" s="313" t="str">
        <f t="shared" si="108"/>
        <v/>
      </c>
      <c r="P500" s="307"/>
      <c r="Q500" s="309">
        <f t="shared" si="117"/>
        <v>0.8</v>
      </c>
      <c r="R500" s="307"/>
      <c r="S500" s="314">
        <f t="shared" si="118"/>
        <v>10</v>
      </c>
      <c r="T500" s="304" t="str">
        <f t="shared" si="113"/>
        <v/>
      </c>
      <c r="U500" s="304" t="str">
        <f>IF(A500=YTD!B$6,E500,IF(OR(A500&lt;YTD!B$6,A500&gt;YTD!B$10),"",U499+E500))</f>
        <v/>
      </c>
      <c r="V500" s="304" t="str">
        <f t="shared" si="119"/>
        <v/>
      </c>
      <c r="W500" s="315" t="e">
        <f>IF(I500="",#N/A,YTD!G$8-I500)</f>
        <v>#N/A</v>
      </c>
      <c r="X500" s="368">
        <f t="shared" si="114"/>
        <v>0</v>
      </c>
      <c r="Y500" s="368">
        <f t="shared" si="120"/>
        <v>6</v>
      </c>
      <c r="Z500" s="368" t="str">
        <f t="shared" si="121"/>
        <v/>
      </c>
      <c r="AA500" s="371"/>
      <c r="AB500" s="372"/>
      <c r="AC500" s="373"/>
      <c r="AD500" s="373"/>
      <c r="AE500" s="373"/>
      <c r="AF500" s="371"/>
      <c r="AG500" s="373"/>
      <c r="AH500" s="2"/>
      <c r="AI500" s="2"/>
      <c r="AJ500" s="2"/>
    </row>
    <row r="501" spans="1:36" x14ac:dyDescent="0.2">
      <c r="A501" s="306">
        <f>Crop!B534</f>
        <v>42125</v>
      </c>
      <c r="B501" s="307"/>
      <c r="C501" s="308"/>
      <c r="D501" s="304" t="str">
        <f>IF(OR($A501&lt;$A$3,$A501&gt;$A$7),"",Crop!$D534)</f>
        <v/>
      </c>
      <c r="E501" s="304" t="str">
        <f t="shared" si="109"/>
        <v/>
      </c>
      <c r="F501" s="304" t="str">
        <f>IF(OR(A501&lt;A$3,A501&gt;A$7),"",Crop!U534)</f>
        <v/>
      </c>
      <c r="G501" s="304" t="str">
        <f t="shared" si="110"/>
        <v/>
      </c>
      <c r="H501" s="309" t="str">
        <f>IF(OR(A501&lt;A$3,A501&gt;A$7),"",YTD!E498)</f>
        <v/>
      </c>
      <c r="I501" s="310" t="str">
        <f t="shared" si="111"/>
        <v/>
      </c>
      <c r="J501" s="311"/>
      <c r="K501" s="309" t="str">
        <f t="shared" si="112"/>
        <v/>
      </c>
      <c r="L501" s="312" t="str">
        <f t="shared" si="115"/>
        <v/>
      </c>
      <c r="M501" s="366" t="str">
        <f t="shared" si="116"/>
        <v/>
      </c>
      <c r="N501" s="328" t="str">
        <f t="shared" si="107"/>
        <v/>
      </c>
      <c r="O501" s="313" t="str">
        <f t="shared" si="108"/>
        <v/>
      </c>
      <c r="P501" s="307"/>
      <c r="Q501" s="309">
        <f t="shared" si="117"/>
        <v>0.8</v>
      </c>
      <c r="R501" s="307"/>
      <c r="S501" s="314">
        <f t="shared" si="118"/>
        <v>10</v>
      </c>
      <c r="T501" s="304" t="str">
        <f t="shared" si="113"/>
        <v/>
      </c>
      <c r="U501" s="304" t="str">
        <f>IF(A501=YTD!B$6,E501,IF(OR(A501&lt;YTD!B$6,A501&gt;YTD!B$10),"",U500+E501))</f>
        <v/>
      </c>
      <c r="V501" s="304" t="str">
        <f t="shared" si="119"/>
        <v/>
      </c>
      <c r="W501" s="315" t="e">
        <f>IF(I501="",#N/A,YTD!G$8-I501)</f>
        <v>#N/A</v>
      </c>
      <c r="X501" s="368">
        <f t="shared" si="114"/>
        <v>0</v>
      </c>
      <c r="Y501" s="368">
        <f t="shared" si="120"/>
        <v>6</v>
      </c>
      <c r="Z501" s="368" t="str">
        <f t="shared" si="121"/>
        <v/>
      </c>
      <c r="AA501" s="371"/>
      <c r="AB501" s="372"/>
      <c r="AC501" s="373"/>
      <c r="AD501" s="373"/>
      <c r="AE501" s="373"/>
      <c r="AF501" s="371"/>
      <c r="AG501" s="373"/>
      <c r="AH501" s="2"/>
      <c r="AI501" s="2"/>
      <c r="AJ501" s="2"/>
    </row>
    <row r="502" spans="1:36" x14ac:dyDescent="0.2">
      <c r="A502" s="306">
        <f>Crop!B535</f>
        <v>42126</v>
      </c>
      <c r="B502" s="307"/>
      <c r="C502" s="308"/>
      <c r="D502" s="304" t="str">
        <f>IF(OR($A502&lt;$A$3,$A502&gt;$A$7),"",Crop!$D535)</f>
        <v/>
      </c>
      <c r="E502" s="304" t="str">
        <f t="shared" si="109"/>
        <v/>
      </c>
      <c r="F502" s="304" t="str">
        <f>IF(OR(A502&lt;A$3,A502&gt;A$7),"",Crop!U535)</f>
        <v/>
      </c>
      <c r="G502" s="304" t="str">
        <f t="shared" si="110"/>
        <v/>
      </c>
      <c r="H502" s="309" t="str">
        <f>IF(OR(A502&lt;A$3,A502&gt;A$7),"",YTD!E499)</f>
        <v/>
      </c>
      <c r="I502" s="310" t="str">
        <f t="shared" si="111"/>
        <v/>
      </c>
      <c r="J502" s="311"/>
      <c r="K502" s="309" t="str">
        <f t="shared" si="112"/>
        <v/>
      </c>
      <c r="L502" s="312" t="str">
        <f t="shared" si="115"/>
        <v/>
      </c>
      <c r="M502" s="366" t="str">
        <f t="shared" si="116"/>
        <v/>
      </c>
      <c r="N502" s="328" t="str">
        <f t="shared" si="107"/>
        <v/>
      </c>
      <c r="O502" s="313" t="str">
        <f t="shared" si="108"/>
        <v/>
      </c>
      <c r="P502" s="307"/>
      <c r="Q502" s="309">
        <f t="shared" si="117"/>
        <v>0.8</v>
      </c>
      <c r="R502" s="307"/>
      <c r="S502" s="314">
        <f t="shared" si="118"/>
        <v>10</v>
      </c>
      <c r="T502" s="304" t="str">
        <f t="shared" si="113"/>
        <v/>
      </c>
      <c r="U502" s="304" t="str">
        <f>IF(A502=YTD!B$6,E502,IF(OR(A502&lt;YTD!B$6,A502&gt;YTD!B$10),"",U501+E502))</f>
        <v/>
      </c>
      <c r="V502" s="304" t="str">
        <f t="shared" si="119"/>
        <v/>
      </c>
      <c r="W502" s="315" t="e">
        <f>IF(I502="",#N/A,YTD!G$8-I502)</f>
        <v>#N/A</v>
      </c>
      <c r="X502" s="368">
        <f t="shared" si="114"/>
        <v>0</v>
      </c>
      <c r="Y502" s="368">
        <f t="shared" si="120"/>
        <v>6</v>
      </c>
      <c r="Z502" s="368" t="str">
        <f t="shared" si="121"/>
        <v/>
      </c>
      <c r="AA502" s="371"/>
      <c r="AB502" s="372"/>
      <c r="AC502" s="373"/>
      <c r="AD502" s="373"/>
      <c r="AE502" s="373"/>
      <c r="AF502" s="371"/>
      <c r="AG502" s="373"/>
      <c r="AH502" s="2"/>
      <c r="AI502" s="2"/>
      <c r="AJ502" s="2"/>
    </row>
    <row r="503" spans="1:36" x14ac:dyDescent="0.2">
      <c r="A503" s="306">
        <f>Crop!B536</f>
        <v>42127</v>
      </c>
      <c r="B503" s="307"/>
      <c r="C503" s="308"/>
      <c r="D503" s="304" t="str">
        <f>IF(OR($A503&lt;$A$3,$A503&gt;$A$7),"",Crop!$D536)</f>
        <v/>
      </c>
      <c r="E503" s="304" t="str">
        <f t="shared" si="109"/>
        <v/>
      </c>
      <c r="F503" s="304" t="str">
        <f>IF(OR(A503&lt;A$3,A503&gt;A$7),"",Crop!U536)</f>
        <v/>
      </c>
      <c r="G503" s="304" t="str">
        <f t="shared" si="110"/>
        <v/>
      </c>
      <c r="H503" s="309" t="str">
        <f>IF(OR(A503&lt;A$3,A503&gt;A$7),"",YTD!E500)</f>
        <v/>
      </c>
      <c r="I503" s="310" t="str">
        <f t="shared" si="111"/>
        <v/>
      </c>
      <c r="J503" s="311"/>
      <c r="K503" s="309" t="str">
        <f t="shared" si="112"/>
        <v/>
      </c>
      <c r="L503" s="312" t="str">
        <f t="shared" si="115"/>
        <v/>
      </c>
      <c r="M503" s="366" t="str">
        <f t="shared" si="116"/>
        <v/>
      </c>
      <c r="N503" s="328" t="str">
        <f t="shared" si="107"/>
        <v/>
      </c>
      <c r="O503" s="313" t="str">
        <f t="shared" si="108"/>
        <v/>
      </c>
      <c r="P503" s="307"/>
      <c r="Q503" s="309">
        <f t="shared" si="117"/>
        <v>0.8</v>
      </c>
      <c r="R503" s="307"/>
      <c r="S503" s="314">
        <f t="shared" si="118"/>
        <v>10</v>
      </c>
      <c r="T503" s="304" t="str">
        <f t="shared" si="113"/>
        <v/>
      </c>
      <c r="U503" s="304" t="str">
        <f>IF(A503=YTD!B$6,E503,IF(OR(A503&lt;YTD!B$6,A503&gt;YTD!B$10),"",U502+E503))</f>
        <v/>
      </c>
      <c r="V503" s="304" t="str">
        <f t="shared" si="119"/>
        <v/>
      </c>
      <c r="W503" s="315" t="e">
        <f>IF(I503="",#N/A,YTD!G$8-I503)</f>
        <v>#N/A</v>
      </c>
      <c r="X503" s="368">
        <f t="shared" si="114"/>
        <v>0</v>
      </c>
      <c r="Y503" s="368">
        <f t="shared" si="120"/>
        <v>6</v>
      </c>
      <c r="Z503" s="368" t="str">
        <f t="shared" si="121"/>
        <v/>
      </c>
      <c r="AA503" s="371"/>
      <c r="AB503" s="372"/>
      <c r="AC503" s="373"/>
      <c r="AD503" s="373"/>
      <c r="AE503" s="373"/>
      <c r="AF503" s="371"/>
      <c r="AG503" s="373"/>
      <c r="AH503" s="2"/>
      <c r="AI503" s="2"/>
      <c r="AJ503" s="2"/>
    </row>
    <row r="504" spans="1:36" x14ac:dyDescent="0.2">
      <c r="A504" s="306">
        <f>Crop!B537</f>
        <v>42128</v>
      </c>
      <c r="B504" s="307"/>
      <c r="C504" s="308"/>
      <c r="D504" s="304" t="str">
        <f>IF(OR($A504&lt;$A$3,$A504&gt;$A$7),"",Crop!$D537)</f>
        <v/>
      </c>
      <c r="E504" s="304" t="str">
        <f t="shared" si="109"/>
        <v/>
      </c>
      <c r="F504" s="304" t="str">
        <f>IF(OR(A504&lt;A$3,A504&gt;A$7),"",Crop!U537)</f>
        <v/>
      </c>
      <c r="G504" s="304" t="str">
        <f t="shared" si="110"/>
        <v/>
      </c>
      <c r="H504" s="309" t="str">
        <f>IF(OR(A504&lt;A$3,A504&gt;A$7),"",YTD!E501)</f>
        <v/>
      </c>
      <c r="I504" s="310" t="str">
        <f t="shared" si="111"/>
        <v/>
      </c>
      <c r="J504" s="311"/>
      <c r="K504" s="309" t="str">
        <f t="shared" si="112"/>
        <v/>
      </c>
      <c r="L504" s="312" t="str">
        <f t="shared" si="115"/>
        <v/>
      </c>
      <c r="M504" s="366" t="str">
        <f t="shared" si="116"/>
        <v/>
      </c>
      <c r="N504" s="328" t="str">
        <f t="shared" si="107"/>
        <v/>
      </c>
      <c r="O504" s="313" t="str">
        <f t="shared" si="108"/>
        <v/>
      </c>
      <c r="P504" s="307"/>
      <c r="Q504" s="309">
        <f t="shared" si="117"/>
        <v>0.8</v>
      </c>
      <c r="R504" s="307"/>
      <c r="S504" s="314">
        <f t="shared" si="118"/>
        <v>10</v>
      </c>
      <c r="T504" s="304" t="str">
        <f t="shared" si="113"/>
        <v/>
      </c>
      <c r="U504" s="304" t="str">
        <f>IF(A504=YTD!B$6,E504,IF(OR(A504&lt;YTD!B$6,A504&gt;YTD!B$10),"",U503+E504))</f>
        <v/>
      </c>
      <c r="V504" s="304" t="str">
        <f t="shared" si="119"/>
        <v/>
      </c>
      <c r="W504" s="315" t="e">
        <f>IF(I504="",#N/A,YTD!G$8-I504)</f>
        <v>#N/A</v>
      </c>
      <c r="X504" s="368">
        <f t="shared" si="114"/>
        <v>0</v>
      </c>
      <c r="Y504" s="368">
        <f t="shared" si="120"/>
        <v>6</v>
      </c>
      <c r="Z504" s="368" t="str">
        <f t="shared" si="121"/>
        <v/>
      </c>
      <c r="AA504" s="371"/>
      <c r="AB504" s="372"/>
      <c r="AC504" s="373"/>
      <c r="AD504" s="373"/>
      <c r="AE504" s="373"/>
      <c r="AF504" s="371"/>
      <c r="AG504" s="373"/>
      <c r="AH504" s="2"/>
      <c r="AI504" s="2"/>
      <c r="AJ504" s="2"/>
    </row>
    <row r="505" spans="1:36" x14ac:dyDescent="0.2">
      <c r="A505" s="306">
        <f>Crop!B538</f>
        <v>42129</v>
      </c>
      <c r="B505" s="307"/>
      <c r="C505" s="308"/>
      <c r="D505" s="304" t="str">
        <f>IF(OR($A505&lt;$A$3,$A505&gt;$A$7),"",Crop!$D538)</f>
        <v/>
      </c>
      <c r="E505" s="304" t="str">
        <f t="shared" si="109"/>
        <v/>
      </c>
      <c r="F505" s="304" t="str">
        <f>IF(OR(A505&lt;A$3,A505&gt;A$7),"",Crop!U538)</f>
        <v/>
      </c>
      <c r="G505" s="304" t="str">
        <f t="shared" si="110"/>
        <v/>
      </c>
      <c r="H505" s="309" t="str">
        <f>IF(OR(A505&lt;A$3,A505&gt;A$7),"",YTD!E502)</f>
        <v/>
      </c>
      <c r="I505" s="310" t="str">
        <f t="shared" si="111"/>
        <v/>
      </c>
      <c r="J505" s="311"/>
      <c r="K505" s="309" t="str">
        <f t="shared" si="112"/>
        <v/>
      </c>
      <c r="L505" s="312" t="str">
        <f t="shared" si="115"/>
        <v/>
      </c>
      <c r="M505" s="366" t="str">
        <f t="shared" si="116"/>
        <v/>
      </c>
      <c r="N505" s="328" t="str">
        <f t="shared" si="107"/>
        <v/>
      </c>
      <c r="O505" s="313" t="str">
        <f t="shared" si="108"/>
        <v/>
      </c>
      <c r="P505" s="307"/>
      <c r="Q505" s="309">
        <f t="shared" si="117"/>
        <v>0.8</v>
      </c>
      <c r="R505" s="307"/>
      <c r="S505" s="314">
        <f t="shared" si="118"/>
        <v>10</v>
      </c>
      <c r="T505" s="304" t="str">
        <f t="shared" si="113"/>
        <v/>
      </c>
      <c r="U505" s="304" t="str">
        <f>IF(A505=YTD!B$6,E505,IF(OR(A505&lt;YTD!B$6,A505&gt;YTD!B$10),"",U504+E505))</f>
        <v/>
      </c>
      <c r="V505" s="304" t="str">
        <f t="shared" si="119"/>
        <v/>
      </c>
      <c r="W505" s="315" t="e">
        <f>IF(I505="",#N/A,YTD!G$8-I505)</f>
        <v>#N/A</v>
      </c>
      <c r="X505" s="368">
        <f t="shared" si="114"/>
        <v>0</v>
      </c>
      <c r="Y505" s="368">
        <f t="shared" si="120"/>
        <v>6</v>
      </c>
      <c r="Z505" s="368" t="str">
        <f t="shared" si="121"/>
        <v/>
      </c>
      <c r="AA505" s="371"/>
      <c r="AB505" s="372"/>
      <c r="AC505" s="373"/>
      <c r="AD505" s="373"/>
      <c r="AE505" s="373"/>
      <c r="AF505" s="371"/>
      <c r="AG505" s="373"/>
      <c r="AH505" s="2"/>
      <c r="AI505" s="2"/>
      <c r="AJ505" s="2"/>
    </row>
    <row r="506" spans="1:36" x14ac:dyDescent="0.2">
      <c r="A506" s="306">
        <f>Crop!B539</f>
        <v>42130</v>
      </c>
      <c r="B506" s="307"/>
      <c r="C506" s="308"/>
      <c r="D506" s="304" t="str">
        <f>IF(OR($A506&lt;$A$3,$A506&gt;$A$7),"",Crop!$D539)</f>
        <v/>
      </c>
      <c r="E506" s="304" t="str">
        <f t="shared" si="109"/>
        <v/>
      </c>
      <c r="F506" s="304" t="str">
        <f>IF(OR(A506&lt;A$3,A506&gt;A$7),"",Crop!U539)</f>
        <v/>
      </c>
      <c r="G506" s="304" t="str">
        <f t="shared" si="110"/>
        <v/>
      </c>
      <c r="H506" s="309" t="str">
        <f>IF(OR(A506&lt;A$3,A506&gt;A$7),"",YTD!E503)</f>
        <v/>
      </c>
      <c r="I506" s="310" t="str">
        <f t="shared" si="111"/>
        <v/>
      </c>
      <c r="J506" s="311"/>
      <c r="K506" s="309" t="str">
        <f t="shared" si="112"/>
        <v/>
      </c>
      <c r="L506" s="312" t="str">
        <f t="shared" si="115"/>
        <v/>
      </c>
      <c r="M506" s="366" t="str">
        <f t="shared" si="116"/>
        <v/>
      </c>
      <c r="N506" s="328" t="str">
        <f t="shared" si="107"/>
        <v/>
      </c>
      <c r="O506" s="313" t="str">
        <f t="shared" si="108"/>
        <v/>
      </c>
      <c r="P506" s="307"/>
      <c r="Q506" s="309">
        <f t="shared" si="117"/>
        <v>0.8</v>
      </c>
      <c r="R506" s="307"/>
      <c r="S506" s="314">
        <f t="shared" si="118"/>
        <v>10</v>
      </c>
      <c r="T506" s="304" t="str">
        <f t="shared" si="113"/>
        <v/>
      </c>
      <c r="U506" s="304" t="str">
        <f>IF(A506=YTD!B$6,E506,IF(OR(A506&lt;YTD!B$6,A506&gt;YTD!B$10),"",U505+E506))</f>
        <v/>
      </c>
      <c r="V506" s="304" t="str">
        <f t="shared" si="119"/>
        <v/>
      </c>
      <c r="W506" s="315" t="e">
        <f>IF(I506="",#N/A,YTD!G$8-I506)</f>
        <v>#N/A</v>
      </c>
      <c r="X506" s="368">
        <f t="shared" si="114"/>
        <v>0</v>
      </c>
      <c r="Y506" s="368">
        <f t="shared" si="120"/>
        <v>6</v>
      </c>
      <c r="Z506" s="368" t="str">
        <f t="shared" si="121"/>
        <v/>
      </c>
      <c r="AA506" s="371"/>
      <c r="AB506" s="372"/>
      <c r="AC506" s="373"/>
      <c r="AD506" s="373"/>
      <c r="AE506" s="373"/>
      <c r="AF506" s="371"/>
      <c r="AG506" s="373"/>
      <c r="AH506" s="2"/>
      <c r="AI506" s="2"/>
      <c r="AJ506" s="2"/>
    </row>
    <row r="507" spans="1:36" x14ac:dyDescent="0.2">
      <c r="A507" s="306">
        <f>Crop!B540</f>
        <v>42131</v>
      </c>
      <c r="B507" s="307"/>
      <c r="C507" s="308"/>
      <c r="D507" s="304" t="str">
        <f>IF(OR($A507&lt;$A$3,$A507&gt;$A$7),"",Crop!$D540)</f>
        <v/>
      </c>
      <c r="E507" s="304" t="str">
        <f t="shared" si="109"/>
        <v/>
      </c>
      <c r="F507" s="304" t="str">
        <f>IF(OR(A507&lt;A$3,A507&gt;A$7),"",Crop!U540)</f>
        <v/>
      </c>
      <c r="G507" s="304" t="str">
        <f t="shared" si="110"/>
        <v/>
      </c>
      <c r="H507" s="309" t="str">
        <f>IF(OR(A507&lt;A$3,A507&gt;A$7),"",YTD!E504)</f>
        <v/>
      </c>
      <c r="I507" s="310" t="str">
        <f t="shared" si="111"/>
        <v/>
      </c>
      <c r="J507" s="311"/>
      <c r="K507" s="309" t="str">
        <f t="shared" si="112"/>
        <v/>
      </c>
      <c r="L507" s="312" t="str">
        <f t="shared" si="115"/>
        <v/>
      </c>
      <c r="M507" s="366" t="str">
        <f t="shared" si="116"/>
        <v/>
      </c>
      <c r="N507" s="328" t="str">
        <f t="shared" si="107"/>
        <v/>
      </c>
      <c r="O507" s="313" t="str">
        <f t="shared" si="108"/>
        <v/>
      </c>
      <c r="P507" s="307"/>
      <c r="Q507" s="309">
        <f t="shared" si="117"/>
        <v>0.8</v>
      </c>
      <c r="R507" s="307"/>
      <c r="S507" s="314">
        <f t="shared" si="118"/>
        <v>10</v>
      </c>
      <c r="T507" s="304" t="str">
        <f t="shared" si="113"/>
        <v/>
      </c>
      <c r="U507" s="304" t="str">
        <f>IF(A507=YTD!B$6,E507,IF(OR(A507&lt;YTD!B$6,A507&gt;YTD!B$10),"",U506+E507))</f>
        <v/>
      </c>
      <c r="V507" s="304" t="str">
        <f t="shared" si="119"/>
        <v/>
      </c>
      <c r="W507" s="315" t="e">
        <f>IF(I507="",#N/A,YTD!G$8-I507)</f>
        <v>#N/A</v>
      </c>
      <c r="X507" s="368">
        <f t="shared" si="114"/>
        <v>0</v>
      </c>
      <c r="Y507" s="368">
        <f t="shared" si="120"/>
        <v>6</v>
      </c>
      <c r="Z507" s="368" t="str">
        <f t="shared" si="121"/>
        <v/>
      </c>
      <c r="AA507" s="371"/>
      <c r="AB507" s="372"/>
      <c r="AC507" s="373"/>
      <c r="AD507" s="373"/>
      <c r="AE507" s="373"/>
      <c r="AF507" s="371"/>
      <c r="AG507" s="373"/>
      <c r="AH507" s="2"/>
      <c r="AI507" s="2"/>
      <c r="AJ507" s="2"/>
    </row>
    <row r="508" spans="1:36" x14ac:dyDescent="0.2">
      <c r="A508" s="306">
        <f>Crop!B541</f>
        <v>42132</v>
      </c>
      <c r="B508" s="307"/>
      <c r="C508" s="308"/>
      <c r="D508" s="304" t="str">
        <f>IF(OR($A508&lt;$A$3,$A508&gt;$A$7),"",Crop!$D541)</f>
        <v/>
      </c>
      <c r="E508" s="304" t="str">
        <f t="shared" si="109"/>
        <v/>
      </c>
      <c r="F508" s="304" t="str">
        <f>IF(OR(A508&lt;A$3,A508&gt;A$7),"",Crop!U541)</f>
        <v/>
      </c>
      <c r="G508" s="304" t="str">
        <f t="shared" si="110"/>
        <v/>
      </c>
      <c r="H508" s="309" t="str">
        <f>IF(OR(A508&lt;A$3,A508&gt;A$7),"",YTD!E505)</f>
        <v/>
      </c>
      <c r="I508" s="310" t="str">
        <f t="shared" si="111"/>
        <v/>
      </c>
      <c r="J508" s="311"/>
      <c r="K508" s="309" t="str">
        <f t="shared" si="112"/>
        <v/>
      </c>
      <c r="L508" s="312" t="str">
        <f t="shared" si="115"/>
        <v/>
      </c>
      <c r="M508" s="366" t="str">
        <f t="shared" si="116"/>
        <v/>
      </c>
      <c r="N508" s="328" t="str">
        <f t="shared" ref="N508:N571" si="122">IF(L508="","",INT(M508/S508))</f>
        <v/>
      </c>
      <c r="O508" s="313" t="str">
        <f t="shared" ref="O508:O571" si="123">IF(N508="","",MOD(M508/S508,N508)*60)</f>
        <v/>
      </c>
      <c r="P508" s="307"/>
      <c r="Q508" s="309">
        <f t="shared" si="117"/>
        <v>0.8</v>
      </c>
      <c r="R508" s="307"/>
      <c r="S508" s="314">
        <f t="shared" si="118"/>
        <v>10</v>
      </c>
      <c r="T508" s="304" t="str">
        <f t="shared" si="113"/>
        <v/>
      </c>
      <c r="U508" s="304" t="str">
        <f>IF(A508=YTD!B$6,E508,IF(OR(A508&lt;YTD!B$6,A508&gt;YTD!B$10),"",U507+E508))</f>
        <v/>
      </c>
      <c r="V508" s="304" t="str">
        <f t="shared" si="119"/>
        <v/>
      </c>
      <c r="W508" s="315" t="e">
        <f>IF(I508="",#N/A,YTD!G$8-I508)</f>
        <v>#N/A</v>
      </c>
      <c r="X508" s="368">
        <f t="shared" si="114"/>
        <v>0</v>
      </c>
      <c r="Y508" s="368">
        <f t="shared" si="120"/>
        <v>6</v>
      </c>
      <c r="Z508" s="368" t="str">
        <f t="shared" si="121"/>
        <v/>
      </c>
      <c r="AA508" s="371"/>
      <c r="AB508" s="372"/>
      <c r="AC508" s="373"/>
      <c r="AD508" s="373"/>
      <c r="AE508" s="373"/>
      <c r="AF508" s="371"/>
      <c r="AG508" s="373"/>
      <c r="AH508" s="2"/>
      <c r="AI508" s="2"/>
      <c r="AJ508" s="2"/>
    </row>
    <row r="509" spans="1:36" x14ac:dyDescent="0.2">
      <c r="A509" s="306">
        <f>Crop!B542</f>
        <v>42133</v>
      </c>
      <c r="B509" s="307"/>
      <c r="C509" s="308"/>
      <c r="D509" s="304" t="str">
        <f>IF(OR($A509&lt;$A$3,$A509&gt;$A$7),"",Crop!$D542)</f>
        <v/>
      </c>
      <c r="E509" s="304" t="str">
        <f t="shared" si="109"/>
        <v/>
      </c>
      <c r="F509" s="304" t="str">
        <f>IF(OR(A509&lt;A$3,A509&gt;A$7),"",Crop!U542)</f>
        <v/>
      </c>
      <c r="G509" s="304" t="str">
        <f t="shared" si="110"/>
        <v/>
      </c>
      <c r="H509" s="309" t="str">
        <f>IF(OR(A509&lt;A$3,A509&gt;A$7),"",YTD!E506)</f>
        <v/>
      </c>
      <c r="I509" s="310" t="str">
        <f t="shared" si="111"/>
        <v/>
      </c>
      <c r="J509" s="311"/>
      <c r="K509" s="309" t="str">
        <f t="shared" si="112"/>
        <v/>
      </c>
      <c r="L509" s="312" t="str">
        <f t="shared" si="115"/>
        <v/>
      </c>
      <c r="M509" s="366" t="str">
        <f t="shared" si="116"/>
        <v/>
      </c>
      <c r="N509" s="328" t="str">
        <f t="shared" si="122"/>
        <v/>
      </c>
      <c r="O509" s="313" t="str">
        <f t="shared" si="123"/>
        <v/>
      </c>
      <c r="P509" s="307"/>
      <c r="Q509" s="309">
        <f t="shared" si="117"/>
        <v>0.8</v>
      </c>
      <c r="R509" s="307"/>
      <c r="S509" s="314">
        <f t="shared" si="118"/>
        <v>10</v>
      </c>
      <c r="T509" s="304" t="str">
        <f t="shared" si="113"/>
        <v/>
      </c>
      <c r="U509" s="304" t="str">
        <f>IF(A509=YTD!B$6,E509,IF(OR(A509&lt;YTD!B$6,A509&gt;YTD!B$10),"",U508+E509))</f>
        <v/>
      </c>
      <c r="V509" s="304" t="str">
        <f t="shared" si="119"/>
        <v/>
      </c>
      <c r="W509" s="315" t="e">
        <f>IF(I509="",#N/A,YTD!G$8-I509)</f>
        <v>#N/A</v>
      </c>
      <c r="X509" s="368">
        <f t="shared" si="114"/>
        <v>0</v>
      </c>
      <c r="Y509" s="368">
        <f t="shared" si="120"/>
        <v>6</v>
      </c>
      <c r="Z509" s="368" t="str">
        <f t="shared" si="121"/>
        <v/>
      </c>
      <c r="AA509" s="371"/>
      <c r="AB509" s="372"/>
      <c r="AC509" s="373"/>
      <c r="AD509" s="373"/>
      <c r="AE509" s="373"/>
      <c r="AF509" s="371"/>
      <c r="AG509" s="373"/>
      <c r="AH509" s="2"/>
      <c r="AI509" s="2"/>
      <c r="AJ509" s="2"/>
    </row>
    <row r="510" spans="1:36" x14ac:dyDescent="0.2">
      <c r="A510" s="306">
        <f>Crop!B543</f>
        <v>42134</v>
      </c>
      <c r="B510" s="307"/>
      <c r="C510" s="308"/>
      <c r="D510" s="304" t="str">
        <f>IF(OR($A510&lt;$A$3,$A510&gt;$A$7),"",Crop!$D543)</f>
        <v/>
      </c>
      <c r="E510" s="304" t="str">
        <f t="shared" si="109"/>
        <v/>
      </c>
      <c r="F510" s="304" t="str">
        <f>IF(OR(A510&lt;A$3,A510&gt;A$7),"",Crop!U543)</f>
        <v/>
      </c>
      <c r="G510" s="304" t="str">
        <f t="shared" si="110"/>
        <v/>
      </c>
      <c r="H510" s="309" t="str">
        <f>IF(OR(A510&lt;A$3,A510&gt;A$7),"",YTD!E507)</f>
        <v/>
      </c>
      <c r="I510" s="310" t="str">
        <f t="shared" si="111"/>
        <v/>
      </c>
      <c r="J510" s="311"/>
      <c r="K510" s="309" t="str">
        <f t="shared" si="112"/>
        <v/>
      </c>
      <c r="L510" s="312" t="str">
        <f t="shared" si="115"/>
        <v/>
      </c>
      <c r="M510" s="366" t="str">
        <f t="shared" si="116"/>
        <v/>
      </c>
      <c r="N510" s="328" t="str">
        <f t="shared" si="122"/>
        <v/>
      </c>
      <c r="O510" s="313" t="str">
        <f t="shared" si="123"/>
        <v/>
      </c>
      <c r="P510" s="307"/>
      <c r="Q510" s="309">
        <f t="shared" si="117"/>
        <v>0.8</v>
      </c>
      <c r="R510" s="307"/>
      <c r="S510" s="314">
        <f t="shared" si="118"/>
        <v>10</v>
      </c>
      <c r="T510" s="304" t="str">
        <f t="shared" si="113"/>
        <v/>
      </c>
      <c r="U510" s="304" t="str">
        <f>IF(A510=YTD!B$6,E510,IF(OR(A510&lt;YTD!B$6,A510&gt;YTD!B$10),"",U509+E510))</f>
        <v/>
      </c>
      <c r="V510" s="304" t="str">
        <f t="shared" si="119"/>
        <v/>
      </c>
      <c r="W510" s="315" t="e">
        <f>IF(I510="",#N/A,YTD!G$8-I510)</f>
        <v>#N/A</v>
      </c>
      <c r="X510" s="368">
        <f t="shared" si="114"/>
        <v>0</v>
      </c>
      <c r="Y510" s="368">
        <f t="shared" si="120"/>
        <v>6</v>
      </c>
      <c r="Z510" s="368" t="str">
        <f t="shared" si="121"/>
        <v/>
      </c>
      <c r="AA510" s="371"/>
      <c r="AB510" s="372"/>
      <c r="AC510" s="373"/>
      <c r="AD510" s="373"/>
      <c r="AE510" s="373"/>
      <c r="AF510" s="371"/>
      <c r="AG510" s="373"/>
      <c r="AH510" s="2"/>
      <c r="AI510" s="2"/>
      <c r="AJ510" s="2"/>
    </row>
    <row r="511" spans="1:36" x14ac:dyDescent="0.2">
      <c r="A511" s="306">
        <f>Crop!B544</f>
        <v>42135</v>
      </c>
      <c r="B511" s="307"/>
      <c r="C511" s="308"/>
      <c r="D511" s="304" t="str">
        <f>IF(OR($A511&lt;$A$3,$A511&gt;$A$7),"",Crop!$D544)</f>
        <v/>
      </c>
      <c r="E511" s="304" t="str">
        <f t="shared" si="109"/>
        <v/>
      </c>
      <c r="F511" s="304" t="str">
        <f>IF(OR(A511&lt;A$3,A511&gt;A$7),"",Crop!U544)</f>
        <v/>
      </c>
      <c r="G511" s="304" t="str">
        <f t="shared" si="110"/>
        <v/>
      </c>
      <c r="H511" s="309" t="str">
        <f>IF(OR(A511&lt;A$3,A511&gt;A$7),"",YTD!E508)</f>
        <v/>
      </c>
      <c r="I511" s="310" t="str">
        <f t="shared" si="111"/>
        <v/>
      </c>
      <c r="J511" s="311"/>
      <c r="K511" s="309" t="str">
        <f t="shared" si="112"/>
        <v/>
      </c>
      <c r="L511" s="312" t="str">
        <f t="shared" si="115"/>
        <v/>
      </c>
      <c r="M511" s="366" t="str">
        <f t="shared" si="116"/>
        <v/>
      </c>
      <c r="N511" s="328" t="str">
        <f t="shared" si="122"/>
        <v/>
      </c>
      <c r="O511" s="313" t="str">
        <f t="shared" si="123"/>
        <v/>
      </c>
      <c r="P511" s="307"/>
      <c r="Q511" s="309">
        <f t="shared" si="117"/>
        <v>0.8</v>
      </c>
      <c r="R511" s="307"/>
      <c r="S511" s="314">
        <f t="shared" si="118"/>
        <v>10</v>
      </c>
      <c r="T511" s="304" t="str">
        <f t="shared" si="113"/>
        <v/>
      </c>
      <c r="U511" s="304" t="str">
        <f>IF(A511=YTD!B$6,E511,IF(OR(A511&lt;YTD!B$6,A511&gt;YTD!B$10),"",U510+E511))</f>
        <v/>
      </c>
      <c r="V511" s="304" t="str">
        <f t="shared" si="119"/>
        <v/>
      </c>
      <c r="W511" s="315" t="e">
        <f>IF(I511="",#N/A,YTD!G$8-I511)</f>
        <v>#N/A</v>
      </c>
      <c r="X511" s="368">
        <f t="shared" si="114"/>
        <v>0</v>
      </c>
      <c r="Y511" s="368">
        <f t="shared" si="120"/>
        <v>6</v>
      </c>
      <c r="Z511" s="368" t="str">
        <f t="shared" si="121"/>
        <v/>
      </c>
      <c r="AA511" s="371"/>
      <c r="AB511" s="372"/>
      <c r="AC511" s="373"/>
      <c r="AD511" s="373"/>
      <c r="AE511" s="373"/>
      <c r="AF511" s="371"/>
      <c r="AG511" s="373"/>
      <c r="AH511" s="2"/>
      <c r="AI511" s="2"/>
      <c r="AJ511" s="2"/>
    </row>
    <row r="512" spans="1:36" x14ac:dyDescent="0.2">
      <c r="A512" s="306">
        <f>Crop!B545</f>
        <v>42136</v>
      </c>
      <c r="B512" s="307"/>
      <c r="C512" s="308"/>
      <c r="D512" s="304" t="str">
        <f>IF(OR($A512&lt;$A$3,$A512&gt;$A$7),"",Crop!$D545)</f>
        <v/>
      </c>
      <c r="E512" s="304" t="str">
        <f t="shared" si="109"/>
        <v/>
      </c>
      <c r="F512" s="304" t="str">
        <f>IF(OR(A512&lt;A$3,A512&gt;A$7),"",Crop!U545)</f>
        <v/>
      </c>
      <c r="G512" s="304" t="str">
        <f t="shared" si="110"/>
        <v/>
      </c>
      <c r="H512" s="309" t="str">
        <f>IF(OR(A512&lt;A$3,A512&gt;A$7),"",YTD!E509)</f>
        <v/>
      </c>
      <c r="I512" s="310" t="str">
        <f t="shared" si="111"/>
        <v/>
      </c>
      <c r="J512" s="311"/>
      <c r="K512" s="309" t="str">
        <f t="shared" si="112"/>
        <v/>
      </c>
      <c r="L512" s="312" t="str">
        <f t="shared" si="115"/>
        <v/>
      </c>
      <c r="M512" s="366" t="str">
        <f t="shared" si="116"/>
        <v/>
      </c>
      <c r="N512" s="328" t="str">
        <f t="shared" si="122"/>
        <v/>
      </c>
      <c r="O512" s="313" t="str">
        <f t="shared" si="123"/>
        <v/>
      </c>
      <c r="P512" s="307"/>
      <c r="Q512" s="309">
        <f t="shared" si="117"/>
        <v>0.8</v>
      </c>
      <c r="R512" s="307"/>
      <c r="S512" s="314">
        <f t="shared" si="118"/>
        <v>10</v>
      </c>
      <c r="T512" s="304" t="str">
        <f t="shared" si="113"/>
        <v/>
      </c>
      <c r="U512" s="304" t="str">
        <f>IF(A512=YTD!B$6,E512,IF(OR(A512&lt;YTD!B$6,A512&gt;YTD!B$10),"",U511+E512))</f>
        <v/>
      </c>
      <c r="V512" s="304" t="str">
        <f t="shared" si="119"/>
        <v/>
      </c>
      <c r="W512" s="315" t="e">
        <f>IF(I512="",#N/A,YTD!G$8-I512)</f>
        <v>#N/A</v>
      </c>
      <c r="X512" s="368">
        <f t="shared" si="114"/>
        <v>0</v>
      </c>
      <c r="Y512" s="368">
        <f t="shared" si="120"/>
        <v>6</v>
      </c>
      <c r="Z512" s="368" t="str">
        <f t="shared" si="121"/>
        <v/>
      </c>
      <c r="AA512" s="371"/>
      <c r="AB512" s="372"/>
      <c r="AC512" s="373"/>
      <c r="AD512" s="373"/>
      <c r="AE512" s="373"/>
      <c r="AF512" s="371"/>
      <c r="AG512" s="373"/>
      <c r="AH512" s="2"/>
      <c r="AI512" s="2"/>
      <c r="AJ512" s="2"/>
    </row>
    <row r="513" spans="1:36" x14ac:dyDescent="0.2">
      <c r="A513" s="306">
        <f>Crop!B546</f>
        <v>42137</v>
      </c>
      <c r="B513" s="307"/>
      <c r="C513" s="308"/>
      <c r="D513" s="304" t="str">
        <f>IF(OR($A513&lt;$A$3,$A513&gt;$A$7),"",Crop!$D546)</f>
        <v/>
      </c>
      <c r="E513" s="304" t="str">
        <f t="shared" si="109"/>
        <v/>
      </c>
      <c r="F513" s="304" t="str">
        <f>IF(OR(A513&lt;A$3,A513&gt;A$7),"",Crop!U546)</f>
        <v/>
      </c>
      <c r="G513" s="304" t="str">
        <f t="shared" si="110"/>
        <v/>
      </c>
      <c r="H513" s="309" t="str">
        <f>IF(OR(A513&lt;A$3,A513&gt;A$7),"",YTD!E510)</f>
        <v/>
      </c>
      <c r="I513" s="310" t="str">
        <f t="shared" si="111"/>
        <v/>
      </c>
      <c r="J513" s="311"/>
      <c r="K513" s="309" t="str">
        <f t="shared" si="112"/>
        <v/>
      </c>
      <c r="L513" s="312" t="str">
        <f t="shared" si="115"/>
        <v/>
      </c>
      <c r="M513" s="366" t="str">
        <f t="shared" si="116"/>
        <v/>
      </c>
      <c r="N513" s="328" t="str">
        <f t="shared" si="122"/>
        <v/>
      </c>
      <c r="O513" s="313" t="str">
        <f t="shared" si="123"/>
        <v/>
      </c>
      <c r="P513" s="307"/>
      <c r="Q513" s="309">
        <f t="shared" si="117"/>
        <v>0.8</v>
      </c>
      <c r="R513" s="307"/>
      <c r="S513" s="314">
        <f t="shared" si="118"/>
        <v>10</v>
      </c>
      <c r="T513" s="304" t="str">
        <f t="shared" si="113"/>
        <v/>
      </c>
      <c r="U513" s="304" t="str">
        <f>IF(A513=YTD!B$6,E513,IF(OR(A513&lt;YTD!B$6,A513&gt;YTD!B$10),"",U512+E513))</f>
        <v/>
      </c>
      <c r="V513" s="304" t="str">
        <f t="shared" si="119"/>
        <v/>
      </c>
      <c r="W513" s="315" t="e">
        <f>IF(I513="",#N/A,YTD!G$8-I513)</f>
        <v>#N/A</v>
      </c>
      <c r="X513" s="368">
        <f t="shared" si="114"/>
        <v>0</v>
      </c>
      <c r="Y513" s="368">
        <f t="shared" si="120"/>
        <v>6</v>
      </c>
      <c r="Z513" s="368" t="str">
        <f t="shared" si="121"/>
        <v/>
      </c>
      <c r="AA513" s="371"/>
      <c r="AB513" s="372"/>
      <c r="AC513" s="373"/>
      <c r="AD513" s="373"/>
      <c r="AE513" s="373"/>
      <c r="AF513" s="371"/>
      <c r="AG513" s="373"/>
      <c r="AH513" s="2"/>
      <c r="AI513" s="2"/>
      <c r="AJ513" s="2"/>
    </row>
    <row r="514" spans="1:36" x14ac:dyDescent="0.2">
      <c r="A514" s="306">
        <f>Crop!B547</f>
        <v>42138</v>
      </c>
      <c r="B514" s="307"/>
      <c r="C514" s="308"/>
      <c r="D514" s="304" t="str">
        <f>IF(OR($A514&lt;$A$3,$A514&gt;$A$7),"",Crop!$D547)</f>
        <v/>
      </c>
      <c r="E514" s="304" t="str">
        <f t="shared" si="109"/>
        <v/>
      </c>
      <c r="F514" s="304" t="str">
        <f>IF(OR(A514&lt;A$3,A514&gt;A$7),"",Crop!U547)</f>
        <v/>
      </c>
      <c r="G514" s="304" t="str">
        <f t="shared" si="110"/>
        <v/>
      </c>
      <c r="H514" s="309" t="str">
        <f>IF(OR(A514&lt;A$3,A514&gt;A$7),"",YTD!E511)</f>
        <v/>
      </c>
      <c r="I514" s="310" t="str">
        <f t="shared" si="111"/>
        <v/>
      </c>
      <c r="J514" s="311"/>
      <c r="K514" s="309" t="str">
        <f t="shared" si="112"/>
        <v/>
      </c>
      <c r="L514" s="312" t="str">
        <f t="shared" si="115"/>
        <v/>
      </c>
      <c r="M514" s="366" t="str">
        <f t="shared" si="116"/>
        <v/>
      </c>
      <c r="N514" s="328" t="str">
        <f t="shared" si="122"/>
        <v/>
      </c>
      <c r="O514" s="313" t="str">
        <f t="shared" si="123"/>
        <v/>
      </c>
      <c r="P514" s="307"/>
      <c r="Q514" s="309">
        <f t="shared" si="117"/>
        <v>0.8</v>
      </c>
      <c r="R514" s="307"/>
      <c r="S514" s="314">
        <f t="shared" si="118"/>
        <v>10</v>
      </c>
      <c r="T514" s="304" t="str">
        <f t="shared" si="113"/>
        <v/>
      </c>
      <c r="U514" s="304" t="str">
        <f>IF(A514=YTD!B$6,E514,IF(OR(A514&lt;YTD!B$6,A514&gt;YTD!B$10),"",U513+E514))</f>
        <v/>
      </c>
      <c r="V514" s="304" t="str">
        <f t="shared" si="119"/>
        <v/>
      </c>
      <c r="W514" s="315" t="e">
        <f>IF(I514="",#N/A,YTD!G$8-I514)</f>
        <v>#N/A</v>
      </c>
      <c r="X514" s="368">
        <f t="shared" si="114"/>
        <v>0</v>
      </c>
      <c r="Y514" s="368">
        <f t="shared" si="120"/>
        <v>6</v>
      </c>
      <c r="Z514" s="368" t="str">
        <f t="shared" si="121"/>
        <v/>
      </c>
      <c r="AA514" s="371"/>
      <c r="AB514" s="372"/>
      <c r="AC514" s="373"/>
      <c r="AD514" s="373"/>
      <c r="AE514" s="373"/>
      <c r="AF514" s="371"/>
      <c r="AG514" s="373"/>
      <c r="AH514" s="2"/>
      <c r="AI514" s="2"/>
      <c r="AJ514" s="2"/>
    </row>
    <row r="515" spans="1:36" x14ac:dyDescent="0.2">
      <c r="A515" s="306">
        <f>Crop!B548</f>
        <v>42139</v>
      </c>
      <c r="B515" s="307"/>
      <c r="C515" s="308"/>
      <c r="D515" s="304" t="str">
        <f>IF(OR($A515&lt;$A$3,$A515&gt;$A$7),"",Crop!$D548)</f>
        <v/>
      </c>
      <c r="E515" s="304" t="str">
        <f t="shared" si="109"/>
        <v/>
      </c>
      <c r="F515" s="304" t="str">
        <f>IF(OR(A515&lt;A$3,A515&gt;A$7),"",Crop!U548)</f>
        <v/>
      </c>
      <c r="G515" s="304" t="str">
        <f t="shared" si="110"/>
        <v/>
      </c>
      <c r="H515" s="309" t="str">
        <f>IF(OR(A515&lt;A$3,A515&gt;A$7),"",YTD!E512)</f>
        <v/>
      </c>
      <c r="I515" s="310" t="str">
        <f t="shared" si="111"/>
        <v/>
      </c>
      <c r="J515" s="311"/>
      <c r="K515" s="309" t="str">
        <f t="shared" si="112"/>
        <v/>
      </c>
      <c r="L515" s="312" t="str">
        <f t="shared" si="115"/>
        <v/>
      </c>
      <c r="M515" s="366" t="str">
        <f t="shared" si="116"/>
        <v/>
      </c>
      <c r="N515" s="328" t="str">
        <f t="shared" si="122"/>
        <v/>
      </c>
      <c r="O515" s="313" t="str">
        <f t="shared" si="123"/>
        <v/>
      </c>
      <c r="P515" s="307"/>
      <c r="Q515" s="309">
        <f t="shared" si="117"/>
        <v>0.8</v>
      </c>
      <c r="R515" s="307"/>
      <c r="S515" s="314">
        <f t="shared" si="118"/>
        <v>10</v>
      </c>
      <c r="T515" s="304" t="str">
        <f t="shared" si="113"/>
        <v/>
      </c>
      <c r="U515" s="304" t="str">
        <f>IF(A515=YTD!B$6,E515,IF(OR(A515&lt;YTD!B$6,A515&gt;YTD!B$10),"",U514+E515))</f>
        <v/>
      </c>
      <c r="V515" s="304" t="str">
        <f t="shared" si="119"/>
        <v/>
      </c>
      <c r="W515" s="315" t="e">
        <f>IF(I515="",#N/A,YTD!G$8-I515)</f>
        <v>#N/A</v>
      </c>
      <c r="X515" s="368">
        <f t="shared" si="114"/>
        <v>0</v>
      </c>
      <c r="Y515" s="368">
        <f t="shared" si="120"/>
        <v>6</v>
      </c>
      <c r="Z515" s="368" t="str">
        <f t="shared" si="121"/>
        <v/>
      </c>
      <c r="AA515" s="371"/>
      <c r="AB515" s="372"/>
      <c r="AC515" s="373"/>
      <c r="AD515" s="373"/>
      <c r="AE515" s="373"/>
      <c r="AF515" s="371"/>
      <c r="AG515" s="373"/>
      <c r="AH515" s="2"/>
      <c r="AI515" s="2"/>
      <c r="AJ515" s="2"/>
    </row>
    <row r="516" spans="1:36" x14ac:dyDescent="0.2">
      <c r="A516" s="306">
        <f>Crop!B549</f>
        <v>42140</v>
      </c>
      <c r="B516" s="307"/>
      <c r="C516" s="308"/>
      <c r="D516" s="304" t="str">
        <f>IF(OR($A516&lt;$A$3,$A516&gt;$A$7),"",Crop!$D549)</f>
        <v/>
      </c>
      <c r="E516" s="304" t="str">
        <f t="shared" si="109"/>
        <v/>
      </c>
      <c r="F516" s="304" t="str">
        <f>IF(OR(A516&lt;A$3,A516&gt;A$7),"",Crop!U549)</f>
        <v/>
      </c>
      <c r="G516" s="304" t="str">
        <f t="shared" si="110"/>
        <v/>
      </c>
      <c r="H516" s="309" t="str">
        <f>IF(OR(A516&lt;A$3,A516&gt;A$7),"",YTD!E513)</f>
        <v/>
      </c>
      <c r="I516" s="310" t="str">
        <f t="shared" si="111"/>
        <v/>
      </c>
      <c r="J516" s="311"/>
      <c r="K516" s="309" t="str">
        <f t="shared" si="112"/>
        <v/>
      </c>
      <c r="L516" s="312" t="str">
        <f t="shared" si="115"/>
        <v/>
      </c>
      <c r="M516" s="366" t="str">
        <f t="shared" si="116"/>
        <v/>
      </c>
      <c r="N516" s="328" t="str">
        <f t="shared" si="122"/>
        <v/>
      </c>
      <c r="O516" s="313" t="str">
        <f t="shared" si="123"/>
        <v/>
      </c>
      <c r="P516" s="307"/>
      <c r="Q516" s="309">
        <f t="shared" si="117"/>
        <v>0.8</v>
      </c>
      <c r="R516" s="307"/>
      <c r="S516" s="314">
        <f t="shared" si="118"/>
        <v>10</v>
      </c>
      <c r="T516" s="304" t="str">
        <f t="shared" si="113"/>
        <v/>
      </c>
      <c r="U516" s="304" t="str">
        <f>IF(A516=YTD!B$6,E516,IF(OR(A516&lt;YTD!B$6,A516&gt;YTD!B$10),"",U515+E516))</f>
        <v/>
      </c>
      <c r="V516" s="304" t="str">
        <f t="shared" si="119"/>
        <v/>
      </c>
      <c r="W516" s="315" t="e">
        <f>IF(I516="",#N/A,YTD!G$8-I516)</f>
        <v>#N/A</v>
      </c>
      <c r="X516" s="368">
        <f t="shared" si="114"/>
        <v>0</v>
      </c>
      <c r="Y516" s="368">
        <f t="shared" si="120"/>
        <v>6</v>
      </c>
      <c r="Z516" s="368" t="str">
        <f t="shared" si="121"/>
        <v/>
      </c>
      <c r="AA516" s="371"/>
      <c r="AB516" s="372"/>
      <c r="AC516" s="373"/>
      <c r="AD516" s="373"/>
      <c r="AE516" s="373"/>
      <c r="AF516" s="371"/>
      <c r="AG516" s="373"/>
      <c r="AH516" s="2"/>
      <c r="AI516" s="2"/>
      <c r="AJ516" s="2"/>
    </row>
    <row r="517" spans="1:36" x14ac:dyDescent="0.2">
      <c r="A517" s="306">
        <f>Crop!B550</f>
        <v>42141</v>
      </c>
      <c r="B517" s="307"/>
      <c r="C517" s="308"/>
      <c r="D517" s="304" t="str">
        <f>IF(OR($A517&lt;$A$3,$A517&gt;$A$7),"",Crop!$D550)</f>
        <v/>
      </c>
      <c r="E517" s="304" t="str">
        <f t="shared" si="109"/>
        <v/>
      </c>
      <c r="F517" s="304" t="str">
        <f>IF(OR(A517&lt;A$3,A517&gt;A$7),"",Crop!U550)</f>
        <v/>
      </c>
      <c r="G517" s="304" t="str">
        <f t="shared" si="110"/>
        <v/>
      </c>
      <c r="H517" s="309" t="str">
        <f>IF(OR(A517&lt;A$3,A517&gt;A$7),"",YTD!E514)</f>
        <v/>
      </c>
      <c r="I517" s="310" t="str">
        <f t="shared" si="111"/>
        <v/>
      </c>
      <c r="J517" s="311"/>
      <c r="K517" s="309" t="str">
        <f t="shared" si="112"/>
        <v/>
      </c>
      <c r="L517" s="312" t="str">
        <f t="shared" si="115"/>
        <v/>
      </c>
      <c r="M517" s="366" t="str">
        <f t="shared" si="116"/>
        <v/>
      </c>
      <c r="N517" s="328" t="str">
        <f t="shared" si="122"/>
        <v/>
      </c>
      <c r="O517" s="313" t="str">
        <f t="shared" si="123"/>
        <v/>
      </c>
      <c r="P517" s="307"/>
      <c r="Q517" s="309">
        <f t="shared" si="117"/>
        <v>0.8</v>
      </c>
      <c r="R517" s="307"/>
      <c r="S517" s="314">
        <f t="shared" si="118"/>
        <v>10</v>
      </c>
      <c r="T517" s="304" t="str">
        <f t="shared" si="113"/>
        <v/>
      </c>
      <c r="U517" s="304" t="str">
        <f>IF(A517=YTD!B$6,E517,IF(OR(A517&lt;YTD!B$6,A517&gt;YTD!B$10),"",U516+E517))</f>
        <v/>
      </c>
      <c r="V517" s="304" t="str">
        <f t="shared" si="119"/>
        <v/>
      </c>
      <c r="W517" s="315" t="e">
        <f>IF(I517="",#N/A,YTD!G$8-I517)</f>
        <v>#N/A</v>
      </c>
      <c r="X517" s="368">
        <f t="shared" si="114"/>
        <v>0</v>
      </c>
      <c r="Y517" s="368">
        <f t="shared" si="120"/>
        <v>6</v>
      </c>
      <c r="Z517" s="368" t="str">
        <f t="shared" si="121"/>
        <v/>
      </c>
      <c r="AA517" s="371"/>
      <c r="AB517" s="372"/>
      <c r="AC517" s="373"/>
      <c r="AD517" s="373"/>
      <c r="AE517" s="373"/>
      <c r="AF517" s="371"/>
      <c r="AG517" s="373"/>
      <c r="AH517" s="2"/>
      <c r="AI517" s="2"/>
      <c r="AJ517" s="2"/>
    </row>
    <row r="518" spans="1:36" x14ac:dyDescent="0.2">
      <c r="A518" s="306">
        <f>Crop!B551</f>
        <v>42142</v>
      </c>
      <c r="B518" s="307"/>
      <c r="C518" s="308"/>
      <c r="D518" s="304" t="str">
        <f>IF(OR($A518&lt;$A$3,$A518&gt;$A$7),"",Crop!$D551)</f>
        <v/>
      </c>
      <c r="E518" s="304" t="str">
        <f t="shared" si="109"/>
        <v/>
      </c>
      <c r="F518" s="304" t="str">
        <f>IF(OR(A518&lt;A$3,A518&gt;A$7),"",Crop!U551)</f>
        <v/>
      </c>
      <c r="G518" s="304" t="str">
        <f t="shared" si="110"/>
        <v/>
      </c>
      <c r="H518" s="309" t="str">
        <f>IF(OR(A518&lt;A$3,A518&gt;A$7),"",YTD!E515)</f>
        <v/>
      </c>
      <c r="I518" s="310" t="str">
        <f t="shared" si="111"/>
        <v/>
      </c>
      <c r="J518" s="311"/>
      <c r="K518" s="309" t="str">
        <f t="shared" si="112"/>
        <v/>
      </c>
      <c r="L518" s="312" t="str">
        <f t="shared" si="115"/>
        <v/>
      </c>
      <c r="M518" s="366" t="str">
        <f t="shared" si="116"/>
        <v/>
      </c>
      <c r="N518" s="328" t="str">
        <f t="shared" si="122"/>
        <v/>
      </c>
      <c r="O518" s="313" t="str">
        <f t="shared" si="123"/>
        <v/>
      </c>
      <c r="P518" s="307"/>
      <c r="Q518" s="309">
        <f t="shared" si="117"/>
        <v>0.8</v>
      </c>
      <c r="R518" s="307"/>
      <c r="S518" s="314">
        <f t="shared" si="118"/>
        <v>10</v>
      </c>
      <c r="T518" s="304" t="str">
        <f t="shared" si="113"/>
        <v/>
      </c>
      <c r="U518" s="304" t="str">
        <f>IF(A518=YTD!B$6,E518,IF(OR(A518&lt;YTD!B$6,A518&gt;YTD!B$10),"",U517+E518))</f>
        <v/>
      </c>
      <c r="V518" s="304" t="str">
        <f t="shared" si="119"/>
        <v/>
      </c>
      <c r="W518" s="315" t="e">
        <f>IF(I518="",#N/A,YTD!G$8-I518)</f>
        <v>#N/A</v>
      </c>
      <c r="X518" s="368">
        <f t="shared" si="114"/>
        <v>0</v>
      </c>
      <c r="Y518" s="368">
        <f t="shared" si="120"/>
        <v>6</v>
      </c>
      <c r="Z518" s="368" t="str">
        <f t="shared" si="121"/>
        <v/>
      </c>
      <c r="AA518" s="371"/>
      <c r="AB518" s="372"/>
      <c r="AC518" s="373"/>
      <c r="AD518" s="373"/>
      <c r="AE518" s="373"/>
      <c r="AF518" s="371"/>
      <c r="AG518" s="373"/>
      <c r="AH518" s="2"/>
      <c r="AI518" s="2"/>
      <c r="AJ518" s="2"/>
    </row>
    <row r="519" spans="1:36" x14ac:dyDescent="0.2">
      <c r="A519" s="306">
        <f>Crop!B552</f>
        <v>42143</v>
      </c>
      <c r="B519" s="307"/>
      <c r="C519" s="308"/>
      <c r="D519" s="304" t="str">
        <f>IF(OR($A519&lt;$A$3,$A519&gt;$A$7),"",Crop!$D552)</f>
        <v/>
      </c>
      <c r="E519" s="304" t="str">
        <f t="shared" si="109"/>
        <v/>
      </c>
      <c r="F519" s="304" t="str">
        <f>IF(OR(A519&lt;A$3,A519&gt;A$7),"",Crop!U552)</f>
        <v/>
      </c>
      <c r="G519" s="304" t="str">
        <f t="shared" si="110"/>
        <v/>
      </c>
      <c r="H519" s="309" t="str">
        <f>IF(OR(A519&lt;A$3,A519&gt;A$7),"",YTD!E516)</f>
        <v/>
      </c>
      <c r="I519" s="310" t="str">
        <f t="shared" si="111"/>
        <v/>
      </c>
      <c r="J519" s="311"/>
      <c r="K519" s="309" t="str">
        <f t="shared" si="112"/>
        <v/>
      </c>
      <c r="L519" s="312" t="str">
        <f t="shared" si="115"/>
        <v/>
      </c>
      <c r="M519" s="366" t="str">
        <f t="shared" si="116"/>
        <v/>
      </c>
      <c r="N519" s="328" t="str">
        <f t="shared" si="122"/>
        <v/>
      </c>
      <c r="O519" s="313" t="str">
        <f t="shared" si="123"/>
        <v/>
      </c>
      <c r="P519" s="307"/>
      <c r="Q519" s="309">
        <f t="shared" si="117"/>
        <v>0.8</v>
      </c>
      <c r="R519" s="307"/>
      <c r="S519" s="314">
        <f t="shared" si="118"/>
        <v>10</v>
      </c>
      <c r="T519" s="304" t="str">
        <f t="shared" si="113"/>
        <v/>
      </c>
      <c r="U519" s="304" t="str">
        <f>IF(A519=YTD!B$6,E519,IF(OR(A519&lt;YTD!B$6,A519&gt;YTD!B$10),"",U518+E519))</f>
        <v/>
      </c>
      <c r="V519" s="304" t="str">
        <f t="shared" si="119"/>
        <v/>
      </c>
      <c r="W519" s="315" t="e">
        <f>IF(I519="",#N/A,YTD!G$8-I519)</f>
        <v>#N/A</v>
      </c>
      <c r="X519" s="368">
        <f t="shared" si="114"/>
        <v>0</v>
      </c>
      <c r="Y519" s="368">
        <f t="shared" si="120"/>
        <v>6</v>
      </c>
      <c r="Z519" s="368" t="str">
        <f t="shared" si="121"/>
        <v/>
      </c>
      <c r="AA519" s="371"/>
      <c r="AB519" s="372"/>
      <c r="AC519" s="373"/>
      <c r="AD519" s="373"/>
      <c r="AE519" s="373"/>
      <c r="AF519" s="371"/>
      <c r="AG519" s="373"/>
      <c r="AH519" s="2"/>
      <c r="AI519" s="2"/>
      <c r="AJ519" s="2"/>
    </row>
    <row r="520" spans="1:36" x14ac:dyDescent="0.2">
      <c r="A520" s="306">
        <f>Crop!B553</f>
        <v>42144</v>
      </c>
      <c r="B520" s="307"/>
      <c r="C520" s="308"/>
      <c r="D520" s="304" t="str">
        <f>IF(OR($A520&lt;$A$3,$A520&gt;$A$7),"",Crop!$D553)</f>
        <v/>
      </c>
      <c r="E520" s="304" t="str">
        <f t="shared" si="109"/>
        <v/>
      </c>
      <c r="F520" s="304" t="str">
        <f>IF(OR(A520&lt;A$3,A520&gt;A$7),"",Crop!U553)</f>
        <v/>
      </c>
      <c r="G520" s="304" t="str">
        <f t="shared" si="110"/>
        <v/>
      </c>
      <c r="H520" s="309" t="str">
        <f>IF(OR(A520&lt;A$3,A520&gt;A$7),"",YTD!E517)</f>
        <v/>
      </c>
      <c r="I520" s="310" t="str">
        <f t="shared" si="111"/>
        <v/>
      </c>
      <c r="J520" s="311"/>
      <c r="K520" s="309" t="str">
        <f t="shared" si="112"/>
        <v/>
      </c>
      <c r="L520" s="312" t="str">
        <f t="shared" si="115"/>
        <v/>
      </c>
      <c r="M520" s="366" t="str">
        <f t="shared" si="116"/>
        <v/>
      </c>
      <c r="N520" s="328" t="str">
        <f t="shared" si="122"/>
        <v/>
      </c>
      <c r="O520" s="313" t="str">
        <f t="shared" si="123"/>
        <v/>
      </c>
      <c r="P520" s="307"/>
      <c r="Q520" s="309">
        <f t="shared" si="117"/>
        <v>0.8</v>
      </c>
      <c r="R520" s="307"/>
      <c r="S520" s="314">
        <f t="shared" si="118"/>
        <v>10</v>
      </c>
      <c r="T520" s="304" t="str">
        <f t="shared" si="113"/>
        <v/>
      </c>
      <c r="U520" s="304" t="str">
        <f>IF(A520=YTD!B$6,E520,IF(OR(A520&lt;YTD!B$6,A520&gt;YTD!B$10),"",U519+E520))</f>
        <v/>
      </c>
      <c r="V520" s="304" t="str">
        <f t="shared" si="119"/>
        <v/>
      </c>
      <c r="W520" s="315" t="e">
        <f>IF(I520="",#N/A,YTD!G$8-I520)</f>
        <v>#N/A</v>
      </c>
      <c r="X520" s="368">
        <f t="shared" si="114"/>
        <v>0</v>
      </c>
      <c r="Y520" s="368">
        <f t="shared" si="120"/>
        <v>6</v>
      </c>
      <c r="Z520" s="368" t="str">
        <f t="shared" si="121"/>
        <v/>
      </c>
      <c r="AA520" s="371"/>
      <c r="AB520" s="372"/>
      <c r="AC520" s="373"/>
      <c r="AD520" s="373"/>
      <c r="AE520" s="373"/>
      <c r="AF520" s="371"/>
      <c r="AG520" s="373"/>
      <c r="AH520" s="2"/>
      <c r="AI520" s="2"/>
      <c r="AJ520" s="2"/>
    </row>
    <row r="521" spans="1:36" x14ac:dyDescent="0.2">
      <c r="A521" s="306">
        <f>Crop!B554</f>
        <v>42145</v>
      </c>
      <c r="B521" s="307"/>
      <c r="C521" s="308"/>
      <c r="D521" s="304" t="str">
        <f>IF(OR($A521&lt;$A$3,$A521&gt;$A$7),"",Crop!$D554)</f>
        <v/>
      </c>
      <c r="E521" s="304" t="str">
        <f t="shared" si="109"/>
        <v/>
      </c>
      <c r="F521" s="304" t="str">
        <f>IF(OR(A521&lt;A$3,A521&gt;A$7),"",Crop!U554)</f>
        <v/>
      </c>
      <c r="G521" s="304" t="str">
        <f t="shared" si="110"/>
        <v/>
      </c>
      <c r="H521" s="309" t="str">
        <f>IF(OR(A521&lt;A$3,A521&gt;A$7),"",YTD!E518)</f>
        <v/>
      </c>
      <c r="I521" s="310" t="str">
        <f t="shared" si="111"/>
        <v/>
      </c>
      <c r="J521" s="311"/>
      <c r="K521" s="309" t="str">
        <f t="shared" si="112"/>
        <v/>
      </c>
      <c r="L521" s="312" t="str">
        <f t="shared" si="115"/>
        <v/>
      </c>
      <c r="M521" s="366" t="str">
        <f t="shared" si="116"/>
        <v/>
      </c>
      <c r="N521" s="328" t="str">
        <f t="shared" si="122"/>
        <v/>
      </c>
      <c r="O521" s="313" t="str">
        <f t="shared" si="123"/>
        <v/>
      </c>
      <c r="P521" s="307"/>
      <c r="Q521" s="309">
        <f t="shared" si="117"/>
        <v>0.8</v>
      </c>
      <c r="R521" s="307"/>
      <c r="S521" s="314">
        <f t="shared" si="118"/>
        <v>10</v>
      </c>
      <c r="T521" s="304" t="str">
        <f t="shared" si="113"/>
        <v/>
      </c>
      <c r="U521" s="304" t="str">
        <f>IF(A521=YTD!B$6,E521,IF(OR(A521&lt;YTD!B$6,A521&gt;YTD!B$10),"",U520+E521))</f>
        <v/>
      </c>
      <c r="V521" s="304" t="str">
        <f t="shared" si="119"/>
        <v/>
      </c>
      <c r="W521" s="315" t="e">
        <f>IF(I521="",#N/A,YTD!G$8-I521)</f>
        <v>#N/A</v>
      </c>
      <c r="X521" s="368">
        <f t="shared" si="114"/>
        <v>0</v>
      </c>
      <c r="Y521" s="368">
        <f t="shared" si="120"/>
        <v>6</v>
      </c>
      <c r="Z521" s="368" t="str">
        <f t="shared" si="121"/>
        <v/>
      </c>
      <c r="AA521" s="371"/>
      <c r="AB521" s="372"/>
      <c r="AC521" s="373"/>
      <c r="AD521" s="373"/>
      <c r="AE521" s="373"/>
      <c r="AF521" s="371"/>
      <c r="AG521" s="373"/>
      <c r="AH521" s="2"/>
      <c r="AI521" s="2"/>
      <c r="AJ521" s="2"/>
    </row>
    <row r="522" spans="1:36" x14ac:dyDescent="0.2">
      <c r="A522" s="306">
        <f>Crop!B555</f>
        <v>42146</v>
      </c>
      <c r="B522" s="307"/>
      <c r="C522" s="308"/>
      <c r="D522" s="304" t="str">
        <f>IF(OR($A522&lt;$A$3,$A522&gt;$A$7),"",Crop!$D555)</f>
        <v/>
      </c>
      <c r="E522" s="304" t="str">
        <f t="shared" si="109"/>
        <v/>
      </c>
      <c r="F522" s="304" t="str">
        <f>IF(OR(A522&lt;A$3,A522&gt;A$7),"",Crop!U555)</f>
        <v/>
      </c>
      <c r="G522" s="304" t="str">
        <f t="shared" si="110"/>
        <v/>
      </c>
      <c r="H522" s="309" t="str">
        <f>IF(OR(A522&lt;A$3,A522&gt;A$7),"",YTD!E519)</f>
        <v/>
      </c>
      <c r="I522" s="310" t="str">
        <f t="shared" si="111"/>
        <v/>
      </c>
      <c r="J522" s="311"/>
      <c r="K522" s="309" t="str">
        <f t="shared" si="112"/>
        <v/>
      </c>
      <c r="L522" s="312" t="str">
        <f t="shared" si="115"/>
        <v/>
      </c>
      <c r="M522" s="366" t="str">
        <f t="shared" si="116"/>
        <v/>
      </c>
      <c r="N522" s="328" t="str">
        <f t="shared" si="122"/>
        <v/>
      </c>
      <c r="O522" s="313" t="str">
        <f t="shared" si="123"/>
        <v/>
      </c>
      <c r="P522" s="307"/>
      <c r="Q522" s="309">
        <f t="shared" si="117"/>
        <v>0.8</v>
      </c>
      <c r="R522" s="307"/>
      <c r="S522" s="314">
        <f t="shared" si="118"/>
        <v>10</v>
      </c>
      <c r="T522" s="304" t="str">
        <f t="shared" si="113"/>
        <v/>
      </c>
      <c r="U522" s="304" t="str">
        <f>IF(A522=YTD!B$6,E522,IF(OR(A522&lt;YTD!B$6,A522&gt;YTD!B$10),"",U521+E522))</f>
        <v/>
      </c>
      <c r="V522" s="304" t="str">
        <f t="shared" si="119"/>
        <v/>
      </c>
      <c r="W522" s="315" t="e">
        <f>IF(I522="",#N/A,YTD!G$8-I522)</f>
        <v>#N/A</v>
      </c>
      <c r="X522" s="368">
        <f t="shared" si="114"/>
        <v>0</v>
      </c>
      <c r="Y522" s="368">
        <f t="shared" si="120"/>
        <v>6</v>
      </c>
      <c r="Z522" s="368" t="str">
        <f t="shared" si="121"/>
        <v/>
      </c>
      <c r="AA522" s="371"/>
      <c r="AB522" s="372"/>
      <c r="AC522" s="373"/>
      <c r="AD522" s="373"/>
      <c r="AE522" s="373"/>
      <c r="AF522" s="371"/>
      <c r="AG522" s="373"/>
      <c r="AH522" s="2"/>
      <c r="AI522" s="2"/>
      <c r="AJ522" s="2"/>
    </row>
    <row r="523" spans="1:36" x14ac:dyDescent="0.2">
      <c r="A523" s="306">
        <f>Crop!B556</f>
        <v>42147</v>
      </c>
      <c r="B523" s="307"/>
      <c r="C523" s="308"/>
      <c r="D523" s="304" t="str">
        <f>IF(OR($A523&lt;$A$3,$A523&gt;$A$7),"",Crop!$D556)</f>
        <v/>
      </c>
      <c r="E523" s="304" t="str">
        <f t="shared" si="109"/>
        <v/>
      </c>
      <c r="F523" s="304" t="str">
        <f>IF(OR(A523&lt;A$3,A523&gt;A$7),"",Crop!U556)</f>
        <v/>
      </c>
      <c r="G523" s="304" t="str">
        <f t="shared" si="110"/>
        <v/>
      </c>
      <c r="H523" s="309" t="str">
        <f>IF(OR(A523&lt;A$3,A523&gt;A$7),"",YTD!E520)</f>
        <v/>
      </c>
      <c r="I523" s="310" t="str">
        <f t="shared" si="111"/>
        <v/>
      </c>
      <c r="J523" s="311"/>
      <c r="K523" s="309" t="str">
        <f t="shared" si="112"/>
        <v/>
      </c>
      <c r="L523" s="312" t="str">
        <f t="shared" si="115"/>
        <v/>
      </c>
      <c r="M523" s="366" t="str">
        <f t="shared" si="116"/>
        <v/>
      </c>
      <c r="N523" s="328" t="str">
        <f t="shared" si="122"/>
        <v/>
      </c>
      <c r="O523" s="313" t="str">
        <f t="shared" si="123"/>
        <v/>
      </c>
      <c r="P523" s="307"/>
      <c r="Q523" s="309">
        <f t="shared" si="117"/>
        <v>0.8</v>
      </c>
      <c r="R523" s="307"/>
      <c r="S523" s="314">
        <f t="shared" si="118"/>
        <v>10</v>
      </c>
      <c r="T523" s="304" t="str">
        <f t="shared" si="113"/>
        <v/>
      </c>
      <c r="U523" s="304" t="str">
        <f>IF(A523=YTD!B$6,E523,IF(OR(A523&lt;YTD!B$6,A523&gt;YTD!B$10),"",U522+E523))</f>
        <v/>
      </c>
      <c r="V523" s="304" t="str">
        <f t="shared" si="119"/>
        <v/>
      </c>
      <c r="W523" s="315" t="e">
        <f>IF(I523="",#N/A,YTD!G$8-I523)</f>
        <v>#N/A</v>
      </c>
      <c r="X523" s="368">
        <f t="shared" si="114"/>
        <v>0</v>
      </c>
      <c r="Y523" s="368">
        <f t="shared" si="120"/>
        <v>6</v>
      </c>
      <c r="Z523" s="368" t="str">
        <f t="shared" si="121"/>
        <v/>
      </c>
      <c r="AA523" s="371"/>
      <c r="AB523" s="372"/>
      <c r="AC523" s="373"/>
      <c r="AD523" s="373"/>
      <c r="AE523" s="373"/>
      <c r="AF523" s="371"/>
      <c r="AG523" s="373"/>
      <c r="AH523" s="2"/>
      <c r="AI523" s="2"/>
      <c r="AJ523" s="2"/>
    </row>
    <row r="524" spans="1:36" x14ac:dyDescent="0.2">
      <c r="A524" s="306">
        <f>Crop!B557</f>
        <v>42148</v>
      </c>
      <c r="B524" s="307"/>
      <c r="C524" s="308"/>
      <c r="D524" s="304" t="str">
        <f>IF(OR($A524&lt;$A$3,$A524&gt;$A$7),"",Crop!$D557)</f>
        <v/>
      </c>
      <c r="E524" s="304" t="str">
        <f t="shared" si="109"/>
        <v/>
      </c>
      <c r="F524" s="304" t="str">
        <f>IF(OR(A524&lt;A$3,A524&gt;A$7),"",Crop!U557)</f>
        <v/>
      </c>
      <c r="G524" s="304" t="str">
        <f t="shared" si="110"/>
        <v/>
      </c>
      <c r="H524" s="309" t="str">
        <f>IF(OR(A524&lt;A$3,A524&gt;A$7),"",YTD!E521)</f>
        <v/>
      </c>
      <c r="I524" s="310" t="str">
        <f t="shared" si="111"/>
        <v/>
      </c>
      <c r="J524" s="311"/>
      <c r="K524" s="309" t="str">
        <f t="shared" si="112"/>
        <v/>
      </c>
      <c r="L524" s="312" t="str">
        <f t="shared" si="115"/>
        <v/>
      </c>
      <c r="M524" s="366" t="str">
        <f t="shared" si="116"/>
        <v/>
      </c>
      <c r="N524" s="328" t="str">
        <f t="shared" si="122"/>
        <v/>
      </c>
      <c r="O524" s="313" t="str">
        <f t="shared" si="123"/>
        <v/>
      </c>
      <c r="P524" s="307"/>
      <c r="Q524" s="309">
        <f t="shared" si="117"/>
        <v>0.8</v>
      </c>
      <c r="R524" s="307"/>
      <c r="S524" s="314">
        <f t="shared" si="118"/>
        <v>10</v>
      </c>
      <c r="T524" s="304" t="str">
        <f t="shared" si="113"/>
        <v/>
      </c>
      <c r="U524" s="304" t="str">
        <f>IF(A524=YTD!B$6,E524,IF(OR(A524&lt;YTD!B$6,A524&gt;YTD!B$10),"",U523+E524))</f>
        <v/>
      </c>
      <c r="V524" s="304" t="str">
        <f t="shared" si="119"/>
        <v/>
      </c>
      <c r="W524" s="315" t="e">
        <f>IF(I524="",#N/A,YTD!G$8-I524)</f>
        <v>#N/A</v>
      </c>
      <c r="X524" s="368">
        <f t="shared" si="114"/>
        <v>0</v>
      </c>
      <c r="Y524" s="368">
        <f t="shared" si="120"/>
        <v>6</v>
      </c>
      <c r="Z524" s="368" t="str">
        <f t="shared" si="121"/>
        <v/>
      </c>
      <c r="AA524" s="371"/>
      <c r="AB524" s="372"/>
      <c r="AC524" s="373"/>
      <c r="AD524" s="373"/>
      <c r="AE524" s="373"/>
      <c r="AF524" s="371"/>
      <c r="AG524" s="373"/>
      <c r="AH524" s="2"/>
      <c r="AI524" s="2"/>
      <c r="AJ524" s="2"/>
    </row>
    <row r="525" spans="1:36" x14ac:dyDescent="0.2">
      <c r="A525" s="306">
        <f>Crop!B558</f>
        <v>42149</v>
      </c>
      <c r="B525" s="307"/>
      <c r="C525" s="308"/>
      <c r="D525" s="304" t="str">
        <f>IF(OR($A525&lt;$A$3,$A525&gt;$A$7),"",Crop!$D558)</f>
        <v/>
      </c>
      <c r="E525" s="304" t="str">
        <f t="shared" si="109"/>
        <v/>
      </c>
      <c r="F525" s="304" t="str">
        <f>IF(OR(A525&lt;A$3,A525&gt;A$7),"",Crop!U558)</f>
        <v/>
      </c>
      <c r="G525" s="304" t="str">
        <f t="shared" si="110"/>
        <v/>
      </c>
      <c r="H525" s="309" t="str">
        <f>IF(OR(A525&lt;A$3,A525&gt;A$7),"",YTD!E522)</f>
        <v/>
      </c>
      <c r="I525" s="310" t="str">
        <f t="shared" si="111"/>
        <v/>
      </c>
      <c r="J525" s="311"/>
      <c r="K525" s="309" t="str">
        <f t="shared" si="112"/>
        <v/>
      </c>
      <c r="L525" s="312" t="str">
        <f t="shared" si="115"/>
        <v/>
      </c>
      <c r="M525" s="366" t="str">
        <f t="shared" si="116"/>
        <v/>
      </c>
      <c r="N525" s="328" t="str">
        <f t="shared" si="122"/>
        <v/>
      </c>
      <c r="O525" s="313" t="str">
        <f t="shared" si="123"/>
        <v/>
      </c>
      <c r="P525" s="307"/>
      <c r="Q525" s="309">
        <f t="shared" si="117"/>
        <v>0.8</v>
      </c>
      <c r="R525" s="307"/>
      <c r="S525" s="314">
        <f t="shared" si="118"/>
        <v>10</v>
      </c>
      <c r="T525" s="304" t="str">
        <f t="shared" si="113"/>
        <v/>
      </c>
      <c r="U525" s="304" t="str">
        <f>IF(A525=YTD!B$6,E525,IF(OR(A525&lt;YTD!B$6,A525&gt;YTD!B$10),"",U524+E525))</f>
        <v/>
      </c>
      <c r="V525" s="304" t="str">
        <f t="shared" si="119"/>
        <v/>
      </c>
      <c r="W525" s="315" t="e">
        <f>IF(I525="",#N/A,YTD!G$8-I525)</f>
        <v>#N/A</v>
      </c>
      <c r="X525" s="368">
        <f t="shared" si="114"/>
        <v>0</v>
      </c>
      <c r="Y525" s="368">
        <f t="shared" si="120"/>
        <v>6</v>
      </c>
      <c r="Z525" s="368" t="str">
        <f t="shared" si="121"/>
        <v/>
      </c>
      <c r="AA525" s="371"/>
      <c r="AB525" s="372"/>
      <c r="AC525" s="373"/>
      <c r="AD525" s="373"/>
      <c r="AE525" s="373"/>
      <c r="AF525" s="371"/>
      <c r="AG525" s="373"/>
      <c r="AH525" s="2"/>
      <c r="AI525" s="2"/>
      <c r="AJ525" s="2"/>
    </row>
    <row r="526" spans="1:36" x14ac:dyDescent="0.2">
      <c r="A526" s="306">
        <f>Crop!B559</f>
        <v>42150</v>
      </c>
      <c r="B526" s="307"/>
      <c r="C526" s="308"/>
      <c r="D526" s="304" t="str">
        <f>IF(OR($A526&lt;$A$3,$A526&gt;$A$7),"",Crop!$D559)</f>
        <v/>
      </c>
      <c r="E526" s="304" t="str">
        <f t="shared" si="109"/>
        <v/>
      </c>
      <c r="F526" s="304" t="str">
        <f>IF(OR(A526&lt;A$3,A526&gt;A$7),"",Crop!U559)</f>
        <v/>
      </c>
      <c r="G526" s="304" t="str">
        <f t="shared" si="110"/>
        <v/>
      </c>
      <c r="H526" s="309" t="str">
        <f>IF(OR(A526&lt;A$3,A526&gt;A$7),"",YTD!E523)</f>
        <v/>
      </c>
      <c r="I526" s="310" t="str">
        <f t="shared" si="111"/>
        <v/>
      </c>
      <c r="J526" s="311"/>
      <c r="K526" s="309" t="str">
        <f t="shared" si="112"/>
        <v/>
      </c>
      <c r="L526" s="312" t="str">
        <f t="shared" si="115"/>
        <v/>
      </c>
      <c r="M526" s="366" t="str">
        <f t="shared" si="116"/>
        <v/>
      </c>
      <c r="N526" s="328" t="str">
        <f t="shared" si="122"/>
        <v/>
      </c>
      <c r="O526" s="313" t="str">
        <f t="shared" si="123"/>
        <v/>
      </c>
      <c r="P526" s="307"/>
      <c r="Q526" s="309">
        <f t="shared" si="117"/>
        <v>0.8</v>
      </c>
      <c r="R526" s="307"/>
      <c r="S526" s="314">
        <f t="shared" si="118"/>
        <v>10</v>
      </c>
      <c r="T526" s="304" t="str">
        <f t="shared" si="113"/>
        <v/>
      </c>
      <c r="U526" s="304" t="str">
        <f>IF(A526=YTD!B$6,E526,IF(OR(A526&lt;YTD!B$6,A526&gt;YTD!B$10),"",U525+E526))</f>
        <v/>
      </c>
      <c r="V526" s="304" t="str">
        <f t="shared" si="119"/>
        <v/>
      </c>
      <c r="W526" s="315" t="e">
        <f>IF(I526="",#N/A,YTD!G$8-I526)</f>
        <v>#N/A</v>
      </c>
      <c r="X526" s="368">
        <f t="shared" si="114"/>
        <v>0</v>
      </c>
      <c r="Y526" s="368">
        <f t="shared" si="120"/>
        <v>6</v>
      </c>
      <c r="Z526" s="368" t="str">
        <f t="shared" si="121"/>
        <v/>
      </c>
      <c r="AA526" s="371"/>
      <c r="AB526" s="372"/>
      <c r="AC526" s="373"/>
      <c r="AD526" s="373"/>
      <c r="AE526" s="373"/>
      <c r="AF526" s="371"/>
      <c r="AG526" s="373"/>
      <c r="AH526" s="2"/>
      <c r="AI526" s="2"/>
      <c r="AJ526" s="2"/>
    </row>
    <row r="527" spans="1:36" x14ac:dyDescent="0.2">
      <c r="A527" s="306">
        <f>Crop!B560</f>
        <v>42151</v>
      </c>
      <c r="B527" s="307"/>
      <c r="C527" s="308"/>
      <c r="D527" s="304" t="str">
        <f>IF(OR($A527&lt;$A$3,$A527&gt;$A$7),"",Crop!$D560)</f>
        <v/>
      </c>
      <c r="E527" s="304" t="str">
        <f t="shared" si="109"/>
        <v/>
      </c>
      <c r="F527" s="304" t="str">
        <f>IF(OR(A527&lt;A$3,A527&gt;A$7),"",Crop!U560)</f>
        <v/>
      </c>
      <c r="G527" s="304" t="str">
        <f t="shared" si="110"/>
        <v/>
      </c>
      <c r="H527" s="309" t="str">
        <f>IF(OR(A527&lt;A$3,A527&gt;A$7),"",YTD!E524)</f>
        <v/>
      </c>
      <c r="I527" s="310" t="str">
        <f t="shared" si="111"/>
        <v/>
      </c>
      <c r="J527" s="311"/>
      <c r="K527" s="309" t="str">
        <f t="shared" si="112"/>
        <v/>
      </c>
      <c r="L527" s="312" t="str">
        <f t="shared" si="115"/>
        <v/>
      </c>
      <c r="M527" s="366" t="str">
        <f t="shared" si="116"/>
        <v/>
      </c>
      <c r="N527" s="328" t="str">
        <f t="shared" si="122"/>
        <v/>
      </c>
      <c r="O527" s="313" t="str">
        <f t="shared" si="123"/>
        <v/>
      </c>
      <c r="P527" s="307"/>
      <c r="Q527" s="309">
        <f t="shared" si="117"/>
        <v>0.8</v>
      </c>
      <c r="R527" s="307"/>
      <c r="S527" s="314">
        <f t="shared" si="118"/>
        <v>10</v>
      </c>
      <c r="T527" s="304" t="str">
        <f t="shared" si="113"/>
        <v/>
      </c>
      <c r="U527" s="304" t="str">
        <f>IF(A527=YTD!B$6,E527,IF(OR(A527&lt;YTD!B$6,A527&gt;YTD!B$10),"",U526+E527))</f>
        <v/>
      </c>
      <c r="V527" s="304" t="str">
        <f t="shared" si="119"/>
        <v/>
      </c>
      <c r="W527" s="315" t="e">
        <f>IF(I527="",#N/A,YTD!G$8-I527)</f>
        <v>#N/A</v>
      </c>
      <c r="X527" s="368">
        <f t="shared" si="114"/>
        <v>0</v>
      </c>
      <c r="Y527" s="368">
        <f t="shared" si="120"/>
        <v>6</v>
      </c>
      <c r="Z527" s="368" t="str">
        <f t="shared" si="121"/>
        <v/>
      </c>
      <c r="AA527" s="371"/>
      <c r="AB527" s="372"/>
      <c r="AC527" s="373"/>
      <c r="AD527" s="373"/>
      <c r="AE527" s="373"/>
      <c r="AF527" s="371"/>
      <c r="AG527" s="373"/>
      <c r="AH527" s="2"/>
      <c r="AI527" s="2"/>
      <c r="AJ527" s="2"/>
    </row>
    <row r="528" spans="1:36" x14ac:dyDescent="0.2">
      <c r="A528" s="306">
        <f>Crop!B561</f>
        <v>42152</v>
      </c>
      <c r="B528" s="307"/>
      <c r="C528" s="308"/>
      <c r="D528" s="304" t="str">
        <f>IF(OR($A528&lt;$A$3,$A528&gt;$A$7),"",Crop!$D561)</f>
        <v/>
      </c>
      <c r="E528" s="304" t="str">
        <f t="shared" ref="E528:E591" si="124">IF(C528="",D528,C528)</f>
        <v/>
      </c>
      <c r="F528" s="304" t="str">
        <f>IF(OR(A528&lt;A$3,A528&gt;A$7),"",Crop!U561)</f>
        <v/>
      </c>
      <c r="G528" s="304" t="str">
        <f t="shared" ref="G528:G591" si="125">IF(OR(A528&lt;A$3,A528&gt;A$7),"",E528*F528)</f>
        <v/>
      </c>
      <c r="H528" s="309" t="str">
        <f>IF(OR(A528&lt;A$3,A528&gt;A$7),"",YTD!E525)</f>
        <v/>
      </c>
      <c r="I528" s="310" t="str">
        <f t="shared" ref="I528:I591" si="126">IF(A528=A$3-1,I$13,IF(OR(A528&lt;A$3,A528&gt;A$7),"",IF(T528="A",I527+G528-K528-J528,IF(J528&gt;0,I527+G528-K528-J528,I527+G528-K528))))</f>
        <v/>
      </c>
      <c r="J528" s="311"/>
      <c r="K528" s="309" t="str">
        <f t="shared" ref="K528:K592" si="127">IF(U528="","",IF(AND(E528="",B528=""),"",IF(B528="",0,IF(B528&gt;I527+G528,I527+G528,B528))))</f>
        <v/>
      </c>
      <c r="L528" s="312" t="str">
        <f t="shared" si="115"/>
        <v/>
      </c>
      <c r="M528" s="366" t="str">
        <f t="shared" si="116"/>
        <v/>
      </c>
      <c r="N528" s="328" t="str">
        <f t="shared" si="122"/>
        <v/>
      </c>
      <c r="O528" s="313" t="str">
        <f t="shared" si="123"/>
        <v/>
      </c>
      <c r="P528" s="307"/>
      <c r="Q528" s="309">
        <f t="shared" si="117"/>
        <v>0.8</v>
      </c>
      <c r="R528" s="307"/>
      <c r="S528" s="314">
        <f t="shared" si="118"/>
        <v>10</v>
      </c>
      <c r="T528" s="304" t="str">
        <f t="shared" ref="T528:T592" si="128">IF(A528=A$3,"A",IF(A528=A$4,"B",IF(A528=A$5,"C",IF(A528=A$6,"D",IF(A528=A$7,"E","")))))</f>
        <v/>
      </c>
      <c r="U528" s="304" t="str">
        <f>IF(A528=YTD!B$6,E528,IF(OR(A528&lt;YTD!B$6,A528&gt;YTD!B$10),"",U527+E528))</f>
        <v/>
      </c>
      <c r="V528" s="304" t="str">
        <f t="shared" si="119"/>
        <v/>
      </c>
      <c r="W528" s="315" t="e">
        <f>IF(I528="",#N/A,YTD!G$8-I528)</f>
        <v>#N/A</v>
      </c>
      <c r="X528" s="368">
        <f t="shared" ref="X528:X592" si="129">IF(J528="",0,1)</f>
        <v>0</v>
      </c>
      <c r="Y528" s="368">
        <f t="shared" si="120"/>
        <v>6</v>
      </c>
      <c r="Z528" s="368" t="str">
        <f t="shared" si="121"/>
        <v/>
      </c>
      <c r="AA528" s="371"/>
      <c r="AB528" s="372"/>
      <c r="AC528" s="373"/>
      <c r="AD528" s="373"/>
      <c r="AE528" s="373"/>
      <c r="AF528" s="371"/>
      <c r="AG528" s="373"/>
      <c r="AH528" s="2"/>
      <c r="AI528" s="2"/>
      <c r="AJ528" s="2"/>
    </row>
    <row r="529" spans="1:36" x14ac:dyDescent="0.2">
      <c r="A529" s="306">
        <f>Crop!B562</f>
        <v>42153</v>
      </c>
      <c r="B529" s="307"/>
      <c r="C529" s="308"/>
      <c r="D529" s="304" t="str">
        <f>IF(OR($A529&lt;$A$3,$A529&gt;$A$7),"",Crop!$D562)</f>
        <v/>
      </c>
      <c r="E529" s="304" t="str">
        <f t="shared" si="124"/>
        <v/>
      </c>
      <c r="F529" s="304" t="str">
        <f>IF(OR(A529&lt;A$3,A529&gt;A$7),"",Crop!U562)</f>
        <v/>
      </c>
      <c r="G529" s="304" t="str">
        <f t="shared" si="125"/>
        <v/>
      </c>
      <c r="H529" s="309" t="str">
        <f>IF(OR(A529&lt;A$3,A529&gt;A$7),"",YTD!E526)</f>
        <v/>
      </c>
      <c r="I529" s="310" t="str">
        <f t="shared" si="126"/>
        <v/>
      </c>
      <c r="J529" s="311"/>
      <c r="K529" s="309" t="str">
        <f t="shared" si="127"/>
        <v/>
      </c>
      <c r="L529" s="312" t="str">
        <f t="shared" ref="L529:L592" si="130">IF(J529="","",J529/Q529)</f>
        <v/>
      </c>
      <c r="M529" s="366" t="str">
        <f t="shared" ref="M529:M592" si="131">IF(L529="","",L529/(1-$I$8))</f>
        <v/>
      </c>
      <c r="N529" s="328" t="str">
        <f t="shared" si="122"/>
        <v/>
      </c>
      <c r="O529" s="313" t="str">
        <f t="shared" si="123"/>
        <v/>
      </c>
      <c r="P529" s="307"/>
      <c r="Q529" s="309">
        <f t="shared" ref="Q529:Q592" si="132">IF(P529="",Q528,P529)</f>
        <v>0.8</v>
      </c>
      <c r="R529" s="307"/>
      <c r="S529" s="314">
        <f t="shared" ref="S529:S592" si="133">IF(R529="",S528,R529)</f>
        <v>10</v>
      </c>
      <c r="T529" s="304" t="str">
        <f t="shared" si="128"/>
        <v/>
      </c>
      <c r="U529" s="304" t="str">
        <f>IF(A529=YTD!B$6,E529,IF(OR(A529&lt;YTD!B$6,A529&gt;YTD!B$10),"",U528+E529))</f>
        <v/>
      </c>
      <c r="V529" s="304" t="str">
        <f t="shared" ref="V529:V592" si="134">IF(G529="","",IF(G528="",G529,V528+G529))</f>
        <v/>
      </c>
      <c r="W529" s="315" t="e">
        <f>IF(I529="",#N/A,YTD!G$8-I529)</f>
        <v>#N/A</v>
      </c>
      <c r="X529" s="368">
        <f t="shared" si="129"/>
        <v>0</v>
      </c>
      <c r="Y529" s="368">
        <f t="shared" si="120"/>
        <v>6</v>
      </c>
      <c r="Z529" s="368" t="str">
        <f t="shared" si="121"/>
        <v/>
      </c>
      <c r="AA529" s="371"/>
      <c r="AB529" s="372"/>
      <c r="AC529" s="373"/>
      <c r="AD529" s="373"/>
      <c r="AE529" s="373"/>
      <c r="AF529" s="371"/>
      <c r="AG529" s="373"/>
      <c r="AH529" s="2"/>
      <c r="AI529" s="2"/>
      <c r="AJ529" s="2"/>
    </row>
    <row r="530" spans="1:36" x14ac:dyDescent="0.2">
      <c r="A530" s="306">
        <f>Crop!B563</f>
        <v>42154</v>
      </c>
      <c r="B530" s="307"/>
      <c r="C530" s="308"/>
      <c r="D530" s="304" t="str">
        <f>IF(OR($A530&lt;$A$3,$A530&gt;$A$7),"",Crop!$D563)</f>
        <v/>
      </c>
      <c r="E530" s="304" t="str">
        <f t="shared" si="124"/>
        <v/>
      </c>
      <c r="F530" s="304" t="str">
        <f>IF(OR(A530&lt;A$3,A530&gt;A$7),"",Crop!U563)</f>
        <v/>
      </c>
      <c r="G530" s="304" t="str">
        <f t="shared" si="125"/>
        <v/>
      </c>
      <c r="H530" s="309" t="str">
        <f>IF(OR(A530&lt;A$3,A530&gt;A$7),"",YTD!E527)</f>
        <v/>
      </c>
      <c r="I530" s="310" t="str">
        <f t="shared" si="126"/>
        <v/>
      </c>
      <c r="J530" s="311"/>
      <c r="K530" s="309" t="str">
        <f t="shared" si="127"/>
        <v/>
      </c>
      <c r="L530" s="312" t="str">
        <f t="shared" si="130"/>
        <v/>
      </c>
      <c r="M530" s="366" t="str">
        <f t="shared" si="131"/>
        <v/>
      </c>
      <c r="N530" s="328" t="str">
        <f t="shared" si="122"/>
        <v/>
      </c>
      <c r="O530" s="313" t="str">
        <f t="shared" si="123"/>
        <v/>
      </c>
      <c r="P530" s="307"/>
      <c r="Q530" s="309">
        <f t="shared" si="132"/>
        <v>0.8</v>
      </c>
      <c r="R530" s="307"/>
      <c r="S530" s="314">
        <f t="shared" si="133"/>
        <v>10</v>
      </c>
      <c r="T530" s="304" t="str">
        <f t="shared" si="128"/>
        <v/>
      </c>
      <c r="U530" s="304" t="str">
        <f>IF(A530=YTD!B$6,E530,IF(OR(A530&lt;YTD!B$6,A530&gt;YTD!B$10),"",U529+E530))</f>
        <v/>
      </c>
      <c r="V530" s="304" t="str">
        <f t="shared" si="134"/>
        <v/>
      </c>
      <c r="W530" s="315" t="e">
        <f>IF(I530="",#N/A,YTD!G$8-I530)</f>
        <v>#N/A</v>
      </c>
      <c r="X530" s="368">
        <f t="shared" si="129"/>
        <v>0</v>
      </c>
      <c r="Y530" s="368">
        <f t="shared" ref="Y530:Y592" si="135">Y529+X530</f>
        <v>6</v>
      </c>
      <c r="Z530" s="368" t="str">
        <f t="shared" si="121"/>
        <v/>
      </c>
      <c r="AA530" s="371"/>
      <c r="AB530" s="372"/>
      <c r="AC530" s="373"/>
      <c r="AD530" s="373"/>
      <c r="AE530" s="373"/>
      <c r="AF530" s="371"/>
      <c r="AG530" s="373"/>
      <c r="AH530" s="2"/>
      <c r="AI530" s="2"/>
      <c r="AJ530" s="2"/>
    </row>
    <row r="531" spans="1:36" x14ac:dyDescent="0.2">
      <c r="A531" s="306">
        <f>Crop!B564</f>
        <v>42155</v>
      </c>
      <c r="B531" s="307"/>
      <c r="C531" s="308"/>
      <c r="D531" s="304" t="str">
        <f>IF(OR($A531&lt;$A$3,$A531&gt;$A$7),"",Crop!$D564)</f>
        <v/>
      </c>
      <c r="E531" s="304" t="str">
        <f t="shared" si="124"/>
        <v/>
      </c>
      <c r="F531" s="304" t="str">
        <f>IF(OR(A531&lt;A$3,A531&gt;A$7),"",Crop!U564)</f>
        <v/>
      </c>
      <c r="G531" s="304" t="str">
        <f t="shared" si="125"/>
        <v/>
      </c>
      <c r="H531" s="309" t="str">
        <f>IF(OR(A531&lt;A$3,A531&gt;A$7),"",YTD!E528)</f>
        <v/>
      </c>
      <c r="I531" s="310" t="str">
        <f t="shared" si="126"/>
        <v/>
      </c>
      <c r="J531" s="311"/>
      <c r="K531" s="309" t="str">
        <f t="shared" si="127"/>
        <v/>
      </c>
      <c r="L531" s="312" t="str">
        <f t="shared" si="130"/>
        <v/>
      </c>
      <c r="M531" s="366" t="str">
        <f t="shared" si="131"/>
        <v/>
      </c>
      <c r="N531" s="328" t="str">
        <f t="shared" si="122"/>
        <v/>
      </c>
      <c r="O531" s="313" t="str">
        <f t="shared" si="123"/>
        <v/>
      </c>
      <c r="P531" s="307"/>
      <c r="Q531" s="309">
        <f t="shared" si="132"/>
        <v>0.8</v>
      </c>
      <c r="R531" s="307"/>
      <c r="S531" s="314">
        <f t="shared" si="133"/>
        <v>10</v>
      </c>
      <c r="T531" s="304" t="str">
        <f t="shared" si="128"/>
        <v/>
      </c>
      <c r="U531" s="304" t="str">
        <f>IF(A531=YTD!B$6,E531,IF(OR(A531&lt;YTD!B$6,A531&gt;YTD!B$10),"",U530+E531))</f>
        <v/>
      </c>
      <c r="V531" s="304" t="str">
        <f t="shared" si="134"/>
        <v/>
      </c>
      <c r="W531" s="315" t="e">
        <f>IF(I531="",#N/A,YTD!G$8-I531)</f>
        <v>#N/A</v>
      </c>
      <c r="X531" s="368">
        <f t="shared" si="129"/>
        <v>0</v>
      </c>
      <c r="Y531" s="368">
        <f t="shared" si="135"/>
        <v>6</v>
      </c>
      <c r="Z531" s="368" t="str">
        <f t="shared" si="121"/>
        <v/>
      </c>
      <c r="AA531" s="371"/>
      <c r="AB531" s="372"/>
      <c r="AC531" s="373"/>
      <c r="AD531" s="373"/>
      <c r="AE531" s="373"/>
      <c r="AF531" s="371"/>
      <c r="AG531" s="373"/>
      <c r="AH531" s="2"/>
      <c r="AI531" s="2"/>
      <c r="AJ531" s="2"/>
    </row>
    <row r="532" spans="1:36" x14ac:dyDescent="0.2">
      <c r="A532" s="306">
        <f>Crop!B565</f>
        <v>42156</v>
      </c>
      <c r="B532" s="307"/>
      <c r="C532" s="308"/>
      <c r="D532" s="304" t="str">
        <f>IF(OR($A532&lt;$A$3,$A532&gt;$A$7),"",Crop!$D565)</f>
        <v/>
      </c>
      <c r="E532" s="304" t="str">
        <f t="shared" si="124"/>
        <v/>
      </c>
      <c r="F532" s="304" t="str">
        <f>IF(OR(A532&lt;A$3,A532&gt;A$7),"",Crop!U565)</f>
        <v/>
      </c>
      <c r="G532" s="304" t="str">
        <f t="shared" si="125"/>
        <v/>
      </c>
      <c r="H532" s="309" t="str">
        <f>IF(OR(A532&lt;A$3,A532&gt;A$7),"",YTD!E529)</f>
        <v/>
      </c>
      <c r="I532" s="310" t="str">
        <f t="shared" si="126"/>
        <v/>
      </c>
      <c r="J532" s="311"/>
      <c r="K532" s="309" t="str">
        <f t="shared" si="127"/>
        <v/>
      </c>
      <c r="L532" s="312" t="str">
        <f t="shared" si="130"/>
        <v/>
      </c>
      <c r="M532" s="366" t="str">
        <f t="shared" si="131"/>
        <v/>
      </c>
      <c r="N532" s="328" t="str">
        <f t="shared" si="122"/>
        <v/>
      </c>
      <c r="O532" s="313" t="str">
        <f t="shared" si="123"/>
        <v/>
      </c>
      <c r="P532" s="307"/>
      <c r="Q532" s="309">
        <f t="shared" si="132"/>
        <v>0.8</v>
      </c>
      <c r="R532" s="307"/>
      <c r="S532" s="314">
        <f t="shared" si="133"/>
        <v>10</v>
      </c>
      <c r="T532" s="304" t="str">
        <f t="shared" si="128"/>
        <v/>
      </c>
      <c r="U532" s="304" t="str">
        <f>IF(A532=YTD!B$6,E532,IF(OR(A532&lt;YTD!B$6,A532&gt;YTD!B$10),"",U531+E532))</f>
        <v/>
      </c>
      <c r="V532" s="304" t="str">
        <f t="shared" si="134"/>
        <v/>
      </c>
      <c r="W532" s="315" t="e">
        <f>IF(I532="",#N/A,YTD!G$8-I532)</f>
        <v>#N/A</v>
      </c>
      <c r="X532" s="368">
        <f t="shared" si="129"/>
        <v>0</v>
      </c>
      <c r="Y532" s="368">
        <f t="shared" si="135"/>
        <v>6</v>
      </c>
      <c r="Z532" s="368" t="str">
        <f t="shared" si="121"/>
        <v/>
      </c>
      <c r="AA532" s="371"/>
      <c r="AB532" s="372"/>
      <c r="AC532" s="373"/>
      <c r="AD532" s="373"/>
      <c r="AE532" s="373"/>
      <c r="AF532" s="371"/>
      <c r="AG532" s="373"/>
      <c r="AH532" s="2"/>
      <c r="AI532" s="2"/>
      <c r="AJ532" s="2"/>
    </row>
    <row r="533" spans="1:36" x14ac:dyDescent="0.2">
      <c r="A533" s="306">
        <f>Crop!B566</f>
        <v>42157</v>
      </c>
      <c r="B533" s="307"/>
      <c r="C533" s="308"/>
      <c r="D533" s="304" t="str">
        <f>IF(OR($A533&lt;$A$3,$A533&gt;$A$7),"",Crop!$D566)</f>
        <v/>
      </c>
      <c r="E533" s="304" t="str">
        <f t="shared" si="124"/>
        <v/>
      </c>
      <c r="F533" s="304" t="str">
        <f>IF(OR(A533&lt;A$3,A533&gt;A$7),"",Crop!U566)</f>
        <v/>
      </c>
      <c r="G533" s="304" t="str">
        <f t="shared" si="125"/>
        <v/>
      </c>
      <c r="H533" s="309" t="str">
        <f>IF(OR(A533&lt;A$3,A533&gt;A$7),"",YTD!E530)</f>
        <v/>
      </c>
      <c r="I533" s="310" t="str">
        <f t="shared" si="126"/>
        <v/>
      </c>
      <c r="J533" s="311"/>
      <c r="K533" s="309" t="str">
        <f t="shared" si="127"/>
        <v/>
      </c>
      <c r="L533" s="312" t="str">
        <f t="shared" si="130"/>
        <v/>
      </c>
      <c r="M533" s="366" t="str">
        <f t="shared" si="131"/>
        <v/>
      </c>
      <c r="N533" s="328" t="str">
        <f t="shared" si="122"/>
        <v/>
      </c>
      <c r="O533" s="313" t="str">
        <f t="shared" si="123"/>
        <v/>
      </c>
      <c r="P533" s="307"/>
      <c r="Q533" s="309">
        <f t="shared" si="132"/>
        <v>0.8</v>
      </c>
      <c r="R533" s="307"/>
      <c r="S533" s="314">
        <f t="shared" si="133"/>
        <v>10</v>
      </c>
      <c r="T533" s="304" t="str">
        <f t="shared" si="128"/>
        <v/>
      </c>
      <c r="U533" s="304" t="str">
        <f>IF(A533=YTD!B$6,E533,IF(OR(A533&lt;YTD!B$6,A533&gt;YTD!B$10),"",U532+E533))</f>
        <v/>
      </c>
      <c r="V533" s="304" t="str">
        <f t="shared" si="134"/>
        <v/>
      </c>
      <c r="W533" s="315" t="e">
        <f>IF(I533="",#N/A,YTD!G$8-I533)</f>
        <v>#N/A</v>
      </c>
      <c r="X533" s="368">
        <f t="shared" si="129"/>
        <v>0</v>
      </c>
      <c r="Y533" s="368">
        <f t="shared" si="135"/>
        <v>6</v>
      </c>
      <c r="Z533" s="368" t="str">
        <f t="shared" si="121"/>
        <v/>
      </c>
      <c r="AA533" s="371"/>
      <c r="AB533" s="372"/>
      <c r="AC533" s="373"/>
      <c r="AD533" s="373"/>
      <c r="AE533" s="373"/>
      <c r="AF533" s="371"/>
      <c r="AG533" s="373"/>
      <c r="AH533" s="2"/>
      <c r="AI533" s="2"/>
      <c r="AJ533" s="2"/>
    </row>
    <row r="534" spans="1:36" x14ac:dyDescent="0.2">
      <c r="A534" s="306">
        <f>Crop!B567</f>
        <v>42158</v>
      </c>
      <c r="B534" s="307"/>
      <c r="C534" s="308"/>
      <c r="D534" s="304" t="str">
        <f>IF(OR($A534&lt;$A$3,$A534&gt;$A$7),"",Crop!$D567)</f>
        <v/>
      </c>
      <c r="E534" s="304" t="str">
        <f t="shared" si="124"/>
        <v/>
      </c>
      <c r="F534" s="304" t="str">
        <f>IF(OR(A534&lt;A$3,A534&gt;A$7),"",Crop!U567)</f>
        <v/>
      </c>
      <c r="G534" s="304" t="str">
        <f t="shared" si="125"/>
        <v/>
      </c>
      <c r="H534" s="309" t="str">
        <f>IF(OR(A534&lt;A$3,A534&gt;A$7),"",YTD!E531)</f>
        <v/>
      </c>
      <c r="I534" s="310" t="str">
        <f t="shared" si="126"/>
        <v/>
      </c>
      <c r="J534" s="311"/>
      <c r="K534" s="309" t="str">
        <f t="shared" si="127"/>
        <v/>
      </c>
      <c r="L534" s="312" t="str">
        <f t="shared" si="130"/>
        <v/>
      </c>
      <c r="M534" s="366" t="str">
        <f t="shared" si="131"/>
        <v/>
      </c>
      <c r="N534" s="328" t="str">
        <f t="shared" si="122"/>
        <v/>
      </c>
      <c r="O534" s="313" t="str">
        <f t="shared" si="123"/>
        <v/>
      </c>
      <c r="P534" s="307"/>
      <c r="Q534" s="309">
        <f t="shared" si="132"/>
        <v>0.8</v>
      </c>
      <c r="R534" s="307"/>
      <c r="S534" s="314">
        <f t="shared" si="133"/>
        <v>10</v>
      </c>
      <c r="T534" s="304" t="str">
        <f t="shared" si="128"/>
        <v/>
      </c>
      <c r="U534" s="304" t="str">
        <f>IF(A534=YTD!B$6,E534,IF(OR(A534&lt;YTD!B$6,A534&gt;YTD!B$10),"",U533+E534))</f>
        <v/>
      </c>
      <c r="V534" s="304" t="str">
        <f t="shared" si="134"/>
        <v/>
      </c>
      <c r="W534" s="315" t="e">
        <f>IF(I534="",#N/A,YTD!G$8-I534)</f>
        <v>#N/A</v>
      </c>
      <c r="X534" s="368">
        <f t="shared" si="129"/>
        <v>0</v>
      </c>
      <c r="Y534" s="368">
        <f t="shared" si="135"/>
        <v>6</v>
      </c>
      <c r="Z534" s="368" t="str">
        <f t="shared" si="121"/>
        <v/>
      </c>
      <c r="AA534" s="371"/>
      <c r="AB534" s="372"/>
      <c r="AC534" s="373"/>
      <c r="AD534" s="373"/>
      <c r="AE534" s="373"/>
      <c r="AF534" s="371"/>
      <c r="AG534" s="373"/>
      <c r="AH534" s="2"/>
      <c r="AI534" s="2"/>
      <c r="AJ534" s="2"/>
    </row>
    <row r="535" spans="1:36" x14ac:dyDescent="0.2">
      <c r="A535" s="306">
        <f>Crop!B568</f>
        <v>42159</v>
      </c>
      <c r="B535" s="307"/>
      <c r="C535" s="308"/>
      <c r="D535" s="304" t="str">
        <f>IF(OR($A535&lt;$A$3,$A535&gt;$A$7),"",Crop!$D568)</f>
        <v/>
      </c>
      <c r="E535" s="304" t="str">
        <f t="shared" si="124"/>
        <v/>
      </c>
      <c r="F535" s="304" t="str">
        <f>IF(OR(A535&lt;A$3,A535&gt;A$7),"",Crop!U568)</f>
        <v/>
      </c>
      <c r="G535" s="304" t="str">
        <f t="shared" si="125"/>
        <v/>
      </c>
      <c r="H535" s="309" t="str">
        <f>IF(OR(A535&lt;A$3,A535&gt;A$7),"",YTD!E532)</f>
        <v/>
      </c>
      <c r="I535" s="310" t="str">
        <f t="shared" si="126"/>
        <v/>
      </c>
      <c r="J535" s="311"/>
      <c r="K535" s="309" t="str">
        <f t="shared" si="127"/>
        <v/>
      </c>
      <c r="L535" s="312" t="str">
        <f t="shared" si="130"/>
        <v/>
      </c>
      <c r="M535" s="366" t="str">
        <f t="shared" si="131"/>
        <v/>
      </c>
      <c r="N535" s="328" t="str">
        <f t="shared" si="122"/>
        <v/>
      </c>
      <c r="O535" s="313" t="str">
        <f t="shared" si="123"/>
        <v/>
      </c>
      <c r="P535" s="307"/>
      <c r="Q535" s="309">
        <f t="shared" si="132"/>
        <v>0.8</v>
      </c>
      <c r="R535" s="307"/>
      <c r="S535" s="314">
        <f t="shared" si="133"/>
        <v>10</v>
      </c>
      <c r="T535" s="304" t="str">
        <f t="shared" si="128"/>
        <v/>
      </c>
      <c r="U535" s="304" t="str">
        <f>IF(A535=YTD!B$6,E535,IF(OR(A535&lt;YTD!B$6,A535&gt;YTD!B$10),"",U534+E535))</f>
        <v/>
      </c>
      <c r="V535" s="304" t="str">
        <f t="shared" si="134"/>
        <v/>
      </c>
      <c r="W535" s="315" t="e">
        <f>IF(I535="",#N/A,YTD!G$8-I535)</f>
        <v>#N/A</v>
      </c>
      <c r="X535" s="368">
        <f t="shared" si="129"/>
        <v>0</v>
      </c>
      <c r="Y535" s="368">
        <f t="shared" si="135"/>
        <v>6</v>
      </c>
      <c r="Z535" s="368" t="str">
        <f t="shared" si="121"/>
        <v/>
      </c>
      <c r="AA535" s="371"/>
      <c r="AB535" s="372"/>
      <c r="AC535" s="373"/>
      <c r="AD535" s="373"/>
      <c r="AE535" s="373"/>
      <c r="AF535" s="371"/>
      <c r="AG535" s="373"/>
      <c r="AH535" s="2"/>
      <c r="AI535" s="2"/>
      <c r="AJ535" s="2"/>
    </row>
    <row r="536" spans="1:36" x14ac:dyDescent="0.2">
      <c r="A536" s="306">
        <f>Crop!B569</f>
        <v>42160</v>
      </c>
      <c r="B536" s="307"/>
      <c r="C536" s="308"/>
      <c r="D536" s="304" t="str">
        <f>IF(OR($A536&lt;$A$3,$A536&gt;$A$7),"",Crop!$D569)</f>
        <v/>
      </c>
      <c r="E536" s="304" t="str">
        <f t="shared" si="124"/>
        <v/>
      </c>
      <c r="F536" s="304" t="str">
        <f>IF(OR(A536&lt;A$3,A536&gt;A$7),"",Crop!U569)</f>
        <v/>
      </c>
      <c r="G536" s="304" t="str">
        <f t="shared" si="125"/>
        <v/>
      </c>
      <c r="H536" s="309" t="str">
        <f>IF(OR(A536&lt;A$3,A536&gt;A$7),"",YTD!E533)</f>
        <v/>
      </c>
      <c r="I536" s="310" t="str">
        <f t="shared" si="126"/>
        <v/>
      </c>
      <c r="J536" s="311"/>
      <c r="K536" s="309" t="str">
        <f t="shared" si="127"/>
        <v/>
      </c>
      <c r="L536" s="312" t="str">
        <f t="shared" si="130"/>
        <v/>
      </c>
      <c r="M536" s="366" t="str">
        <f t="shared" si="131"/>
        <v/>
      </c>
      <c r="N536" s="328" t="str">
        <f t="shared" si="122"/>
        <v/>
      </c>
      <c r="O536" s="313" t="str">
        <f t="shared" si="123"/>
        <v/>
      </c>
      <c r="P536" s="307"/>
      <c r="Q536" s="309">
        <f t="shared" si="132"/>
        <v>0.8</v>
      </c>
      <c r="R536" s="307"/>
      <c r="S536" s="314">
        <f t="shared" si="133"/>
        <v>10</v>
      </c>
      <c r="T536" s="304" t="str">
        <f t="shared" si="128"/>
        <v/>
      </c>
      <c r="U536" s="304" t="str">
        <f>IF(A536=YTD!B$6,E536,IF(OR(A536&lt;YTD!B$6,A536&gt;YTD!B$10),"",U535+E536))</f>
        <v/>
      </c>
      <c r="V536" s="304" t="str">
        <f t="shared" si="134"/>
        <v/>
      </c>
      <c r="W536" s="315" t="e">
        <f>IF(I536="",#N/A,YTD!G$8-I536)</f>
        <v>#N/A</v>
      </c>
      <c r="X536" s="368">
        <f t="shared" si="129"/>
        <v>0</v>
      </c>
      <c r="Y536" s="368">
        <f t="shared" si="135"/>
        <v>6</v>
      </c>
      <c r="Z536" s="368" t="str">
        <f t="shared" si="121"/>
        <v/>
      </c>
      <c r="AA536" s="371"/>
      <c r="AB536" s="372"/>
      <c r="AC536" s="373"/>
      <c r="AD536" s="373"/>
      <c r="AE536" s="373"/>
      <c r="AF536" s="371"/>
      <c r="AG536" s="373"/>
      <c r="AH536" s="2"/>
      <c r="AI536" s="2"/>
      <c r="AJ536" s="2"/>
    </row>
    <row r="537" spans="1:36" x14ac:dyDescent="0.2">
      <c r="A537" s="306">
        <f>Crop!B570</f>
        <v>42161</v>
      </c>
      <c r="B537" s="307"/>
      <c r="C537" s="308"/>
      <c r="D537" s="304" t="str">
        <f>IF(OR($A537&lt;$A$3,$A537&gt;$A$7),"",Crop!$D570)</f>
        <v/>
      </c>
      <c r="E537" s="304" t="str">
        <f t="shared" si="124"/>
        <v/>
      </c>
      <c r="F537" s="304" t="str">
        <f>IF(OR(A537&lt;A$3,A537&gt;A$7),"",Crop!U570)</f>
        <v/>
      </c>
      <c r="G537" s="304" t="str">
        <f t="shared" si="125"/>
        <v/>
      </c>
      <c r="H537" s="309" t="str">
        <f>IF(OR(A537&lt;A$3,A537&gt;A$7),"",YTD!E534)</f>
        <v/>
      </c>
      <c r="I537" s="310" t="str">
        <f t="shared" si="126"/>
        <v/>
      </c>
      <c r="J537" s="311"/>
      <c r="K537" s="309" t="str">
        <f t="shared" si="127"/>
        <v/>
      </c>
      <c r="L537" s="312" t="str">
        <f t="shared" si="130"/>
        <v/>
      </c>
      <c r="M537" s="366" t="str">
        <f t="shared" si="131"/>
        <v/>
      </c>
      <c r="N537" s="328" t="str">
        <f t="shared" si="122"/>
        <v/>
      </c>
      <c r="O537" s="313" t="str">
        <f t="shared" si="123"/>
        <v/>
      </c>
      <c r="P537" s="307"/>
      <c r="Q537" s="309">
        <f t="shared" si="132"/>
        <v>0.8</v>
      </c>
      <c r="R537" s="307"/>
      <c r="S537" s="314">
        <f t="shared" si="133"/>
        <v>10</v>
      </c>
      <c r="T537" s="304" t="str">
        <f t="shared" si="128"/>
        <v/>
      </c>
      <c r="U537" s="304" t="str">
        <f>IF(A537=YTD!B$6,E537,IF(OR(A537&lt;YTD!B$6,A537&gt;YTD!B$10),"",U536+E537))</f>
        <v/>
      </c>
      <c r="V537" s="304" t="str">
        <f t="shared" si="134"/>
        <v/>
      </c>
      <c r="W537" s="315" t="e">
        <f>IF(I537="",#N/A,YTD!G$8-I537)</f>
        <v>#N/A</v>
      </c>
      <c r="X537" s="368">
        <f t="shared" si="129"/>
        <v>0</v>
      </c>
      <c r="Y537" s="368">
        <f t="shared" si="135"/>
        <v>6</v>
      </c>
      <c r="Z537" s="368" t="str">
        <f t="shared" si="121"/>
        <v/>
      </c>
      <c r="AA537" s="371"/>
      <c r="AB537" s="372"/>
      <c r="AC537" s="373"/>
      <c r="AD537" s="373"/>
      <c r="AE537" s="373"/>
      <c r="AF537" s="371"/>
      <c r="AG537" s="373"/>
      <c r="AH537" s="2"/>
      <c r="AI537" s="2"/>
      <c r="AJ537" s="2"/>
    </row>
    <row r="538" spans="1:36" x14ac:dyDescent="0.2">
      <c r="A538" s="306">
        <f>Crop!B571</f>
        <v>42162</v>
      </c>
      <c r="B538" s="307"/>
      <c r="C538" s="308"/>
      <c r="D538" s="304" t="str">
        <f>IF(OR($A538&lt;$A$3,$A538&gt;$A$7),"",Crop!$D571)</f>
        <v/>
      </c>
      <c r="E538" s="304" t="str">
        <f t="shared" si="124"/>
        <v/>
      </c>
      <c r="F538" s="304" t="str">
        <f>IF(OR(A538&lt;A$3,A538&gt;A$7),"",Crop!U571)</f>
        <v/>
      </c>
      <c r="G538" s="304" t="str">
        <f t="shared" si="125"/>
        <v/>
      </c>
      <c r="H538" s="309" t="str">
        <f>IF(OR(A538&lt;A$3,A538&gt;A$7),"",YTD!E535)</f>
        <v/>
      </c>
      <c r="I538" s="310" t="str">
        <f t="shared" si="126"/>
        <v/>
      </c>
      <c r="J538" s="311"/>
      <c r="K538" s="309" t="str">
        <f t="shared" si="127"/>
        <v/>
      </c>
      <c r="L538" s="312" t="str">
        <f t="shared" si="130"/>
        <v/>
      </c>
      <c r="M538" s="366" t="str">
        <f t="shared" si="131"/>
        <v/>
      </c>
      <c r="N538" s="328" t="str">
        <f t="shared" si="122"/>
        <v/>
      </c>
      <c r="O538" s="313" t="str">
        <f t="shared" si="123"/>
        <v/>
      </c>
      <c r="P538" s="307"/>
      <c r="Q538" s="309">
        <f t="shared" si="132"/>
        <v>0.8</v>
      </c>
      <c r="R538" s="307"/>
      <c r="S538" s="314">
        <f t="shared" si="133"/>
        <v>10</v>
      </c>
      <c r="T538" s="304" t="str">
        <f t="shared" si="128"/>
        <v/>
      </c>
      <c r="U538" s="304" t="str">
        <f>IF(A538=YTD!B$6,E538,IF(OR(A538&lt;YTD!B$6,A538&gt;YTD!B$10),"",U537+E538))</f>
        <v/>
      </c>
      <c r="V538" s="304" t="str">
        <f t="shared" si="134"/>
        <v/>
      </c>
      <c r="W538" s="315" t="e">
        <f>IF(I538="",#N/A,YTD!G$8-I538)</f>
        <v>#N/A</v>
      </c>
      <c r="X538" s="368">
        <f t="shared" si="129"/>
        <v>0</v>
      </c>
      <c r="Y538" s="368">
        <f t="shared" si="135"/>
        <v>6</v>
      </c>
      <c r="Z538" s="368" t="str">
        <f t="shared" si="121"/>
        <v/>
      </c>
      <c r="AA538" s="371"/>
      <c r="AB538" s="372"/>
      <c r="AC538" s="373"/>
      <c r="AD538" s="373"/>
      <c r="AE538" s="373"/>
      <c r="AF538" s="371"/>
      <c r="AG538" s="373"/>
      <c r="AH538" s="2"/>
      <c r="AI538" s="2"/>
      <c r="AJ538" s="2"/>
    </row>
    <row r="539" spans="1:36" x14ac:dyDescent="0.2">
      <c r="A539" s="306">
        <f>Crop!B572</f>
        <v>42163</v>
      </c>
      <c r="B539" s="307"/>
      <c r="C539" s="308"/>
      <c r="D539" s="304" t="str">
        <f>IF(OR($A539&lt;$A$3,$A539&gt;$A$7),"",Crop!$D572)</f>
        <v/>
      </c>
      <c r="E539" s="304" t="str">
        <f t="shared" si="124"/>
        <v/>
      </c>
      <c r="F539" s="304" t="str">
        <f>IF(OR(A539&lt;A$3,A539&gt;A$7),"",Crop!U572)</f>
        <v/>
      </c>
      <c r="G539" s="304" t="str">
        <f t="shared" si="125"/>
        <v/>
      </c>
      <c r="H539" s="309" t="str">
        <f>IF(OR(A539&lt;A$3,A539&gt;A$7),"",YTD!E536)</f>
        <v/>
      </c>
      <c r="I539" s="310" t="str">
        <f t="shared" si="126"/>
        <v/>
      </c>
      <c r="J539" s="311"/>
      <c r="K539" s="309" t="str">
        <f t="shared" si="127"/>
        <v/>
      </c>
      <c r="L539" s="312" t="str">
        <f t="shared" si="130"/>
        <v/>
      </c>
      <c r="M539" s="366" t="str">
        <f t="shared" si="131"/>
        <v/>
      </c>
      <c r="N539" s="328" t="str">
        <f t="shared" si="122"/>
        <v/>
      </c>
      <c r="O539" s="313" t="str">
        <f t="shared" si="123"/>
        <v/>
      </c>
      <c r="P539" s="307"/>
      <c r="Q539" s="309">
        <f t="shared" si="132"/>
        <v>0.8</v>
      </c>
      <c r="R539" s="307"/>
      <c r="S539" s="314">
        <f t="shared" si="133"/>
        <v>10</v>
      </c>
      <c r="T539" s="304" t="str">
        <f t="shared" si="128"/>
        <v/>
      </c>
      <c r="U539" s="304" t="str">
        <f>IF(A539=YTD!B$6,E539,IF(OR(A539&lt;YTD!B$6,A539&gt;YTD!B$10),"",U538+E539))</f>
        <v/>
      </c>
      <c r="V539" s="304" t="str">
        <f t="shared" si="134"/>
        <v/>
      </c>
      <c r="W539" s="315" t="e">
        <f>IF(I539="",#N/A,YTD!G$8-I539)</f>
        <v>#N/A</v>
      </c>
      <c r="X539" s="368">
        <f t="shared" si="129"/>
        <v>0</v>
      </c>
      <c r="Y539" s="368">
        <f t="shared" si="135"/>
        <v>6</v>
      </c>
      <c r="Z539" s="368" t="str">
        <f t="shared" si="121"/>
        <v/>
      </c>
      <c r="AA539" s="371"/>
      <c r="AB539" s="372"/>
      <c r="AC539" s="373"/>
      <c r="AD539" s="373"/>
      <c r="AE539" s="373"/>
      <c r="AF539" s="371"/>
      <c r="AG539" s="373"/>
      <c r="AH539" s="2"/>
      <c r="AI539" s="2"/>
      <c r="AJ539" s="2"/>
    </row>
    <row r="540" spans="1:36" x14ac:dyDescent="0.2">
      <c r="A540" s="306">
        <f>Crop!B573</f>
        <v>42164</v>
      </c>
      <c r="B540" s="307"/>
      <c r="C540" s="308"/>
      <c r="D540" s="304" t="str">
        <f>IF(OR($A540&lt;$A$3,$A540&gt;$A$7),"",Crop!$D573)</f>
        <v/>
      </c>
      <c r="E540" s="304" t="str">
        <f t="shared" si="124"/>
        <v/>
      </c>
      <c r="F540" s="304" t="str">
        <f>IF(OR(A540&lt;A$3,A540&gt;A$7),"",Crop!U573)</f>
        <v/>
      </c>
      <c r="G540" s="304" t="str">
        <f t="shared" si="125"/>
        <v/>
      </c>
      <c r="H540" s="309" t="str">
        <f>IF(OR(A540&lt;A$3,A540&gt;A$7),"",YTD!E537)</f>
        <v/>
      </c>
      <c r="I540" s="310" t="str">
        <f t="shared" si="126"/>
        <v/>
      </c>
      <c r="J540" s="311"/>
      <c r="K540" s="309" t="str">
        <f t="shared" si="127"/>
        <v/>
      </c>
      <c r="L540" s="312" t="str">
        <f t="shared" si="130"/>
        <v/>
      </c>
      <c r="M540" s="366" t="str">
        <f t="shared" si="131"/>
        <v/>
      </c>
      <c r="N540" s="328" t="str">
        <f t="shared" si="122"/>
        <v/>
      </c>
      <c r="O540" s="313" t="str">
        <f t="shared" si="123"/>
        <v/>
      </c>
      <c r="P540" s="307"/>
      <c r="Q540" s="309">
        <f t="shared" si="132"/>
        <v>0.8</v>
      </c>
      <c r="R540" s="307"/>
      <c r="S540" s="314">
        <f t="shared" si="133"/>
        <v>10</v>
      </c>
      <c r="T540" s="304" t="str">
        <f t="shared" si="128"/>
        <v/>
      </c>
      <c r="U540" s="304" t="str">
        <f>IF(A540=YTD!B$6,E540,IF(OR(A540&lt;YTD!B$6,A540&gt;YTD!B$10),"",U539+E540))</f>
        <v/>
      </c>
      <c r="V540" s="304" t="str">
        <f t="shared" si="134"/>
        <v/>
      </c>
      <c r="W540" s="315" t="e">
        <f>IF(I540="",#N/A,YTD!G$8-I540)</f>
        <v>#N/A</v>
      </c>
      <c r="X540" s="368">
        <f t="shared" si="129"/>
        <v>0</v>
      </c>
      <c r="Y540" s="368">
        <f t="shared" si="135"/>
        <v>6</v>
      </c>
      <c r="Z540" s="368" t="str">
        <f t="shared" si="121"/>
        <v/>
      </c>
      <c r="AA540" s="371"/>
      <c r="AB540" s="372"/>
      <c r="AC540" s="373"/>
      <c r="AD540" s="373"/>
      <c r="AE540" s="373"/>
      <c r="AF540" s="371"/>
      <c r="AG540" s="373"/>
      <c r="AH540" s="2"/>
      <c r="AI540" s="2"/>
      <c r="AJ540" s="2"/>
    </row>
    <row r="541" spans="1:36" x14ac:dyDescent="0.2">
      <c r="A541" s="306">
        <f>Crop!B574</f>
        <v>42165</v>
      </c>
      <c r="B541" s="307"/>
      <c r="C541" s="308"/>
      <c r="D541" s="304" t="str">
        <f>IF(OR($A541&lt;$A$3,$A541&gt;$A$7),"",Crop!$D574)</f>
        <v/>
      </c>
      <c r="E541" s="304" t="str">
        <f t="shared" si="124"/>
        <v/>
      </c>
      <c r="F541" s="304" t="str">
        <f>IF(OR(A541&lt;A$3,A541&gt;A$7),"",Crop!U574)</f>
        <v/>
      </c>
      <c r="G541" s="304" t="str">
        <f t="shared" si="125"/>
        <v/>
      </c>
      <c r="H541" s="309" t="str">
        <f>IF(OR(A541&lt;A$3,A541&gt;A$7),"",YTD!E538)</f>
        <v/>
      </c>
      <c r="I541" s="310" t="str">
        <f t="shared" si="126"/>
        <v/>
      </c>
      <c r="J541" s="311"/>
      <c r="K541" s="309" t="str">
        <f t="shared" si="127"/>
        <v/>
      </c>
      <c r="L541" s="312" t="str">
        <f t="shared" si="130"/>
        <v/>
      </c>
      <c r="M541" s="366" t="str">
        <f t="shared" si="131"/>
        <v/>
      </c>
      <c r="N541" s="328" t="str">
        <f t="shared" si="122"/>
        <v/>
      </c>
      <c r="O541" s="313" t="str">
        <f t="shared" si="123"/>
        <v/>
      </c>
      <c r="P541" s="307"/>
      <c r="Q541" s="309">
        <f t="shared" si="132"/>
        <v>0.8</v>
      </c>
      <c r="R541" s="307"/>
      <c r="S541" s="314">
        <f t="shared" si="133"/>
        <v>10</v>
      </c>
      <c r="T541" s="304" t="str">
        <f t="shared" si="128"/>
        <v/>
      </c>
      <c r="U541" s="304" t="str">
        <f>IF(A541=YTD!B$6,E541,IF(OR(A541&lt;YTD!B$6,A541&gt;YTD!B$10),"",U540+E541))</f>
        <v/>
      </c>
      <c r="V541" s="304" t="str">
        <f t="shared" si="134"/>
        <v/>
      </c>
      <c r="W541" s="315" t="e">
        <f>IF(I541="",#N/A,YTD!G$8-I541)</f>
        <v>#N/A</v>
      </c>
      <c r="X541" s="368">
        <f t="shared" si="129"/>
        <v>0</v>
      </c>
      <c r="Y541" s="368">
        <f t="shared" si="135"/>
        <v>6</v>
      </c>
      <c r="Z541" s="368" t="str">
        <f t="shared" si="121"/>
        <v/>
      </c>
      <c r="AA541" s="371"/>
      <c r="AB541" s="372"/>
      <c r="AC541" s="373"/>
      <c r="AD541" s="373"/>
      <c r="AE541" s="373"/>
      <c r="AF541" s="371"/>
      <c r="AG541" s="373"/>
      <c r="AH541" s="2"/>
      <c r="AI541" s="2"/>
      <c r="AJ541" s="2"/>
    </row>
    <row r="542" spans="1:36" x14ac:dyDescent="0.2">
      <c r="A542" s="306">
        <f>Crop!B575</f>
        <v>42166</v>
      </c>
      <c r="B542" s="307"/>
      <c r="C542" s="308"/>
      <c r="D542" s="304" t="str">
        <f>IF(OR($A542&lt;$A$3,$A542&gt;$A$7),"",Crop!$D575)</f>
        <v/>
      </c>
      <c r="E542" s="304" t="str">
        <f t="shared" si="124"/>
        <v/>
      </c>
      <c r="F542" s="304" t="str">
        <f>IF(OR(A542&lt;A$3,A542&gt;A$7),"",Crop!U575)</f>
        <v/>
      </c>
      <c r="G542" s="304" t="str">
        <f t="shared" si="125"/>
        <v/>
      </c>
      <c r="H542" s="309" t="str">
        <f>IF(OR(A542&lt;A$3,A542&gt;A$7),"",YTD!E539)</f>
        <v/>
      </c>
      <c r="I542" s="310" t="str">
        <f t="shared" si="126"/>
        <v/>
      </c>
      <c r="J542" s="311"/>
      <c r="K542" s="309" t="str">
        <f t="shared" si="127"/>
        <v/>
      </c>
      <c r="L542" s="312" t="str">
        <f t="shared" si="130"/>
        <v/>
      </c>
      <c r="M542" s="366" t="str">
        <f t="shared" si="131"/>
        <v/>
      </c>
      <c r="N542" s="328" t="str">
        <f t="shared" si="122"/>
        <v/>
      </c>
      <c r="O542" s="313" t="str">
        <f t="shared" si="123"/>
        <v/>
      </c>
      <c r="P542" s="307"/>
      <c r="Q542" s="309">
        <f t="shared" si="132"/>
        <v>0.8</v>
      </c>
      <c r="R542" s="307"/>
      <c r="S542" s="314">
        <f t="shared" si="133"/>
        <v>10</v>
      </c>
      <c r="T542" s="304" t="str">
        <f t="shared" si="128"/>
        <v/>
      </c>
      <c r="U542" s="304" t="str">
        <f>IF(A542=YTD!B$6,E542,IF(OR(A542&lt;YTD!B$6,A542&gt;YTD!B$10),"",U541+E542))</f>
        <v/>
      </c>
      <c r="V542" s="304" t="str">
        <f t="shared" si="134"/>
        <v/>
      </c>
      <c r="W542" s="315" t="e">
        <f>IF(I542="",#N/A,YTD!G$8-I542)</f>
        <v>#N/A</v>
      </c>
      <c r="X542" s="368">
        <f t="shared" si="129"/>
        <v>0</v>
      </c>
      <c r="Y542" s="368">
        <f t="shared" si="135"/>
        <v>6</v>
      </c>
      <c r="Z542" s="368" t="str">
        <f t="shared" si="121"/>
        <v/>
      </c>
      <c r="AA542" s="371"/>
      <c r="AB542" s="372"/>
      <c r="AC542" s="373"/>
      <c r="AD542" s="373"/>
      <c r="AE542" s="373"/>
      <c r="AF542" s="371"/>
      <c r="AG542" s="373"/>
      <c r="AH542" s="2"/>
      <c r="AI542" s="2"/>
      <c r="AJ542" s="2"/>
    </row>
    <row r="543" spans="1:36" x14ac:dyDescent="0.2">
      <c r="A543" s="306">
        <f>Crop!B576</f>
        <v>42167</v>
      </c>
      <c r="B543" s="307"/>
      <c r="C543" s="308"/>
      <c r="D543" s="304" t="str">
        <f>IF(OR($A543&lt;$A$3,$A543&gt;$A$7),"",Crop!$D576)</f>
        <v/>
      </c>
      <c r="E543" s="304" t="str">
        <f t="shared" si="124"/>
        <v/>
      </c>
      <c r="F543" s="304" t="str">
        <f>IF(OR(A543&lt;A$3,A543&gt;A$7),"",Crop!U576)</f>
        <v/>
      </c>
      <c r="G543" s="304" t="str">
        <f t="shared" si="125"/>
        <v/>
      </c>
      <c r="H543" s="309" t="str">
        <f>IF(OR(A543&lt;A$3,A543&gt;A$7),"",YTD!E540)</f>
        <v/>
      </c>
      <c r="I543" s="310" t="str">
        <f t="shared" si="126"/>
        <v/>
      </c>
      <c r="J543" s="311"/>
      <c r="K543" s="309" t="str">
        <f t="shared" si="127"/>
        <v/>
      </c>
      <c r="L543" s="312" t="str">
        <f t="shared" si="130"/>
        <v/>
      </c>
      <c r="M543" s="366" t="str">
        <f t="shared" si="131"/>
        <v/>
      </c>
      <c r="N543" s="328" t="str">
        <f t="shared" si="122"/>
        <v/>
      </c>
      <c r="O543" s="313" t="str">
        <f t="shared" si="123"/>
        <v/>
      </c>
      <c r="P543" s="307"/>
      <c r="Q543" s="309">
        <f t="shared" si="132"/>
        <v>0.8</v>
      </c>
      <c r="R543" s="307"/>
      <c r="S543" s="314">
        <f t="shared" si="133"/>
        <v>10</v>
      </c>
      <c r="T543" s="304" t="str">
        <f t="shared" si="128"/>
        <v/>
      </c>
      <c r="U543" s="304" t="str">
        <f>IF(A543=YTD!B$6,E543,IF(OR(A543&lt;YTD!B$6,A543&gt;YTD!B$10),"",U542+E543))</f>
        <v/>
      </c>
      <c r="V543" s="304" t="str">
        <f t="shared" si="134"/>
        <v/>
      </c>
      <c r="W543" s="315" t="e">
        <f>IF(I543="",#N/A,YTD!G$8-I543)</f>
        <v>#N/A</v>
      </c>
      <c r="X543" s="368">
        <f t="shared" si="129"/>
        <v>0</v>
      </c>
      <c r="Y543" s="368">
        <f t="shared" si="135"/>
        <v>6</v>
      </c>
      <c r="Z543" s="368" t="str">
        <f t="shared" si="121"/>
        <v/>
      </c>
      <c r="AA543" s="371"/>
      <c r="AB543" s="372"/>
      <c r="AC543" s="373"/>
      <c r="AD543" s="373"/>
      <c r="AE543" s="373"/>
      <c r="AF543" s="371"/>
      <c r="AG543" s="373"/>
      <c r="AH543" s="2"/>
      <c r="AI543" s="2"/>
      <c r="AJ543" s="2"/>
    </row>
    <row r="544" spans="1:36" x14ac:dyDescent="0.2">
      <c r="A544" s="306">
        <f>Crop!B577</f>
        <v>42168</v>
      </c>
      <c r="B544" s="307"/>
      <c r="C544" s="308"/>
      <c r="D544" s="304" t="str">
        <f>IF(OR($A544&lt;$A$3,$A544&gt;$A$7),"",Crop!$D577)</f>
        <v/>
      </c>
      <c r="E544" s="304" t="str">
        <f t="shared" si="124"/>
        <v/>
      </c>
      <c r="F544" s="304" t="str">
        <f>IF(OR(A544&lt;A$3,A544&gt;A$7),"",Crop!U577)</f>
        <v/>
      </c>
      <c r="G544" s="304" t="str">
        <f t="shared" si="125"/>
        <v/>
      </c>
      <c r="H544" s="309" t="str">
        <f>IF(OR(A544&lt;A$3,A544&gt;A$7),"",YTD!E541)</f>
        <v/>
      </c>
      <c r="I544" s="310" t="str">
        <f t="shared" si="126"/>
        <v/>
      </c>
      <c r="J544" s="311"/>
      <c r="K544" s="309" t="str">
        <f t="shared" si="127"/>
        <v/>
      </c>
      <c r="L544" s="312" t="str">
        <f t="shared" si="130"/>
        <v/>
      </c>
      <c r="M544" s="366" t="str">
        <f t="shared" si="131"/>
        <v/>
      </c>
      <c r="N544" s="328" t="str">
        <f t="shared" si="122"/>
        <v/>
      </c>
      <c r="O544" s="313" t="str">
        <f t="shared" si="123"/>
        <v/>
      </c>
      <c r="P544" s="307"/>
      <c r="Q544" s="309">
        <f t="shared" si="132"/>
        <v>0.8</v>
      </c>
      <c r="R544" s="307"/>
      <c r="S544" s="314">
        <f t="shared" si="133"/>
        <v>10</v>
      </c>
      <c r="T544" s="304" t="str">
        <f t="shared" si="128"/>
        <v/>
      </c>
      <c r="U544" s="304" t="str">
        <f>IF(A544=YTD!B$6,E544,IF(OR(A544&lt;YTD!B$6,A544&gt;YTD!B$10),"",U543+E544))</f>
        <v/>
      </c>
      <c r="V544" s="304" t="str">
        <f t="shared" si="134"/>
        <v/>
      </c>
      <c r="W544" s="315" t="e">
        <f>IF(I544="",#N/A,YTD!G$8-I544)</f>
        <v>#N/A</v>
      </c>
      <c r="X544" s="368">
        <f t="shared" si="129"/>
        <v>0</v>
      </c>
      <c r="Y544" s="368">
        <f t="shared" si="135"/>
        <v>6</v>
      </c>
      <c r="Z544" s="368" t="str">
        <f t="shared" si="121"/>
        <v/>
      </c>
      <c r="AA544" s="371"/>
      <c r="AB544" s="372"/>
      <c r="AC544" s="373"/>
      <c r="AD544" s="373"/>
      <c r="AE544" s="373"/>
      <c r="AF544" s="371"/>
      <c r="AG544" s="373"/>
      <c r="AH544" s="2"/>
      <c r="AI544" s="2"/>
      <c r="AJ544" s="2"/>
    </row>
    <row r="545" spans="1:36" x14ac:dyDescent="0.2">
      <c r="A545" s="306">
        <f>Crop!B578</f>
        <v>42169</v>
      </c>
      <c r="B545" s="307"/>
      <c r="C545" s="308"/>
      <c r="D545" s="304" t="str">
        <f>IF(OR($A545&lt;$A$3,$A545&gt;$A$7),"",Crop!$D578)</f>
        <v/>
      </c>
      <c r="E545" s="304" t="str">
        <f t="shared" si="124"/>
        <v/>
      </c>
      <c r="F545" s="304" t="str">
        <f>IF(OR(A545&lt;A$3,A545&gt;A$7),"",Crop!U578)</f>
        <v/>
      </c>
      <c r="G545" s="304" t="str">
        <f t="shared" si="125"/>
        <v/>
      </c>
      <c r="H545" s="309" t="str">
        <f>IF(OR(A545&lt;A$3,A545&gt;A$7),"",YTD!E542)</f>
        <v/>
      </c>
      <c r="I545" s="310" t="str">
        <f t="shared" si="126"/>
        <v/>
      </c>
      <c r="J545" s="311"/>
      <c r="K545" s="309" t="str">
        <f t="shared" si="127"/>
        <v/>
      </c>
      <c r="L545" s="312" t="str">
        <f t="shared" si="130"/>
        <v/>
      </c>
      <c r="M545" s="366" t="str">
        <f t="shared" si="131"/>
        <v/>
      </c>
      <c r="N545" s="328" t="str">
        <f t="shared" si="122"/>
        <v/>
      </c>
      <c r="O545" s="313" t="str">
        <f t="shared" si="123"/>
        <v/>
      </c>
      <c r="P545" s="307"/>
      <c r="Q545" s="309">
        <f t="shared" si="132"/>
        <v>0.8</v>
      </c>
      <c r="R545" s="307"/>
      <c r="S545" s="314">
        <f t="shared" si="133"/>
        <v>10</v>
      </c>
      <c r="T545" s="304" t="str">
        <f t="shared" si="128"/>
        <v/>
      </c>
      <c r="U545" s="304" t="str">
        <f>IF(A545=YTD!B$6,E545,IF(OR(A545&lt;YTD!B$6,A545&gt;YTD!B$10),"",U544+E545))</f>
        <v/>
      </c>
      <c r="V545" s="304" t="str">
        <f t="shared" si="134"/>
        <v/>
      </c>
      <c r="W545" s="315" t="e">
        <f>IF(I545="",#N/A,YTD!G$8-I545)</f>
        <v>#N/A</v>
      </c>
      <c r="X545" s="368">
        <f t="shared" si="129"/>
        <v>0</v>
      </c>
      <c r="Y545" s="368">
        <f t="shared" si="135"/>
        <v>6</v>
      </c>
      <c r="Z545" s="368" t="str">
        <f t="shared" si="121"/>
        <v/>
      </c>
      <c r="AA545" s="371"/>
      <c r="AB545" s="372"/>
      <c r="AC545" s="373"/>
      <c r="AD545" s="373"/>
      <c r="AE545" s="373"/>
      <c r="AF545" s="371"/>
      <c r="AG545" s="373"/>
      <c r="AH545" s="2"/>
      <c r="AI545" s="2"/>
      <c r="AJ545" s="2"/>
    </row>
    <row r="546" spans="1:36" x14ac:dyDescent="0.2">
      <c r="A546" s="306">
        <f>Crop!B579</f>
        <v>42170</v>
      </c>
      <c r="B546" s="307"/>
      <c r="C546" s="308"/>
      <c r="D546" s="304" t="str">
        <f>IF(OR($A546&lt;$A$3,$A546&gt;$A$7),"",Crop!$D579)</f>
        <v/>
      </c>
      <c r="E546" s="304" t="str">
        <f t="shared" si="124"/>
        <v/>
      </c>
      <c r="F546" s="304" t="str">
        <f>IF(OR(A546&lt;A$3,A546&gt;A$7),"",Crop!U579)</f>
        <v/>
      </c>
      <c r="G546" s="304" t="str">
        <f t="shared" si="125"/>
        <v/>
      </c>
      <c r="H546" s="309" t="str">
        <f>IF(OR(A546&lt;A$3,A546&gt;A$7),"",YTD!E543)</f>
        <v/>
      </c>
      <c r="I546" s="310" t="str">
        <f t="shared" si="126"/>
        <v/>
      </c>
      <c r="J546" s="311"/>
      <c r="K546" s="309" t="str">
        <f t="shared" si="127"/>
        <v/>
      </c>
      <c r="L546" s="312" t="str">
        <f t="shared" si="130"/>
        <v/>
      </c>
      <c r="M546" s="366" t="str">
        <f t="shared" si="131"/>
        <v/>
      </c>
      <c r="N546" s="328" t="str">
        <f t="shared" si="122"/>
        <v/>
      </c>
      <c r="O546" s="313" t="str">
        <f t="shared" si="123"/>
        <v/>
      </c>
      <c r="P546" s="307"/>
      <c r="Q546" s="309">
        <f t="shared" si="132"/>
        <v>0.8</v>
      </c>
      <c r="R546" s="307"/>
      <c r="S546" s="314">
        <f t="shared" si="133"/>
        <v>10</v>
      </c>
      <c r="T546" s="304" t="str">
        <f t="shared" si="128"/>
        <v/>
      </c>
      <c r="U546" s="304" t="str">
        <f>IF(A546=YTD!B$6,E546,IF(OR(A546&lt;YTD!B$6,A546&gt;YTD!B$10),"",U545+E546))</f>
        <v/>
      </c>
      <c r="V546" s="304" t="str">
        <f t="shared" si="134"/>
        <v/>
      </c>
      <c r="W546" s="315" t="e">
        <f>IF(I546="",#N/A,YTD!G$8-I546)</f>
        <v>#N/A</v>
      </c>
      <c r="X546" s="368">
        <f t="shared" si="129"/>
        <v>0</v>
      </c>
      <c r="Y546" s="368">
        <f t="shared" si="135"/>
        <v>6</v>
      </c>
      <c r="Z546" s="368" t="str">
        <f t="shared" si="121"/>
        <v/>
      </c>
      <c r="AA546" s="371"/>
      <c r="AB546" s="372"/>
      <c r="AC546" s="373"/>
      <c r="AD546" s="373"/>
      <c r="AE546" s="373"/>
      <c r="AF546" s="371"/>
      <c r="AG546" s="373"/>
      <c r="AH546" s="2"/>
      <c r="AI546" s="2"/>
      <c r="AJ546" s="2"/>
    </row>
    <row r="547" spans="1:36" x14ac:dyDescent="0.2">
      <c r="A547" s="306">
        <f>Crop!B580</f>
        <v>42171</v>
      </c>
      <c r="B547" s="307"/>
      <c r="C547" s="308"/>
      <c r="D547" s="304" t="str">
        <f>IF(OR($A547&lt;$A$3,$A547&gt;$A$7),"",Crop!$D580)</f>
        <v/>
      </c>
      <c r="E547" s="304" t="str">
        <f t="shared" si="124"/>
        <v/>
      </c>
      <c r="F547" s="304" t="str">
        <f>IF(OR(A547&lt;A$3,A547&gt;A$7),"",Crop!U580)</f>
        <v/>
      </c>
      <c r="G547" s="304" t="str">
        <f t="shared" si="125"/>
        <v/>
      </c>
      <c r="H547" s="309" t="str">
        <f>IF(OR(A547&lt;A$3,A547&gt;A$7),"",YTD!E544)</f>
        <v/>
      </c>
      <c r="I547" s="310" t="str">
        <f t="shared" si="126"/>
        <v/>
      </c>
      <c r="J547" s="311"/>
      <c r="K547" s="309" t="str">
        <f t="shared" si="127"/>
        <v/>
      </c>
      <c r="L547" s="312" t="str">
        <f t="shared" si="130"/>
        <v/>
      </c>
      <c r="M547" s="366" t="str">
        <f t="shared" si="131"/>
        <v/>
      </c>
      <c r="N547" s="328" t="str">
        <f t="shared" si="122"/>
        <v/>
      </c>
      <c r="O547" s="313" t="str">
        <f t="shared" si="123"/>
        <v/>
      </c>
      <c r="P547" s="307"/>
      <c r="Q547" s="309">
        <f t="shared" si="132"/>
        <v>0.8</v>
      </c>
      <c r="R547" s="307"/>
      <c r="S547" s="314">
        <f t="shared" si="133"/>
        <v>10</v>
      </c>
      <c r="T547" s="304" t="str">
        <f t="shared" si="128"/>
        <v/>
      </c>
      <c r="U547" s="304" t="str">
        <f>IF(A547=YTD!B$6,E547,IF(OR(A547&lt;YTD!B$6,A547&gt;YTD!B$10),"",U546+E547))</f>
        <v/>
      </c>
      <c r="V547" s="304" t="str">
        <f t="shared" si="134"/>
        <v/>
      </c>
      <c r="W547" s="315" t="e">
        <f>IF(I547="",#N/A,YTD!G$8-I547)</f>
        <v>#N/A</v>
      </c>
      <c r="X547" s="368">
        <f t="shared" si="129"/>
        <v>0</v>
      </c>
      <c r="Y547" s="368">
        <f t="shared" si="135"/>
        <v>6</v>
      </c>
      <c r="Z547" s="368" t="str">
        <f t="shared" si="121"/>
        <v/>
      </c>
      <c r="AA547" s="371"/>
      <c r="AB547" s="372"/>
      <c r="AC547" s="373"/>
      <c r="AD547" s="373"/>
      <c r="AE547" s="373"/>
      <c r="AF547" s="371"/>
      <c r="AG547" s="373"/>
      <c r="AH547" s="2"/>
      <c r="AI547" s="2"/>
      <c r="AJ547" s="2"/>
    </row>
    <row r="548" spans="1:36" x14ac:dyDescent="0.2">
      <c r="A548" s="306">
        <f>Crop!B581</f>
        <v>42172</v>
      </c>
      <c r="B548" s="307"/>
      <c r="C548" s="308"/>
      <c r="D548" s="304" t="str">
        <f>IF(OR($A548&lt;$A$3,$A548&gt;$A$7),"",Crop!$D581)</f>
        <v/>
      </c>
      <c r="E548" s="304" t="str">
        <f t="shared" si="124"/>
        <v/>
      </c>
      <c r="F548" s="304" t="str">
        <f>IF(OR(A548&lt;A$3,A548&gt;A$7),"",Crop!U581)</f>
        <v/>
      </c>
      <c r="G548" s="304" t="str">
        <f t="shared" si="125"/>
        <v/>
      </c>
      <c r="H548" s="309" t="str">
        <f>IF(OR(A548&lt;A$3,A548&gt;A$7),"",YTD!E545)</f>
        <v/>
      </c>
      <c r="I548" s="310" t="str">
        <f t="shared" si="126"/>
        <v/>
      </c>
      <c r="J548" s="311"/>
      <c r="K548" s="309" t="str">
        <f t="shared" si="127"/>
        <v/>
      </c>
      <c r="L548" s="312" t="str">
        <f t="shared" si="130"/>
        <v/>
      </c>
      <c r="M548" s="366" t="str">
        <f t="shared" si="131"/>
        <v/>
      </c>
      <c r="N548" s="328" t="str">
        <f t="shared" si="122"/>
        <v/>
      </c>
      <c r="O548" s="313" t="str">
        <f t="shared" si="123"/>
        <v/>
      </c>
      <c r="P548" s="307"/>
      <c r="Q548" s="309">
        <f t="shared" si="132"/>
        <v>0.8</v>
      </c>
      <c r="R548" s="307"/>
      <c r="S548" s="314">
        <f t="shared" si="133"/>
        <v>10</v>
      </c>
      <c r="T548" s="304" t="str">
        <f t="shared" si="128"/>
        <v/>
      </c>
      <c r="U548" s="304" t="str">
        <f>IF(A548=YTD!B$6,E548,IF(OR(A548&lt;YTD!B$6,A548&gt;YTD!B$10),"",U547+E548))</f>
        <v/>
      </c>
      <c r="V548" s="304" t="str">
        <f t="shared" si="134"/>
        <v/>
      </c>
      <c r="W548" s="315" t="e">
        <f>IF(I548="",#N/A,YTD!G$8-I548)</f>
        <v>#N/A</v>
      </c>
      <c r="X548" s="368">
        <f t="shared" si="129"/>
        <v>0</v>
      </c>
      <c r="Y548" s="368">
        <f t="shared" si="135"/>
        <v>6</v>
      </c>
      <c r="Z548" s="368" t="str">
        <f t="shared" si="121"/>
        <v/>
      </c>
      <c r="AA548" s="371"/>
      <c r="AB548" s="372"/>
      <c r="AC548" s="373"/>
      <c r="AD548" s="373"/>
      <c r="AE548" s="373"/>
      <c r="AF548" s="371"/>
      <c r="AG548" s="373"/>
      <c r="AH548" s="2"/>
      <c r="AI548" s="2"/>
      <c r="AJ548" s="2"/>
    </row>
    <row r="549" spans="1:36" x14ac:dyDescent="0.2">
      <c r="A549" s="306">
        <f>Crop!B582</f>
        <v>42173</v>
      </c>
      <c r="B549" s="307"/>
      <c r="C549" s="308"/>
      <c r="D549" s="304" t="str">
        <f>IF(OR($A549&lt;$A$3,$A549&gt;$A$7),"",Crop!$D582)</f>
        <v/>
      </c>
      <c r="E549" s="304" t="str">
        <f t="shared" si="124"/>
        <v/>
      </c>
      <c r="F549" s="304" t="str">
        <f>IF(OR(A549&lt;A$3,A549&gt;A$7),"",Crop!U582)</f>
        <v/>
      </c>
      <c r="G549" s="304" t="str">
        <f t="shared" si="125"/>
        <v/>
      </c>
      <c r="H549" s="309" t="str">
        <f>IF(OR(A549&lt;A$3,A549&gt;A$7),"",YTD!E546)</f>
        <v/>
      </c>
      <c r="I549" s="310" t="str">
        <f t="shared" si="126"/>
        <v/>
      </c>
      <c r="J549" s="311"/>
      <c r="K549" s="309" t="str">
        <f t="shared" si="127"/>
        <v/>
      </c>
      <c r="L549" s="312" t="str">
        <f t="shared" si="130"/>
        <v/>
      </c>
      <c r="M549" s="366" t="str">
        <f t="shared" si="131"/>
        <v/>
      </c>
      <c r="N549" s="328" t="str">
        <f t="shared" si="122"/>
        <v/>
      </c>
      <c r="O549" s="313" t="str">
        <f t="shared" si="123"/>
        <v/>
      </c>
      <c r="P549" s="307"/>
      <c r="Q549" s="309">
        <f t="shared" si="132"/>
        <v>0.8</v>
      </c>
      <c r="R549" s="307"/>
      <c r="S549" s="314">
        <f t="shared" si="133"/>
        <v>10</v>
      </c>
      <c r="T549" s="304" t="str">
        <f t="shared" si="128"/>
        <v/>
      </c>
      <c r="U549" s="304" t="str">
        <f>IF(A549=YTD!B$6,E549,IF(OR(A549&lt;YTD!B$6,A549&gt;YTD!B$10),"",U548+E549))</f>
        <v/>
      </c>
      <c r="V549" s="304" t="str">
        <f t="shared" si="134"/>
        <v/>
      </c>
      <c r="W549" s="315" t="e">
        <f>IF(I549="",#N/A,YTD!G$8-I549)</f>
        <v>#N/A</v>
      </c>
      <c r="X549" s="368">
        <f t="shared" si="129"/>
        <v>0</v>
      </c>
      <c r="Y549" s="368">
        <f t="shared" si="135"/>
        <v>6</v>
      </c>
      <c r="Z549" s="368" t="str">
        <f t="shared" si="121"/>
        <v/>
      </c>
      <c r="AA549" s="371"/>
      <c r="AB549" s="372"/>
      <c r="AC549" s="373"/>
      <c r="AD549" s="373"/>
      <c r="AE549" s="373"/>
      <c r="AF549" s="371"/>
      <c r="AG549" s="373"/>
      <c r="AH549" s="2"/>
      <c r="AI549" s="2"/>
      <c r="AJ549" s="2"/>
    </row>
    <row r="550" spans="1:36" x14ac:dyDescent="0.2">
      <c r="A550" s="306">
        <f>Crop!B583</f>
        <v>42174</v>
      </c>
      <c r="B550" s="307"/>
      <c r="C550" s="308"/>
      <c r="D550" s="304" t="str">
        <f>IF(OR($A550&lt;$A$3,$A550&gt;$A$7),"",Crop!$D583)</f>
        <v/>
      </c>
      <c r="E550" s="304" t="str">
        <f t="shared" si="124"/>
        <v/>
      </c>
      <c r="F550" s="304" t="str">
        <f>IF(OR(A550&lt;A$3,A550&gt;A$7),"",Crop!U583)</f>
        <v/>
      </c>
      <c r="G550" s="304" t="str">
        <f t="shared" si="125"/>
        <v/>
      </c>
      <c r="H550" s="309" t="str">
        <f>IF(OR(A550&lt;A$3,A550&gt;A$7),"",YTD!E547)</f>
        <v/>
      </c>
      <c r="I550" s="310" t="str">
        <f t="shared" si="126"/>
        <v/>
      </c>
      <c r="J550" s="311"/>
      <c r="K550" s="309" t="str">
        <f t="shared" si="127"/>
        <v/>
      </c>
      <c r="L550" s="312" t="str">
        <f t="shared" si="130"/>
        <v/>
      </c>
      <c r="M550" s="366" t="str">
        <f t="shared" si="131"/>
        <v/>
      </c>
      <c r="N550" s="328" t="str">
        <f t="shared" si="122"/>
        <v/>
      </c>
      <c r="O550" s="313" t="str">
        <f t="shared" si="123"/>
        <v/>
      </c>
      <c r="P550" s="307"/>
      <c r="Q550" s="309">
        <f t="shared" si="132"/>
        <v>0.8</v>
      </c>
      <c r="R550" s="307"/>
      <c r="S550" s="314">
        <f t="shared" si="133"/>
        <v>10</v>
      </c>
      <c r="T550" s="304" t="str">
        <f t="shared" si="128"/>
        <v/>
      </c>
      <c r="U550" s="304" t="str">
        <f>IF(A550=YTD!B$6,E550,IF(OR(A550&lt;YTD!B$6,A550&gt;YTD!B$10),"",U549+E550))</f>
        <v/>
      </c>
      <c r="V550" s="304" t="str">
        <f t="shared" si="134"/>
        <v/>
      </c>
      <c r="W550" s="315" t="e">
        <f>IF(I550="",#N/A,YTD!G$8-I550)</f>
        <v>#N/A</v>
      </c>
      <c r="X550" s="368">
        <f t="shared" si="129"/>
        <v>0</v>
      </c>
      <c r="Y550" s="368">
        <f t="shared" si="135"/>
        <v>6</v>
      </c>
      <c r="Z550" s="368" t="str">
        <f t="shared" si="121"/>
        <v/>
      </c>
      <c r="AA550" s="371"/>
      <c r="AB550" s="372"/>
      <c r="AC550" s="373"/>
      <c r="AD550" s="373"/>
      <c r="AE550" s="373"/>
      <c r="AF550" s="371"/>
      <c r="AG550" s="373"/>
      <c r="AH550" s="2"/>
      <c r="AI550" s="2"/>
      <c r="AJ550" s="2"/>
    </row>
    <row r="551" spans="1:36" x14ac:dyDescent="0.2">
      <c r="A551" s="306">
        <f>Crop!B584</f>
        <v>42175</v>
      </c>
      <c r="B551" s="307"/>
      <c r="C551" s="308"/>
      <c r="D551" s="304" t="str">
        <f>IF(OR($A551&lt;$A$3,$A551&gt;$A$7),"",Crop!$D584)</f>
        <v/>
      </c>
      <c r="E551" s="304" t="str">
        <f t="shared" si="124"/>
        <v/>
      </c>
      <c r="F551" s="304" t="str">
        <f>IF(OR(A551&lt;A$3,A551&gt;A$7),"",Crop!U584)</f>
        <v/>
      </c>
      <c r="G551" s="304" t="str">
        <f t="shared" si="125"/>
        <v/>
      </c>
      <c r="H551" s="309" t="str">
        <f>IF(OR(A551&lt;A$3,A551&gt;A$7),"",YTD!E548)</f>
        <v/>
      </c>
      <c r="I551" s="310" t="str">
        <f t="shared" si="126"/>
        <v/>
      </c>
      <c r="J551" s="311"/>
      <c r="K551" s="309" t="str">
        <f t="shared" si="127"/>
        <v/>
      </c>
      <c r="L551" s="312" t="str">
        <f t="shared" si="130"/>
        <v/>
      </c>
      <c r="M551" s="366" t="str">
        <f t="shared" si="131"/>
        <v/>
      </c>
      <c r="N551" s="328" t="str">
        <f t="shared" si="122"/>
        <v/>
      </c>
      <c r="O551" s="313" t="str">
        <f t="shared" si="123"/>
        <v/>
      </c>
      <c r="P551" s="307"/>
      <c r="Q551" s="309">
        <f t="shared" si="132"/>
        <v>0.8</v>
      </c>
      <c r="R551" s="307"/>
      <c r="S551" s="314">
        <f t="shared" si="133"/>
        <v>10</v>
      </c>
      <c r="T551" s="304" t="str">
        <f t="shared" si="128"/>
        <v/>
      </c>
      <c r="U551" s="304" t="str">
        <f>IF(A551=YTD!B$6,E551,IF(OR(A551&lt;YTD!B$6,A551&gt;YTD!B$10),"",U550+E551))</f>
        <v/>
      </c>
      <c r="V551" s="304" t="str">
        <f t="shared" si="134"/>
        <v/>
      </c>
      <c r="W551" s="315" t="e">
        <f>IF(I551="",#N/A,YTD!G$8-I551)</f>
        <v>#N/A</v>
      </c>
      <c r="X551" s="368">
        <f t="shared" si="129"/>
        <v>0</v>
      </c>
      <c r="Y551" s="368">
        <f t="shared" si="135"/>
        <v>6</v>
      </c>
      <c r="Z551" s="368" t="str">
        <f t="shared" si="121"/>
        <v/>
      </c>
      <c r="AA551" s="371"/>
      <c r="AB551" s="372"/>
      <c r="AC551" s="373"/>
      <c r="AD551" s="373"/>
      <c r="AE551" s="373"/>
      <c r="AF551" s="371"/>
      <c r="AG551" s="373"/>
      <c r="AH551" s="2"/>
      <c r="AI551" s="2"/>
      <c r="AJ551" s="2"/>
    </row>
    <row r="552" spans="1:36" x14ac:dyDescent="0.2">
      <c r="A552" s="306">
        <f>Crop!B585</f>
        <v>42176</v>
      </c>
      <c r="B552" s="307"/>
      <c r="C552" s="308"/>
      <c r="D552" s="304" t="str">
        <f>IF(OR($A552&lt;$A$3,$A552&gt;$A$7),"",Crop!$D585)</f>
        <v/>
      </c>
      <c r="E552" s="304" t="str">
        <f t="shared" si="124"/>
        <v/>
      </c>
      <c r="F552" s="304" t="str">
        <f>IF(OR(A552&lt;A$3,A552&gt;A$7),"",Crop!U585)</f>
        <v/>
      </c>
      <c r="G552" s="304" t="str">
        <f t="shared" si="125"/>
        <v/>
      </c>
      <c r="H552" s="309" t="str">
        <f>IF(OR(A552&lt;A$3,A552&gt;A$7),"",YTD!E549)</f>
        <v/>
      </c>
      <c r="I552" s="310" t="str">
        <f t="shared" si="126"/>
        <v/>
      </c>
      <c r="J552" s="311"/>
      <c r="K552" s="309" t="str">
        <f t="shared" si="127"/>
        <v/>
      </c>
      <c r="L552" s="312" t="str">
        <f t="shared" si="130"/>
        <v/>
      </c>
      <c r="M552" s="366" t="str">
        <f t="shared" si="131"/>
        <v/>
      </c>
      <c r="N552" s="328" t="str">
        <f t="shared" si="122"/>
        <v/>
      </c>
      <c r="O552" s="313" t="str">
        <f t="shared" si="123"/>
        <v/>
      </c>
      <c r="P552" s="307"/>
      <c r="Q552" s="309">
        <f t="shared" si="132"/>
        <v>0.8</v>
      </c>
      <c r="R552" s="307"/>
      <c r="S552" s="314">
        <f t="shared" si="133"/>
        <v>10</v>
      </c>
      <c r="T552" s="304" t="str">
        <f t="shared" si="128"/>
        <v/>
      </c>
      <c r="U552" s="304" t="str">
        <f>IF(A552=YTD!B$6,E552,IF(OR(A552&lt;YTD!B$6,A552&gt;YTD!B$10),"",U551+E552))</f>
        <v/>
      </c>
      <c r="V552" s="304" t="str">
        <f t="shared" si="134"/>
        <v/>
      </c>
      <c r="W552" s="315" t="e">
        <f>IF(I552="",#N/A,YTD!G$8-I552)</f>
        <v>#N/A</v>
      </c>
      <c r="X552" s="368">
        <f t="shared" si="129"/>
        <v>0</v>
      </c>
      <c r="Y552" s="368">
        <f t="shared" si="135"/>
        <v>6</v>
      </c>
      <c r="Z552" s="368" t="str">
        <f t="shared" si="121"/>
        <v/>
      </c>
      <c r="AA552" s="371"/>
      <c r="AB552" s="372"/>
      <c r="AC552" s="373"/>
      <c r="AD552" s="373"/>
      <c r="AE552" s="373"/>
      <c r="AF552" s="371"/>
      <c r="AG552" s="373"/>
      <c r="AH552" s="2"/>
      <c r="AI552" s="2"/>
      <c r="AJ552" s="2"/>
    </row>
    <row r="553" spans="1:36" x14ac:dyDescent="0.2">
      <c r="A553" s="306">
        <f>Crop!B586</f>
        <v>42177</v>
      </c>
      <c r="B553" s="307"/>
      <c r="C553" s="308"/>
      <c r="D553" s="304" t="str">
        <f>IF(OR($A553&lt;$A$3,$A553&gt;$A$7),"",Crop!$D586)</f>
        <v/>
      </c>
      <c r="E553" s="304" t="str">
        <f t="shared" si="124"/>
        <v/>
      </c>
      <c r="F553" s="304" t="str">
        <f>IF(OR(A553&lt;A$3,A553&gt;A$7),"",Crop!U586)</f>
        <v/>
      </c>
      <c r="G553" s="304" t="str">
        <f t="shared" si="125"/>
        <v/>
      </c>
      <c r="H553" s="309" t="str">
        <f>IF(OR(A553&lt;A$3,A553&gt;A$7),"",YTD!E550)</f>
        <v/>
      </c>
      <c r="I553" s="310" t="str">
        <f t="shared" si="126"/>
        <v/>
      </c>
      <c r="J553" s="311"/>
      <c r="K553" s="309" t="str">
        <f t="shared" si="127"/>
        <v/>
      </c>
      <c r="L553" s="312" t="str">
        <f t="shared" si="130"/>
        <v/>
      </c>
      <c r="M553" s="366" t="str">
        <f t="shared" si="131"/>
        <v/>
      </c>
      <c r="N553" s="328" t="str">
        <f t="shared" si="122"/>
        <v/>
      </c>
      <c r="O553" s="313" t="str">
        <f t="shared" si="123"/>
        <v/>
      </c>
      <c r="P553" s="307"/>
      <c r="Q553" s="309">
        <f t="shared" si="132"/>
        <v>0.8</v>
      </c>
      <c r="R553" s="307"/>
      <c r="S553" s="314">
        <f t="shared" si="133"/>
        <v>10</v>
      </c>
      <c r="T553" s="304" t="str">
        <f t="shared" si="128"/>
        <v/>
      </c>
      <c r="U553" s="304" t="str">
        <f>IF(A553=YTD!B$6,E553,IF(OR(A553&lt;YTD!B$6,A553&gt;YTD!B$10),"",U552+E553))</f>
        <v/>
      </c>
      <c r="V553" s="304" t="str">
        <f t="shared" si="134"/>
        <v/>
      </c>
      <c r="W553" s="315" t="e">
        <f>IF(I553="",#N/A,YTD!G$8-I553)</f>
        <v>#N/A</v>
      </c>
      <c r="X553" s="368">
        <f t="shared" si="129"/>
        <v>0</v>
      </c>
      <c r="Y553" s="368">
        <f t="shared" si="135"/>
        <v>6</v>
      </c>
      <c r="Z553" s="368" t="str">
        <f t="shared" ref="Z553:Z592" si="136">IF(X553=1,Y553,"")</f>
        <v/>
      </c>
      <c r="AA553" s="371"/>
      <c r="AB553" s="372"/>
      <c r="AC553" s="373"/>
      <c r="AD553" s="373"/>
      <c r="AE553" s="373"/>
      <c r="AF553" s="371"/>
      <c r="AG553" s="373"/>
      <c r="AH553" s="2"/>
      <c r="AI553" s="2"/>
      <c r="AJ553" s="2"/>
    </row>
    <row r="554" spans="1:36" x14ac:dyDescent="0.2">
      <c r="A554" s="306">
        <f>Crop!B587</f>
        <v>42178</v>
      </c>
      <c r="B554" s="307"/>
      <c r="C554" s="308"/>
      <c r="D554" s="304" t="str">
        <f>IF(OR($A554&lt;$A$3,$A554&gt;$A$7),"",Crop!$D587)</f>
        <v/>
      </c>
      <c r="E554" s="304" t="str">
        <f t="shared" si="124"/>
        <v/>
      </c>
      <c r="F554" s="304" t="str">
        <f>IF(OR(A554&lt;A$3,A554&gt;A$7),"",Crop!U587)</f>
        <v/>
      </c>
      <c r="G554" s="304" t="str">
        <f t="shared" si="125"/>
        <v/>
      </c>
      <c r="H554" s="309" t="str">
        <f>IF(OR(A554&lt;A$3,A554&gt;A$7),"",YTD!E551)</f>
        <v/>
      </c>
      <c r="I554" s="310" t="str">
        <f t="shared" si="126"/>
        <v/>
      </c>
      <c r="J554" s="311"/>
      <c r="K554" s="309" t="str">
        <f t="shared" si="127"/>
        <v/>
      </c>
      <c r="L554" s="312" t="str">
        <f t="shared" si="130"/>
        <v/>
      </c>
      <c r="M554" s="366" t="str">
        <f t="shared" si="131"/>
        <v/>
      </c>
      <c r="N554" s="328" t="str">
        <f t="shared" si="122"/>
        <v/>
      </c>
      <c r="O554" s="313" t="str">
        <f t="shared" si="123"/>
        <v/>
      </c>
      <c r="P554" s="307"/>
      <c r="Q554" s="309">
        <f t="shared" si="132"/>
        <v>0.8</v>
      </c>
      <c r="R554" s="307"/>
      <c r="S554" s="314">
        <f t="shared" si="133"/>
        <v>10</v>
      </c>
      <c r="T554" s="304" t="str">
        <f t="shared" si="128"/>
        <v/>
      </c>
      <c r="U554" s="304" t="str">
        <f>IF(A554=YTD!B$6,E554,IF(OR(A554&lt;YTD!B$6,A554&gt;YTD!B$10),"",U553+E554))</f>
        <v/>
      </c>
      <c r="V554" s="304" t="str">
        <f t="shared" si="134"/>
        <v/>
      </c>
      <c r="W554" s="315" t="e">
        <f>IF(I554="",#N/A,YTD!G$8-I554)</f>
        <v>#N/A</v>
      </c>
      <c r="X554" s="368">
        <f t="shared" si="129"/>
        <v>0</v>
      </c>
      <c r="Y554" s="368">
        <f t="shared" si="135"/>
        <v>6</v>
      </c>
      <c r="Z554" s="368" t="str">
        <f t="shared" si="136"/>
        <v/>
      </c>
      <c r="AA554" s="371"/>
      <c r="AB554" s="372"/>
      <c r="AC554" s="373"/>
      <c r="AD554" s="373"/>
      <c r="AE554" s="373"/>
      <c r="AF554" s="371"/>
      <c r="AG554" s="373"/>
      <c r="AH554" s="2"/>
      <c r="AI554" s="2"/>
      <c r="AJ554" s="2"/>
    </row>
    <row r="555" spans="1:36" x14ac:dyDescent="0.2">
      <c r="A555" s="306">
        <f>Crop!B588</f>
        <v>42179</v>
      </c>
      <c r="B555" s="307"/>
      <c r="C555" s="308"/>
      <c r="D555" s="304" t="str">
        <f>IF(OR($A555&lt;$A$3,$A555&gt;$A$7),"",Crop!$D588)</f>
        <v/>
      </c>
      <c r="E555" s="304" t="str">
        <f t="shared" si="124"/>
        <v/>
      </c>
      <c r="F555" s="304" t="str">
        <f>IF(OR(A555&lt;A$3,A555&gt;A$7),"",Crop!U588)</f>
        <v/>
      </c>
      <c r="G555" s="304" t="str">
        <f t="shared" si="125"/>
        <v/>
      </c>
      <c r="H555" s="309" t="str">
        <f>IF(OR(A555&lt;A$3,A555&gt;A$7),"",YTD!E552)</f>
        <v/>
      </c>
      <c r="I555" s="310" t="str">
        <f t="shared" si="126"/>
        <v/>
      </c>
      <c r="J555" s="311"/>
      <c r="K555" s="309" t="str">
        <f t="shared" si="127"/>
        <v/>
      </c>
      <c r="L555" s="312" t="str">
        <f t="shared" si="130"/>
        <v/>
      </c>
      <c r="M555" s="366" t="str">
        <f t="shared" si="131"/>
        <v/>
      </c>
      <c r="N555" s="328" t="str">
        <f t="shared" si="122"/>
        <v/>
      </c>
      <c r="O555" s="313" t="str">
        <f t="shared" si="123"/>
        <v/>
      </c>
      <c r="P555" s="307"/>
      <c r="Q555" s="309">
        <f t="shared" si="132"/>
        <v>0.8</v>
      </c>
      <c r="R555" s="307"/>
      <c r="S555" s="314">
        <f t="shared" si="133"/>
        <v>10</v>
      </c>
      <c r="T555" s="304" t="str">
        <f t="shared" si="128"/>
        <v/>
      </c>
      <c r="U555" s="304" t="str">
        <f>IF(A555=YTD!B$6,E555,IF(OR(A555&lt;YTD!B$6,A555&gt;YTD!B$10),"",U554+E555))</f>
        <v/>
      </c>
      <c r="V555" s="304" t="str">
        <f t="shared" si="134"/>
        <v/>
      </c>
      <c r="W555" s="315" t="e">
        <f>IF(I555="",#N/A,YTD!G$8-I555)</f>
        <v>#N/A</v>
      </c>
      <c r="X555" s="368">
        <f t="shared" si="129"/>
        <v>0</v>
      </c>
      <c r="Y555" s="368">
        <f t="shared" si="135"/>
        <v>6</v>
      </c>
      <c r="Z555" s="368" t="str">
        <f t="shared" si="136"/>
        <v/>
      </c>
      <c r="AA555" s="371"/>
      <c r="AB555" s="372"/>
      <c r="AC555" s="373"/>
      <c r="AD555" s="373"/>
      <c r="AE555" s="373"/>
      <c r="AF555" s="371"/>
      <c r="AG555" s="373"/>
      <c r="AH555" s="2"/>
      <c r="AI555" s="2"/>
      <c r="AJ555" s="2"/>
    </row>
    <row r="556" spans="1:36" x14ac:dyDescent="0.2">
      <c r="A556" s="306">
        <f>Crop!B589</f>
        <v>42180</v>
      </c>
      <c r="B556" s="307"/>
      <c r="C556" s="308"/>
      <c r="D556" s="304" t="str">
        <f>IF(OR($A556&lt;$A$3,$A556&gt;$A$7),"",Crop!$D589)</f>
        <v/>
      </c>
      <c r="E556" s="304" t="str">
        <f t="shared" si="124"/>
        <v/>
      </c>
      <c r="F556" s="304" t="str">
        <f>IF(OR(A556&lt;A$3,A556&gt;A$7),"",Crop!U589)</f>
        <v/>
      </c>
      <c r="G556" s="304" t="str">
        <f t="shared" si="125"/>
        <v/>
      </c>
      <c r="H556" s="309" t="str">
        <f>IF(OR(A556&lt;A$3,A556&gt;A$7),"",YTD!E553)</f>
        <v/>
      </c>
      <c r="I556" s="310" t="str">
        <f t="shared" si="126"/>
        <v/>
      </c>
      <c r="J556" s="311"/>
      <c r="K556" s="309" t="str">
        <f t="shared" si="127"/>
        <v/>
      </c>
      <c r="L556" s="312" t="str">
        <f t="shared" si="130"/>
        <v/>
      </c>
      <c r="M556" s="366" t="str">
        <f t="shared" si="131"/>
        <v/>
      </c>
      <c r="N556" s="328" t="str">
        <f t="shared" si="122"/>
        <v/>
      </c>
      <c r="O556" s="313" t="str">
        <f t="shared" si="123"/>
        <v/>
      </c>
      <c r="P556" s="307"/>
      <c r="Q556" s="309">
        <f t="shared" si="132"/>
        <v>0.8</v>
      </c>
      <c r="R556" s="307"/>
      <c r="S556" s="314">
        <f t="shared" si="133"/>
        <v>10</v>
      </c>
      <c r="T556" s="304" t="str">
        <f t="shared" si="128"/>
        <v/>
      </c>
      <c r="U556" s="304" t="str">
        <f>IF(A556=YTD!B$6,E556,IF(OR(A556&lt;YTD!B$6,A556&gt;YTD!B$10),"",U555+E556))</f>
        <v/>
      </c>
      <c r="V556" s="304" t="str">
        <f t="shared" si="134"/>
        <v/>
      </c>
      <c r="W556" s="315" t="e">
        <f>IF(I556="",#N/A,YTD!G$8-I556)</f>
        <v>#N/A</v>
      </c>
      <c r="X556" s="368">
        <f t="shared" si="129"/>
        <v>0</v>
      </c>
      <c r="Y556" s="368">
        <f t="shared" si="135"/>
        <v>6</v>
      </c>
      <c r="Z556" s="368" t="str">
        <f t="shared" si="136"/>
        <v/>
      </c>
      <c r="AA556" s="371"/>
      <c r="AB556" s="372"/>
      <c r="AC556" s="373"/>
      <c r="AD556" s="373"/>
      <c r="AE556" s="373"/>
      <c r="AF556" s="371"/>
      <c r="AG556" s="373"/>
      <c r="AH556" s="2"/>
      <c r="AI556" s="2"/>
      <c r="AJ556" s="2"/>
    </row>
    <row r="557" spans="1:36" x14ac:dyDescent="0.2">
      <c r="A557" s="306">
        <f>Crop!B590</f>
        <v>42181</v>
      </c>
      <c r="B557" s="307"/>
      <c r="C557" s="308"/>
      <c r="D557" s="304" t="str">
        <f>IF(OR($A557&lt;$A$3,$A557&gt;$A$7),"",Crop!$D590)</f>
        <v/>
      </c>
      <c r="E557" s="304" t="str">
        <f t="shared" si="124"/>
        <v/>
      </c>
      <c r="F557" s="304" t="str">
        <f>IF(OR(A557&lt;A$3,A557&gt;A$7),"",Crop!U590)</f>
        <v/>
      </c>
      <c r="G557" s="304" t="str">
        <f t="shared" si="125"/>
        <v/>
      </c>
      <c r="H557" s="309" t="str">
        <f>IF(OR(A557&lt;A$3,A557&gt;A$7),"",YTD!E554)</f>
        <v/>
      </c>
      <c r="I557" s="310" t="str">
        <f t="shared" si="126"/>
        <v/>
      </c>
      <c r="J557" s="311"/>
      <c r="K557" s="309" t="str">
        <f t="shared" si="127"/>
        <v/>
      </c>
      <c r="L557" s="312" t="str">
        <f t="shared" si="130"/>
        <v/>
      </c>
      <c r="M557" s="366" t="str">
        <f t="shared" si="131"/>
        <v/>
      </c>
      <c r="N557" s="328" t="str">
        <f t="shared" si="122"/>
        <v/>
      </c>
      <c r="O557" s="313" t="str">
        <f t="shared" si="123"/>
        <v/>
      </c>
      <c r="P557" s="307"/>
      <c r="Q557" s="309">
        <f t="shared" si="132"/>
        <v>0.8</v>
      </c>
      <c r="R557" s="307"/>
      <c r="S557" s="314">
        <f t="shared" si="133"/>
        <v>10</v>
      </c>
      <c r="T557" s="304" t="str">
        <f t="shared" si="128"/>
        <v/>
      </c>
      <c r="U557" s="304" t="str">
        <f>IF(A557=YTD!B$6,E557,IF(OR(A557&lt;YTD!B$6,A557&gt;YTD!B$10),"",U556+E557))</f>
        <v/>
      </c>
      <c r="V557" s="304" t="str">
        <f t="shared" si="134"/>
        <v/>
      </c>
      <c r="W557" s="315" t="e">
        <f>IF(I557="",#N/A,YTD!G$8-I557)</f>
        <v>#N/A</v>
      </c>
      <c r="X557" s="368">
        <f t="shared" si="129"/>
        <v>0</v>
      </c>
      <c r="Y557" s="368">
        <f t="shared" si="135"/>
        <v>6</v>
      </c>
      <c r="Z557" s="368" t="str">
        <f t="shared" si="136"/>
        <v/>
      </c>
      <c r="AA557" s="371"/>
      <c r="AB557" s="372"/>
      <c r="AC557" s="373"/>
      <c r="AD557" s="373"/>
      <c r="AE557" s="373"/>
      <c r="AF557" s="371"/>
      <c r="AG557" s="373"/>
      <c r="AH557" s="2"/>
      <c r="AI557" s="2"/>
      <c r="AJ557" s="2"/>
    </row>
    <row r="558" spans="1:36" x14ac:dyDescent="0.2">
      <c r="A558" s="306">
        <f>Crop!B591</f>
        <v>42182</v>
      </c>
      <c r="B558" s="307"/>
      <c r="C558" s="308"/>
      <c r="D558" s="304" t="str">
        <f>IF(OR($A558&lt;$A$3,$A558&gt;$A$7),"",Crop!$D591)</f>
        <v/>
      </c>
      <c r="E558" s="304" t="str">
        <f t="shared" si="124"/>
        <v/>
      </c>
      <c r="F558" s="304" t="str">
        <f>IF(OR(A558&lt;A$3,A558&gt;A$7),"",Crop!U591)</f>
        <v/>
      </c>
      <c r="G558" s="304" t="str">
        <f t="shared" si="125"/>
        <v/>
      </c>
      <c r="H558" s="309" t="str">
        <f>IF(OR(A558&lt;A$3,A558&gt;A$7),"",YTD!E555)</f>
        <v/>
      </c>
      <c r="I558" s="310" t="str">
        <f t="shared" si="126"/>
        <v/>
      </c>
      <c r="J558" s="311"/>
      <c r="K558" s="309" t="str">
        <f t="shared" si="127"/>
        <v/>
      </c>
      <c r="L558" s="312" t="str">
        <f t="shared" si="130"/>
        <v/>
      </c>
      <c r="M558" s="366" t="str">
        <f t="shared" si="131"/>
        <v/>
      </c>
      <c r="N558" s="328" t="str">
        <f t="shared" si="122"/>
        <v/>
      </c>
      <c r="O558" s="313" t="str">
        <f t="shared" si="123"/>
        <v/>
      </c>
      <c r="P558" s="307"/>
      <c r="Q558" s="309">
        <f t="shared" si="132"/>
        <v>0.8</v>
      </c>
      <c r="R558" s="307"/>
      <c r="S558" s="314">
        <f t="shared" si="133"/>
        <v>10</v>
      </c>
      <c r="T558" s="304" t="str">
        <f t="shared" si="128"/>
        <v/>
      </c>
      <c r="U558" s="304" t="str">
        <f>IF(A558=YTD!B$6,E558,IF(OR(A558&lt;YTD!B$6,A558&gt;YTD!B$10),"",U557+E558))</f>
        <v/>
      </c>
      <c r="V558" s="304" t="str">
        <f t="shared" si="134"/>
        <v/>
      </c>
      <c r="W558" s="315" t="e">
        <f>IF(I558="",#N/A,YTD!G$8-I558)</f>
        <v>#N/A</v>
      </c>
      <c r="X558" s="368">
        <f t="shared" si="129"/>
        <v>0</v>
      </c>
      <c r="Y558" s="368">
        <f t="shared" si="135"/>
        <v>6</v>
      </c>
      <c r="Z558" s="368" t="str">
        <f t="shared" si="136"/>
        <v/>
      </c>
      <c r="AA558" s="371"/>
      <c r="AB558" s="372"/>
      <c r="AC558" s="373"/>
      <c r="AD558" s="373"/>
      <c r="AE558" s="373"/>
      <c r="AF558" s="371"/>
      <c r="AG558" s="373"/>
      <c r="AH558" s="2"/>
      <c r="AI558" s="2"/>
      <c r="AJ558" s="2"/>
    </row>
    <row r="559" spans="1:36" x14ac:dyDescent="0.2">
      <c r="A559" s="306">
        <f>Crop!B592</f>
        <v>42183</v>
      </c>
      <c r="B559" s="307"/>
      <c r="C559" s="308"/>
      <c r="D559" s="304" t="str">
        <f>IF(OR($A559&lt;$A$3,$A559&gt;$A$7),"",Crop!$D592)</f>
        <v/>
      </c>
      <c r="E559" s="304" t="str">
        <f t="shared" si="124"/>
        <v/>
      </c>
      <c r="F559" s="304" t="str">
        <f>IF(OR(A559&lt;A$3,A559&gt;A$7),"",Crop!U592)</f>
        <v/>
      </c>
      <c r="G559" s="304" t="str">
        <f t="shared" si="125"/>
        <v/>
      </c>
      <c r="H559" s="309" t="str">
        <f>IF(OR(A559&lt;A$3,A559&gt;A$7),"",YTD!E556)</f>
        <v/>
      </c>
      <c r="I559" s="310" t="str">
        <f t="shared" si="126"/>
        <v/>
      </c>
      <c r="J559" s="311"/>
      <c r="K559" s="309" t="str">
        <f t="shared" si="127"/>
        <v/>
      </c>
      <c r="L559" s="312" t="str">
        <f t="shared" si="130"/>
        <v/>
      </c>
      <c r="M559" s="366" t="str">
        <f t="shared" si="131"/>
        <v/>
      </c>
      <c r="N559" s="328" t="str">
        <f t="shared" si="122"/>
        <v/>
      </c>
      <c r="O559" s="313" t="str">
        <f t="shared" si="123"/>
        <v/>
      </c>
      <c r="P559" s="307"/>
      <c r="Q559" s="309">
        <f t="shared" si="132"/>
        <v>0.8</v>
      </c>
      <c r="R559" s="307"/>
      <c r="S559" s="314">
        <f t="shared" si="133"/>
        <v>10</v>
      </c>
      <c r="T559" s="304" t="str">
        <f t="shared" si="128"/>
        <v/>
      </c>
      <c r="U559" s="304" t="str">
        <f>IF(A559=YTD!B$6,E559,IF(OR(A559&lt;YTD!B$6,A559&gt;YTD!B$10),"",U558+E559))</f>
        <v/>
      </c>
      <c r="V559" s="304" t="str">
        <f t="shared" si="134"/>
        <v/>
      </c>
      <c r="W559" s="315" t="e">
        <f>IF(I559="",#N/A,YTD!G$8-I559)</f>
        <v>#N/A</v>
      </c>
      <c r="X559" s="368">
        <f t="shared" si="129"/>
        <v>0</v>
      </c>
      <c r="Y559" s="368">
        <f t="shared" si="135"/>
        <v>6</v>
      </c>
      <c r="Z559" s="368" t="str">
        <f t="shared" si="136"/>
        <v/>
      </c>
      <c r="AA559" s="371"/>
      <c r="AB559" s="372"/>
      <c r="AC559" s="373"/>
      <c r="AD559" s="373"/>
      <c r="AE559" s="373"/>
      <c r="AF559" s="371"/>
      <c r="AG559" s="373"/>
      <c r="AH559" s="2"/>
      <c r="AI559" s="2"/>
      <c r="AJ559" s="2"/>
    </row>
    <row r="560" spans="1:36" x14ac:dyDescent="0.2">
      <c r="A560" s="306">
        <f>Crop!B593</f>
        <v>42184</v>
      </c>
      <c r="B560" s="307"/>
      <c r="C560" s="308"/>
      <c r="D560" s="304" t="str">
        <f>IF(OR($A560&lt;$A$3,$A560&gt;$A$7),"",Crop!$D593)</f>
        <v/>
      </c>
      <c r="E560" s="304" t="str">
        <f t="shared" si="124"/>
        <v/>
      </c>
      <c r="F560" s="304" t="str">
        <f>IF(OR(A560&lt;A$3,A560&gt;A$7),"",Crop!U593)</f>
        <v/>
      </c>
      <c r="G560" s="304" t="str">
        <f t="shared" si="125"/>
        <v/>
      </c>
      <c r="H560" s="309" t="str">
        <f>IF(OR(A560&lt;A$3,A560&gt;A$7),"",YTD!E557)</f>
        <v/>
      </c>
      <c r="I560" s="310" t="str">
        <f t="shared" si="126"/>
        <v/>
      </c>
      <c r="J560" s="311"/>
      <c r="K560" s="309" t="str">
        <f t="shared" si="127"/>
        <v/>
      </c>
      <c r="L560" s="312" t="str">
        <f t="shared" si="130"/>
        <v/>
      </c>
      <c r="M560" s="366" t="str">
        <f t="shared" si="131"/>
        <v/>
      </c>
      <c r="N560" s="328" t="str">
        <f t="shared" si="122"/>
        <v/>
      </c>
      <c r="O560" s="313" t="str">
        <f t="shared" si="123"/>
        <v/>
      </c>
      <c r="P560" s="307"/>
      <c r="Q560" s="309">
        <f t="shared" si="132"/>
        <v>0.8</v>
      </c>
      <c r="R560" s="307"/>
      <c r="S560" s="314">
        <f t="shared" si="133"/>
        <v>10</v>
      </c>
      <c r="T560" s="304" t="str">
        <f t="shared" si="128"/>
        <v/>
      </c>
      <c r="U560" s="304" t="str">
        <f>IF(A560=YTD!B$6,E560,IF(OR(A560&lt;YTD!B$6,A560&gt;YTD!B$10),"",U559+E560))</f>
        <v/>
      </c>
      <c r="V560" s="304" t="str">
        <f t="shared" si="134"/>
        <v/>
      </c>
      <c r="W560" s="315" t="e">
        <f>IF(I560="",#N/A,YTD!G$8-I560)</f>
        <v>#N/A</v>
      </c>
      <c r="X560" s="368">
        <f t="shared" si="129"/>
        <v>0</v>
      </c>
      <c r="Y560" s="368">
        <f t="shared" si="135"/>
        <v>6</v>
      </c>
      <c r="Z560" s="368" t="str">
        <f t="shared" si="136"/>
        <v/>
      </c>
      <c r="AA560" s="371"/>
      <c r="AB560" s="372"/>
      <c r="AC560" s="373"/>
      <c r="AD560" s="373"/>
      <c r="AE560" s="373"/>
      <c r="AF560" s="371"/>
      <c r="AG560" s="373"/>
      <c r="AH560" s="2"/>
      <c r="AI560" s="2"/>
      <c r="AJ560" s="2"/>
    </row>
    <row r="561" spans="1:36" x14ac:dyDescent="0.2">
      <c r="A561" s="306">
        <f>Crop!B594</f>
        <v>42185</v>
      </c>
      <c r="B561" s="307"/>
      <c r="C561" s="308"/>
      <c r="D561" s="304" t="str">
        <f>IF(OR($A561&lt;$A$3,$A561&gt;$A$7),"",Crop!$D594)</f>
        <v/>
      </c>
      <c r="E561" s="304" t="str">
        <f t="shared" si="124"/>
        <v/>
      </c>
      <c r="F561" s="304" t="str">
        <f>IF(OR(A561&lt;A$3,A561&gt;A$7),"",Crop!U594)</f>
        <v/>
      </c>
      <c r="G561" s="304" t="str">
        <f t="shared" si="125"/>
        <v/>
      </c>
      <c r="H561" s="309" t="str">
        <f>IF(OR(A561&lt;A$3,A561&gt;A$7),"",YTD!E558)</f>
        <v/>
      </c>
      <c r="I561" s="310" t="str">
        <f t="shared" si="126"/>
        <v/>
      </c>
      <c r="J561" s="311"/>
      <c r="K561" s="309" t="str">
        <f t="shared" si="127"/>
        <v/>
      </c>
      <c r="L561" s="312" t="str">
        <f t="shared" si="130"/>
        <v/>
      </c>
      <c r="M561" s="366" t="str">
        <f t="shared" si="131"/>
        <v/>
      </c>
      <c r="N561" s="328" t="str">
        <f t="shared" si="122"/>
        <v/>
      </c>
      <c r="O561" s="313" t="str">
        <f t="shared" si="123"/>
        <v/>
      </c>
      <c r="P561" s="307"/>
      <c r="Q561" s="309">
        <f t="shared" si="132"/>
        <v>0.8</v>
      </c>
      <c r="R561" s="307"/>
      <c r="S561" s="314">
        <f t="shared" si="133"/>
        <v>10</v>
      </c>
      <c r="T561" s="304" t="str">
        <f t="shared" si="128"/>
        <v/>
      </c>
      <c r="U561" s="304" t="str">
        <f>IF(A561=YTD!B$6,E561,IF(OR(A561&lt;YTD!B$6,A561&gt;YTD!B$10),"",U560+E561))</f>
        <v/>
      </c>
      <c r="V561" s="304" t="str">
        <f t="shared" si="134"/>
        <v/>
      </c>
      <c r="W561" s="315" t="e">
        <f>IF(I561="",#N/A,YTD!G$8-I561)</f>
        <v>#N/A</v>
      </c>
      <c r="X561" s="368">
        <f t="shared" si="129"/>
        <v>0</v>
      </c>
      <c r="Y561" s="368">
        <f t="shared" si="135"/>
        <v>6</v>
      </c>
      <c r="Z561" s="368" t="str">
        <f t="shared" si="136"/>
        <v/>
      </c>
      <c r="AA561" s="371"/>
      <c r="AB561" s="372"/>
      <c r="AC561" s="373"/>
      <c r="AD561" s="373"/>
      <c r="AE561" s="373"/>
      <c r="AF561" s="371"/>
      <c r="AG561" s="373"/>
      <c r="AH561" s="2"/>
      <c r="AI561" s="2"/>
      <c r="AJ561" s="2"/>
    </row>
    <row r="562" spans="1:36" x14ac:dyDescent="0.2">
      <c r="A562" s="306">
        <f>Crop!B595</f>
        <v>42186</v>
      </c>
      <c r="B562" s="307"/>
      <c r="C562" s="308"/>
      <c r="D562" s="304" t="str">
        <f>IF(OR($A562&lt;$A$3,$A562&gt;$A$7),"",Crop!$D595)</f>
        <v/>
      </c>
      <c r="E562" s="304" t="str">
        <f t="shared" si="124"/>
        <v/>
      </c>
      <c r="F562" s="304" t="str">
        <f>IF(OR(A562&lt;A$3,A562&gt;A$7),"",Crop!U595)</f>
        <v/>
      </c>
      <c r="G562" s="304" t="str">
        <f t="shared" si="125"/>
        <v/>
      </c>
      <c r="H562" s="309" t="str">
        <f>IF(OR(A562&lt;A$3,A562&gt;A$7),"",YTD!E559)</f>
        <v/>
      </c>
      <c r="I562" s="310" t="str">
        <f t="shared" si="126"/>
        <v/>
      </c>
      <c r="J562" s="311"/>
      <c r="K562" s="309" t="str">
        <f t="shared" si="127"/>
        <v/>
      </c>
      <c r="L562" s="312" t="str">
        <f t="shared" si="130"/>
        <v/>
      </c>
      <c r="M562" s="366" t="str">
        <f t="shared" si="131"/>
        <v/>
      </c>
      <c r="N562" s="328" t="str">
        <f t="shared" si="122"/>
        <v/>
      </c>
      <c r="O562" s="313" t="str">
        <f t="shared" si="123"/>
        <v/>
      </c>
      <c r="P562" s="307"/>
      <c r="Q562" s="309">
        <f t="shared" si="132"/>
        <v>0.8</v>
      </c>
      <c r="R562" s="307"/>
      <c r="S562" s="314">
        <f t="shared" si="133"/>
        <v>10</v>
      </c>
      <c r="T562" s="304" t="str">
        <f t="shared" si="128"/>
        <v/>
      </c>
      <c r="U562" s="304" t="str">
        <f>IF(A562=YTD!B$6,E562,IF(OR(A562&lt;YTD!B$6,A562&gt;YTD!B$10),"",U561+E562))</f>
        <v/>
      </c>
      <c r="V562" s="304" t="str">
        <f t="shared" si="134"/>
        <v/>
      </c>
      <c r="W562" s="315" t="e">
        <f>IF(I562="",#N/A,YTD!G$8-I562)</f>
        <v>#N/A</v>
      </c>
      <c r="X562" s="368">
        <f t="shared" si="129"/>
        <v>0</v>
      </c>
      <c r="Y562" s="368">
        <f t="shared" si="135"/>
        <v>6</v>
      </c>
      <c r="Z562" s="368" t="str">
        <f t="shared" si="136"/>
        <v/>
      </c>
      <c r="AA562" s="371"/>
      <c r="AB562" s="372"/>
      <c r="AC562" s="373"/>
      <c r="AD562" s="373"/>
      <c r="AE562" s="373"/>
      <c r="AF562" s="371"/>
      <c r="AG562" s="373"/>
      <c r="AH562" s="2"/>
      <c r="AI562" s="2"/>
      <c r="AJ562" s="2"/>
    </row>
    <row r="563" spans="1:36" x14ac:dyDescent="0.2">
      <c r="A563" s="306">
        <f>Crop!B596</f>
        <v>42187</v>
      </c>
      <c r="B563" s="307"/>
      <c r="C563" s="308"/>
      <c r="D563" s="304" t="str">
        <f>IF(OR($A563&lt;$A$3,$A563&gt;$A$7),"",Crop!$D596)</f>
        <v/>
      </c>
      <c r="E563" s="304" t="str">
        <f t="shared" si="124"/>
        <v/>
      </c>
      <c r="F563" s="304" t="str">
        <f>IF(OR(A563&lt;A$3,A563&gt;A$7),"",Crop!U596)</f>
        <v/>
      </c>
      <c r="G563" s="304" t="str">
        <f t="shared" si="125"/>
        <v/>
      </c>
      <c r="H563" s="309" t="str">
        <f>IF(OR(A563&lt;A$3,A563&gt;A$7),"",YTD!E560)</f>
        <v/>
      </c>
      <c r="I563" s="310" t="str">
        <f t="shared" si="126"/>
        <v/>
      </c>
      <c r="J563" s="311"/>
      <c r="K563" s="309" t="str">
        <f t="shared" si="127"/>
        <v/>
      </c>
      <c r="L563" s="312" t="str">
        <f t="shared" si="130"/>
        <v/>
      </c>
      <c r="M563" s="366" t="str">
        <f t="shared" si="131"/>
        <v/>
      </c>
      <c r="N563" s="328" t="str">
        <f t="shared" si="122"/>
        <v/>
      </c>
      <c r="O563" s="313" t="str">
        <f t="shared" si="123"/>
        <v/>
      </c>
      <c r="P563" s="307"/>
      <c r="Q563" s="309">
        <f t="shared" si="132"/>
        <v>0.8</v>
      </c>
      <c r="R563" s="307"/>
      <c r="S563" s="314">
        <f t="shared" si="133"/>
        <v>10</v>
      </c>
      <c r="T563" s="304" t="str">
        <f t="shared" si="128"/>
        <v/>
      </c>
      <c r="U563" s="304" t="str">
        <f>IF(A563=YTD!B$6,E563,IF(OR(A563&lt;YTD!B$6,A563&gt;YTD!B$10),"",U562+E563))</f>
        <v/>
      </c>
      <c r="V563" s="304" t="str">
        <f t="shared" si="134"/>
        <v/>
      </c>
      <c r="W563" s="315" t="e">
        <f>IF(I563="",#N/A,YTD!G$8-I563)</f>
        <v>#N/A</v>
      </c>
      <c r="X563" s="368">
        <f t="shared" si="129"/>
        <v>0</v>
      </c>
      <c r="Y563" s="368">
        <f t="shared" si="135"/>
        <v>6</v>
      </c>
      <c r="Z563" s="368" t="str">
        <f t="shared" si="136"/>
        <v/>
      </c>
      <c r="AA563" s="371"/>
      <c r="AB563" s="372"/>
      <c r="AC563" s="373"/>
      <c r="AD563" s="373"/>
      <c r="AE563" s="373"/>
      <c r="AF563" s="371"/>
      <c r="AG563" s="373"/>
      <c r="AH563" s="2"/>
      <c r="AI563" s="2"/>
      <c r="AJ563" s="2"/>
    </row>
    <row r="564" spans="1:36" x14ac:dyDescent="0.2">
      <c r="A564" s="306">
        <f>Crop!B597</f>
        <v>42188</v>
      </c>
      <c r="B564" s="307"/>
      <c r="C564" s="308"/>
      <c r="D564" s="304" t="str">
        <f>IF(OR($A564&lt;$A$3,$A564&gt;$A$7),"",Crop!$D597)</f>
        <v/>
      </c>
      <c r="E564" s="304" t="str">
        <f t="shared" si="124"/>
        <v/>
      </c>
      <c r="F564" s="304" t="str">
        <f>IF(OR(A564&lt;A$3,A564&gt;A$7),"",Crop!U597)</f>
        <v/>
      </c>
      <c r="G564" s="304" t="str">
        <f t="shared" si="125"/>
        <v/>
      </c>
      <c r="H564" s="309" t="str">
        <f>IF(OR(A564&lt;A$3,A564&gt;A$7),"",YTD!E561)</f>
        <v/>
      </c>
      <c r="I564" s="310" t="str">
        <f t="shared" si="126"/>
        <v/>
      </c>
      <c r="J564" s="311"/>
      <c r="K564" s="309" t="str">
        <f t="shared" si="127"/>
        <v/>
      </c>
      <c r="L564" s="312" t="str">
        <f t="shared" si="130"/>
        <v/>
      </c>
      <c r="M564" s="366" t="str">
        <f t="shared" si="131"/>
        <v/>
      </c>
      <c r="N564" s="328" t="str">
        <f t="shared" si="122"/>
        <v/>
      </c>
      <c r="O564" s="313" t="str">
        <f t="shared" si="123"/>
        <v/>
      </c>
      <c r="P564" s="307"/>
      <c r="Q564" s="309">
        <f t="shared" si="132"/>
        <v>0.8</v>
      </c>
      <c r="R564" s="307"/>
      <c r="S564" s="314">
        <f t="shared" si="133"/>
        <v>10</v>
      </c>
      <c r="T564" s="304" t="str">
        <f t="shared" si="128"/>
        <v/>
      </c>
      <c r="U564" s="304" t="str">
        <f>IF(A564=YTD!B$6,E564,IF(OR(A564&lt;YTD!B$6,A564&gt;YTD!B$10),"",U563+E564))</f>
        <v/>
      </c>
      <c r="V564" s="304" t="str">
        <f t="shared" si="134"/>
        <v/>
      </c>
      <c r="W564" s="315" t="e">
        <f>IF(I564="",#N/A,YTD!G$8-I564)</f>
        <v>#N/A</v>
      </c>
      <c r="X564" s="368">
        <f t="shared" si="129"/>
        <v>0</v>
      </c>
      <c r="Y564" s="368">
        <f t="shared" si="135"/>
        <v>6</v>
      </c>
      <c r="Z564" s="368" t="str">
        <f t="shared" si="136"/>
        <v/>
      </c>
      <c r="AA564" s="371"/>
      <c r="AB564" s="372"/>
      <c r="AC564" s="373"/>
      <c r="AD564" s="373"/>
      <c r="AE564" s="373"/>
      <c r="AF564" s="371"/>
      <c r="AG564" s="373"/>
      <c r="AH564" s="2"/>
      <c r="AI564" s="2"/>
      <c r="AJ564" s="2"/>
    </row>
    <row r="565" spans="1:36" x14ac:dyDescent="0.2">
      <c r="A565" s="306">
        <f>Crop!B598</f>
        <v>42189</v>
      </c>
      <c r="B565" s="307"/>
      <c r="C565" s="308"/>
      <c r="D565" s="304" t="str">
        <f>IF(OR($A565&lt;$A$3,$A565&gt;$A$7),"",Crop!$D598)</f>
        <v/>
      </c>
      <c r="E565" s="304" t="str">
        <f t="shared" si="124"/>
        <v/>
      </c>
      <c r="F565" s="304" t="str">
        <f>IF(OR(A565&lt;A$3,A565&gt;A$7),"",Crop!U598)</f>
        <v/>
      </c>
      <c r="G565" s="304" t="str">
        <f t="shared" si="125"/>
        <v/>
      </c>
      <c r="H565" s="309" t="str">
        <f>IF(OR(A565&lt;A$3,A565&gt;A$7),"",YTD!E562)</f>
        <v/>
      </c>
      <c r="I565" s="310" t="str">
        <f t="shared" si="126"/>
        <v/>
      </c>
      <c r="J565" s="311"/>
      <c r="K565" s="309" t="str">
        <f t="shared" si="127"/>
        <v/>
      </c>
      <c r="L565" s="312" t="str">
        <f t="shared" si="130"/>
        <v/>
      </c>
      <c r="M565" s="366" t="str">
        <f t="shared" si="131"/>
        <v/>
      </c>
      <c r="N565" s="328" t="str">
        <f t="shared" si="122"/>
        <v/>
      </c>
      <c r="O565" s="313" t="str">
        <f t="shared" si="123"/>
        <v/>
      </c>
      <c r="P565" s="307"/>
      <c r="Q565" s="309">
        <f t="shared" si="132"/>
        <v>0.8</v>
      </c>
      <c r="R565" s="307"/>
      <c r="S565" s="314">
        <f t="shared" si="133"/>
        <v>10</v>
      </c>
      <c r="T565" s="304" t="str">
        <f t="shared" si="128"/>
        <v/>
      </c>
      <c r="U565" s="304" t="str">
        <f>IF(A565=YTD!B$6,E565,IF(OR(A565&lt;YTD!B$6,A565&gt;YTD!B$10),"",U564+E565))</f>
        <v/>
      </c>
      <c r="V565" s="304" t="str">
        <f t="shared" si="134"/>
        <v/>
      </c>
      <c r="W565" s="315" t="e">
        <f>IF(I565="",#N/A,YTD!G$8-I565)</f>
        <v>#N/A</v>
      </c>
      <c r="X565" s="368">
        <f t="shared" si="129"/>
        <v>0</v>
      </c>
      <c r="Y565" s="368">
        <f t="shared" si="135"/>
        <v>6</v>
      </c>
      <c r="Z565" s="368" t="str">
        <f t="shared" si="136"/>
        <v/>
      </c>
      <c r="AA565" s="371"/>
      <c r="AB565" s="372"/>
      <c r="AC565" s="373"/>
      <c r="AD565" s="373"/>
      <c r="AE565" s="373"/>
      <c r="AF565" s="371"/>
      <c r="AG565" s="373"/>
      <c r="AH565" s="2"/>
      <c r="AI565" s="2"/>
      <c r="AJ565" s="2"/>
    </row>
    <row r="566" spans="1:36" x14ac:dyDescent="0.2">
      <c r="A566" s="306">
        <f>Crop!B599</f>
        <v>42190</v>
      </c>
      <c r="B566" s="307"/>
      <c r="C566" s="308"/>
      <c r="D566" s="304" t="str">
        <f>IF(OR($A566&lt;$A$3,$A566&gt;$A$7),"",Crop!$D599)</f>
        <v/>
      </c>
      <c r="E566" s="304" t="str">
        <f t="shared" si="124"/>
        <v/>
      </c>
      <c r="F566" s="304" t="str">
        <f>IF(OR(A566&lt;A$3,A566&gt;A$7),"",Crop!U599)</f>
        <v/>
      </c>
      <c r="G566" s="304" t="str">
        <f t="shared" si="125"/>
        <v/>
      </c>
      <c r="H566" s="309" t="str">
        <f>IF(OR(A566&lt;A$3,A566&gt;A$7),"",YTD!E563)</f>
        <v/>
      </c>
      <c r="I566" s="310" t="str">
        <f t="shared" si="126"/>
        <v/>
      </c>
      <c r="J566" s="311"/>
      <c r="K566" s="309" t="str">
        <f t="shared" si="127"/>
        <v/>
      </c>
      <c r="L566" s="312" t="str">
        <f t="shared" si="130"/>
        <v/>
      </c>
      <c r="M566" s="366" t="str">
        <f t="shared" si="131"/>
        <v/>
      </c>
      <c r="N566" s="328" t="str">
        <f t="shared" si="122"/>
        <v/>
      </c>
      <c r="O566" s="313" t="str">
        <f t="shared" si="123"/>
        <v/>
      </c>
      <c r="P566" s="307"/>
      <c r="Q566" s="309">
        <f t="shared" si="132"/>
        <v>0.8</v>
      </c>
      <c r="R566" s="307"/>
      <c r="S566" s="314">
        <f t="shared" si="133"/>
        <v>10</v>
      </c>
      <c r="T566" s="304" t="str">
        <f t="shared" si="128"/>
        <v/>
      </c>
      <c r="U566" s="304" t="str">
        <f>IF(A566=YTD!B$6,E566,IF(OR(A566&lt;YTD!B$6,A566&gt;YTD!B$10),"",U565+E566))</f>
        <v/>
      </c>
      <c r="V566" s="304" t="str">
        <f t="shared" si="134"/>
        <v/>
      </c>
      <c r="W566" s="315" t="e">
        <f>IF(I566="",#N/A,YTD!G$8-I566)</f>
        <v>#N/A</v>
      </c>
      <c r="X566" s="368">
        <f t="shared" si="129"/>
        <v>0</v>
      </c>
      <c r="Y566" s="368">
        <f t="shared" si="135"/>
        <v>6</v>
      </c>
      <c r="Z566" s="368" t="str">
        <f t="shared" si="136"/>
        <v/>
      </c>
      <c r="AA566" s="371"/>
      <c r="AB566" s="372"/>
      <c r="AC566" s="373"/>
      <c r="AD566" s="373"/>
      <c r="AE566" s="373"/>
      <c r="AF566" s="371"/>
      <c r="AG566" s="373"/>
      <c r="AH566" s="2"/>
      <c r="AI566" s="2"/>
      <c r="AJ566" s="2"/>
    </row>
    <row r="567" spans="1:36" x14ac:dyDescent="0.2">
      <c r="A567" s="306">
        <f>Crop!B600</f>
        <v>42191</v>
      </c>
      <c r="B567" s="307"/>
      <c r="C567" s="308"/>
      <c r="D567" s="304" t="str">
        <f>IF(OR($A567&lt;$A$3,$A567&gt;$A$7),"",Crop!$D600)</f>
        <v/>
      </c>
      <c r="E567" s="304" t="str">
        <f t="shared" si="124"/>
        <v/>
      </c>
      <c r="F567" s="304" t="str">
        <f>IF(OR(A567&lt;A$3,A567&gt;A$7),"",Crop!U600)</f>
        <v/>
      </c>
      <c r="G567" s="304" t="str">
        <f t="shared" si="125"/>
        <v/>
      </c>
      <c r="H567" s="309" t="str">
        <f>IF(OR(A567&lt;A$3,A567&gt;A$7),"",YTD!E564)</f>
        <v/>
      </c>
      <c r="I567" s="310" t="str">
        <f t="shared" si="126"/>
        <v/>
      </c>
      <c r="J567" s="311"/>
      <c r="K567" s="309" t="str">
        <f t="shared" si="127"/>
        <v/>
      </c>
      <c r="L567" s="312" t="str">
        <f t="shared" si="130"/>
        <v/>
      </c>
      <c r="M567" s="366" t="str">
        <f t="shared" si="131"/>
        <v/>
      </c>
      <c r="N567" s="328" t="str">
        <f t="shared" si="122"/>
        <v/>
      </c>
      <c r="O567" s="313" t="str">
        <f t="shared" si="123"/>
        <v/>
      </c>
      <c r="P567" s="307"/>
      <c r="Q567" s="309">
        <f t="shared" si="132"/>
        <v>0.8</v>
      </c>
      <c r="R567" s="307"/>
      <c r="S567" s="314">
        <f t="shared" si="133"/>
        <v>10</v>
      </c>
      <c r="T567" s="304" t="str">
        <f t="shared" si="128"/>
        <v/>
      </c>
      <c r="U567" s="304" t="str">
        <f>IF(A567=YTD!B$6,E567,IF(OR(A567&lt;YTD!B$6,A567&gt;YTD!B$10),"",U566+E567))</f>
        <v/>
      </c>
      <c r="V567" s="304" t="str">
        <f t="shared" si="134"/>
        <v/>
      </c>
      <c r="W567" s="315" t="e">
        <f>IF(I567="",#N/A,YTD!G$8-I567)</f>
        <v>#N/A</v>
      </c>
      <c r="X567" s="368">
        <f t="shared" si="129"/>
        <v>0</v>
      </c>
      <c r="Y567" s="368">
        <f t="shared" si="135"/>
        <v>6</v>
      </c>
      <c r="Z567" s="368" t="str">
        <f t="shared" si="136"/>
        <v/>
      </c>
      <c r="AA567" s="371"/>
      <c r="AB567" s="372"/>
      <c r="AC567" s="373"/>
      <c r="AD567" s="373"/>
      <c r="AE567" s="373"/>
      <c r="AF567" s="371"/>
      <c r="AG567" s="373"/>
      <c r="AH567" s="2"/>
      <c r="AI567" s="2"/>
      <c r="AJ567" s="2"/>
    </row>
    <row r="568" spans="1:36" x14ac:dyDescent="0.2">
      <c r="A568" s="306">
        <f>Crop!B601</f>
        <v>42192</v>
      </c>
      <c r="B568" s="307"/>
      <c r="C568" s="308"/>
      <c r="D568" s="304" t="str">
        <f>IF(OR($A568&lt;$A$3,$A568&gt;$A$7),"",Crop!$D601)</f>
        <v/>
      </c>
      <c r="E568" s="304" t="str">
        <f t="shared" si="124"/>
        <v/>
      </c>
      <c r="F568" s="304" t="str">
        <f>IF(OR(A568&lt;A$3,A568&gt;A$7),"",Crop!U601)</f>
        <v/>
      </c>
      <c r="G568" s="304" t="str">
        <f t="shared" si="125"/>
        <v/>
      </c>
      <c r="H568" s="309" t="str">
        <f>IF(OR(A568&lt;A$3,A568&gt;A$7),"",YTD!E565)</f>
        <v/>
      </c>
      <c r="I568" s="310" t="str">
        <f t="shared" si="126"/>
        <v/>
      </c>
      <c r="J568" s="311"/>
      <c r="K568" s="309" t="str">
        <f t="shared" si="127"/>
        <v/>
      </c>
      <c r="L568" s="312" t="str">
        <f t="shared" si="130"/>
        <v/>
      </c>
      <c r="M568" s="366" t="str">
        <f t="shared" si="131"/>
        <v/>
      </c>
      <c r="N568" s="328" t="str">
        <f t="shared" si="122"/>
        <v/>
      </c>
      <c r="O568" s="313" t="str">
        <f t="shared" si="123"/>
        <v/>
      </c>
      <c r="P568" s="307"/>
      <c r="Q568" s="309">
        <f t="shared" si="132"/>
        <v>0.8</v>
      </c>
      <c r="R568" s="307"/>
      <c r="S568" s="314">
        <f t="shared" si="133"/>
        <v>10</v>
      </c>
      <c r="T568" s="304" t="str">
        <f t="shared" si="128"/>
        <v/>
      </c>
      <c r="U568" s="304" t="str">
        <f>IF(A568=YTD!B$6,E568,IF(OR(A568&lt;YTD!B$6,A568&gt;YTD!B$10),"",U567+E568))</f>
        <v/>
      </c>
      <c r="V568" s="304" t="str">
        <f t="shared" si="134"/>
        <v/>
      </c>
      <c r="W568" s="315" t="e">
        <f>IF(I568="",#N/A,YTD!G$8-I568)</f>
        <v>#N/A</v>
      </c>
      <c r="X568" s="368">
        <f t="shared" si="129"/>
        <v>0</v>
      </c>
      <c r="Y568" s="368">
        <f t="shared" si="135"/>
        <v>6</v>
      </c>
      <c r="Z568" s="368" t="str">
        <f t="shared" si="136"/>
        <v/>
      </c>
      <c r="AA568" s="371"/>
      <c r="AB568" s="372"/>
      <c r="AC568" s="373"/>
      <c r="AD568" s="373"/>
      <c r="AE568" s="373"/>
      <c r="AF568" s="371"/>
      <c r="AG568" s="373"/>
      <c r="AH568" s="2"/>
      <c r="AI568" s="2"/>
      <c r="AJ568" s="2"/>
    </row>
    <row r="569" spans="1:36" x14ac:dyDescent="0.2">
      <c r="A569" s="306">
        <f>Crop!B602</f>
        <v>42193</v>
      </c>
      <c r="B569" s="307"/>
      <c r="C569" s="308"/>
      <c r="D569" s="304" t="str">
        <f>IF(OR($A569&lt;$A$3,$A569&gt;$A$7),"",Crop!$D602)</f>
        <v/>
      </c>
      <c r="E569" s="304" t="str">
        <f t="shared" si="124"/>
        <v/>
      </c>
      <c r="F569" s="304" t="str">
        <f>IF(OR(A569&lt;A$3,A569&gt;A$7),"",Crop!U602)</f>
        <v/>
      </c>
      <c r="G569" s="304" t="str">
        <f t="shared" si="125"/>
        <v/>
      </c>
      <c r="H569" s="309" t="str">
        <f>IF(OR(A569&lt;A$3,A569&gt;A$7),"",YTD!E566)</f>
        <v/>
      </c>
      <c r="I569" s="310" t="str">
        <f t="shared" si="126"/>
        <v/>
      </c>
      <c r="J569" s="311"/>
      <c r="K569" s="309" t="str">
        <f t="shared" si="127"/>
        <v/>
      </c>
      <c r="L569" s="312" t="str">
        <f t="shared" si="130"/>
        <v/>
      </c>
      <c r="M569" s="366" t="str">
        <f t="shared" si="131"/>
        <v/>
      </c>
      <c r="N569" s="328" t="str">
        <f t="shared" si="122"/>
        <v/>
      </c>
      <c r="O569" s="313" t="str">
        <f t="shared" si="123"/>
        <v/>
      </c>
      <c r="P569" s="307"/>
      <c r="Q569" s="309">
        <f t="shared" si="132"/>
        <v>0.8</v>
      </c>
      <c r="R569" s="307"/>
      <c r="S569" s="314">
        <f t="shared" si="133"/>
        <v>10</v>
      </c>
      <c r="T569" s="304" t="str">
        <f t="shared" si="128"/>
        <v/>
      </c>
      <c r="U569" s="304" t="str">
        <f>IF(A569=YTD!B$6,E569,IF(OR(A569&lt;YTD!B$6,A569&gt;YTD!B$10),"",U568+E569))</f>
        <v/>
      </c>
      <c r="V569" s="304" t="str">
        <f t="shared" si="134"/>
        <v/>
      </c>
      <c r="W569" s="315" t="e">
        <f>IF(I569="",#N/A,YTD!G$8-I569)</f>
        <v>#N/A</v>
      </c>
      <c r="X569" s="368">
        <f t="shared" si="129"/>
        <v>0</v>
      </c>
      <c r="Y569" s="368">
        <f t="shared" si="135"/>
        <v>6</v>
      </c>
      <c r="Z569" s="368" t="str">
        <f t="shared" si="136"/>
        <v/>
      </c>
      <c r="AA569" s="371"/>
      <c r="AB569" s="372"/>
      <c r="AC569" s="373"/>
      <c r="AD569" s="373"/>
      <c r="AE569" s="373"/>
      <c r="AF569" s="371"/>
      <c r="AG569" s="373"/>
      <c r="AH569" s="2"/>
      <c r="AI569" s="2"/>
      <c r="AJ569" s="2"/>
    </row>
    <row r="570" spans="1:36" x14ac:dyDescent="0.2">
      <c r="A570" s="306">
        <f>Crop!B603</f>
        <v>42194</v>
      </c>
      <c r="B570" s="307"/>
      <c r="C570" s="308"/>
      <c r="D570" s="304" t="str">
        <f>IF(OR($A570&lt;$A$3,$A570&gt;$A$7),"",Crop!$D603)</f>
        <v/>
      </c>
      <c r="E570" s="304" t="str">
        <f t="shared" si="124"/>
        <v/>
      </c>
      <c r="F570" s="304" t="str">
        <f>IF(OR(A570&lt;A$3,A570&gt;A$7),"",Crop!U603)</f>
        <v/>
      </c>
      <c r="G570" s="304" t="str">
        <f t="shared" si="125"/>
        <v/>
      </c>
      <c r="H570" s="309" t="str">
        <f>IF(OR(A570&lt;A$3,A570&gt;A$7),"",YTD!E567)</f>
        <v/>
      </c>
      <c r="I570" s="310" t="str">
        <f t="shared" si="126"/>
        <v/>
      </c>
      <c r="J570" s="311"/>
      <c r="K570" s="309" t="str">
        <f t="shared" si="127"/>
        <v/>
      </c>
      <c r="L570" s="312" t="str">
        <f t="shared" si="130"/>
        <v/>
      </c>
      <c r="M570" s="366" t="str">
        <f t="shared" si="131"/>
        <v/>
      </c>
      <c r="N570" s="328" t="str">
        <f t="shared" si="122"/>
        <v/>
      </c>
      <c r="O570" s="313" t="str">
        <f t="shared" si="123"/>
        <v/>
      </c>
      <c r="P570" s="307"/>
      <c r="Q570" s="309">
        <f t="shared" si="132"/>
        <v>0.8</v>
      </c>
      <c r="R570" s="307"/>
      <c r="S570" s="314">
        <f t="shared" si="133"/>
        <v>10</v>
      </c>
      <c r="T570" s="304" t="str">
        <f t="shared" si="128"/>
        <v/>
      </c>
      <c r="U570" s="304" t="str">
        <f>IF(A570=YTD!B$6,E570,IF(OR(A570&lt;YTD!B$6,A570&gt;YTD!B$10),"",U569+E570))</f>
        <v/>
      </c>
      <c r="V570" s="304" t="str">
        <f t="shared" si="134"/>
        <v/>
      </c>
      <c r="W570" s="315" t="e">
        <f>IF(I570="",#N/A,YTD!G$8-I570)</f>
        <v>#N/A</v>
      </c>
      <c r="X570" s="368">
        <f t="shared" si="129"/>
        <v>0</v>
      </c>
      <c r="Y570" s="368">
        <f t="shared" si="135"/>
        <v>6</v>
      </c>
      <c r="Z570" s="368" t="str">
        <f t="shared" si="136"/>
        <v/>
      </c>
      <c r="AA570" s="371"/>
      <c r="AB570" s="372"/>
      <c r="AC570" s="373"/>
      <c r="AD570" s="373"/>
      <c r="AE570" s="373"/>
      <c r="AF570" s="371"/>
      <c r="AG570" s="373"/>
      <c r="AH570" s="2"/>
      <c r="AI570" s="2"/>
      <c r="AJ570" s="2"/>
    </row>
    <row r="571" spans="1:36" x14ac:dyDescent="0.2">
      <c r="A571" s="306">
        <f>Crop!B604</f>
        <v>42195</v>
      </c>
      <c r="B571" s="307"/>
      <c r="C571" s="308"/>
      <c r="D571" s="304" t="str">
        <f>IF(OR($A571&lt;$A$3,$A571&gt;$A$7),"",Crop!$D604)</f>
        <v/>
      </c>
      <c r="E571" s="304" t="str">
        <f t="shared" si="124"/>
        <v/>
      </c>
      <c r="F571" s="304" t="str">
        <f>IF(OR(A571&lt;A$3,A571&gt;A$7),"",Crop!U604)</f>
        <v/>
      </c>
      <c r="G571" s="304" t="str">
        <f t="shared" si="125"/>
        <v/>
      </c>
      <c r="H571" s="309" t="str">
        <f>IF(OR(A571&lt;A$3,A571&gt;A$7),"",YTD!E568)</f>
        <v/>
      </c>
      <c r="I571" s="310" t="str">
        <f t="shared" si="126"/>
        <v/>
      </c>
      <c r="J571" s="311"/>
      <c r="K571" s="309" t="str">
        <f t="shared" si="127"/>
        <v/>
      </c>
      <c r="L571" s="312" t="str">
        <f t="shared" si="130"/>
        <v/>
      </c>
      <c r="M571" s="366" t="str">
        <f t="shared" si="131"/>
        <v/>
      </c>
      <c r="N571" s="328" t="str">
        <f t="shared" si="122"/>
        <v/>
      </c>
      <c r="O571" s="313" t="str">
        <f t="shared" si="123"/>
        <v/>
      </c>
      <c r="P571" s="307"/>
      <c r="Q571" s="309">
        <f t="shared" si="132"/>
        <v>0.8</v>
      </c>
      <c r="R571" s="307"/>
      <c r="S571" s="314">
        <f t="shared" si="133"/>
        <v>10</v>
      </c>
      <c r="T571" s="304" t="str">
        <f t="shared" si="128"/>
        <v/>
      </c>
      <c r="U571" s="304" t="str">
        <f>IF(A571=YTD!B$6,E571,IF(OR(A571&lt;YTD!B$6,A571&gt;YTD!B$10),"",U570+E571))</f>
        <v/>
      </c>
      <c r="V571" s="304" t="str">
        <f t="shared" si="134"/>
        <v/>
      </c>
      <c r="W571" s="315" t="e">
        <f>IF(I571="",#N/A,YTD!G$8-I571)</f>
        <v>#N/A</v>
      </c>
      <c r="X571" s="368">
        <f t="shared" si="129"/>
        <v>0</v>
      </c>
      <c r="Y571" s="368">
        <f t="shared" si="135"/>
        <v>6</v>
      </c>
      <c r="Z571" s="368" t="str">
        <f t="shared" si="136"/>
        <v/>
      </c>
      <c r="AA571" s="371"/>
      <c r="AB571" s="372"/>
      <c r="AC571" s="373"/>
      <c r="AD571" s="373"/>
      <c r="AE571" s="373"/>
      <c r="AF571" s="371"/>
      <c r="AG571" s="373"/>
      <c r="AH571" s="2"/>
      <c r="AI571" s="2"/>
      <c r="AJ571" s="2"/>
    </row>
    <row r="572" spans="1:36" x14ac:dyDescent="0.2">
      <c r="A572" s="306">
        <f>Crop!B605</f>
        <v>42196</v>
      </c>
      <c r="B572" s="307"/>
      <c r="C572" s="308"/>
      <c r="D572" s="304" t="str">
        <f>IF(OR($A572&lt;$A$3,$A572&gt;$A$7),"",Crop!$D605)</f>
        <v/>
      </c>
      <c r="E572" s="304" t="str">
        <f t="shared" si="124"/>
        <v/>
      </c>
      <c r="F572" s="304" t="str">
        <f>IF(OR(A572&lt;A$3,A572&gt;A$7),"",Crop!U605)</f>
        <v/>
      </c>
      <c r="G572" s="304" t="str">
        <f t="shared" si="125"/>
        <v/>
      </c>
      <c r="H572" s="309" t="str">
        <f>IF(OR(A572&lt;A$3,A572&gt;A$7),"",YTD!E569)</f>
        <v/>
      </c>
      <c r="I572" s="310" t="str">
        <f t="shared" si="126"/>
        <v/>
      </c>
      <c r="J572" s="311"/>
      <c r="K572" s="309" t="str">
        <f t="shared" si="127"/>
        <v/>
      </c>
      <c r="L572" s="312" t="str">
        <f t="shared" si="130"/>
        <v/>
      </c>
      <c r="M572" s="366" t="str">
        <f t="shared" si="131"/>
        <v/>
      </c>
      <c r="N572" s="328" t="str">
        <f t="shared" ref="N572:N592" si="137">IF(L572="","",INT(M572/S572))</f>
        <v/>
      </c>
      <c r="O572" s="313" t="str">
        <f t="shared" ref="O572:O592" si="138">IF(N572="","",MOD(M572/S572,N572)*60)</f>
        <v/>
      </c>
      <c r="P572" s="307"/>
      <c r="Q572" s="309">
        <f t="shared" si="132"/>
        <v>0.8</v>
      </c>
      <c r="R572" s="307"/>
      <c r="S572" s="314">
        <f t="shared" si="133"/>
        <v>10</v>
      </c>
      <c r="T572" s="304" t="str">
        <f t="shared" si="128"/>
        <v/>
      </c>
      <c r="U572" s="304" t="str">
        <f>IF(A572=YTD!B$6,E572,IF(OR(A572&lt;YTD!B$6,A572&gt;YTD!B$10),"",U571+E572))</f>
        <v/>
      </c>
      <c r="V572" s="304" t="str">
        <f t="shared" si="134"/>
        <v/>
      </c>
      <c r="W572" s="315" t="e">
        <f>IF(I572="",#N/A,YTD!G$8-I572)</f>
        <v>#N/A</v>
      </c>
      <c r="X572" s="368">
        <f t="shared" si="129"/>
        <v>0</v>
      </c>
      <c r="Y572" s="368">
        <f t="shared" si="135"/>
        <v>6</v>
      </c>
      <c r="Z572" s="368" t="str">
        <f t="shared" si="136"/>
        <v/>
      </c>
      <c r="AA572" s="371"/>
      <c r="AB572" s="372"/>
      <c r="AC572" s="373"/>
      <c r="AD572" s="373"/>
      <c r="AE572" s="373"/>
      <c r="AF572" s="371"/>
      <c r="AG572" s="373"/>
      <c r="AH572" s="2"/>
      <c r="AI572" s="2"/>
      <c r="AJ572" s="2"/>
    </row>
    <row r="573" spans="1:36" x14ac:dyDescent="0.2">
      <c r="A573" s="306">
        <f>Crop!B606</f>
        <v>42197</v>
      </c>
      <c r="B573" s="307"/>
      <c r="C573" s="308"/>
      <c r="D573" s="304" t="str">
        <f>IF(OR($A573&lt;$A$3,$A573&gt;$A$7),"",Crop!$D606)</f>
        <v/>
      </c>
      <c r="E573" s="304" t="str">
        <f t="shared" si="124"/>
        <v/>
      </c>
      <c r="F573" s="304" t="str">
        <f>IF(OR(A573&lt;A$3,A573&gt;A$7),"",Crop!U606)</f>
        <v/>
      </c>
      <c r="G573" s="304" t="str">
        <f t="shared" si="125"/>
        <v/>
      </c>
      <c r="H573" s="309" t="str">
        <f>IF(OR(A573&lt;A$3,A573&gt;A$7),"",YTD!E570)</f>
        <v/>
      </c>
      <c r="I573" s="310" t="str">
        <f t="shared" si="126"/>
        <v/>
      </c>
      <c r="J573" s="311"/>
      <c r="K573" s="309" t="str">
        <f t="shared" si="127"/>
        <v/>
      </c>
      <c r="L573" s="312" t="str">
        <f t="shared" si="130"/>
        <v/>
      </c>
      <c r="M573" s="366" t="str">
        <f t="shared" si="131"/>
        <v/>
      </c>
      <c r="N573" s="328" t="str">
        <f t="shared" si="137"/>
        <v/>
      </c>
      <c r="O573" s="313" t="str">
        <f t="shared" si="138"/>
        <v/>
      </c>
      <c r="P573" s="307"/>
      <c r="Q573" s="309">
        <f t="shared" si="132"/>
        <v>0.8</v>
      </c>
      <c r="R573" s="307"/>
      <c r="S573" s="314">
        <f t="shared" si="133"/>
        <v>10</v>
      </c>
      <c r="T573" s="304" t="str">
        <f t="shared" si="128"/>
        <v/>
      </c>
      <c r="U573" s="304" t="str">
        <f>IF(A573=YTD!B$6,E573,IF(OR(A573&lt;YTD!B$6,A573&gt;YTD!B$10),"",U572+E573))</f>
        <v/>
      </c>
      <c r="V573" s="304" t="str">
        <f t="shared" si="134"/>
        <v/>
      </c>
      <c r="W573" s="315" t="e">
        <f>IF(I573="",#N/A,YTD!G$8-I573)</f>
        <v>#N/A</v>
      </c>
      <c r="X573" s="368">
        <f t="shared" si="129"/>
        <v>0</v>
      </c>
      <c r="Y573" s="368">
        <f t="shared" si="135"/>
        <v>6</v>
      </c>
      <c r="Z573" s="368" t="str">
        <f t="shared" si="136"/>
        <v/>
      </c>
      <c r="AA573" s="371"/>
      <c r="AB573" s="372"/>
      <c r="AC573" s="373"/>
      <c r="AD573" s="373"/>
      <c r="AE573" s="373"/>
      <c r="AF573" s="371"/>
      <c r="AG573" s="373"/>
      <c r="AH573" s="2"/>
      <c r="AI573" s="2"/>
      <c r="AJ573" s="2"/>
    </row>
    <row r="574" spans="1:36" x14ac:dyDescent="0.2">
      <c r="A574" s="306">
        <f>Crop!B607</f>
        <v>42198</v>
      </c>
      <c r="B574" s="307"/>
      <c r="C574" s="308"/>
      <c r="D574" s="304" t="str">
        <f>IF(OR($A574&lt;$A$3,$A574&gt;$A$7),"",Crop!$D607)</f>
        <v/>
      </c>
      <c r="E574" s="304" t="str">
        <f t="shared" si="124"/>
        <v/>
      </c>
      <c r="F574" s="304" t="str">
        <f>IF(OR(A574&lt;A$3,A574&gt;A$7),"",Crop!U607)</f>
        <v/>
      </c>
      <c r="G574" s="304" t="str">
        <f t="shared" si="125"/>
        <v/>
      </c>
      <c r="H574" s="309" t="str">
        <f>IF(OR(A574&lt;A$3,A574&gt;A$7),"",YTD!E571)</f>
        <v/>
      </c>
      <c r="I574" s="310" t="str">
        <f t="shared" si="126"/>
        <v/>
      </c>
      <c r="J574" s="311"/>
      <c r="K574" s="309" t="str">
        <f t="shared" si="127"/>
        <v/>
      </c>
      <c r="L574" s="312" t="str">
        <f t="shared" si="130"/>
        <v/>
      </c>
      <c r="M574" s="366" t="str">
        <f t="shared" si="131"/>
        <v/>
      </c>
      <c r="N574" s="328" t="str">
        <f t="shared" si="137"/>
        <v/>
      </c>
      <c r="O574" s="313" t="str">
        <f t="shared" si="138"/>
        <v/>
      </c>
      <c r="P574" s="307"/>
      <c r="Q574" s="309">
        <f t="shared" si="132"/>
        <v>0.8</v>
      </c>
      <c r="R574" s="307"/>
      <c r="S574" s="314">
        <f t="shared" si="133"/>
        <v>10</v>
      </c>
      <c r="T574" s="304" t="str">
        <f t="shared" si="128"/>
        <v/>
      </c>
      <c r="U574" s="304" t="str">
        <f>IF(A574=YTD!B$6,E574,IF(OR(A574&lt;YTD!B$6,A574&gt;YTD!B$10),"",U573+E574))</f>
        <v/>
      </c>
      <c r="V574" s="304" t="str">
        <f t="shared" si="134"/>
        <v/>
      </c>
      <c r="W574" s="315" t="e">
        <f>IF(I574="",#N/A,YTD!G$8-I574)</f>
        <v>#N/A</v>
      </c>
      <c r="X574" s="368">
        <f t="shared" si="129"/>
        <v>0</v>
      </c>
      <c r="Y574" s="368">
        <f t="shared" si="135"/>
        <v>6</v>
      </c>
      <c r="Z574" s="368" t="str">
        <f t="shared" si="136"/>
        <v/>
      </c>
      <c r="AA574" s="371"/>
      <c r="AB574" s="372"/>
      <c r="AC574" s="373"/>
      <c r="AD574" s="373"/>
      <c r="AE574" s="373"/>
      <c r="AF574" s="371"/>
      <c r="AG574" s="373"/>
      <c r="AH574" s="2"/>
      <c r="AI574" s="2"/>
      <c r="AJ574" s="2"/>
    </row>
    <row r="575" spans="1:36" x14ac:dyDescent="0.2">
      <c r="A575" s="306">
        <f>Crop!B608</f>
        <v>42199</v>
      </c>
      <c r="B575" s="307"/>
      <c r="C575" s="308"/>
      <c r="D575" s="304" t="str">
        <f>IF(OR($A575&lt;$A$3,$A575&gt;$A$7),"",Crop!$D608)</f>
        <v/>
      </c>
      <c r="E575" s="304" t="str">
        <f t="shared" si="124"/>
        <v/>
      </c>
      <c r="F575" s="304" t="str">
        <f>IF(OR(A575&lt;A$3,A575&gt;A$7),"",Crop!U608)</f>
        <v/>
      </c>
      <c r="G575" s="304" t="str">
        <f t="shared" si="125"/>
        <v/>
      </c>
      <c r="H575" s="309" t="str">
        <f>IF(OR(A575&lt;A$3,A575&gt;A$7),"",YTD!E572)</f>
        <v/>
      </c>
      <c r="I575" s="310" t="str">
        <f t="shared" si="126"/>
        <v/>
      </c>
      <c r="J575" s="311"/>
      <c r="K575" s="309" t="str">
        <f t="shared" si="127"/>
        <v/>
      </c>
      <c r="L575" s="312" t="str">
        <f t="shared" si="130"/>
        <v/>
      </c>
      <c r="M575" s="366" t="str">
        <f t="shared" si="131"/>
        <v/>
      </c>
      <c r="N575" s="328" t="str">
        <f t="shared" si="137"/>
        <v/>
      </c>
      <c r="O575" s="313" t="str">
        <f t="shared" si="138"/>
        <v/>
      </c>
      <c r="P575" s="307"/>
      <c r="Q575" s="309">
        <f t="shared" si="132"/>
        <v>0.8</v>
      </c>
      <c r="R575" s="307"/>
      <c r="S575" s="314">
        <f t="shared" si="133"/>
        <v>10</v>
      </c>
      <c r="T575" s="304" t="str">
        <f t="shared" si="128"/>
        <v/>
      </c>
      <c r="U575" s="304" t="str">
        <f>IF(A575=YTD!B$6,E575,IF(OR(A575&lt;YTD!B$6,A575&gt;YTD!B$10),"",U574+E575))</f>
        <v/>
      </c>
      <c r="V575" s="304" t="str">
        <f t="shared" si="134"/>
        <v/>
      </c>
      <c r="W575" s="315" t="e">
        <f>IF(I575="",#N/A,YTD!G$8-I575)</f>
        <v>#N/A</v>
      </c>
      <c r="X575" s="368">
        <f t="shared" si="129"/>
        <v>0</v>
      </c>
      <c r="Y575" s="368">
        <f t="shared" si="135"/>
        <v>6</v>
      </c>
      <c r="Z575" s="368" t="str">
        <f t="shared" si="136"/>
        <v/>
      </c>
      <c r="AA575" s="371"/>
      <c r="AB575" s="372"/>
      <c r="AC575" s="373"/>
      <c r="AD575" s="373"/>
      <c r="AE575" s="373"/>
      <c r="AF575" s="371"/>
      <c r="AG575" s="373"/>
      <c r="AH575" s="2"/>
      <c r="AI575" s="2"/>
      <c r="AJ575" s="2"/>
    </row>
    <row r="576" spans="1:36" x14ac:dyDescent="0.2">
      <c r="A576" s="306">
        <f>Crop!B609</f>
        <v>42200</v>
      </c>
      <c r="B576" s="307"/>
      <c r="C576" s="308"/>
      <c r="D576" s="304" t="str">
        <f>IF(OR($A576&lt;$A$3,$A576&gt;$A$7),"",Crop!$D609)</f>
        <v/>
      </c>
      <c r="E576" s="304" t="str">
        <f t="shared" si="124"/>
        <v/>
      </c>
      <c r="F576" s="304" t="str">
        <f>IF(OR(A576&lt;A$3,A576&gt;A$7),"",Crop!U609)</f>
        <v/>
      </c>
      <c r="G576" s="304" t="str">
        <f t="shared" si="125"/>
        <v/>
      </c>
      <c r="H576" s="309" t="str">
        <f>IF(OR(A576&lt;A$3,A576&gt;A$7),"",YTD!E573)</f>
        <v/>
      </c>
      <c r="I576" s="310" t="str">
        <f t="shared" si="126"/>
        <v/>
      </c>
      <c r="J576" s="311"/>
      <c r="K576" s="309" t="str">
        <f t="shared" si="127"/>
        <v/>
      </c>
      <c r="L576" s="312" t="str">
        <f t="shared" si="130"/>
        <v/>
      </c>
      <c r="M576" s="366" t="str">
        <f t="shared" si="131"/>
        <v/>
      </c>
      <c r="N576" s="328" t="str">
        <f t="shared" si="137"/>
        <v/>
      </c>
      <c r="O576" s="313" t="str">
        <f t="shared" si="138"/>
        <v/>
      </c>
      <c r="P576" s="307"/>
      <c r="Q576" s="309">
        <f t="shared" si="132"/>
        <v>0.8</v>
      </c>
      <c r="R576" s="307"/>
      <c r="S576" s="314">
        <f t="shared" si="133"/>
        <v>10</v>
      </c>
      <c r="T576" s="304" t="str">
        <f t="shared" si="128"/>
        <v/>
      </c>
      <c r="U576" s="304" t="str">
        <f>IF(A576=YTD!B$6,E576,IF(OR(A576&lt;YTD!B$6,A576&gt;YTD!B$10),"",U575+E576))</f>
        <v/>
      </c>
      <c r="V576" s="304" t="str">
        <f t="shared" si="134"/>
        <v/>
      </c>
      <c r="W576" s="315" t="e">
        <f>IF(I576="",#N/A,YTD!G$8-I576)</f>
        <v>#N/A</v>
      </c>
      <c r="X576" s="368">
        <f t="shared" si="129"/>
        <v>0</v>
      </c>
      <c r="Y576" s="368">
        <f t="shared" si="135"/>
        <v>6</v>
      </c>
      <c r="Z576" s="368" t="str">
        <f t="shared" si="136"/>
        <v/>
      </c>
      <c r="AA576" s="371"/>
      <c r="AB576" s="372"/>
      <c r="AC576" s="373"/>
      <c r="AD576" s="373"/>
      <c r="AE576" s="373"/>
      <c r="AF576" s="371"/>
      <c r="AG576" s="373"/>
      <c r="AH576" s="2"/>
      <c r="AI576" s="2"/>
      <c r="AJ576" s="2"/>
    </row>
    <row r="577" spans="1:36" x14ac:dyDescent="0.2">
      <c r="A577" s="306">
        <f>Crop!B610</f>
        <v>42201</v>
      </c>
      <c r="B577" s="307"/>
      <c r="C577" s="308"/>
      <c r="D577" s="304" t="str">
        <f>IF(OR($A577&lt;$A$3,$A577&gt;$A$7),"",Crop!$D610)</f>
        <v/>
      </c>
      <c r="E577" s="304" t="str">
        <f t="shared" si="124"/>
        <v/>
      </c>
      <c r="F577" s="304" t="str">
        <f>IF(OR(A577&lt;A$3,A577&gt;A$7),"",Crop!U610)</f>
        <v/>
      </c>
      <c r="G577" s="304" t="str">
        <f t="shared" si="125"/>
        <v/>
      </c>
      <c r="H577" s="309" t="str">
        <f>IF(OR(A577&lt;A$3,A577&gt;A$7),"",YTD!E574)</f>
        <v/>
      </c>
      <c r="I577" s="310" t="str">
        <f t="shared" si="126"/>
        <v/>
      </c>
      <c r="J577" s="311"/>
      <c r="K577" s="309" t="str">
        <f t="shared" si="127"/>
        <v/>
      </c>
      <c r="L577" s="312" t="str">
        <f t="shared" si="130"/>
        <v/>
      </c>
      <c r="M577" s="366" t="str">
        <f t="shared" si="131"/>
        <v/>
      </c>
      <c r="N577" s="328" t="str">
        <f t="shared" si="137"/>
        <v/>
      </c>
      <c r="O577" s="313" t="str">
        <f t="shared" si="138"/>
        <v/>
      </c>
      <c r="P577" s="307"/>
      <c r="Q577" s="309">
        <f t="shared" si="132"/>
        <v>0.8</v>
      </c>
      <c r="R577" s="307"/>
      <c r="S577" s="314">
        <f t="shared" si="133"/>
        <v>10</v>
      </c>
      <c r="T577" s="304" t="str">
        <f t="shared" si="128"/>
        <v/>
      </c>
      <c r="U577" s="304" t="str">
        <f>IF(A577=YTD!B$6,E577,IF(OR(A577&lt;YTD!B$6,A577&gt;YTD!B$10),"",U576+E577))</f>
        <v/>
      </c>
      <c r="V577" s="304" t="str">
        <f t="shared" si="134"/>
        <v/>
      </c>
      <c r="W577" s="315" t="e">
        <f>IF(I577="",#N/A,YTD!G$8-I577)</f>
        <v>#N/A</v>
      </c>
      <c r="X577" s="368">
        <f t="shared" si="129"/>
        <v>0</v>
      </c>
      <c r="Y577" s="368">
        <f t="shared" si="135"/>
        <v>6</v>
      </c>
      <c r="Z577" s="368" t="str">
        <f t="shared" si="136"/>
        <v/>
      </c>
      <c r="AA577" s="371"/>
      <c r="AB577" s="372"/>
      <c r="AC577" s="373"/>
      <c r="AD577" s="373"/>
      <c r="AE577" s="373"/>
      <c r="AF577" s="371"/>
      <c r="AG577" s="373"/>
      <c r="AH577" s="2"/>
      <c r="AI577" s="2"/>
      <c r="AJ577" s="2"/>
    </row>
    <row r="578" spans="1:36" x14ac:dyDescent="0.2">
      <c r="A578" s="306">
        <f>Crop!B611</f>
        <v>42202</v>
      </c>
      <c r="B578" s="307"/>
      <c r="C578" s="308"/>
      <c r="D578" s="304" t="str">
        <f>IF(OR($A578&lt;$A$3,$A578&gt;$A$7),"",Crop!$D611)</f>
        <v/>
      </c>
      <c r="E578" s="304" t="str">
        <f t="shared" si="124"/>
        <v/>
      </c>
      <c r="F578" s="304" t="str">
        <f>IF(OR(A578&lt;A$3,A578&gt;A$7),"",Crop!U611)</f>
        <v/>
      </c>
      <c r="G578" s="304" t="str">
        <f t="shared" si="125"/>
        <v/>
      </c>
      <c r="H578" s="309" t="str">
        <f>IF(OR(A578&lt;A$3,A578&gt;A$7),"",YTD!E575)</f>
        <v/>
      </c>
      <c r="I578" s="310" t="str">
        <f t="shared" si="126"/>
        <v/>
      </c>
      <c r="J578" s="311"/>
      <c r="K578" s="309" t="str">
        <f t="shared" si="127"/>
        <v/>
      </c>
      <c r="L578" s="312" t="str">
        <f t="shared" si="130"/>
        <v/>
      </c>
      <c r="M578" s="366" t="str">
        <f t="shared" si="131"/>
        <v/>
      </c>
      <c r="N578" s="328" t="str">
        <f t="shared" si="137"/>
        <v/>
      </c>
      <c r="O578" s="313" t="str">
        <f t="shared" si="138"/>
        <v/>
      </c>
      <c r="P578" s="307"/>
      <c r="Q578" s="309">
        <f t="shared" si="132"/>
        <v>0.8</v>
      </c>
      <c r="R578" s="307"/>
      <c r="S578" s="314">
        <f t="shared" si="133"/>
        <v>10</v>
      </c>
      <c r="T578" s="304" t="str">
        <f t="shared" si="128"/>
        <v/>
      </c>
      <c r="U578" s="304" t="str">
        <f>IF(A578=YTD!B$6,E578,IF(OR(A578&lt;YTD!B$6,A578&gt;YTD!B$10),"",U577+E578))</f>
        <v/>
      </c>
      <c r="V578" s="304" t="str">
        <f t="shared" si="134"/>
        <v/>
      </c>
      <c r="W578" s="315" t="e">
        <f>IF(I578="",#N/A,YTD!G$8-I578)</f>
        <v>#N/A</v>
      </c>
      <c r="X578" s="368">
        <f t="shared" si="129"/>
        <v>0</v>
      </c>
      <c r="Y578" s="368">
        <f t="shared" si="135"/>
        <v>6</v>
      </c>
      <c r="Z578" s="368" t="str">
        <f t="shared" si="136"/>
        <v/>
      </c>
      <c r="AA578" s="371"/>
      <c r="AB578" s="372"/>
      <c r="AC578" s="373"/>
      <c r="AD578" s="373"/>
      <c r="AE578" s="373"/>
      <c r="AF578" s="371"/>
      <c r="AG578" s="373"/>
      <c r="AH578" s="2"/>
      <c r="AI578" s="2"/>
      <c r="AJ578" s="2"/>
    </row>
    <row r="579" spans="1:36" x14ac:dyDescent="0.2">
      <c r="A579" s="306">
        <f>Crop!B612</f>
        <v>42203</v>
      </c>
      <c r="B579" s="307"/>
      <c r="C579" s="308"/>
      <c r="D579" s="304" t="str">
        <f>IF(OR($A579&lt;$A$3,$A579&gt;$A$7),"",Crop!$D612)</f>
        <v/>
      </c>
      <c r="E579" s="304" t="str">
        <f t="shared" si="124"/>
        <v/>
      </c>
      <c r="F579" s="304" t="str">
        <f>IF(OR(A579&lt;A$3,A579&gt;A$7),"",Crop!U612)</f>
        <v/>
      </c>
      <c r="G579" s="304" t="str">
        <f t="shared" si="125"/>
        <v/>
      </c>
      <c r="H579" s="309" t="str">
        <f>IF(OR(A579&lt;A$3,A579&gt;A$7),"",YTD!E576)</f>
        <v/>
      </c>
      <c r="I579" s="310" t="str">
        <f t="shared" si="126"/>
        <v/>
      </c>
      <c r="J579" s="311"/>
      <c r="K579" s="309" t="str">
        <f t="shared" si="127"/>
        <v/>
      </c>
      <c r="L579" s="312" t="str">
        <f t="shared" si="130"/>
        <v/>
      </c>
      <c r="M579" s="366" t="str">
        <f t="shared" si="131"/>
        <v/>
      </c>
      <c r="N579" s="328" t="str">
        <f t="shared" si="137"/>
        <v/>
      </c>
      <c r="O579" s="313" t="str">
        <f t="shared" si="138"/>
        <v/>
      </c>
      <c r="P579" s="307"/>
      <c r="Q579" s="309">
        <f t="shared" si="132"/>
        <v>0.8</v>
      </c>
      <c r="R579" s="307"/>
      <c r="S579" s="314">
        <f t="shared" si="133"/>
        <v>10</v>
      </c>
      <c r="T579" s="304" t="str">
        <f t="shared" si="128"/>
        <v/>
      </c>
      <c r="U579" s="304" t="str">
        <f>IF(A579=YTD!B$6,E579,IF(OR(A579&lt;YTD!B$6,A579&gt;YTD!B$10),"",U578+E579))</f>
        <v/>
      </c>
      <c r="V579" s="304" t="str">
        <f t="shared" si="134"/>
        <v/>
      </c>
      <c r="W579" s="315" t="e">
        <f>IF(I579="",#N/A,YTD!G$8-I579)</f>
        <v>#N/A</v>
      </c>
      <c r="X579" s="368">
        <f t="shared" si="129"/>
        <v>0</v>
      </c>
      <c r="Y579" s="368">
        <f t="shared" si="135"/>
        <v>6</v>
      </c>
      <c r="Z579" s="368" t="str">
        <f t="shared" si="136"/>
        <v/>
      </c>
      <c r="AA579" s="371"/>
      <c r="AB579" s="372"/>
      <c r="AC579" s="373"/>
      <c r="AD579" s="373"/>
      <c r="AE579" s="373"/>
      <c r="AF579" s="371"/>
      <c r="AG579" s="373"/>
      <c r="AH579" s="2"/>
      <c r="AI579" s="2"/>
      <c r="AJ579" s="2"/>
    </row>
    <row r="580" spans="1:36" x14ac:dyDescent="0.2">
      <c r="A580" s="306">
        <f>Crop!B613</f>
        <v>42204</v>
      </c>
      <c r="B580" s="307"/>
      <c r="C580" s="308"/>
      <c r="D580" s="304" t="str">
        <f>IF(OR($A580&lt;$A$3,$A580&gt;$A$7),"",Crop!$D613)</f>
        <v/>
      </c>
      <c r="E580" s="304" t="str">
        <f t="shared" si="124"/>
        <v/>
      </c>
      <c r="F580" s="304" t="str">
        <f>IF(OR(A580&lt;A$3,A580&gt;A$7),"",Crop!U613)</f>
        <v/>
      </c>
      <c r="G580" s="304" t="str">
        <f t="shared" si="125"/>
        <v/>
      </c>
      <c r="H580" s="309" t="str">
        <f>IF(OR(A580&lt;A$3,A580&gt;A$7),"",YTD!E577)</f>
        <v/>
      </c>
      <c r="I580" s="310" t="str">
        <f t="shared" si="126"/>
        <v/>
      </c>
      <c r="J580" s="311"/>
      <c r="K580" s="309" t="str">
        <f t="shared" si="127"/>
        <v/>
      </c>
      <c r="L580" s="312" t="str">
        <f t="shared" si="130"/>
        <v/>
      </c>
      <c r="M580" s="366" t="str">
        <f t="shared" si="131"/>
        <v/>
      </c>
      <c r="N580" s="328" t="str">
        <f t="shared" si="137"/>
        <v/>
      </c>
      <c r="O580" s="313" t="str">
        <f t="shared" si="138"/>
        <v/>
      </c>
      <c r="P580" s="307"/>
      <c r="Q580" s="309">
        <f t="shared" si="132"/>
        <v>0.8</v>
      </c>
      <c r="R580" s="307"/>
      <c r="S580" s="314">
        <f t="shared" si="133"/>
        <v>10</v>
      </c>
      <c r="T580" s="304" t="str">
        <f t="shared" si="128"/>
        <v/>
      </c>
      <c r="U580" s="304" t="str">
        <f>IF(A580=YTD!B$6,E580,IF(OR(A580&lt;YTD!B$6,A580&gt;YTD!B$10),"",U579+E580))</f>
        <v/>
      </c>
      <c r="V580" s="304" t="str">
        <f t="shared" si="134"/>
        <v/>
      </c>
      <c r="W580" s="315" t="e">
        <f>IF(I580="",#N/A,YTD!G$8-I580)</f>
        <v>#N/A</v>
      </c>
      <c r="X580" s="368">
        <f t="shared" si="129"/>
        <v>0</v>
      </c>
      <c r="Y580" s="368">
        <f t="shared" si="135"/>
        <v>6</v>
      </c>
      <c r="Z580" s="368" t="str">
        <f t="shared" si="136"/>
        <v/>
      </c>
      <c r="AA580" s="371"/>
      <c r="AB580" s="372"/>
      <c r="AC580" s="373"/>
      <c r="AD580" s="373"/>
      <c r="AE580" s="373"/>
      <c r="AF580" s="371"/>
      <c r="AG580" s="373"/>
      <c r="AH580" s="2"/>
      <c r="AI580" s="2"/>
      <c r="AJ580" s="2"/>
    </row>
    <row r="581" spans="1:36" x14ac:dyDescent="0.2">
      <c r="A581" s="306">
        <f>Crop!B614</f>
        <v>42205</v>
      </c>
      <c r="B581" s="307"/>
      <c r="C581" s="308"/>
      <c r="D581" s="304" t="str">
        <f>IF(OR($A581&lt;$A$3,$A581&gt;$A$7),"",Crop!$D614)</f>
        <v/>
      </c>
      <c r="E581" s="304" t="str">
        <f t="shared" si="124"/>
        <v/>
      </c>
      <c r="F581" s="304" t="str">
        <f>IF(OR(A581&lt;A$3,A581&gt;A$7),"",Crop!U614)</f>
        <v/>
      </c>
      <c r="G581" s="304" t="str">
        <f t="shared" si="125"/>
        <v/>
      </c>
      <c r="H581" s="309" t="str">
        <f>IF(OR(A581&lt;A$3,A581&gt;A$7),"",YTD!E578)</f>
        <v/>
      </c>
      <c r="I581" s="310" t="str">
        <f t="shared" si="126"/>
        <v/>
      </c>
      <c r="J581" s="311"/>
      <c r="K581" s="309" t="str">
        <f t="shared" si="127"/>
        <v/>
      </c>
      <c r="L581" s="312" t="str">
        <f t="shared" si="130"/>
        <v/>
      </c>
      <c r="M581" s="366" t="str">
        <f t="shared" si="131"/>
        <v/>
      </c>
      <c r="N581" s="328" t="str">
        <f t="shared" si="137"/>
        <v/>
      </c>
      <c r="O581" s="313" t="str">
        <f t="shared" si="138"/>
        <v/>
      </c>
      <c r="P581" s="307"/>
      <c r="Q581" s="309">
        <f t="shared" si="132"/>
        <v>0.8</v>
      </c>
      <c r="R581" s="307"/>
      <c r="S581" s="314">
        <f t="shared" si="133"/>
        <v>10</v>
      </c>
      <c r="T581" s="304" t="str">
        <f t="shared" si="128"/>
        <v/>
      </c>
      <c r="U581" s="304" t="str">
        <f>IF(A581=YTD!B$6,E581,IF(OR(A581&lt;YTD!B$6,A581&gt;YTD!B$10),"",U580+E581))</f>
        <v/>
      </c>
      <c r="V581" s="304" t="str">
        <f t="shared" si="134"/>
        <v/>
      </c>
      <c r="W581" s="315" t="e">
        <f>IF(I581="",#N/A,YTD!G$8-I581)</f>
        <v>#N/A</v>
      </c>
      <c r="X581" s="368">
        <f t="shared" si="129"/>
        <v>0</v>
      </c>
      <c r="Y581" s="368">
        <f t="shared" si="135"/>
        <v>6</v>
      </c>
      <c r="Z581" s="368" t="str">
        <f t="shared" si="136"/>
        <v/>
      </c>
      <c r="AA581" s="371"/>
      <c r="AB581" s="372"/>
      <c r="AC581" s="373"/>
      <c r="AD581" s="373"/>
      <c r="AE581" s="373"/>
      <c r="AF581" s="371"/>
      <c r="AG581" s="373"/>
      <c r="AH581" s="2"/>
      <c r="AI581" s="2"/>
      <c r="AJ581" s="2"/>
    </row>
    <row r="582" spans="1:36" x14ac:dyDescent="0.2">
      <c r="A582" s="306">
        <f>Crop!B615</f>
        <v>42206</v>
      </c>
      <c r="B582" s="307"/>
      <c r="C582" s="308"/>
      <c r="D582" s="304" t="str">
        <f>IF(OR($A582&lt;$A$3,$A582&gt;$A$7),"",Crop!$D615)</f>
        <v/>
      </c>
      <c r="E582" s="304" t="str">
        <f t="shared" si="124"/>
        <v/>
      </c>
      <c r="F582" s="304" t="str">
        <f>IF(OR(A582&lt;A$3,A582&gt;A$7),"",Crop!U615)</f>
        <v/>
      </c>
      <c r="G582" s="304" t="str">
        <f t="shared" si="125"/>
        <v/>
      </c>
      <c r="H582" s="309" t="str">
        <f>IF(OR(A582&lt;A$3,A582&gt;A$7),"",YTD!E579)</f>
        <v/>
      </c>
      <c r="I582" s="310" t="str">
        <f t="shared" si="126"/>
        <v/>
      </c>
      <c r="J582" s="311"/>
      <c r="K582" s="309" t="str">
        <f t="shared" si="127"/>
        <v/>
      </c>
      <c r="L582" s="312" t="str">
        <f t="shared" si="130"/>
        <v/>
      </c>
      <c r="M582" s="366" t="str">
        <f t="shared" si="131"/>
        <v/>
      </c>
      <c r="N582" s="328" t="str">
        <f t="shared" si="137"/>
        <v/>
      </c>
      <c r="O582" s="313" t="str">
        <f t="shared" si="138"/>
        <v/>
      </c>
      <c r="P582" s="307"/>
      <c r="Q582" s="309">
        <f t="shared" si="132"/>
        <v>0.8</v>
      </c>
      <c r="R582" s="307"/>
      <c r="S582" s="314">
        <f t="shared" si="133"/>
        <v>10</v>
      </c>
      <c r="T582" s="304" t="str">
        <f t="shared" si="128"/>
        <v/>
      </c>
      <c r="U582" s="304" t="str">
        <f>IF(A582=YTD!B$6,E582,IF(OR(A582&lt;YTD!B$6,A582&gt;YTD!B$10),"",U581+E582))</f>
        <v/>
      </c>
      <c r="V582" s="304" t="str">
        <f t="shared" si="134"/>
        <v/>
      </c>
      <c r="W582" s="315" t="e">
        <f>IF(I582="",#N/A,YTD!G$8-I582)</f>
        <v>#N/A</v>
      </c>
      <c r="X582" s="368">
        <f t="shared" si="129"/>
        <v>0</v>
      </c>
      <c r="Y582" s="368">
        <f t="shared" si="135"/>
        <v>6</v>
      </c>
      <c r="Z582" s="368" t="str">
        <f t="shared" si="136"/>
        <v/>
      </c>
      <c r="AA582" s="371"/>
      <c r="AB582" s="372"/>
      <c r="AC582" s="373"/>
      <c r="AD582" s="373"/>
      <c r="AE582" s="373"/>
      <c r="AF582" s="371"/>
      <c r="AG582" s="373"/>
      <c r="AH582" s="2"/>
      <c r="AI582" s="2"/>
      <c r="AJ582" s="2"/>
    </row>
    <row r="583" spans="1:36" x14ac:dyDescent="0.2">
      <c r="A583" s="306">
        <f>Crop!B616</f>
        <v>42207</v>
      </c>
      <c r="B583" s="307"/>
      <c r="C583" s="308"/>
      <c r="D583" s="304" t="str">
        <f>IF(OR($A583&lt;$A$3,$A583&gt;$A$7),"",Crop!$D616)</f>
        <v/>
      </c>
      <c r="E583" s="304" t="str">
        <f t="shared" si="124"/>
        <v/>
      </c>
      <c r="F583" s="304" t="str">
        <f>IF(OR(A583&lt;A$3,A583&gt;A$7),"",Crop!U616)</f>
        <v/>
      </c>
      <c r="G583" s="304" t="str">
        <f t="shared" si="125"/>
        <v/>
      </c>
      <c r="H583" s="309" t="str">
        <f>IF(OR(A583&lt;A$3,A583&gt;A$7),"",YTD!E580)</f>
        <v/>
      </c>
      <c r="I583" s="310" t="str">
        <f t="shared" si="126"/>
        <v/>
      </c>
      <c r="J583" s="311"/>
      <c r="K583" s="309" t="str">
        <f t="shared" si="127"/>
        <v/>
      </c>
      <c r="L583" s="312" t="str">
        <f t="shared" si="130"/>
        <v/>
      </c>
      <c r="M583" s="366" t="str">
        <f t="shared" si="131"/>
        <v/>
      </c>
      <c r="N583" s="328" t="str">
        <f t="shared" si="137"/>
        <v/>
      </c>
      <c r="O583" s="313" t="str">
        <f t="shared" si="138"/>
        <v/>
      </c>
      <c r="P583" s="307"/>
      <c r="Q583" s="309">
        <f t="shared" si="132"/>
        <v>0.8</v>
      </c>
      <c r="R583" s="307"/>
      <c r="S583" s="314">
        <f t="shared" si="133"/>
        <v>10</v>
      </c>
      <c r="T583" s="304" t="str">
        <f t="shared" si="128"/>
        <v/>
      </c>
      <c r="U583" s="304" t="str">
        <f>IF(A583=YTD!B$6,E583,IF(OR(A583&lt;YTD!B$6,A583&gt;YTD!B$10),"",U582+E583))</f>
        <v/>
      </c>
      <c r="V583" s="304" t="str">
        <f t="shared" si="134"/>
        <v/>
      </c>
      <c r="W583" s="315" t="e">
        <f>IF(I583="",#N/A,YTD!G$8-I583)</f>
        <v>#N/A</v>
      </c>
      <c r="X583" s="368">
        <f t="shared" si="129"/>
        <v>0</v>
      </c>
      <c r="Y583" s="368">
        <f t="shared" si="135"/>
        <v>6</v>
      </c>
      <c r="Z583" s="368" t="str">
        <f t="shared" si="136"/>
        <v/>
      </c>
      <c r="AA583" s="371"/>
      <c r="AB583" s="372"/>
      <c r="AC583" s="373"/>
      <c r="AD583" s="373"/>
      <c r="AE583" s="373"/>
      <c r="AF583" s="371"/>
      <c r="AG583" s="373"/>
      <c r="AH583" s="2"/>
      <c r="AI583" s="2"/>
      <c r="AJ583" s="2"/>
    </row>
    <row r="584" spans="1:36" x14ac:dyDescent="0.2">
      <c r="A584" s="306">
        <f>Crop!B617</f>
        <v>42208</v>
      </c>
      <c r="B584" s="307"/>
      <c r="C584" s="308"/>
      <c r="D584" s="304" t="str">
        <f>IF(OR($A584&lt;$A$3,$A584&gt;$A$7),"",Crop!$D617)</f>
        <v/>
      </c>
      <c r="E584" s="304" t="str">
        <f t="shared" si="124"/>
        <v/>
      </c>
      <c r="F584" s="304" t="str">
        <f>IF(OR(A584&lt;A$3,A584&gt;A$7),"",Crop!U617)</f>
        <v/>
      </c>
      <c r="G584" s="304" t="str">
        <f t="shared" si="125"/>
        <v/>
      </c>
      <c r="H584" s="309" t="str">
        <f>IF(OR(A584&lt;A$3,A584&gt;A$7),"",YTD!E581)</f>
        <v/>
      </c>
      <c r="I584" s="310" t="str">
        <f t="shared" si="126"/>
        <v/>
      </c>
      <c r="J584" s="311"/>
      <c r="K584" s="309" t="str">
        <f t="shared" si="127"/>
        <v/>
      </c>
      <c r="L584" s="312" t="str">
        <f t="shared" si="130"/>
        <v/>
      </c>
      <c r="M584" s="366" t="str">
        <f t="shared" si="131"/>
        <v/>
      </c>
      <c r="N584" s="328" t="str">
        <f t="shared" si="137"/>
        <v/>
      </c>
      <c r="O584" s="313" t="str">
        <f t="shared" si="138"/>
        <v/>
      </c>
      <c r="P584" s="307"/>
      <c r="Q584" s="309">
        <f t="shared" si="132"/>
        <v>0.8</v>
      </c>
      <c r="R584" s="307"/>
      <c r="S584" s="314">
        <f t="shared" si="133"/>
        <v>10</v>
      </c>
      <c r="T584" s="304" t="str">
        <f t="shared" si="128"/>
        <v/>
      </c>
      <c r="U584" s="304" t="str">
        <f>IF(A584=YTD!B$6,E584,IF(OR(A584&lt;YTD!B$6,A584&gt;YTD!B$10),"",U583+E584))</f>
        <v/>
      </c>
      <c r="V584" s="304" t="str">
        <f t="shared" si="134"/>
        <v/>
      </c>
      <c r="W584" s="315" t="e">
        <f>IF(I584="",#N/A,YTD!G$8-I584)</f>
        <v>#N/A</v>
      </c>
      <c r="X584" s="368">
        <f t="shared" si="129"/>
        <v>0</v>
      </c>
      <c r="Y584" s="368">
        <f t="shared" si="135"/>
        <v>6</v>
      </c>
      <c r="Z584" s="368" t="str">
        <f t="shared" si="136"/>
        <v/>
      </c>
      <c r="AA584" s="371"/>
      <c r="AB584" s="372"/>
      <c r="AC584" s="373"/>
      <c r="AD584" s="373"/>
      <c r="AE584" s="373"/>
      <c r="AF584" s="371"/>
      <c r="AG584" s="373"/>
      <c r="AH584" s="2"/>
      <c r="AI584" s="2"/>
      <c r="AJ584" s="2"/>
    </row>
    <row r="585" spans="1:36" x14ac:dyDescent="0.2">
      <c r="A585" s="306">
        <f>Crop!B618</f>
        <v>42209</v>
      </c>
      <c r="B585" s="307"/>
      <c r="C585" s="308"/>
      <c r="D585" s="304" t="str">
        <f>IF(OR($A585&lt;$A$3,$A585&gt;$A$7),"",Crop!$D618)</f>
        <v/>
      </c>
      <c r="E585" s="304" t="str">
        <f t="shared" si="124"/>
        <v/>
      </c>
      <c r="F585" s="304" t="str">
        <f>IF(OR(A585&lt;A$3,A585&gt;A$7),"",Crop!U618)</f>
        <v/>
      </c>
      <c r="G585" s="304" t="str">
        <f t="shared" si="125"/>
        <v/>
      </c>
      <c r="H585" s="309" t="str">
        <f>IF(OR(A585&lt;A$3,A585&gt;A$7),"",YTD!E582)</f>
        <v/>
      </c>
      <c r="I585" s="310" t="str">
        <f t="shared" si="126"/>
        <v/>
      </c>
      <c r="J585" s="311"/>
      <c r="K585" s="309" t="str">
        <f t="shared" si="127"/>
        <v/>
      </c>
      <c r="L585" s="312" t="str">
        <f t="shared" si="130"/>
        <v/>
      </c>
      <c r="M585" s="366" t="str">
        <f t="shared" si="131"/>
        <v/>
      </c>
      <c r="N585" s="328" t="str">
        <f t="shared" si="137"/>
        <v/>
      </c>
      <c r="O585" s="313" t="str">
        <f t="shared" si="138"/>
        <v/>
      </c>
      <c r="P585" s="307"/>
      <c r="Q585" s="309">
        <f t="shared" si="132"/>
        <v>0.8</v>
      </c>
      <c r="R585" s="307"/>
      <c r="S585" s="314">
        <f t="shared" si="133"/>
        <v>10</v>
      </c>
      <c r="T585" s="304" t="str">
        <f t="shared" si="128"/>
        <v/>
      </c>
      <c r="U585" s="304" t="str">
        <f>IF(A585=YTD!B$6,E585,IF(OR(A585&lt;YTD!B$6,A585&gt;YTD!B$10),"",U584+E585))</f>
        <v/>
      </c>
      <c r="V585" s="304" t="str">
        <f t="shared" si="134"/>
        <v/>
      </c>
      <c r="W585" s="315" t="e">
        <f>IF(I585="",#N/A,YTD!G$8-I585)</f>
        <v>#N/A</v>
      </c>
      <c r="X585" s="368">
        <f t="shared" si="129"/>
        <v>0</v>
      </c>
      <c r="Y585" s="368">
        <f t="shared" si="135"/>
        <v>6</v>
      </c>
      <c r="Z585" s="368" t="str">
        <f t="shared" si="136"/>
        <v/>
      </c>
      <c r="AA585" s="371"/>
      <c r="AB585" s="372"/>
      <c r="AC585" s="373"/>
      <c r="AD585" s="373"/>
      <c r="AE585" s="373"/>
      <c r="AF585" s="371"/>
      <c r="AG585" s="373"/>
      <c r="AH585" s="2"/>
      <c r="AI585" s="2"/>
      <c r="AJ585" s="2"/>
    </row>
    <row r="586" spans="1:36" x14ac:dyDescent="0.2">
      <c r="A586" s="306">
        <f>Crop!B619</f>
        <v>42210</v>
      </c>
      <c r="B586" s="307"/>
      <c r="C586" s="308"/>
      <c r="D586" s="304" t="str">
        <f>IF(OR($A586&lt;$A$3,$A586&gt;$A$7),"",Crop!$D619)</f>
        <v/>
      </c>
      <c r="E586" s="304" t="str">
        <f t="shared" si="124"/>
        <v/>
      </c>
      <c r="F586" s="304" t="str">
        <f>IF(OR(A586&lt;A$3,A586&gt;A$7),"",Crop!U619)</f>
        <v/>
      </c>
      <c r="G586" s="304" t="str">
        <f t="shared" si="125"/>
        <v/>
      </c>
      <c r="H586" s="309" t="str">
        <f>IF(OR(A586&lt;A$3,A586&gt;A$7),"",YTD!E583)</f>
        <v/>
      </c>
      <c r="I586" s="310" t="str">
        <f t="shared" si="126"/>
        <v/>
      </c>
      <c r="J586" s="311"/>
      <c r="K586" s="309" t="str">
        <f t="shared" si="127"/>
        <v/>
      </c>
      <c r="L586" s="312" t="str">
        <f t="shared" si="130"/>
        <v/>
      </c>
      <c r="M586" s="366" t="str">
        <f t="shared" si="131"/>
        <v/>
      </c>
      <c r="N586" s="328" t="str">
        <f t="shared" si="137"/>
        <v/>
      </c>
      <c r="O586" s="313" t="str">
        <f t="shared" si="138"/>
        <v/>
      </c>
      <c r="P586" s="307"/>
      <c r="Q586" s="309">
        <f t="shared" si="132"/>
        <v>0.8</v>
      </c>
      <c r="R586" s="307"/>
      <c r="S586" s="314">
        <f t="shared" si="133"/>
        <v>10</v>
      </c>
      <c r="T586" s="304" t="str">
        <f t="shared" si="128"/>
        <v/>
      </c>
      <c r="U586" s="304" t="str">
        <f>IF(A586=YTD!B$6,E586,IF(OR(A586&lt;YTD!B$6,A586&gt;YTD!B$10),"",U585+E586))</f>
        <v/>
      </c>
      <c r="V586" s="304" t="str">
        <f t="shared" si="134"/>
        <v/>
      </c>
      <c r="W586" s="315" t="e">
        <f>IF(I586="",#N/A,YTD!G$8-I586)</f>
        <v>#N/A</v>
      </c>
      <c r="X586" s="368">
        <f t="shared" si="129"/>
        <v>0</v>
      </c>
      <c r="Y586" s="368">
        <f t="shared" si="135"/>
        <v>6</v>
      </c>
      <c r="Z586" s="368" t="str">
        <f t="shared" si="136"/>
        <v/>
      </c>
      <c r="AA586" s="371"/>
      <c r="AB586" s="372"/>
      <c r="AC586" s="373"/>
      <c r="AD586" s="373"/>
      <c r="AE586" s="373"/>
      <c r="AF586" s="371"/>
      <c r="AG586" s="373"/>
      <c r="AH586" s="2"/>
      <c r="AI586" s="2"/>
      <c r="AJ586" s="2"/>
    </row>
    <row r="587" spans="1:36" x14ac:dyDescent="0.2">
      <c r="A587" s="306">
        <f>Crop!B620</f>
        <v>42211</v>
      </c>
      <c r="B587" s="307"/>
      <c r="C587" s="308"/>
      <c r="D587" s="304" t="str">
        <f>IF(OR($A587&lt;$A$3,$A587&gt;$A$7),"",Crop!$D620)</f>
        <v/>
      </c>
      <c r="E587" s="304" t="str">
        <f t="shared" si="124"/>
        <v/>
      </c>
      <c r="F587" s="304" t="str">
        <f>IF(OR(A587&lt;A$3,A587&gt;A$7),"",Crop!U620)</f>
        <v/>
      </c>
      <c r="G587" s="304" t="str">
        <f t="shared" si="125"/>
        <v/>
      </c>
      <c r="H587" s="309" t="str">
        <f>IF(OR(A587&lt;A$3,A587&gt;A$7),"",YTD!E584)</f>
        <v/>
      </c>
      <c r="I587" s="310" t="str">
        <f t="shared" si="126"/>
        <v/>
      </c>
      <c r="J587" s="311"/>
      <c r="K587" s="309" t="str">
        <f t="shared" si="127"/>
        <v/>
      </c>
      <c r="L587" s="312" t="str">
        <f t="shared" si="130"/>
        <v/>
      </c>
      <c r="M587" s="366" t="str">
        <f t="shared" si="131"/>
        <v/>
      </c>
      <c r="N587" s="328" t="str">
        <f t="shared" si="137"/>
        <v/>
      </c>
      <c r="O587" s="313" t="str">
        <f t="shared" si="138"/>
        <v/>
      </c>
      <c r="P587" s="307"/>
      <c r="Q587" s="309">
        <f t="shared" si="132"/>
        <v>0.8</v>
      </c>
      <c r="R587" s="307"/>
      <c r="S587" s="314">
        <f t="shared" si="133"/>
        <v>10</v>
      </c>
      <c r="T587" s="304" t="str">
        <f t="shared" si="128"/>
        <v/>
      </c>
      <c r="U587" s="304" t="str">
        <f>IF(A587=YTD!B$6,E587,IF(OR(A587&lt;YTD!B$6,A587&gt;YTD!B$10),"",U586+E587))</f>
        <v/>
      </c>
      <c r="V587" s="304" t="str">
        <f t="shared" si="134"/>
        <v/>
      </c>
      <c r="W587" s="315" t="e">
        <f>IF(I587="",#N/A,YTD!G$8-I587)</f>
        <v>#N/A</v>
      </c>
      <c r="X587" s="368">
        <f t="shared" si="129"/>
        <v>0</v>
      </c>
      <c r="Y587" s="368">
        <f t="shared" si="135"/>
        <v>6</v>
      </c>
      <c r="Z587" s="368" t="str">
        <f t="shared" si="136"/>
        <v/>
      </c>
      <c r="AA587" s="371"/>
      <c r="AB587" s="372"/>
      <c r="AC587" s="373"/>
      <c r="AD587" s="373"/>
      <c r="AE587" s="373"/>
      <c r="AF587" s="371"/>
      <c r="AG587" s="373"/>
      <c r="AH587" s="2"/>
      <c r="AI587" s="2"/>
      <c r="AJ587" s="2"/>
    </row>
    <row r="588" spans="1:36" x14ac:dyDescent="0.2">
      <c r="A588" s="306">
        <f>Crop!B621</f>
        <v>42212</v>
      </c>
      <c r="B588" s="307"/>
      <c r="C588" s="308"/>
      <c r="D588" s="304" t="str">
        <f>IF(OR($A588&lt;$A$3,$A588&gt;$A$7),"",Crop!$D621)</f>
        <v/>
      </c>
      <c r="E588" s="304" t="str">
        <f t="shared" si="124"/>
        <v/>
      </c>
      <c r="F588" s="304" t="str">
        <f>IF(OR(A588&lt;A$3,A588&gt;A$7),"",Crop!U621)</f>
        <v/>
      </c>
      <c r="G588" s="304" t="str">
        <f t="shared" si="125"/>
        <v/>
      </c>
      <c r="H588" s="309" t="str">
        <f>IF(OR(A588&lt;A$3,A588&gt;A$7),"",YTD!E585)</f>
        <v/>
      </c>
      <c r="I588" s="310" t="str">
        <f t="shared" si="126"/>
        <v/>
      </c>
      <c r="J588" s="311"/>
      <c r="K588" s="309" t="str">
        <f t="shared" si="127"/>
        <v/>
      </c>
      <c r="L588" s="312" t="str">
        <f t="shared" si="130"/>
        <v/>
      </c>
      <c r="M588" s="366" t="str">
        <f t="shared" si="131"/>
        <v/>
      </c>
      <c r="N588" s="328" t="str">
        <f t="shared" si="137"/>
        <v/>
      </c>
      <c r="O588" s="313" t="str">
        <f t="shared" si="138"/>
        <v/>
      </c>
      <c r="P588" s="307"/>
      <c r="Q588" s="309">
        <f t="shared" si="132"/>
        <v>0.8</v>
      </c>
      <c r="R588" s="307"/>
      <c r="S588" s="314">
        <f t="shared" si="133"/>
        <v>10</v>
      </c>
      <c r="T588" s="304" t="str">
        <f t="shared" si="128"/>
        <v/>
      </c>
      <c r="U588" s="304" t="str">
        <f>IF(A588=YTD!B$6,E588,IF(OR(A588&lt;YTD!B$6,A588&gt;YTD!B$10),"",U587+E588))</f>
        <v/>
      </c>
      <c r="V588" s="304" t="str">
        <f t="shared" si="134"/>
        <v/>
      </c>
      <c r="W588" s="315" t="e">
        <f>IF(I588="",#N/A,YTD!G$8-I588)</f>
        <v>#N/A</v>
      </c>
      <c r="X588" s="368">
        <f t="shared" si="129"/>
        <v>0</v>
      </c>
      <c r="Y588" s="368">
        <f t="shared" si="135"/>
        <v>6</v>
      </c>
      <c r="Z588" s="368" t="str">
        <f t="shared" si="136"/>
        <v/>
      </c>
      <c r="AA588" s="371"/>
      <c r="AB588" s="372"/>
      <c r="AC588" s="373"/>
      <c r="AD588" s="373"/>
      <c r="AE588" s="373"/>
      <c r="AF588" s="371"/>
      <c r="AG588" s="373"/>
      <c r="AH588" s="2"/>
      <c r="AI588" s="2"/>
      <c r="AJ588" s="2"/>
    </row>
    <row r="589" spans="1:36" x14ac:dyDescent="0.2">
      <c r="A589" s="306">
        <f>Crop!B622</f>
        <v>42213</v>
      </c>
      <c r="B589" s="307"/>
      <c r="C589" s="308"/>
      <c r="D589" s="304" t="str">
        <f>IF(OR($A589&lt;$A$3,$A589&gt;$A$7),"",Crop!$D622)</f>
        <v/>
      </c>
      <c r="E589" s="304" t="str">
        <f t="shared" si="124"/>
        <v/>
      </c>
      <c r="F589" s="304" t="str">
        <f>IF(OR(A589&lt;A$3,A589&gt;A$7),"",Crop!U622)</f>
        <v/>
      </c>
      <c r="G589" s="304" t="str">
        <f t="shared" si="125"/>
        <v/>
      </c>
      <c r="H589" s="309" t="str">
        <f>IF(OR(A589&lt;A$3,A589&gt;A$7),"",YTD!E586)</f>
        <v/>
      </c>
      <c r="I589" s="310" t="str">
        <f t="shared" si="126"/>
        <v/>
      </c>
      <c r="J589" s="311"/>
      <c r="K589" s="309" t="str">
        <f t="shared" si="127"/>
        <v/>
      </c>
      <c r="L589" s="312" t="str">
        <f t="shared" si="130"/>
        <v/>
      </c>
      <c r="M589" s="366" t="str">
        <f t="shared" si="131"/>
        <v/>
      </c>
      <c r="N589" s="328" t="str">
        <f t="shared" si="137"/>
        <v/>
      </c>
      <c r="O589" s="313" t="str">
        <f t="shared" si="138"/>
        <v/>
      </c>
      <c r="P589" s="307"/>
      <c r="Q589" s="309">
        <f t="shared" si="132"/>
        <v>0.8</v>
      </c>
      <c r="R589" s="307"/>
      <c r="S589" s="314">
        <f t="shared" si="133"/>
        <v>10</v>
      </c>
      <c r="T589" s="304" t="str">
        <f t="shared" si="128"/>
        <v/>
      </c>
      <c r="U589" s="304" t="str">
        <f>IF(A589=YTD!B$6,E589,IF(OR(A589&lt;YTD!B$6,A589&gt;YTD!B$10),"",U588+E589))</f>
        <v/>
      </c>
      <c r="V589" s="304" t="str">
        <f t="shared" si="134"/>
        <v/>
      </c>
      <c r="W589" s="315" t="e">
        <f>IF(I589="",#N/A,YTD!G$8-I589)</f>
        <v>#N/A</v>
      </c>
      <c r="X589" s="368">
        <f t="shared" si="129"/>
        <v>0</v>
      </c>
      <c r="Y589" s="368">
        <f t="shared" si="135"/>
        <v>6</v>
      </c>
      <c r="Z589" s="368" t="str">
        <f t="shared" si="136"/>
        <v/>
      </c>
      <c r="AA589" s="371"/>
      <c r="AB589" s="372"/>
      <c r="AC589" s="373"/>
      <c r="AD589" s="373"/>
      <c r="AE589" s="373"/>
      <c r="AF589" s="371"/>
      <c r="AG589" s="373"/>
      <c r="AH589" s="2"/>
      <c r="AI589" s="2"/>
      <c r="AJ589" s="2"/>
    </row>
    <row r="590" spans="1:36" x14ac:dyDescent="0.2">
      <c r="A590" s="306">
        <f>Crop!B623</f>
        <v>42214</v>
      </c>
      <c r="B590" s="307"/>
      <c r="C590" s="308"/>
      <c r="D590" s="304" t="str">
        <f>IF(OR($A590&lt;$A$3,$A590&gt;$A$7),"",Crop!$D623)</f>
        <v/>
      </c>
      <c r="E590" s="304" t="str">
        <f t="shared" si="124"/>
        <v/>
      </c>
      <c r="F590" s="304" t="str">
        <f>IF(OR(A590&lt;A$3,A590&gt;A$7),"",Crop!U623)</f>
        <v/>
      </c>
      <c r="G590" s="304" t="str">
        <f t="shared" si="125"/>
        <v/>
      </c>
      <c r="H590" s="309" t="str">
        <f>IF(OR(A590&lt;A$3,A590&gt;A$7),"",YTD!E587)</f>
        <v/>
      </c>
      <c r="I590" s="310" t="str">
        <f t="shared" si="126"/>
        <v/>
      </c>
      <c r="J590" s="311"/>
      <c r="K590" s="309" t="str">
        <f t="shared" si="127"/>
        <v/>
      </c>
      <c r="L590" s="312" t="str">
        <f t="shared" si="130"/>
        <v/>
      </c>
      <c r="M590" s="366" t="str">
        <f t="shared" si="131"/>
        <v/>
      </c>
      <c r="N590" s="328" t="str">
        <f t="shared" si="137"/>
        <v/>
      </c>
      <c r="O590" s="313" t="str">
        <f t="shared" si="138"/>
        <v/>
      </c>
      <c r="P590" s="307"/>
      <c r="Q590" s="309">
        <f t="shared" si="132"/>
        <v>0.8</v>
      </c>
      <c r="R590" s="307"/>
      <c r="S590" s="314">
        <f t="shared" si="133"/>
        <v>10</v>
      </c>
      <c r="T590" s="304" t="str">
        <f t="shared" si="128"/>
        <v/>
      </c>
      <c r="U590" s="304" t="str">
        <f>IF(A590=YTD!B$6,E590,IF(OR(A590&lt;YTD!B$6,A590&gt;YTD!B$10),"",U589+E590))</f>
        <v/>
      </c>
      <c r="V590" s="304" t="str">
        <f t="shared" si="134"/>
        <v/>
      </c>
      <c r="W590" s="315" t="e">
        <f>IF(I590="",#N/A,YTD!G$8-I590)</f>
        <v>#N/A</v>
      </c>
      <c r="X590" s="368">
        <f t="shared" si="129"/>
        <v>0</v>
      </c>
      <c r="Y590" s="368">
        <f t="shared" si="135"/>
        <v>6</v>
      </c>
      <c r="Z590" s="368" t="str">
        <f t="shared" si="136"/>
        <v/>
      </c>
      <c r="AA590" s="371"/>
      <c r="AB590" s="372"/>
      <c r="AC590" s="373"/>
      <c r="AD590" s="373"/>
      <c r="AE590" s="373"/>
      <c r="AF590" s="371"/>
      <c r="AG590" s="373"/>
      <c r="AH590" s="2"/>
      <c r="AI590" s="2"/>
      <c r="AJ590" s="2"/>
    </row>
    <row r="591" spans="1:36" x14ac:dyDescent="0.2">
      <c r="A591" s="306">
        <f>Crop!B624</f>
        <v>42215</v>
      </c>
      <c r="B591" s="307"/>
      <c r="C591" s="307"/>
      <c r="D591" s="304" t="str">
        <f>IF(OR($A591&lt;$A$3,$A591&gt;$A$7),"",Crop!$D624)</f>
        <v/>
      </c>
      <c r="E591" s="304" t="str">
        <f t="shared" si="124"/>
        <v/>
      </c>
      <c r="F591" s="304" t="str">
        <f>IF(OR(A591&lt;A$3,A591&gt;A$7),"",Crop!U624)</f>
        <v/>
      </c>
      <c r="G591" s="304" t="str">
        <f t="shared" si="125"/>
        <v/>
      </c>
      <c r="H591" s="309" t="str">
        <f>IF(OR(A591&lt;A$3,A591&gt;A$7),"",YTD!E588)</f>
        <v/>
      </c>
      <c r="I591" s="310" t="str">
        <f t="shared" si="126"/>
        <v/>
      </c>
      <c r="J591" s="311"/>
      <c r="K591" s="309" t="str">
        <f t="shared" si="127"/>
        <v/>
      </c>
      <c r="L591" s="312" t="str">
        <f t="shared" si="130"/>
        <v/>
      </c>
      <c r="M591" s="366" t="str">
        <f t="shared" si="131"/>
        <v/>
      </c>
      <c r="N591" s="328" t="str">
        <f t="shared" si="137"/>
        <v/>
      </c>
      <c r="O591" s="313" t="str">
        <f t="shared" si="138"/>
        <v/>
      </c>
      <c r="P591" s="307"/>
      <c r="Q591" s="309">
        <f t="shared" si="132"/>
        <v>0.8</v>
      </c>
      <c r="R591" s="307"/>
      <c r="S591" s="314">
        <f t="shared" si="133"/>
        <v>10</v>
      </c>
      <c r="T591" s="304" t="str">
        <f t="shared" si="128"/>
        <v/>
      </c>
      <c r="U591" s="304" t="str">
        <f>IF(A591=YTD!B$6,E591,IF(OR(A591&lt;YTD!B$6,A591&gt;YTD!B$10),"",U590+E591))</f>
        <v/>
      </c>
      <c r="V591" s="304" t="str">
        <f t="shared" si="134"/>
        <v/>
      </c>
      <c r="W591" s="315" t="e">
        <f>IF(I591="",#N/A,YTD!G$8-I591)</f>
        <v>#N/A</v>
      </c>
      <c r="X591" s="368">
        <f t="shared" si="129"/>
        <v>0</v>
      </c>
      <c r="Y591" s="368">
        <f t="shared" si="135"/>
        <v>6</v>
      </c>
      <c r="Z591" s="368" t="str">
        <f t="shared" si="136"/>
        <v/>
      </c>
      <c r="AA591" s="371"/>
      <c r="AB591" s="372"/>
      <c r="AC591" s="373"/>
      <c r="AD591" s="373"/>
      <c r="AE591" s="373"/>
      <c r="AF591" s="371"/>
      <c r="AG591" s="373"/>
      <c r="AH591" s="2"/>
      <c r="AI591" s="2"/>
      <c r="AJ591" s="2"/>
    </row>
    <row r="592" spans="1:36" ht="13.5" thickBot="1" x14ac:dyDescent="0.25">
      <c r="A592" s="316">
        <f>Crop!B625</f>
        <v>42216</v>
      </c>
      <c r="B592" s="317"/>
      <c r="C592" s="317"/>
      <c r="D592" s="305" t="str">
        <f>IF(OR($A592&lt;$A$3,$A592&gt;$A$7),"",Crop!$D625)</f>
        <v/>
      </c>
      <c r="E592" s="305" t="str">
        <f>IF(C592="",D592,C592)</f>
        <v/>
      </c>
      <c r="F592" s="305" t="str">
        <f>IF(OR(A592&lt;A$3,A592&gt;A$7),"",Crop!U625)</f>
        <v/>
      </c>
      <c r="G592" s="305" t="str">
        <f>IF(OR(A592&lt;A$3,A592&gt;A$7),"",E592*F592)</f>
        <v/>
      </c>
      <c r="H592" s="318" t="str">
        <f>IF(OR(A592&lt;A$3,A592&gt;A$7),"",YTD!E589)</f>
        <v/>
      </c>
      <c r="I592" s="362" t="str">
        <f>IF(A592=A$3-1,I$13,IF(OR(A592&lt;A$3,A592&gt;A$7),"",IF(T592="A",I591+G592-K592-J592,IF(J592&gt;0,I591+G592-K592-J592,I591+G592-K592))))</f>
        <v/>
      </c>
      <c r="J592" s="319"/>
      <c r="K592" s="320" t="str">
        <f t="shared" si="127"/>
        <v/>
      </c>
      <c r="L592" s="320" t="str">
        <f t="shared" si="130"/>
        <v/>
      </c>
      <c r="M592" s="367" t="str">
        <f t="shared" si="131"/>
        <v/>
      </c>
      <c r="N592" s="360" t="str">
        <f t="shared" si="137"/>
        <v/>
      </c>
      <c r="O592" s="361" t="str">
        <f t="shared" si="138"/>
        <v/>
      </c>
      <c r="P592" s="317"/>
      <c r="Q592" s="305">
        <f t="shared" si="132"/>
        <v>0.8</v>
      </c>
      <c r="R592" s="317"/>
      <c r="S592" s="321">
        <f t="shared" si="133"/>
        <v>10</v>
      </c>
      <c r="T592" s="305" t="str">
        <f t="shared" si="128"/>
        <v/>
      </c>
      <c r="U592" s="305" t="str">
        <f>IF(A592=YTD!B$6,E592,IF(OR(A592&lt;YTD!B$6,A592&gt;YTD!B$10),"",U591+E592))</f>
        <v/>
      </c>
      <c r="V592" s="305" t="str">
        <f t="shared" si="134"/>
        <v/>
      </c>
      <c r="W592" s="363" t="e">
        <f>IF(I592="",#N/A,YTD!G$8-I592)</f>
        <v>#N/A</v>
      </c>
      <c r="X592" s="374">
        <f t="shared" si="129"/>
        <v>0</v>
      </c>
      <c r="Y592" s="374">
        <f t="shared" si="135"/>
        <v>6</v>
      </c>
      <c r="Z592" s="374" t="str">
        <f t="shared" si="136"/>
        <v/>
      </c>
      <c r="AA592" s="371"/>
      <c r="AB592" s="372"/>
      <c r="AC592" s="373"/>
      <c r="AD592" s="373"/>
      <c r="AE592" s="373"/>
      <c r="AF592" s="371"/>
      <c r="AG592" s="373"/>
      <c r="AH592" s="2"/>
      <c r="AI592" s="2"/>
      <c r="AJ592" s="2"/>
    </row>
    <row r="593" spans="1:36" x14ac:dyDescent="0.2">
      <c r="A593" s="34" t="s">
        <v>75</v>
      </c>
      <c r="B593" s="34" t="s">
        <v>75</v>
      </c>
      <c r="C593" s="34" t="s">
        <v>75</v>
      </c>
      <c r="D593" s="34" t="s">
        <v>75</v>
      </c>
      <c r="E593" s="27" t="str">
        <f>IF(C593="",D593,C593)</f>
        <v>end</v>
      </c>
      <c r="F593" s="34" t="s">
        <v>75</v>
      </c>
      <c r="G593" s="34" t="s">
        <v>75</v>
      </c>
      <c r="H593" s="34" t="s">
        <v>75</v>
      </c>
      <c r="I593" s="34" t="s">
        <v>75</v>
      </c>
      <c r="J593" s="34" t="s">
        <v>75</v>
      </c>
      <c r="K593" s="34" t="s">
        <v>75</v>
      </c>
      <c r="L593" s="34" t="s">
        <v>75</v>
      </c>
      <c r="M593" s="34" t="s">
        <v>75</v>
      </c>
      <c r="N593" s="34" t="s">
        <v>75</v>
      </c>
      <c r="O593" s="34" t="s">
        <v>75</v>
      </c>
      <c r="P593" s="34" t="s">
        <v>75</v>
      </c>
      <c r="Q593" s="74" t="s">
        <v>75</v>
      </c>
      <c r="R593" s="34" t="s">
        <v>75</v>
      </c>
      <c r="S593" s="74" t="s">
        <v>75</v>
      </c>
      <c r="T593" s="34" t="s">
        <v>75</v>
      </c>
      <c r="U593" s="34" t="s">
        <v>75</v>
      </c>
      <c r="V593" s="34" t="s">
        <v>75</v>
      </c>
      <c r="W593" s="34" t="s">
        <v>75</v>
      </c>
      <c r="X593" s="34" t="s">
        <v>75</v>
      </c>
      <c r="Y593" s="34" t="s">
        <v>75</v>
      </c>
      <c r="Z593" s="34" t="s">
        <v>75</v>
      </c>
      <c r="AA593" s="371"/>
      <c r="AB593" s="372"/>
      <c r="AC593" s="373"/>
      <c r="AD593" s="373"/>
      <c r="AE593" s="373"/>
      <c r="AF593" s="371"/>
      <c r="AG593" s="373"/>
      <c r="AH593" s="2"/>
      <c r="AI593" s="2"/>
      <c r="AJ593" s="2"/>
    </row>
    <row r="594" spans="1:36" x14ac:dyDescent="0.2">
      <c r="A594" s="34"/>
      <c r="B594" s="34"/>
      <c r="C594" s="34"/>
      <c r="D594" s="34"/>
      <c r="E594" s="27"/>
      <c r="F594" s="34"/>
      <c r="G594" s="34"/>
      <c r="H594" s="34"/>
      <c r="I594" s="34"/>
      <c r="J594" s="34"/>
      <c r="K594" s="34"/>
      <c r="L594" s="34"/>
      <c r="M594" s="34"/>
      <c r="N594" s="34"/>
      <c r="O594" s="34"/>
      <c r="P594" s="34"/>
      <c r="Q594" s="74"/>
      <c r="R594" s="34"/>
      <c r="S594" s="74"/>
      <c r="T594" s="34"/>
      <c r="U594" s="34"/>
      <c r="V594" s="34"/>
      <c r="W594" s="34"/>
      <c r="X594" s="34"/>
      <c r="Y594" s="34"/>
      <c r="Z594" s="34"/>
      <c r="AA594" s="371"/>
      <c r="AB594" s="372"/>
      <c r="AC594" s="373"/>
      <c r="AD594" s="373"/>
      <c r="AE594" s="373"/>
      <c r="AF594" s="371"/>
      <c r="AG594" s="373"/>
      <c r="AH594" s="2"/>
      <c r="AI594" s="2"/>
      <c r="AJ594" s="2"/>
    </row>
    <row r="595" spans="1:36" x14ac:dyDescent="0.2">
      <c r="A595" s="2"/>
      <c r="B595" s="3"/>
      <c r="C595" s="2"/>
      <c r="D595" s="3"/>
      <c r="E595" s="2"/>
      <c r="F595" s="2"/>
      <c r="G595" s="27"/>
      <c r="H595" s="3"/>
      <c r="I595" s="5"/>
      <c r="J595" s="73">
        <f>SUM(J16:J592)</f>
        <v>600</v>
      </c>
      <c r="K595" s="73">
        <f>SUM(K16:K592)</f>
        <v>90</v>
      </c>
      <c r="L595" s="73">
        <f>SUM(L16:L592)</f>
        <v>750</v>
      </c>
      <c r="M595" s="73"/>
      <c r="N595" s="67">
        <f>N598+O600</f>
        <v>74</v>
      </c>
      <c r="O595" s="67">
        <f>INT((O599-O600)*60)</f>
        <v>24</v>
      </c>
      <c r="P595" s="2"/>
      <c r="Q595" s="3"/>
      <c r="R595" s="2"/>
      <c r="S595" s="3"/>
      <c r="T595" s="2"/>
      <c r="U595" s="73">
        <f>MAX(U16:U593)</f>
        <v>1230.572603912897</v>
      </c>
      <c r="V595" s="73">
        <f>MAX(V16:V593)</f>
        <v>1454.9126877907504</v>
      </c>
      <c r="W595" s="2"/>
      <c r="X595" s="2"/>
      <c r="Y595" s="2"/>
      <c r="Z595" s="2"/>
      <c r="AA595" s="2"/>
      <c r="AB595" s="2"/>
      <c r="AC595" s="2"/>
      <c r="AD595" s="2"/>
      <c r="AE595" s="2"/>
      <c r="AF595" s="2"/>
      <c r="AG595" s="2"/>
      <c r="AH595" s="2"/>
      <c r="AI595" s="2"/>
      <c r="AJ595" s="2"/>
    </row>
    <row r="596" spans="1:36" x14ac:dyDescent="0.2">
      <c r="A596" s="2"/>
      <c r="B596" s="3"/>
      <c r="C596" s="2"/>
      <c r="D596" s="3"/>
      <c r="E596" s="2"/>
      <c r="F596" s="2"/>
      <c r="G596" s="3"/>
      <c r="H596" s="3"/>
      <c r="I596" s="5"/>
      <c r="J596" s="67" t="s">
        <v>228</v>
      </c>
      <c r="K596" s="67" t="s">
        <v>253</v>
      </c>
      <c r="L596" s="67" t="s">
        <v>237</v>
      </c>
      <c r="M596" s="67"/>
      <c r="N596" s="67" t="s">
        <v>230</v>
      </c>
      <c r="O596" s="67" t="s">
        <v>231</v>
      </c>
      <c r="P596" s="3"/>
      <c r="Q596" s="3"/>
      <c r="R596" s="2"/>
      <c r="S596" s="3"/>
      <c r="T596" s="2"/>
      <c r="U596" s="67" t="s">
        <v>19</v>
      </c>
      <c r="V596" s="67" t="s">
        <v>148</v>
      </c>
      <c r="W596" s="2"/>
      <c r="X596" s="2"/>
      <c r="Y596" s="2"/>
      <c r="Z596" s="2"/>
      <c r="AA596" s="2"/>
      <c r="AB596" s="2"/>
      <c r="AC596" s="2"/>
      <c r="AD596" s="2"/>
      <c r="AE596" s="2"/>
      <c r="AF596" s="2"/>
      <c r="AG596" s="2"/>
      <c r="AH596" s="2"/>
      <c r="AI596" s="2"/>
      <c r="AJ596" s="2"/>
    </row>
    <row r="597" spans="1:36" ht="13.5" thickBot="1" x14ac:dyDescent="0.25">
      <c r="A597" s="2"/>
      <c r="B597" s="2"/>
      <c r="C597" s="2"/>
      <c r="D597" s="2"/>
      <c r="E597" s="2"/>
      <c r="F597" s="2"/>
      <c r="G597" s="2"/>
      <c r="H597" s="2"/>
      <c r="I597" s="2"/>
      <c r="J597" s="20"/>
      <c r="K597" s="20"/>
      <c r="L597" s="20"/>
      <c r="M597" s="20"/>
      <c r="N597" s="78" t="s">
        <v>225</v>
      </c>
      <c r="O597" s="79" t="s">
        <v>226</v>
      </c>
      <c r="P597" s="2"/>
      <c r="Q597" s="3"/>
      <c r="R597" s="2"/>
      <c r="S597" s="3"/>
      <c r="T597" s="2"/>
      <c r="U597" s="76"/>
      <c r="V597" s="76"/>
      <c r="W597" s="2"/>
      <c r="X597" s="2"/>
      <c r="Y597" s="2"/>
      <c r="Z597" s="2"/>
      <c r="AA597" s="2"/>
      <c r="AB597" s="2"/>
      <c r="AC597" s="2"/>
      <c r="AD597" s="2"/>
      <c r="AE597" s="2"/>
      <c r="AF597" s="2"/>
      <c r="AG597" s="2"/>
      <c r="AH597" s="2"/>
      <c r="AI597" s="2"/>
      <c r="AJ597" s="2"/>
    </row>
    <row r="598" spans="1:36" x14ac:dyDescent="0.2">
      <c r="A598" s="2"/>
      <c r="B598" s="2"/>
      <c r="C598" s="2"/>
      <c r="D598" s="2"/>
      <c r="E598" s="2"/>
      <c r="F598" s="2"/>
      <c r="G598" s="2"/>
      <c r="H598" s="2"/>
      <c r="I598" s="2"/>
      <c r="J598" s="76"/>
      <c r="K598" s="76"/>
      <c r="L598" s="76"/>
      <c r="M598" s="76"/>
      <c r="N598" s="76">
        <f>SUM(N16:N592)</f>
        <v>72</v>
      </c>
      <c r="O598" s="77">
        <f>SUM(O16:O592)</f>
        <v>144.28571428571473</v>
      </c>
      <c r="P598" s="2"/>
      <c r="Q598" s="3"/>
      <c r="R598" s="2"/>
      <c r="S598" s="3"/>
      <c r="T598" s="2"/>
      <c r="U598" s="76"/>
      <c r="V598" s="76"/>
      <c r="W598" s="2"/>
      <c r="X598" s="2"/>
      <c r="Y598" s="2"/>
      <c r="Z598" s="2"/>
      <c r="AA598" s="2"/>
      <c r="AB598" s="2"/>
      <c r="AC598" s="2"/>
      <c r="AD598" s="2"/>
      <c r="AE598" s="2"/>
      <c r="AF598" s="2"/>
      <c r="AG598" s="2"/>
      <c r="AH598" s="2"/>
      <c r="AI598" s="2"/>
      <c r="AJ598" s="2"/>
    </row>
    <row r="599" spans="1:36" x14ac:dyDescent="0.2">
      <c r="A599" s="2"/>
      <c r="B599" s="2"/>
      <c r="C599" s="2"/>
      <c r="D599" s="2"/>
      <c r="E599" s="2"/>
      <c r="F599" s="2"/>
      <c r="G599" s="2"/>
      <c r="H599" s="2"/>
      <c r="I599" s="2"/>
      <c r="J599" s="76"/>
      <c r="K599" s="76"/>
      <c r="L599" s="76"/>
      <c r="M599" s="76"/>
      <c r="N599" s="76"/>
      <c r="O599" s="76">
        <f>O598/60</f>
        <v>2.4047619047619122</v>
      </c>
      <c r="P599" s="2"/>
      <c r="Q599" s="3"/>
      <c r="R599" s="2"/>
      <c r="S599" s="3"/>
      <c r="T599" s="2"/>
      <c r="U599" s="76"/>
      <c r="V599" s="76"/>
      <c r="W599" s="2"/>
      <c r="X599" s="2"/>
      <c r="Y599" s="2"/>
      <c r="Z599" s="2"/>
      <c r="AA599" s="2"/>
      <c r="AB599" s="2"/>
      <c r="AC599" s="2"/>
      <c r="AD599" s="2"/>
      <c r="AE599" s="2"/>
      <c r="AF599" s="2"/>
      <c r="AG599" s="2"/>
      <c r="AH599" s="2"/>
      <c r="AI599" s="2"/>
      <c r="AJ599" s="2"/>
    </row>
    <row r="600" spans="1:36" x14ac:dyDescent="0.2">
      <c r="A600" s="2"/>
      <c r="B600" s="2"/>
      <c r="C600" s="2"/>
      <c r="D600" s="2"/>
      <c r="E600" s="2"/>
      <c r="F600" s="2"/>
      <c r="G600" s="2"/>
      <c r="H600" s="2"/>
      <c r="I600" s="2"/>
      <c r="J600" s="76"/>
      <c r="K600" s="76"/>
      <c r="L600" s="76"/>
      <c r="M600" s="76"/>
      <c r="N600" s="76"/>
      <c r="O600" s="76">
        <f>INT(O599)</f>
        <v>2</v>
      </c>
      <c r="P600" s="2"/>
      <c r="Q600" s="3"/>
      <c r="R600" s="2"/>
      <c r="S600" s="3"/>
      <c r="T600" s="2"/>
      <c r="U600" s="76"/>
      <c r="V600" s="76"/>
      <c r="W600" s="2"/>
      <c r="X600" s="2"/>
      <c r="Y600" s="2"/>
      <c r="Z600" s="2"/>
      <c r="AA600" s="2"/>
      <c r="AB600" s="2"/>
      <c r="AC600" s="2"/>
      <c r="AD600" s="2"/>
      <c r="AE600" s="2"/>
      <c r="AF600" s="2"/>
      <c r="AG600" s="2"/>
      <c r="AH600" s="2"/>
      <c r="AI600" s="2"/>
      <c r="AJ600" s="2"/>
    </row>
  </sheetData>
  <sheetProtection password="CC31" sheet="1" objects="1" scenarios="1"/>
  <phoneticPr fontId="0" type="noConversion"/>
  <conditionalFormatting sqref="AC22:AD594 AF22:AG594">
    <cfRule type="cellIs" dxfId="1" priority="2" operator="greaterThan">
      <formula>0</formula>
    </cfRule>
  </conditionalFormatting>
  <conditionalFormatting sqref="AC16:AG16 AC17:AD21 AF17:AG21 AE17:AE594">
    <cfRule type="cellIs" dxfId="0" priority="1" operator="greaterThan">
      <formula>0</formula>
    </cfRule>
  </conditionalFormatting>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400"/>
  <sheetViews>
    <sheetView zoomScale="130" workbookViewId="0">
      <pane xSplit="10" ySplit="15" topLeftCell="K16" activePane="bottomRight" state="frozen"/>
      <selection activeCell="C26" sqref="C26"/>
      <selection pane="topRight" activeCell="C26" sqref="C26"/>
      <selection pane="bottomLeft" activeCell="C26" sqref="C26"/>
      <selection pane="bottomRight" activeCell="J382" sqref="J382"/>
    </sheetView>
  </sheetViews>
  <sheetFormatPr defaultRowHeight="12.75" x14ac:dyDescent="0.2"/>
  <cols>
    <col min="3" max="3" width="11.42578125" customWidth="1"/>
    <col min="4" max="4" width="9.7109375" bestFit="1" customWidth="1"/>
  </cols>
  <sheetData>
    <row r="1" spans="1:23" x14ac:dyDescent="0.2">
      <c r="A1" s="71"/>
      <c r="B1" s="72"/>
      <c r="C1" s="72"/>
      <c r="D1" s="72"/>
      <c r="E1" s="72"/>
      <c r="F1" s="72"/>
      <c r="G1" s="72"/>
      <c r="H1" s="72"/>
      <c r="I1" s="102">
        <f>INT(J1/60)</f>
        <v>2</v>
      </c>
      <c r="J1" s="103">
        <f>SUM(J16:J380)</f>
        <v>144.28571428571473</v>
      </c>
      <c r="K1" s="72"/>
      <c r="L1" s="39"/>
      <c r="M1" s="39"/>
      <c r="N1" s="39"/>
      <c r="O1" s="39"/>
      <c r="P1" s="39"/>
      <c r="Q1" s="39"/>
      <c r="R1" s="39"/>
      <c r="S1" s="39"/>
      <c r="T1" s="39"/>
      <c r="U1" s="39"/>
      <c r="V1" s="39"/>
      <c r="W1" s="39"/>
    </row>
    <row r="2" spans="1:23" hidden="1" x14ac:dyDescent="0.2">
      <c r="A2" s="66"/>
      <c r="B2" s="2"/>
      <c r="C2" s="5" t="s">
        <v>252</v>
      </c>
      <c r="D2" s="42">
        <f>Crop!D4</f>
        <v>2014</v>
      </c>
      <c r="E2" s="2"/>
      <c r="F2" s="2"/>
      <c r="G2" s="2"/>
      <c r="H2" s="2"/>
      <c r="I2" s="2"/>
      <c r="J2" s="2"/>
      <c r="K2" s="39"/>
      <c r="L2" s="39"/>
      <c r="M2" s="39"/>
      <c r="N2" s="39"/>
      <c r="O2" s="39"/>
      <c r="P2" s="39"/>
      <c r="Q2" s="39"/>
      <c r="R2" s="39"/>
      <c r="S2" s="39"/>
      <c r="T2" s="39"/>
      <c r="U2" s="39"/>
      <c r="V2" s="39"/>
      <c r="W2" s="39"/>
    </row>
    <row r="3" spans="1:23" hidden="1" x14ac:dyDescent="0.2">
      <c r="A3" s="66"/>
      <c r="B3" s="2"/>
      <c r="C3" s="5" t="s">
        <v>251</v>
      </c>
      <c r="D3" s="41" t="str">
        <f>Crop!J4</f>
        <v>Stone fruits</v>
      </c>
      <c r="E3" s="2"/>
      <c r="F3" s="2"/>
      <c r="G3" s="2"/>
      <c r="H3" s="2"/>
      <c r="I3" s="2"/>
      <c r="J3" s="2"/>
      <c r="K3" s="39"/>
      <c r="L3" s="39"/>
      <c r="M3" s="39"/>
      <c r="N3" s="39"/>
      <c r="O3" s="39"/>
      <c r="P3" s="39"/>
      <c r="Q3" s="39"/>
      <c r="R3" s="39"/>
      <c r="S3" s="39"/>
      <c r="T3" s="39"/>
      <c r="U3" s="39"/>
      <c r="V3" s="39"/>
      <c r="W3" s="39"/>
    </row>
    <row r="4" spans="1:23" hidden="1" x14ac:dyDescent="0.2">
      <c r="A4" s="66"/>
      <c r="B4" s="2"/>
      <c r="C4" s="2"/>
      <c r="D4" s="2"/>
      <c r="E4" s="2"/>
      <c r="F4" s="2"/>
      <c r="G4" s="2"/>
      <c r="H4" s="2"/>
      <c r="I4" s="2"/>
      <c r="J4" s="2"/>
      <c r="K4" s="39"/>
      <c r="L4" s="39"/>
      <c r="M4" s="39"/>
      <c r="N4" s="39"/>
      <c r="O4" s="39"/>
      <c r="P4" s="39"/>
      <c r="Q4" s="39"/>
      <c r="R4" s="39"/>
      <c r="S4" s="39"/>
      <c r="T4" s="39"/>
      <c r="U4" s="39"/>
      <c r="V4" s="39"/>
      <c r="W4" s="39"/>
    </row>
    <row r="5" spans="1:23" hidden="1" x14ac:dyDescent="0.2">
      <c r="A5" s="66"/>
      <c r="B5" s="2"/>
      <c r="C5" s="5" t="s">
        <v>144</v>
      </c>
      <c r="D5" s="2"/>
      <c r="E5" s="2"/>
      <c r="F5" s="2"/>
      <c r="G5" s="2"/>
      <c r="H5" s="2"/>
      <c r="I5" s="2"/>
      <c r="J5" s="2"/>
      <c r="K5" s="39"/>
      <c r="L5" s="39"/>
      <c r="M5" s="39"/>
      <c r="N5" s="39"/>
      <c r="O5" s="39"/>
      <c r="P5" s="39"/>
      <c r="Q5" s="39"/>
      <c r="R5" s="39"/>
      <c r="S5" s="39"/>
      <c r="T5" s="39"/>
      <c r="U5" s="39"/>
      <c r="V5" s="39"/>
      <c r="W5" s="39"/>
    </row>
    <row r="6" spans="1:23" ht="13.5" hidden="1" thickBot="1" x14ac:dyDescent="0.25">
      <c r="A6" s="66"/>
      <c r="B6" s="2"/>
      <c r="C6" s="36" t="s">
        <v>82</v>
      </c>
      <c r="D6" s="40" t="s">
        <v>82</v>
      </c>
      <c r="E6" s="40" t="s">
        <v>46</v>
      </c>
      <c r="F6" s="2"/>
      <c r="G6" s="2"/>
      <c r="H6" s="2"/>
      <c r="I6" s="2"/>
      <c r="J6" s="2"/>
      <c r="K6" s="39"/>
      <c r="L6" s="39"/>
      <c r="M6" s="39"/>
      <c r="N6" s="39"/>
      <c r="O6" s="39"/>
      <c r="P6" s="39"/>
      <c r="Q6" s="39"/>
      <c r="R6" s="39"/>
      <c r="S6" s="39"/>
      <c r="T6" s="39"/>
      <c r="U6" s="39"/>
      <c r="V6" s="39"/>
      <c r="W6" s="39"/>
    </row>
    <row r="7" spans="1:23" hidden="1" x14ac:dyDescent="0.2">
      <c r="A7" s="66"/>
      <c r="B7" s="2"/>
      <c r="C7" s="5" t="s">
        <v>5</v>
      </c>
      <c r="D7" s="33">
        <f>Crop!E6</f>
        <v>41699</v>
      </c>
      <c r="E7" s="27" t="str">
        <f>Crop!G6</f>
        <v/>
      </c>
      <c r="F7" s="2"/>
      <c r="G7" s="2"/>
      <c r="H7" s="2"/>
      <c r="I7" s="2"/>
      <c r="J7" s="2"/>
      <c r="K7" s="39"/>
      <c r="L7" s="39"/>
      <c r="M7" s="39"/>
      <c r="N7" s="39"/>
      <c r="O7" s="39"/>
      <c r="P7" s="39"/>
      <c r="Q7" s="39"/>
      <c r="R7" s="39"/>
      <c r="S7" s="39"/>
      <c r="T7" s="39"/>
      <c r="U7" s="39"/>
      <c r="V7" s="39"/>
      <c r="W7" s="39"/>
    </row>
    <row r="8" spans="1:23" hidden="1" x14ac:dyDescent="0.2">
      <c r="A8" s="66"/>
      <c r="B8" s="2"/>
      <c r="C8" s="5" t="s">
        <v>17</v>
      </c>
      <c r="D8" s="33">
        <f>Crop!E7</f>
        <v>41699</v>
      </c>
      <c r="E8" s="27">
        <f>Crop!G7</f>
        <v>0.55000000000000004</v>
      </c>
      <c r="F8" s="2"/>
      <c r="G8" s="2"/>
      <c r="H8" s="2"/>
      <c r="I8" s="2"/>
      <c r="J8" s="2"/>
      <c r="K8" s="39"/>
      <c r="L8" s="39"/>
      <c r="M8" s="39"/>
      <c r="N8" s="39"/>
      <c r="O8" s="39"/>
      <c r="P8" s="39"/>
      <c r="Q8" s="39"/>
      <c r="R8" s="39"/>
      <c r="S8" s="39"/>
      <c r="T8" s="39"/>
      <c r="U8" s="39"/>
      <c r="V8" s="39"/>
      <c r="W8" s="39"/>
    </row>
    <row r="9" spans="1:23" hidden="1" x14ac:dyDescent="0.2">
      <c r="A9" s="66"/>
      <c r="B9" s="2"/>
      <c r="C9" s="5" t="s">
        <v>69</v>
      </c>
      <c r="D9" s="33">
        <f>Crop!E8</f>
        <v>41813.5</v>
      </c>
      <c r="E9" s="27">
        <f>Crop!G8</f>
        <v>1.1499999999999999</v>
      </c>
      <c r="F9" s="2"/>
      <c r="G9" s="2"/>
      <c r="H9" s="2"/>
      <c r="I9" s="2"/>
      <c r="J9" s="2"/>
      <c r="K9" s="39"/>
      <c r="L9" s="39"/>
      <c r="M9" s="39"/>
      <c r="N9" s="39"/>
      <c r="O9" s="39"/>
      <c r="P9" s="39"/>
      <c r="Q9" s="39"/>
      <c r="R9" s="39"/>
      <c r="S9" s="39"/>
      <c r="T9" s="39"/>
      <c r="U9" s="39"/>
      <c r="V9" s="39"/>
      <c r="W9" s="39"/>
    </row>
    <row r="10" spans="1:23" hidden="1" x14ac:dyDescent="0.2">
      <c r="A10" s="66"/>
      <c r="B10" s="2"/>
      <c r="C10" s="5" t="s">
        <v>4</v>
      </c>
      <c r="D10" s="33">
        <f>Crop!E9</f>
        <v>41905.1</v>
      </c>
      <c r="E10" s="27">
        <f>Crop!G9</f>
        <v>1.1499999999999999</v>
      </c>
      <c r="F10" s="2"/>
      <c r="G10" s="2"/>
      <c r="H10" s="2"/>
      <c r="I10" s="2"/>
      <c r="J10" s="2"/>
      <c r="K10" s="39"/>
      <c r="L10" s="39"/>
      <c r="M10" s="39"/>
      <c r="N10" s="39"/>
      <c r="O10" s="39"/>
      <c r="P10" s="39"/>
      <c r="Q10" s="39"/>
      <c r="R10" s="39"/>
      <c r="S10" s="39"/>
      <c r="T10" s="39"/>
      <c r="U10" s="39"/>
      <c r="V10" s="39"/>
      <c r="W10" s="39"/>
    </row>
    <row r="11" spans="1:23" hidden="1" x14ac:dyDescent="0.2">
      <c r="A11" s="66"/>
      <c r="B11" s="2"/>
      <c r="C11" s="5" t="s">
        <v>70</v>
      </c>
      <c r="D11" s="33">
        <f>Crop!E10</f>
        <v>41927</v>
      </c>
      <c r="E11" s="27">
        <f>Crop!G10</f>
        <v>0.65</v>
      </c>
      <c r="F11" s="2"/>
      <c r="G11" s="2"/>
      <c r="H11" s="2"/>
      <c r="I11" s="2"/>
      <c r="J11" s="2"/>
      <c r="K11" s="39"/>
      <c r="L11" s="39"/>
      <c r="M11" s="39"/>
      <c r="N11" s="39"/>
      <c r="O11" s="39"/>
      <c r="P11" s="39"/>
      <c r="Q11" s="39"/>
      <c r="R11" s="39"/>
      <c r="S11" s="39"/>
      <c r="T11" s="39"/>
      <c r="U11" s="39"/>
      <c r="V11" s="39"/>
      <c r="W11" s="39"/>
    </row>
    <row r="12" spans="1:23" x14ac:dyDescent="0.2">
      <c r="A12" s="66"/>
      <c r="B12" s="42">
        <f>Crop!D4</f>
        <v>2014</v>
      </c>
      <c r="C12" s="294" t="s">
        <v>400</v>
      </c>
      <c r="D12" s="352" t="str">
        <f>Crop!J4</f>
        <v>Stone fruits</v>
      </c>
      <c r="E12" s="2"/>
      <c r="F12" s="350"/>
      <c r="G12" s="351">
        <f>MakeSchedule!I$8</f>
        <v>0.1</v>
      </c>
      <c r="H12" s="2"/>
      <c r="I12" s="2"/>
      <c r="J12" s="2"/>
      <c r="K12" s="39"/>
      <c r="L12" s="39"/>
      <c r="M12" s="39"/>
      <c r="N12" s="39"/>
      <c r="O12" s="39"/>
      <c r="P12" s="39"/>
      <c r="Q12" s="39"/>
      <c r="R12" s="39"/>
      <c r="S12" s="39"/>
      <c r="T12" s="39"/>
      <c r="U12" s="39"/>
      <c r="V12" s="39"/>
      <c r="W12" s="39"/>
    </row>
    <row r="13" spans="1:23" ht="13.5" thickBot="1" x14ac:dyDescent="0.25">
      <c r="A13" s="66"/>
      <c r="B13" s="2"/>
      <c r="C13" s="2"/>
      <c r="D13" s="294" t="s">
        <v>397</v>
      </c>
      <c r="E13" s="294" t="s">
        <v>398</v>
      </c>
      <c r="F13" s="294" t="s">
        <v>380</v>
      </c>
      <c r="G13" s="294" t="s">
        <v>399</v>
      </c>
      <c r="H13" s="294" t="s">
        <v>237</v>
      </c>
      <c r="I13" s="38"/>
      <c r="J13" s="40" t="s">
        <v>250</v>
      </c>
      <c r="K13" s="39"/>
      <c r="L13" s="39"/>
      <c r="M13" s="39"/>
      <c r="N13" s="39"/>
      <c r="O13" s="39"/>
      <c r="P13" s="39"/>
      <c r="Q13" s="39"/>
      <c r="R13" s="39"/>
      <c r="S13" s="39"/>
      <c r="T13" s="39"/>
      <c r="U13" s="39"/>
      <c r="V13" s="39"/>
      <c r="W13" s="39"/>
    </row>
    <row r="14" spans="1:23" ht="13.5" thickBot="1" x14ac:dyDescent="0.25">
      <c r="A14" s="66"/>
      <c r="B14" s="36" t="s">
        <v>80</v>
      </c>
      <c r="C14" s="36" t="s">
        <v>82</v>
      </c>
      <c r="D14" s="36" t="s">
        <v>35</v>
      </c>
      <c r="E14" s="36" t="s">
        <v>35</v>
      </c>
      <c r="F14" s="349" t="s">
        <v>379</v>
      </c>
      <c r="G14" s="349" t="s">
        <v>35</v>
      </c>
      <c r="H14" s="349" t="s">
        <v>35</v>
      </c>
      <c r="I14" s="38" t="s">
        <v>241</v>
      </c>
      <c r="J14" s="38" t="s">
        <v>242</v>
      </c>
      <c r="K14" s="39"/>
      <c r="L14" s="39"/>
      <c r="M14" s="39"/>
      <c r="N14" s="39"/>
      <c r="O14" s="39"/>
      <c r="P14" s="39"/>
      <c r="Q14" s="39"/>
      <c r="R14" s="39"/>
      <c r="S14" s="39"/>
      <c r="T14" s="39"/>
      <c r="U14" s="39"/>
      <c r="V14" s="39"/>
      <c r="W14" s="39"/>
    </row>
    <row r="15" spans="1:23" ht="13.5" thickBot="1" x14ac:dyDescent="0.25">
      <c r="A15" s="66"/>
      <c r="B15" s="99"/>
      <c r="C15" s="101" t="s">
        <v>321</v>
      </c>
      <c r="D15" s="100">
        <f>SUM(D16:D380)</f>
        <v>600</v>
      </c>
      <c r="E15" s="100">
        <f>SUM(E16:E380)</f>
        <v>750</v>
      </c>
      <c r="F15" s="375">
        <f>IF(E15=0,"",D15/E15)</f>
        <v>0.8</v>
      </c>
      <c r="G15" s="100">
        <f>SUM(G16:G380)</f>
        <v>83.333333333333329</v>
      </c>
      <c r="H15" s="100">
        <f>SUM(H16:H380)</f>
        <v>833.33333333333337</v>
      </c>
      <c r="I15" s="100">
        <f>SUM(I16:I380)+I1</f>
        <v>74</v>
      </c>
      <c r="J15" s="100">
        <f>MOD(J1,60)</f>
        <v>24.285714285714732</v>
      </c>
      <c r="K15" s="39"/>
      <c r="L15" s="39"/>
      <c r="M15" s="39"/>
      <c r="N15" s="39"/>
      <c r="O15" s="39"/>
      <c r="P15" s="39"/>
      <c r="Q15" s="39"/>
      <c r="R15" s="39"/>
      <c r="S15" s="39"/>
      <c r="T15" s="39"/>
      <c r="U15" s="39"/>
      <c r="V15" s="39"/>
      <c r="W15" s="39"/>
    </row>
    <row r="16" spans="1:23" x14ac:dyDescent="0.2">
      <c r="A16" s="66"/>
      <c r="B16" s="67">
        <f>IF(C16="","",1)</f>
        <v>1</v>
      </c>
      <c r="C16" s="68">
        <f>IF(MakeSchedule!AB16=0,"",MakeSchedule!AB16)</f>
        <v>41811</v>
      </c>
      <c r="D16" s="69">
        <f>IF(MakeSchedule!AC16=0,"",MakeSchedule!AC16)</f>
        <v>100</v>
      </c>
      <c r="E16" s="69">
        <f>IF(MakeSchedule!AD16=0,"",MakeSchedule!AD16)</f>
        <v>125</v>
      </c>
      <c r="F16" s="73">
        <f>IF(MakeSchedule!AD16=0,"",MakeSchedule!AC16/MakeSchedule!AD16)</f>
        <v>0.8</v>
      </c>
      <c r="G16" s="73">
        <f>IF(H16="","",G$12*H16)</f>
        <v>13.888888888888889</v>
      </c>
      <c r="H16" s="73">
        <f>IF(E16="","",E16/(1-G$12))</f>
        <v>138.88888888888889</v>
      </c>
      <c r="I16" s="69">
        <f>IF(MakeSchedule!AF16=0,"",MakeSchedule!AF16)</f>
        <v>12</v>
      </c>
      <c r="J16" s="69">
        <f>IF(I16="","",IF(MakeSchedule!AG16=0,0,MakeSchedule!AG16))</f>
        <v>24.047619047619122</v>
      </c>
      <c r="K16" s="39"/>
      <c r="L16" s="39"/>
      <c r="M16" s="39"/>
      <c r="N16" s="39"/>
      <c r="O16" s="39"/>
      <c r="P16" s="39"/>
      <c r="Q16" s="39"/>
      <c r="R16" s="39"/>
      <c r="S16" s="39"/>
      <c r="T16" s="39"/>
      <c r="U16" s="39"/>
      <c r="V16" s="39"/>
      <c r="W16" s="39"/>
    </row>
    <row r="17" spans="1:23" x14ac:dyDescent="0.2">
      <c r="A17" s="66"/>
      <c r="B17" s="67">
        <f>IF(C17="","",B16+1)</f>
        <v>2</v>
      </c>
      <c r="C17" s="68">
        <f>IF(MakeSchedule!AB17=0,"",MakeSchedule!AB17)</f>
        <v>41828</v>
      </c>
      <c r="D17" s="69">
        <f>IF(MakeSchedule!AC17=0,"",MakeSchedule!AC17)</f>
        <v>100</v>
      </c>
      <c r="E17" s="69">
        <f>IF(MakeSchedule!AD17=0,"",MakeSchedule!AD17)</f>
        <v>125</v>
      </c>
      <c r="F17" s="73">
        <f>IF(MakeSchedule!AD17=0,"",MakeSchedule!AC17/MakeSchedule!AD17)</f>
        <v>0.8</v>
      </c>
      <c r="G17" s="73">
        <f t="shared" ref="G17:G80" si="0">IF(H17="","",G$12*H17)</f>
        <v>13.888888888888889</v>
      </c>
      <c r="H17" s="73">
        <f t="shared" ref="H17:H80" si="1">IF(E17="","",E17/(1-G$12))</f>
        <v>138.88888888888889</v>
      </c>
      <c r="I17" s="69">
        <f>IF(MakeSchedule!AF17=0,"",MakeSchedule!AF17)</f>
        <v>12</v>
      </c>
      <c r="J17" s="69">
        <f>IF(I17="","",IF(MakeSchedule!AG17=0,0,MakeSchedule!AG17))</f>
        <v>24.047619047619122</v>
      </c>
      <c r="K17" s="39"/>
      <c r="L17" s="39"/>
      <c r="M17" s="39"/>
      <c r="N17" s="39"/>
      <c r="O17" s="39"/>
      <c r="P17" s="39"/>
      <c r="Q17" s="39"/>
      <c r="R17" s="39"/>
      <c r="S17" s="39"/>
      <c r="T17" s="39"/>
      <c r="U17" s="39"/>
      <c r="V17" s="39"/>
      <c r="W17" s="39"/>
    </row>
    <row r="18" spans="1:23" x14ac:dyDescent="0.2">
      <c r="A18" s="66"/>
      <c r="B18" s="67">
        <f t="shared" ref="B18:B81" si="2">IF(C18="","",B17+1)</f>
        <v>3</v>
      </c>
      <c r="C18" s="68">
        <f>IF(MakeSchedule!AB18=0,"",MakeSchedule!AB18)</f>
        <v>41844</v>
      </c>
      <c r="D18" s="69">
        <f>IF(MakeSchedule!AC18=0,"",MakeSchedule!AC18)</f>
        <v>100</v>
      </c>
      <c r="E18" s="69">
        <f>IF(MakeSchedule!AD18=0,"",MakeSchedule!AD18)</f>
        <v>125</v>
      </c>
      <c r="F18" s="73">
        <f>IF(MakeSchedule!AD18=0,"",MakeSchedule!AC18/MakeSchedule!AD18)</f>
        <v>0.8</v>
      </c>
      <c r="G18" s="73">
        <f t="shared" si="0"/>
        <v>13.888888888888889</v>
      </c>
      <c r="H18" s="73">
        <f t="shared" si="1"/>
        <v>138.88888888888889</v>
      </c>
      <c r="I18" s="69">
        <f>IF(MakeSchedule!AF18=0,"",MakeSchedule!AF18)</f>
        <v>12</v>
      </c>
      <c r="J18" s="69">
        <f>IF(I18="","",IF(MakeSchedule!AG18=0,0,MakeSchedule!AG18))</f>
        <v>24.047619047619122</v>
      </c>
      <c r="K18" s="39"/>
      <c r="L18" s="39"/>
      <c r="M18" s="39"/>
      <c r="N18" s="39"/>
      <c r="O18" s="39"/>
      <c r="P18" s="39"/>
      <c r="Q18" s="39"/>
      <c r="R18" s="39"/>
      <c r="S18" s="39"/>
      <c r="T18" s="39"/>
      <c r="U18" s="39"/>
      <c r="V18" s="39"/>
      <c r="W18" s="39"/>
    </row>
    <row r="19" spans="1:23" x14ac:dyDescent="0.2">
      <c r="A19" s="66"/>
      <c r="B19" s="67">
        <f t="shared" si="2"/>
        <v>4</v>
      </c>
      <c r="C19" s="68">
        <f>IF(MakeSchedule!AB19=0,"",MakeSchedule!AB19)</f>
        <v>41858</v>
      </c>
      <c r="D19" s="69">
        <f>IF(MakeSchedule!AC19=0,"",MakeSchedule!AC19)</f>
        <v>100</v>
      </c>
      <c r="E19" s="69">
        <f>IF(MakeSchedule!AD19=0,"",MakeSchedule!AD19)</f>
        <v>125</v>
      </c>
      <c r="F19" s="73">
        <f>IF(MakeSchedule!AD19=0,"",MakeSchedule!AC19/MakeSchedule!AD19)</f>
        <v>0.8</v>
      </c>
      <c r="G19" s="73">
        <f t="shared" si="0"/>
        <v>13.888888888888889</v>
      </c>
      <c r="H19" s="73">
        <f t="shared" si="1"/>
        <v>138.88888888888889</v>
      </c>
      <c r="I19" s="69">
        <f>IF(MakeSchedule!AF19=0,"",MakeSchedule!AF19)</f>
        <v>12</v>
      </c>
      <c r="J19" s="69">
        <f>IF(I19="","",IF(MakeSchedule!AG19=0,0,MakeSchedule!AG19))</f>
        <v>24.047619047619122</v>
      </c>
      <c r="K19" s="39"/>
      <c r="L19" s="39"/>
      <c r="M19" s="39"/>
      <c r="N19" s="39"/>
      <c r="O19" s="39"/>
      <c r="P19" s="39"/>
      <c r="Q19" s="39"/>
      <c r="R19" s="39"/>
      <c r="S19" s="39"/>
      <c r="T19" s="39"/>
      <c r="U19" s="39"/>
      <c r="V19" s="39"/>
      <c r="W19" s="39"/>
    </row>
    <row r="20" spans="1:23" x14ac:dyDescent="0.2">
      <c r="A20" s="66"/>
      <c r="B20" s="67">
        <f t="shared" si="2"/>
        <v>5</v>
      </c>
      <c r="C20" s="68">
        <f>IF(MakeSchedule!AB20=0,"",MakeSchedule!AB20)</f>
        <v>41872</v>
      </c>
      <c r="D20" s="69">
        <f>IF(MakeSchedule!AC20=0,"",MakeSchedule!AC20)</f>
        <v>100</v>
      </c>
      <c r="E20" s="69">
        <f>IF(MakeSchedule!AD20=0,"",MakeSchedule!AD20)</f>
        <v>125</v>
      </c>
      <c r="F20" s="73">
        <f>IF(MakeSchedule!AD20=0,"",MakeSchedule!AC20/MakeSchedule!AD20)</f>
        <v>0.8</v>
      </c>
      <c r="G20" s="73">
        <f t="shared" si="0"/>
        <v>13.888888888888889</v>
      </c>
      <c r="H20" s="73">
        <f t="shared" si="1"/>
        <v>138.88888888888889</v>
      </c>
      <c r="I20" s="69">
        <f>IF(MakeSchedule!AF20=0,"",MakeSchedule!AF20)</f>
        <v>12</v>
      </c>
      <c r="J20" s="69">
        <f>IF(I20="","",IF(MakeSchedule!AG20=0,0,MakeSchedule!AG20))</f>
        <v>24.047619047619122</v>
      </c>
      <c r="K20" s="39"/>
      <c r="L20" s="39"/>
      <c r="M20" s="39"/>
      <c r="N20" s="39"/>
      <c r="O20" s="39"/>
      <c r="P20" s="39"/>
      <c r="Q20" s="39"/>
      <c r="R20" s="39"/>
      <c r="S20" s="39"/>
      <c r="T20" s="39"/>
      <c r="U20" s="39"/>
      <c r="V20" s="39"/>
      <c r="W20" s="39"/>
    </row>
    <row r="21" spans="1:23" x14ac:dyDescent="0.2">
      <c r="A21" s="66"/>
      <c r="B21" s="67">
        <f t="shared" si="2"/>
        <v>6</v>
      </c>
      <c r="C21" s="68">
        <f>IF(MakeSchedule!AB21=0,"",MakeSchedule!AB21)</f>
        <v>41889</v>
      </c>
      <c r="D21" s="69">
        <f>IF(MakeSchedule!AC21=0,"",MakeSchedule!AC21)</f>
        <v>100</v>
      </c>
      <c r="E21" s="69">
        <f>IF(MakeSchedule!AD21=0,"",MakeSchedule!AD21)</f>
        <v>125</v>
      </c>
      <c r="F21" s="73">
        <f>IF(MakeSchedule!AD21=0,"",MakeSchedule!AC21/MakeSchedule!AD21)</f>
        <v>0.8</v>
      </c>
      <c r="G21" s="73">
        <f t="shared" si="0"/>
        <v>13.888888888888889</v>
      </c>
      <c r="H21" s="73">
        <f t="shared" si="1"/>
        <v>138.88888888888889</v>
      </c>
      <c r="I21" s="69">
        <f>IF(MakeSchedule!AF21=0,"",MakeSchedule!AF21)</f>
        <v>12</v>
      </c>
      <c r="J21" s="69">
        <f>IF(I21="","",IF(MakeSchedule!AG21=0,0,MakeSchedule!AG21))</f>
        <v>24.047619047619122</v>
      </c>
      <c r="K21" s="39"/>
      <c r="L21" s="39"/>
      <c r="M21" s="39"/>
      <c r="N21" s="39"/>
      <c r="O21" s="39"/>
      <c r="P21" s="39"/>
      <c r="Q21" s="39"/>
      <c r="R21" s="39"/>
      <c r="S21" s="39"/>
      <c r="T21" s="39"/>
      <c r="U21" s="39"/>
      <c r="V21" s="39"/>
      <c r="W21" s="39"/>
    </row>
    <row r="22" spans="1:23" x14ac:dyDescent="0.2">
      <c r="A22" s="66"/>
      <c r="B22" s="67" t="str">
        <f t="shared" si="2"/>
        <v/>
      </c>
      <c r="C22" s="68" t="str">
        <f>IF(MakeSchedule!AB22=0,"",MakeSchedule!AB22)</f>
        <v/>
      </c>
      <c r="D22" s="69" t="str">
        <f>IF(MakeSchedule!AC22=0,"",MakeSchedule!AC22)</f>
        <v/>
      </c>
      <c r="E22" s="69" t="str">
        <f>IF(MakeSchedule!AD22=0,"",MakeSchedule!AD22)</f>
        <v/>
      </c>
      <c r="F22" s="73" t="str">
        <f>IF(MakeSchedule!AD22=0,"",MakeSchedule!AC22/MakeSchedule!AD22)</f>
        <v/>
      </c>
      <c r="G22" s="73" t="str">
        <f t="shared" si="0"/>
        <v/>
      </c>
      <c r="H22" s="73" t="str">
        <f t="shared" si="1"/>
        <v/>
      </c>
      <c r="I22" s="69" t="str">
        <f>IF(MakeSchedule!AF22=0,"",MakeSchedule!AF22)</f>
        <v/>
      </c>
      <c r="J22" s="69" t="str">
        <f>IF(I22="","",IF(MakeSchedule!AG22=0,0,MakeSchedule!AG22))</f>
        <v/>
      </c>
      <c r="K22" s="39"/>
      <c r="L22" s="39"/>
      <c r="M22" s="39"/>
      <c r="N22" s="39"/>
      <c r="O22" s="39"/>
      <c r="P22" s="39"/>
      <c r="Q22" s="39"/>
      <c r="R22" s="39"/>
      <c r="S22" s="39"/>
      <c r="T22" s="39"/>
      <c r="U22" s="39"/>
      <c r="V22" s="39"/>
      <c r="W22" s="39"/>
    </row>
    <row r="23" spans="1:23" x14ac:dyDescent="0.2">
      <c r="A23" s="66"/>
      <c r="B23" s="67" t="str">
        <f t="shared" si="2"/>
        <v/>
      </c>
      <c r="C23" s="68" t="str">
        <f>IF(MakeSchedule!AB23=0,"",MakeSchedule!AB23)</f>
        <v/>
      </c>
      <c r="D23" s="69" t="str">
        <f>IF(MakeSchedule!AC23=0,"",MakeSchedule!AC23)</f>
        <v/>
      </c>
      <c r="E23" s="69" t="str">
        <f>IF(MakeSchedule!AD23=0,"",MakeSchedule!AD23)</f>
        <v/>
      </c>
      <c r="F23" s="73" t="str">
        <f>IF(MakeSchedule!AD23=0,"",MakeSchedule!AC23/MakeSchedule!AD23)</f>
        <v/>
      </c>
      <c r="G23" s="73" t="str">
        <f t="shared" si="0"/>
        <v/>
      </c>
      <c r="H23" s="73" t="str">
        <f t="shared" si="1"/>
        <v/>
      </c>
      <c r="I23" s="69" t="str">
        <f>IF(MakeSchedule!AF23=0,"",MakeSchedule!AF23)</f>
        <v/>
      </c>
      <c r="J23" s="69" t="str">
        <f>IF(I23="","",IF(MakeSchedule!AG23=0,0,MakeSchedule!AG23))</f>
        <v/>
      </c>
      <c r="K23" s="39"/>
      <c r="L23" s="39"/>
      <c r="M23" s="39"/>
      <c r="N23" s="39"/>
      <c r="O23" s="39"/>
      <c r="P23" s="39"/>
      <c r="Q23" s="39"/>
      <c r="R23" s="39"/>
      <c r="S23" s="39"/>
      <c r="T23" s="39"/>
      <c r="U23" s="39"/>
      <c r="V23" s="39"/>
      <c r="W23" s="39"/>
    </row>
    <row r="24" spans="1:23" x14ac:dyDescent="0.2">
      <c r="A24" s="66"/>
      <c r="B24" s="67" t="str">
        <f t="shared" si="2"/>
        <v/>
      </c>
      <c r="C24" s="68" t="str">
        <f>IF(MakeSchedule!AB24=0,"",MakeSchedule!AB24)</f>
        <v/>
      </c>
      <c r="D24" s="69" t="str">
        <f>IF(MakeSchedule!AC24=0,"",MakeSchedule!AC24)</f>
        <v/>
      </c>
      <c r="E24" s="69" t="str">
        <f>IF(MakeSchedule!AD24=0,"",MakeSchedule!AD24)</f>
        <v/>
      </c>
      <c r="F24" s="73" t="str">
        <f>IF(MakeSchedule!AD24=0,"",MakeSchedule!AC24/MakeSchedule!AD24)</f>
        <v/>
      </c>
      <c r="G24" s="73" t="str">
        <f t="shared" si="0"/>
        <v/>
      </c>
      <c r="H24" s="73" t="str">
        <f t="shared" si="1"/>
        <v/>
      </c>
      <c r="I24" s="69" t="str">
        <f>IF(MakeSchedule!AF24=0,"",MakeSchedule!AF24)</f>
        <v/>
      </c>
      <c r="J24" s="69" t="str">
        <f>IF(I24="","",IF(MakeSchedule!AG24=0,0,MakeSchedule!AG24))</f>
        <v/>
      </c>
      <c r="K24" s="39"/>
      <c r="L24" s="39"/>
      <c r="M24" s="39"/>
      <c r="N24" s="39"/>
      <c r="O24" s="39"/>
      <c r="P24" s="39"/>
      <c r="Q24" s="39"/>
      <c r="R24" s="39"/>
      <c r="S24" s="39"/>
      <c r="T24" s="39"/>
      <c r="U24" s="39"/>
      <c r="V24" s="39"/>
      <c r="W24" s="39"/>
    </row>
    <row r="25" spans="1:23" x14ac:dyDescent="0.2">
      <c r="A25" s="66"/>
      <c r="B25" s="67" t="str">
        <f t="shared" si="2"/>
        <v/>
      </c>
      <c r="C25" s="68" t="str">
        <f>IF(MakeSchedule!AB25=0,"",MakeSchedule!AB25)</f>
        <v/>
      </c>
      <c r="D25" s="69" t="str">
        <f>IF(MakeSchedule!AC25=0,"",MakeSchedule!AC25)</f>
        <v/>
      </c>
      <c r="E25" s="69" t="str">
        <f>IF(MakeSchedule!AD25=0,"",MakeSchedule!AD25)</f>
        <v/>
      </c>
      <c r="F25" s="73" t="str">
        <f>IF(MakeSchedule!AD25=0,"",MakeSchedule!AC25/MakeSchedule!AD25)</f>
        <v/>
      </c>
      <c r="G25" s="73" t="str">
        <f t="shared" si="0"/>
        <v/>
      </c>
      <c r="H25" s="73" t="str">
        <f t="shared" si="1"/>
        <v/>
      </c>
      <c r="I25" s="69" t="str">
        <f>IF(MakeSchedule!AF25=0,"",MakeSchedule!AF25)</f>
        <v/>
      </c>
      <c r="J25" s="69" t="str">
        <f>IF(I25="","",IF(MakeSchedule!AG25=0,0,MakeSchedule!AG25))</f>
        <v/>
      </c>
      <c r="K25" s="39"/>
      <c r="L25" s="39"/>
      <c r="M25" s="39"/>
      <c r="N25" s="39"/>
      <c r="O25" s="39"/>
      <c r="P25" s="39"/>
      <c r="Q25" s="39"/>
      <c r="R25" s="39"/>
      <c r="S25" s="39"/>
      <c r="T25" s="39"/>
      <c r="U25" s="39"/>
      <c r="V25" s="39"/>
      <c r="W25" s="39"/>
    </row>
    <row r="26" spans="1:23" x14ac:dyDescent="0.2">
      <c r="A26" s="66"/>
      <c r="B26" s="67" t="str">
        <f t="shared" si="2"/>
        <v/>
      </c>
      <c r="C26" s="68" t="str">
        <f>IF(MakeSchedule!AB26=0,"",MakeSchedule!AB26)</f>
        <v/>
      </c>
      <c r="D26" s="69" t="str">
        <f>IF(MakeSchedule!AC26=0,"",MakeSchedule!AC26)</f>
        <v/>
      </c>
      <c r="E26" s="69" t="str">
        <f>IF(MakeSchedule!AD26=0,"",MakeSchedule!AD26)</f>
        <v/>
      </c>
      <c r="F26" s="73" t="str">
        <f>IF(MakeSchedule!AD26=0,"",MakeSchedule!AC26/MakeSchedule!AD26)</f>
        <v/>
      </c>
      <c r="G26" s="73" t="str">
        <f t="shared" si="0"/>
        <v/>
      </c>
      <c r="H26" s="73" t="str">
        <f t="shared" si="1"/>
        <v/>
      </c>
      <c r="I26" s="69" t="str">
        <f>IF(MakeSchedule!AF26=0,"",MakeSchedule!AF26)</f>
        <v/>
      </c>
      <c r="J26" s="69" t="str">
        <f>IF(I26="","",IF(MakeSchedule!AG26=0,0,MakeSchedule!AG26))</f>
        <v/>
      </c>
      <c r="K26" s="39"/>
      <c r="L26" s="39"/>
      <c r="M26" s="39"/>
      <c r="N26" s="39"/>
      <c r="O26" s="39"/>
      <c r="P26" s="39"/>
      <c r="Q26" s="39"/>
      <c r="R26" s="39"/>
      <c r="S26" s="39"/>
      <c r="T26" s="39"/>
      <c r="U26" s="39"/>
      <c r="V26" s="39"/>
      <c r="W26" s="39"/>
    </row>
    <row r="27" spans="1:23" x14ac:dyDescent="0.2">
      <c r="A27" s="66"/>
      <c r="B27" s="67" t="str">
        <f t="shared" si="2"/>
        <v/>
      </c>
      <c r="C27" s="68" t="str">
        <f>IF(MakeSchedule!AB27=0,"",MakeSchedule!AB27)</f>
        <v/>
      </c>
      <c r="D27" s="69" t="str">
        <f>IF(MakeSchedule!AC27=0,"",MakeSchedule!AC27)</f>
        <v/>
      </c>
      <c r="E27" s="69" t="str">
        <f>IF(MakeSchedule!AD27=0,"",MakeSchedule!AD27)</f>
        <v/>
      </c>
      <c r="F27" s="73" t="str">
        <f>IF(MakeSchedule!AD27=0,"",MakeSchedule!AC27/MakeSchedule!AD27)</f>
        <v/>
      </c>
      <c r="G27" s="73" t="str">
        <f t="shared" si="0"/>
        <v/>
      </c>
      <c r="H27" s="73" t="str">
        <f t="shared" si="1"/>
        <v/>
      </c>
      <c r="I27" s="69" t="str">
        <f>IF(MakeSchedule!AF27=0,"",MakeSchedule!AF27)</f>
        <v/>
      </c>
      <c r="J27" s="69" t="str">
        <f>IF(I27="","",IF(MakeSchedule!AG27=0,0,MakeSchedule!AG27))</f>
        <v/>
      </c>
      <c r="K27" s="39"/>
      <c r="L27" s="39"/>
      <c r="M27" s="39"/>
      <c r="N27" s="39"/>
      <c r="O27" s="39"/>
      <c r="P27" s="39"/>
      <c r="Q27" s="39"/>
      <c r="R27" s="39"/>
      <c r="S27" s="39"/>
      <c r="T27" s="39"/>
      <c r="U27" s="39"/>
      <c r="V27" s="39"/>
      <c r="W27" s="39"/>
    </row>
    <row r="28" spans="1:23" x14ac:dyDescent="0.2">
      <c r="A28" s="66"/>
      <c r="B28" s="67" t="str">
        <f t="shared" si="2"/>
        <v/>
      </c>
      <c r="C28" s="68" t="str">
        <f>IF(MakeSchedule!AB28=0,"",MakeSchedule!AB28)</f>
        <v/>
      </c>
      <c r="D28" s="69" t="str">
        <f>IF(MakeSchedule!AC28=0,"",MakeSchedule!AC28)</f>
        <v/>
      </c>
      <c r="E28" s="69" t="str">
        <f>IF(MakeSchedule!AD28=0,"",MakeSchedule!AD28)</f>
        <v/>
      </c>
      <c r="F28" s="73" t="str">
        <f>IF(MakeSchedule!AD28=0,"",MakeSchedule!AC28/MakeSchedule!AD28)</f>
        <v/>
      </c>
      <c r="G28" s="73" t="str">
        <f t="shared" si="0"/>
        <v/>
      </c>
      <c r="H28" s="73" t="str">
        <f t="shared" si="1"/>
        <v/>
      </c>
      <c r="I28" s="69" t="str">
        <f>IF(MakeSchedule!AF28=0,"",MakeSchedule!AF28)</f>
        <v/>
      </c>
      <c r="J28" s="69" t="str">
        <f>IF(I28="","",IF(MakeSchedule!AG28=0,0,MakeSchedule!AG28))</f>
        <v/>
      </c>
      <c r="K28" s="39"/>
      <c r="L28" s="39"/>
      <c r="M28" s="39"/>
      <c r="N28" s="39"/>
      <c r="O28" s="39"/>
      <c r="P28" s="39"/>
      <c r="Q28" s="39"/>
      <c r="R28" s="39"/>
      <c r="S28" s="39"/>
      <c r="T28" s="39"/>
      <c r="U28" s="39"/>
      <c r="V28" s="39"/>
      <c r="W28" s="39"/>
    </row>
    <row r="29" spans="1:23" x14ac:dyDescent="0.2">
      <c r="A29" s="66"/>
      <c r="B29" s="67" t="str">
        <f t="shared" si="2"/>
        <v/>
      </c>
      <c r="C29" s="68" t="str">
        <f>IF(MakeSchedule!AB29=0,"",MakeSchedule!AB29)</f>
        <v/>
      </c>
      <c r="D29" s="69" t="str">
        <f>IF(MakeSchedule!AC29=0,"",MakeSchedule!AC29)</f>
        <v/>
      </c>
      <c r="E29" s="69" t="str">
        <f>IF(MakeSchedule!AD29=0,"",MakeSchedule!AD29)</f>
        <v/>
      </c>
      <c r="F29" s="73" t="str">
        <f>IF(MakeSchedule!AD29=0,"",MakeSchedule!AC29/MakeSchedule!AD29)</f>
        <v/>
      </c>
      <c r="G29" s="73" t="str">
        <f t="shared" si="0"/>
        <v/>
      </c>
      <c r="H29" s="73" t="str">
        <f t="shared" si="1"/>
        <v/>
      </c>
      <c r="I29" s="69" t="str">
        <f>IF(MakeSchedule!AF29=0,"",MakeSchedule!AF29)</f>
        <v/>
      </c>
      <c r="J29" s="69" t="str">
        <f>IF(I29="","",IF(MakeSchedule!AG29=0,0,MakeSchedule!AG29))</f>
        <v/>
      </c>
      <c r="K29" s="39"/>
      <c r="L29" s="39"/>
      <c r="M29" s="39"/>
      <c r="N29" s="39"/>
      <c r="O29" s="39"/>
      <c r="P29" s="39"/>
      <c r="Q29" s="39"/>
      <c r="R29" s="39"/>
      <c r="S29" s="39"/>
      <c r="T29" s="39"/>
      <c r="U29" s="39"/>
      <c r="V29" s="39"/>
      <c r="W29" s="39"/>
    </row>
    <row r="30" spans="1:23" x14ac:dyDescent="0.2">
      <c r="A30" s="66"/>
      <c r="B30" s="67" t="str">
        <f t="shared" si="2"/>
        <v/>
      </c>
      <c r="C30" s="68" t="str">
        <f>IF(MakeSchedule!AB30=0,"",MakeSchedule!AB30)</f>
        <v/>
      </c>
      <c r="D30" s="69" t="str">
        <f>IF(MakeSchedule!AC30=0,"",MakeSchedule!AC30)</f>
        <v/>
      </c>
      <c r="E30" s="69" t="str">
        <f>IF(MakeSchedule!AD30=0,"",MakeSchedule!AD30)</f>
        <v/>
      </c>
      <c r="F30" s="73" t="str">
        <f>IF(MakeSchedule!AD30=0,"",MakeSchedule!AC30/MakeSchedule!AD30)</f>
        <v/>
      </c>
      <c r="G30" s="73" t="str">
        <f t="shared" si="0"/>
        <v/>
      </c>
      <c r="H30" s="73" t="str">
        <f t="shared" si="1"/>
        <v/>
      </c>
      <c r="I30" s="69" t="str">
        <f>IF(MakeSchedule!AF30=0,"",MakeSchedule!AF30)</f>
        <v/>
      </c>
      <c r="J30" s="69" t="str">
        <f>IF(I30="","",IF(MakeSchedule!AG30=0,0,MakeSchedule!AG30))</f>
        <v/>
      </c>
      <c r="K30" s="39"/>
      <c r="L30" s="39"/>
      <c r="M30" s="39"/>
      <c r="N30" s="39"/>
      <c r="O30" s="39"/>
      <c r="P30" s="39"/>
      <c r="Q30" s="39"/>
      <c r="R30" s="39"/>
      <c r="S30" s="39"/>
      <c r="T30" s="39"/>
      <c r="U30" s="39"/>
      <c r="V30" s="39"/>
      <c r="W30" s="39"/>
    </row>
    <row r="31" spans="1:23" x14ac:dyDescent="0.2">
      <c r="A31" s="66"/>
      <c r="B31" s="67" t="str">
        <f t="shared" si="2"/>
        <v/>
      </c>
      <c r="C31" s="68" t="str">
        <f>IF(MakeSchedule!AB31=0,"",MakeSchedule!AB31)</f>
        <v/>
      </c>
      <c r="D31" s="69" t="str">
        <f>IF(MakeSchedule!AC31=0,"",MakeSchedule!AC31)</f>
        <v/>
      </c>
      <c r="E31" s="69" t="str">
        <f>IF(MakeSchedule!AD31=0,"",MakeSchedule!AD31)</f>
        <v/>
      </c>
      <c r="F31" s="73" t="str">
        <f>IF(MakeSchedule!AD31=0,"",MakeSchedule!AC31/MakeSchedule!AD31)</f>
        <v/>
      </c>
      <c r="G31" s="73" t="str">
        <f t="shared" si="0"/>
        <v/>
      </c>
      <c r="H31" s="73" t="str">
        <f t="shared" si="1"/>
        <v/>
      </c>
      <c r="I31" s="69" t="str">
        <f>IF(MakeSchedule!AF31=0,"",MakeSchedule!AF31)</f>
        <v/>
      </c>
      <c r="J31" s="69" t="str">
        <f>IF(I31="","",IF(MakeSchedule!AG31=0,0,MakeSchedule!AG31))</f>
        <v/>
      </c>
      <c r="K31" s="39"/>
      <c r="L31" s="39"/>
      <c r="M31" s="39"/>
      <c r="N31" s="39"/>
      <c r="O31" s="39"/>
      <c r="P31" s="39"/>
      <c r="Q31" s="39"/>
      <c r="R31" s="39"/>
      <c r="S31" s="39"/>
      <c r="T31" s="39"/>
      <c r="U31" s="39"/>
      <c r="V31" s="39"/>
      <c r="W31" s="39"/>
    </row>
    <row r="32" spans="1:23" x14ac:dyDescent="0.2">
      <c r="A32" s="66"/>
      <c r="B32" s="67" t="str">
        <f t="shared" si="2"/>
        <v/>
      </c>
      <c r="C32" s="68" t="str">
        <f>IF(MakeSchedule!AB32=0,"",MakeSchedule!AB32)</f>
        <v/>
      </c>
      <c r="D32" s="69" t="str">
        <f>IF(MakeSchedule!AC32=0,"",MakeSchedule!AC32)</f>
        <v/>
      </c>
      <c r="E32" s="69" t="str">
        <f>IF(MakeSchedule!AD32=0,"",MakeSchedule!AD32)</f>
        <v/>
      </c>
      <c r="F32" s="73" t="str">
        <f>IF(MakeSchedule!AD32=0,"",MakeSchedule!AC32/MakeSchedule!AD32)</f>
        <v/>
      </c>
      <c r="G32" s="73" t="str">
        <f t="shared" si="0"/>
        <v/>
      </c>
      <c r="H32" s="73" t="str">
        <f t="shared" si="1"/>
        <v/>
      </c>
      <c r="I32" s="69" t="str">
        <f>IF(MakeSchedule!AF32=0,"",MakeSchedule!AF32)</f>
        <v/>
      </c>
      <c r="J32" s="69" t="str">
        <f>IF(I32="","",IF(MakeSchedule!AG32=0,0,MakeSchedule!AG32))</f>
        <v/>
      </c>
      <c r="K32" s="39"/>
      <c r="L32" s="39"/>
      <c r="M32" s="39"/>
      <c r="N32" s="39"/>
      <c r="O32" s="39"/>
      <c r="P32" s="39"/>
      <c r="Q32" s="39"/>
      <c r="R32" s="39"/>
      <c r="S32" s="39"/>
      <c r="T32" s="39"/>
      <c r="U32" s="39"/>
      <c r="V32" s="39"/>
      <c r="W32" s="39"/>
    </row>
    <row r="33" spans="1:23" x14ac:dyDescent="0.2">
      <c r="A33" s="66"/>
      <c r="B33" s="67" t="str">
        <f t="shared" si="2"/>
        <v/>
      </c>
      <c r="C33" s="68" t="str">
        <f>IF(MakeSchedule!AB33=0,"",MakeSchedule!AB33)</f>
        <v/>
      </c>
      <c r="D33" s="69" t="str">
        <f>IF(MakeSchedule!AC33=0,"",MakeSchedule!AC33)</f>
        <v/>
      </c>
      <c r="E33" s="69" t="str">
        <f>IF(MakeSchedule!AD33=0,"",MakeSchedule!AD33)</f>
        <v/>
      </c>
      <c r="F33" s="73" t="str">
        <f>IF(MakeSchedule!AD33=0,"",MakeSchedule!AC33/MakeSchedule!AD33)</f>
        <v/>
      </c>
      <c r="G33" s="73" t="str">
        <f t="shared" si="0"/>
        <v/>
      </c>
      <c r="H33" s="73" t="str">
        <f t="shared" si="1"/>
        <v/>
      </c>
      <c r="I33" s="69" t="str">
        <f>IF(MakeSchedule!AF33=0,"",MakeSchedule!AF33)</f>
        <v/>
      </c>
      <c r="J33" s="69" t="str">
        <f>IF(I33="","",IF(MakeSchedule!AG33=0,0,MakeSchedule!AG33))</f>
        <v/>
      </c>
      <c r="K33" s="39"/>
      <c r="L33" s="39"/>
      <c r="M33" s="39"/>
      <c r="N33" s="39"/>
      <c r="O33" s="39"/>
      <c r="P33" s="39"/>
      <c r="Q33" s="39"/>
      <c r="R33" s="39"/>
      <c r="S33" s="39"/>
      <c r="T33" s="39"/>
      <c r="U33" s="39"/>
      <c r="V33" s="39"/>
      <c r="W33" s="39"/>
    </row>
    <row r="34" spans="1:23" x14ac:dyDescent="0.2">
      <c r="A34" s="66"/>
      <c r="B34" s="67" t="str">
        <f t="shared" si="2"/>
        <v/>
      </c>
      <c r="C34" s="68" t="str">
        <f>IF(MakeSchedule!AB34=0,"",MakeSchedule!AB34)</f>
        <v/>
      </c>
      <c r="D34" s="69" t="str">
        <f>IF(MakeSchedule!AC34=0,"",MakeSchedule!AC34)</f>
        <v/>
      </c>
      <c r="E34" s="69" t="str">
        <f>IF(MakeSchedule!AD34=0,"",MakeSchedule!AD34)</f>
        <v/>
      </c>
      <c r="F34" s="73" t="str">
        <f>IF(MakeSchedule!AD34=0,"",MakeSchedule!AC34/MakeSchedule!AD34)</f>
        <v/>
      </c>
      <c r="G34" s="73" t="str">
        <f t="shared" si="0"/>
        <v/>
      </c>
      <c r="H34" s="73" t="str">
        <f t="shared" si="1"/>
        <v/>
      </c>
      <c r="I34" s="69" t="str">
        <f>IF(MakeSchedule!AF34=0,"",MakeSchedule!AF34)</f>
        <v/>
      </c>
      <c r="J34" s="69" t="str">
        <f>IF(I34="","",IF(MakeSchedule!AG34=0,0,MakeSchedule!AG34))</f>
        <v/>
      </c>
      <c r="K34" s="39"/>
      <c r="L34" s="39"/>
      <c r="M34" s="39"/>
      <c r="N34" s="39"/>
      <c r="O34" s="39"/>
      <c r="P34" s="39"/>
      <c r="Q34" s="39"/>
      <c r="R34" s="39"/>
      <c r="S34" s="39"/>
      <c r="T34" s="39"/>
      <c r="U34" s="39"/>
      <c r="V34" s="39"/>
      <c r="W34" s="39"/>
    </row>
    <row r="35" spans="1:23" x14ac:dyDescent="0.2">
      <c r="A35" s="66"/>
      <c r="B35" s="67" t="str">
        <f t="shared" si="2"/>
        <v/>
      </c>
      <c r="C35" s="68" t="str">
        <f>IF(MakeSchedule!AB35=0,"",MakeSchedule!AB35)</f>
        <v/>
      </c>
      <c r="D35" s="69" t="str">
        <f>IF(MakeSchedule!AC35=0,"",MakeSchedule!AC35)</f>
        <v/>
      </c>
      <c r="E35" s="69" t="str">
        <f>IF(MakeSchedule!AD35=0,"",MakeSchedule!AD35)</f>
        <v/>
      </c>
      <c r="F35" s="73" t="str">
        <f>IF(MakeSchedule!AD35=0,"",MakeSchedule!AC35/MakeSchedule!AD35)</f>
        <v/>
      </c>
      <c r="G35" s="73" t="str">
        <f t="shared" si="0"/>
        <v/>
      </c>
      <c r="H35" s="73" t="str">
        <f t="shared" si="1"/>
        <v/>
      </c>
      <c r="I35" s="69" t="str">
        <f>IF(MakeSchedule!AF35=0,"",MakeSchedule!AF35)</f>
        <v/>
      </c>
      <c r="J35" s="69" t="str">
        <f>IF(I35="","",IF(MakeSchedule!AG35=0,0,MakeSchedule!AG35))</f>
        <v/>
      </c>
      <c r="K35" s="39"/>
      <c r="L35" s="39"/>
      <c r="M35" s="39"/>
      <c r="N35" s="39"/>
      <c r="O35" s="39"/>
      <c r="P35" s="39"/>
      <c r="Q35" s="39"/>
      <c r="R35" s="39"/>
      <c r="S35" s="39"/>
      <c r="T35" s="39"/>
      <c r="U35" s="39"/>
      <c r="V35" s="39"/>
      <c r="W35" s="39"/>
    </row>
    <row r="36" spans="1:23" x14ac:dyDescent="0.2">
      <c r="A36" s="66"/>
      <c r="B36" s="67" t="str">
        <f t="shared" si="2"/>
        <v/>
      </c>
      <c r="C36" s="68" t="str">
        <f>IF(MakeSchedule!AB36=0,"",MakeSchedule!AB36)</f>
        <v/>
      </c>
      <c r="D36" s="69" t="str">
        <f>IF(MakeSchedule!AC36=0,"",MakeSchedule!AC36)</f>
        <v/>
      </c>
      <c r="E36" s="69" t="str">
        <f>IF(MakeSchedule!AD36=0,"",MakeSchedule!AD36)</f>
        <v/>
      </c>
      <c r="F36" s="73" t="str">
        <f>IF(MakeSchedule!AD36=0,"",MakeSchedule!AC36/MakeSchedule!AD36)</f>
        <v/>
      </c>
      <c r="G36" s="73" t="str">
        <f t="shared" si="0"/>
        <v/>
      </c>
      <c r="H36" s="73" t="str">
        <f t="shared" si="1"/>
        <v/>
      </c>
      <c r="I36" s="69" t="str">
        <f>IF(MakeSchedule!AF36=0,"",MakeSchedule!AF36)</f>
        <v/>
      </c>
      <c r="J36" s="69" t="str">
        <f>IF(I36="","",IF(MakeSchedule!AG36=0,0,MakeSchedule!AG36))</f>
        <v/>
      </c>
      <c r="K36" s="39"/>
      <c r="L36" s="39"/>
      <c r="M36" s="39"/>
      <c r="N36" s="39"/>
      <c r="O36" s="39"/>
      <c r="P36" s="39"/>
      <c r="Q36" s="39"/>
      <c r="R36" s="39"/>
      <c r="S36" s="39"/>
      <c r="T36" s="39"/>
      <c r="U36" s="39"/>
      <c r="V36" s="39"/>
      <c r="W36" s="39"/>
    </row>
    <row r="37" spans="1:23" x14ac:dyDescent="0.2">
      <c r="A37" s="66"/>
      <c r="B37" s="67" t="str">
        <f t="shared" si="2"/>
        <v/>
      </c>
      <c r="C37" s="68" t="str">
        <f>IF(MakeSchedule!AB37=0,"",MakeSchedule!AB37)</f>
        <v/>
      </c>
      <c r="D37" s="69" t="str">
        <f>IF(MakeSchedule!AC37=0,"",MakeSchedule!AC37)</f>
        <v/>
      </c>
      <c r="E37" s="69" t="str">
        <f>IF(MakeSchedule!AD37=0,"",MakeSchedule!AD37)</f>
        <v/>
      </c>
      <c r="F37" s="73" t="str">
        <f>IF(MakeSchedule!AD37=0,"",MakeSchedule!AC37/MakeSchedule!AD37)</f>
        <v/>
      </c>
      <c r="G37" s="73" t="str">
        <f t="shared" si="0"/>
        <v/>
      </c>
      <c r="H37" s="73" t="str">
        <f t="shared" si="1"/>
        <v/>
      </c>
      <c r="I37" s="69" t="str">
        <f>IF(MakeSchedule!AF37=0,"",MakeSchedule!AF37)</f>
        <v/>
      </c>
      <c r="J37" s="69" t="str">
        <f>IF(I37="","",IF(MakeSchedule!AG37=0,0,MakeSchedule!AG37))</f>
        <v/>
      </c>
      <c r="K37" s="39"/>
      <c r="L37" s="39"/>
      <c r="M37" s="39"/>
      <c r="N37" s="39"/>
      <c r="O37" s="39"/>
      <c r="P37" s="39"/>
      <c r="Q37" s="39"/>
      <c r="R37" s="39"/>
      <c r="S37" s="39"/>
      <c r="T37" s="39"/>
      <c r="U37" s="39"/>
      <c r="V37" s="39"/>
      <c r="W37" s="39"/>
    </row>
    <row r="38" spans="1:23" x14ac:dyDescent="0.2">
      <c r="A38" s="66"/>
      <c r="B38" s="67" t="str">
        <f t="shared" si="2"/>
        <v/>
      </c>
      <c r="C38" s="68" t="str">
        <f>IF(MakeSchedule!AB38=0,"",MakeSchedule!AB38)</f>
        <v/>
      </c>
      <c r="D38" s="69" t="str">
        <f>IF(MakeSchedule!AC38=0,"",MakeSchedule!AC38)</f>
        <v/>
      </c>
      <c r="E38" s="69" t="str">
        <f>IF(MakeSchedule!AD38=0,"",MakeSchedule!AD38)</f>
        <v/>
      </c>
      <c r="F38" s="73" t="str">
        <f>IF(MakeSchedule!AD38=0,"",MakeSchedule!AC38/MakeSchedule!AD38)</f>
        <v/>
      </c>
      <c r="G38" s="73" t="str">
        <f t="shared" si="0"/>
        <v/>
      </c>
      <c r="H38" s="73" t="str">
        <f t="shared" si="1"/>
        <v/>
      </c>
      <c r="I38" s="69" t="str">
        <f>IF(MakeSchedule!AF38=0,"",MakeSchedule!AF38)</f>
        <v/>
      </c>
      <c r="J38" s="69" t="str">
        <f>IF(I38="","",IF(MakeSchedule!AG38=0,0,MakeSchedule!AG38))</f>
        <v/>
      </c>
      <c r="K38" s="39"/>
      <c r="L38" s="39"/>
      <c r="M38" s="39"/>
      <c r="N38" s="39"/>
      <c r="O38" s="39"/>
      <c r="P38" s="39"/>
      <c r="Q38" s="39"/>
      <c r="R38" s="39"/>
      <c r="S38" s="39"/>
      <c r="T38" s="39"/>
      <c r="U38" s="39"/>
      <c r="V38" s="39"/>
      <c r="W38" s="39"/>
    </row>
    <row r="39" spans="1:23" x14ac:dyDescent="0.2">
      <c r="A39" s="66"/>
      <c r="B39" s="67" t="str">
        <f t="shared" si="2"/>
        <v/>
      </c>
      <c r="C39" s="68" t="str">
        <f>IF(MakeSchedule!AB39=0,"",MakeSchedule!AB39)</f>
        <v/>
      </c>
      <c r="D39" s="69" t="str">
        <f>IF(MakeSchedule!AC39=0,"",MakeSchedule!AC39)</f>
        <v/>
      </c>
      <c r="E39" s="69" t="str">
        <f>IF(MakeSchedule!AD39=0,"",MakeSchedule!AD39)</f>
        <v/>
      </c>
      <c r="F39" s="73" t="str">
        <f>IF(MakeSchedule!AD39=0,"",MakeSchedule!AC39/MakeSchedule!AD39)</f>
        <v/>
      </c>
      <c r="G39" s="73" t="str">
        <f t="shared" si="0"/>
        <v/>
      </c>
      <c r="H39" s="73" t="str">
        <f t="shared" si="1"/>
        <v/>
      </c>
      <c r="I39" s="69" t="str">
        <f>IF(MakeSchedule!AF39=0,"",MakeSchedule!AF39)</f>
        <v/>
      </c>
      <c r="J39" s="69" t="str">
        <f>IF(I39="","",IF(MakeSchedule!AG39=0,0,MakeSchedule!AG39))</f>
        <v/>
      </c>
      <c r="K39" s="39"/>
      <c r="L39" s="39"/>
      <c r="M39" s="39"/>
      <c r="N39" s="39"/>
      <c r="O39" s="39"/>
      <c r="P39" s="39"/>
      <c r="Q39" s="39"/>
      <c r="R39" s="39"/>
      <c r="S39" s="39"/>
      <c r="T39" s="39"/>
      <c r="U39" s="39"/>
      <c r="V39" s="39"/>
      <c r="W39" s="39"/>
    </row>
    <row r="40" spans="1:23" x14ac:dyDescent="0.2">
      <c r="A40" s="66"/>
      <c r="B40" s="67" t="str">
        <f t="shared" si="2"/>
        <v/>
      </c>
      <c r="C40" s="68" t="str">
        <f>IF(MakeSchedule!AB40=0,"",MakeSchedule!AB40)</f>
        <v/>
      </c>
      <c r="D40" s="69" t="str">
        <f>IF(MakeSchedule!AC40=0,"",MakeSchedule!AC40)</f>
        <v/>
      </c>
      <c r="E40" s="69" t="str">
        <f>IF(MakeSchedule!AD40=0,"",MakeSchedule!AD40)</f>
        <v/>
      </c>
      <c r="F40" s="73" t="str">
        <f>IF(MakeSchedule!AD40=0,"",MakeSchedule!AC40/MakeSchedule!AD40)</f>
        <v/>
      </c>
      <c r="G40" s="73" t="str">
        <f t="shared" si="0"/>
        <v/>
      </c>
      <c r="H40" s="73" t="str">
        <f t="shared" si="1"/>
        <v/>
      </c>
      <c r="I40" s="69" t="str">
        <f>IF(MakeSchedule!AF40=0,"",MakeSchedule!AF40)</f>
        <v/>
      </c>
      <c r="J40" s="69" t="str">
        <f>IF(I40="","",IF(MakeSchedule!AG40=0,0,MakeSchedule!AG40))</f>
        <v/>
      </c>
      <c r="K40" s="39"/>
      <c r="L40" s="39"/>
      <c r="M40" s="39"/>
      <c r="N40" s="39"/>
      <c r="O40" s="39"/>
      <c r="P40" s="39"/>
      <c r="Q40" s="39"/>
      <c r="R40" s="39"/>
      <c r="S40" s="39"/>
      <c r="T40" s="39"/>
      <c r="U40" s="39"/>
      <c r="V40" s="39"/>
      <c r="W40" s="39"/>
    </row>
    <row r="41" spans="1:23" x14ac:dyDescent="0.2">
      <c r="A41" s="66"/>
      <c r="B41" s="67" t="str">
        <f t="shared" si="2"/>
        <v/>
      </c>
      <c r="C41" s="68" t="str">
        <f>IF(MakeSchedule!AB41=0,"",MakeSchedule!AB41)</f>
        <v/>
      </c>
      <c r="D41" s="69" t="str">
        <f>IF(MakeSchedule!AC41=0,"",MakeSchedule!AC41)</f>
        <v/>
      </c>
      <c r="E41" s="69" t="str">
        <f>IF(MakeSchedule!AD41=0,"",MakeSchedule!AD41)</f>
        <v/>
      </c>
      <c r="F41" s="73" t="str">
        <f>IF(MakeSchedule!AD41=0,"",MakeSchedule!AC41/MakeSchedule!AD41)</f>
        <v/>
      </c>
      <c r="G41" s="73" t="str">
        <f t="shared" si="0"/>
        <v/>
      </c>
      <c r="H41" s="73" t="str">
        <f t="shared" si="1"/>
        <v/>
      </c>
      <c r="I41" s="69" t="str">
        <f>IF(MakeSchedule!AF41=0,"",MakeSchedule!AF41)</f>
        <v/>
      </c>
      <c r="J41" s="69" t="str">
        <f>IF(I41="","",IF(MakeSchedule!AG41=0,0,MakeSchedule!AG41))</f>
        <v/>
      </c>
      <c r="K41" s="39"/>
      <c r="L41" s="39"/>
      <c r="M41" s="39"/>
      <c r="N41" s="39"/>
      <c r="O41" s="39"/>
      <c r="P41" s="39"/>
      <c r="Q41" s="39"/>
      <c r="R41" s="39"/>
      <c r="S41" s="39"/>
      <c r="T41" s="39"/>
      <c r="U41" s="39"/>
      <c r="V41" s="39"/>
      <c r="W41" s="39"/>
    </row>
    <row r="42" spans="1:23" x14ac:dyDescent="0.2">
      <c r="A42" s="66"/>
      <c r="B42" s="67" t="str">
        <f t="shared" si="2"/>
        <v/>
      </c>
      <c r="C42" s="68" t="str">
        <f>IF(MakeSchedule!AB42=0,"",MakeSchedule!AB42)</f>
        <v/>
      </c>
      <c r="D42" s="69" t="str">
        <f>IF(MakeSchedule!AC42=0,"",MakeSchedule!AC42)</f>
        <v/>
      </c>
      <c r="E42" s="69" t="str">
        <f>IF(MakeSchedule!AD42=0,"",MakeSchedule!AD42)</f>
        <v/>
      </c>
      <c r="F42" s="73" t="str">
        <f>IF(MakeSchedule!AD42=0,"",MakeSchedule!AC42/MakeSchedule!AD42)</f>
        <v/>
      </c>
      <c r="G42" s="73" t="str">
        <f t="shared" si="0"/>
        <v/>
      </c>
      <c r="H42" s="73" t="str">
        <f t="shared" si="1"/>
        <v/>
      </c>
      <c r="I42" s="69" t="str">
        <f>IF(MakeSchedule!AF42=0,"",MakeSchedule!AF42)</f>
        <v/>
      </c>
      <c r="J42" s="69" t="str">
        <f>IF(I42="","",IF(MakeSchedule!AG42=0,0,MakeSchedule!AG42))</f>
        <v/>
      </c>
      <c r="K42" s="39"/>
      <c r="L42" s="39"/>
      <c r="M42" s="39"/>
      <c r="N42" s="39"/>
      <c r="O42" s="39"/>
      <c r="P42" s="39"/>
      <c r="Q42" s="39"/>
      <c r="R42" s="39"/>
      <c r="S42" s="39"/>
      <c r="T42" s="39"/>
      <c r="U42" s="39"/>
      <c r="V42" s="39"/>
      <c r="W42" s="39"/>
    </row>
    <row r="43" spans="1:23" x14ac:dyDescent="0.2">
      <c r="A43" s="66"/>
      <c r="B43" s="67" t="str">
        <f t="shared" si="2"/>
        <v/>
      </c>
      <c r="C43" s="68" t="str">
        <f>IF(MakeSchedule!AB43=0,"",MakeSchedule!AB43)</f>
        <v/>
      </c>
      <c r="D43" s="69" t="str">
        <f>IF(MakeSchedule!AC43=0,"",MakeSchedule!AC43)</f>
        <v/>
      </c>
      <c r="E43" s="69" t="str">
        <f>IF(MakeSchedule!AD43=0,"",MakeSchedule!AD43)</f>
        <v/>
      </c>
      <c r="F43" s="73" t="str">
        <f>IF(MakeSchedule!AD43=0,"",MakeSchedule!AC43/MakeSchedule!AD43)</f>
        <v/>
      </c>
      <c r="G43" s="73" t="str">
        <f t="shared" si="0"/>
        <v/>
      </c>
      <c r="H43" s="73" t="str">
        <f t="shared" si="1"/>
        <v/>
      </c>
      <c r="I43" s="69" t="str">
        <f>IF(MakeSchedule!AF43=0,"",MakeSchedule!AF43)</f>
        <v/>
      </c>
      <c r="J43" s="69" t="str">
        <f>IF(I43="","",IF(MakeSchedule!AG43=0,0,MakeSchedule!AG43))</f>
        <v/>
      </c>
      <c r="K43" s="39"/>
      <c r="L43" s="39"/>
      <c r="M43" s="39"/>
      <c r="N43" s="39"/>
      <c r="O43" s="39"/>
      <c r="P43" s="39"/>
      <c r="Q43" s="39"/>
      <c r="R43" s="39"/>
      <c r="S43" s="39"/>
      <c r="T43" s="39"/>
      <c r="U43" s="39"/>
      <c r="V43" s="39"/>
      <c r="W43" s="39"/>
    </row>
    <row r="44" spans="1:23" x14ac:dyDescent="0.2">
      <c r="A44" s="66"/>
      <c r="B44" s="67" t="str">
        <f t="shared" si="2"/>
        <v/>
      </c>
      <c r="C44" s="68" t="str">
        <f>IF(MakeSchedule!AB44=0,"",MakeSchedule!AB44)</f>
        <v/>
      </c>
      <c r="D44" s="69" t="str">
        <f>IF(MakeSchedule!AC44=0,"",MakeSchedule!AC44)</f>
        <v/>
      </c>
      <c r="E44" s="69" t="str">
        <f>IF(MakeSchedule!AD44=0,"",MakeSchedule!AD44)</f>
        <v/>
      </c>
      <c r="F44" s="73" t="str">
        <f>IF(MakeSchedule!AD44=0,"",MakeSchedule!AC44/MakeSchedule!AD44)</f>
        <v/>
      </c>
      <c r="G44" s="73" t="str">
        <f t="shared" si="0"/>
        <v/>
      </c>
      <c r="H44" s="73" t="str">
        <f t="shared" si="1"/>
        <v/>
      </c>
      <c r="I44" s="69" t="str">
        <f>IF(MakeSchedule!AF44=0,"",MakeSchedule!AF44)</f>
        <v/>
      </c>
      <c r="J44" s="69" t="str">
        <f>IF(I44="","",IF(MakeSchedule!AG44=0,0,MakeSchedule!AG44))</f>
        <v/>
      </c>
      <c r="K44" s="39"/>
      <c r="L44" s="39"/>
      <c r="M44" s="39"/>
      <c r="N44" s="39"/>
      <c r="O44" s="39"/>
      <c r="P44" s="39"/>
      <c r="Q44" s="39"/>
      <c r="R44" s="39"/>
      <c r="S44" s="39"/>
      <c r="T44" s="39"/>
      <c r="U44" s="39"/>
      <c r="V44" s="39"/>
      <c r="W44" s="39"/>
    </row>
    <row r="45" spans="1:23" x14ac:dyDescent="0.2">
      <c r="A45" s="66"/>
      <c r="B45" s="67" t="str">
        <f t="shared" si="2"/>
        <v/>
      </c>
      <c r="C45" s="68" t="str">
        <f>IF(MakeSchedule!AB45=0,"",MakeSchedule!AB45)</f>
        <v/>
      </c>
      <c r="D45" s="69" t="str">
        <f>IF(MakeSchedule!AC45=0,"",MakeSchedule!AC45)</f>
        <v/>
      </c>
      <c r="E45" s="69" t="str">
        <f>IF(MakeSchedule!AD45=0,"",MakeSchedule!AD45)</f>
        <v/>
      </c>
      <c r="F45" s="73" t="str">
        <f>IF(MakeSchedule!AD45=0,"",MakeSchedule!AC45/MakeSchedule!AD45)</f>
        <v/>
      </c>
      <c r="G45" s="73" t="str">
        <f t="shared" si="0"/>
        <v/>
      </c>
      <c r="H45" s="73" t="str">
        <f t="shared" si="1"/>
        <v/>
      </c>
      <c r="I45" s="69" t="str">
        <f>IF(MakeSchedule!AF45=0,"",MakeSchedule!AF45)</f>
        <v/>
      </c>
      <c r="J45" s="69" t="str">
        <f>IF(I45="","",IF(MakeSchedule!AG45=0,0,MakeSchedule!AG45))</f>
        <v/>
      </c>
      <c r="K45" s="39"/>
      <c r="L45" s="39"/>
      <c r="M45" s="39"/>
      <c r="N45" s="39"/>
      <c r="O45" s="39"/>
      <c r="P45" s="39"/>
      <c r="Q45" s="39"/>
      <c r="R45" s="39"/>
      <c r="S45" s="39"/>
      <c r="T45" s="39"/>
      <c r="U45" s="39"/>
      <c r="V45" s="39"/>
      <c r="W45" s="39"/>
    </row>
    <row r="46" spans="1:23" x14ac:dyDescent="0.2">
      <c r="A46" s="66"/>
      <c r="B46" s="67" t="str">
        <f t="shared" si="2"/>
        <v/>
      </c>
      <c r="C46" s="68" t="str">
        <f>IF(MakeSchedule!AB46=0,"",MakeSchedule!AB46)</f>
        <v/>
      </c>
      <c r="D46" s="69" t="str">
        <f>IF(MakeSchedule!AC46=0,"",MakeSchedule!AC46)</f>
        <v/>
      </c>
      <c r="E46" s="69" t="str">
        <f>IF(MakeSchedule!AD46=0,"",MakeSchedule!AD46)</f>
        <v/>
      </c>
      <c r="F46" s="73" t="str">
        <f>IF(MakeSchedule!AD46=0,"",MakeSchedule!AC46/MakeSchedule!AD46)</f>
        <v/>
      </c>
      <c r="G46" s="73" t="str">
        <f t="shared" si="0"/>
        <v/>
      </c>
      <c r="H46" s="73" t="str">
        <f t="shared" si="1"/>
        <v/>
      </c>
      <c r="I46" s="69" t="str">
        <f>IF(MakeSchedule!AF46=0,"",MakeSchedule!AF46)</f>
        <v/>
      </c>
      <c r="J46" s="69" t="str">
        <f>IF(I46="","",IF(MakeSchedule!AG46=0,0,MakeSchedule!AG46))</f>
        <v/>
      </c>
      <c r="K46" s="39"/>
      <c r="L46" s="39"/>
      <c r="M46" s="39"/>
      <c r="N46" s="39"/>
      <c r="O46" s="39"/>
      <c r="P46" s="39"/>
      <c r="Q46" s="39"/>
      <c r="R46" s="39"/>
      <c r="S46" s="39"/>
      <c r="T46" s="39"/>
      <c r="U46" s="39"/>
      <c r="V46" s="39"/>
      <c r="W46" s="39"/>
    </row>
    <row r="47" spans="1:23" x14ac:dyDescent="0.2">
      <c r="A47" s="66"/>
      <c r="B47" s="67" t="str">
        <f t="shared" si="2"/>
        <v/>
      </c>
      <c r="C47" s="68" t="str">
        <f>IF(MakeSchedule!AB47=0,"",MakeSchedule!AB47)</f>
        <v/>
      </c>
      <c r="D47" s="69" t="str">
        <f>IF(MakeSchedule!AC47=0,"",MakeSchedule!AC47)</f>
        <v/>
      </c>
      <c r="E47" s="69" t="str">
        <f>IF(MakeSchedule!AD47=0,"",MakeSchedule!AD47)</f>
        <v/>
      </c>
      <c r="F47" s="73" t="str">
        <f>IF(MakeSchedule!AD47=0,"",MakeSchedule!AC47/MakeSchedule!AD47)</f>
        <v/>
      </c>
      <c r="G47" s="73" t="str">
        <f t="shared" si="0"/>
        <v/>
      </c>
      <c r="H47" s="73" t="str">
        <f t="shared" si="1"/>
        <v/>
      </c>
      <c r="I47" s="69" t="str">
        <f>IF(MakeSchedule!AF47=0,"",MakeSchedule!AF47)</f>
        <v/>
      </c>
      <c r="J47" s="69" t="str">
        <f>IF(I47="","",IF(MakeSchedule!AG47=0,0,MakeSchedule!AG47))</f>
        <v/>
      </c>
      <c r="K47" s="39"/>
      <c r="L47" s="39"/>
      <c r="M47" s="39"/>
      <c r="N47" s="39"/>
      <c r="O47" s="39"/>
      <c r="P47" s="39"/>
      <c r="Q47" s="39"/>
      <c r="R47" s="39"/>
      <c r="S47" s="39"/>
      <c r="T47" s="39"/>
      <c r="U47" s="39"/>
      <c r="V47" s="39"/>
      <c r="W47" s="39"/>
    </row>
    <row r="48" spans="1:23" x14ac:dyDescent="0.2">
      <c r="A48" s="66"/>
      <c r="B48" s="67" t="str">
        <f t="shared" si="2"/>
        <v/>
      </c>
      <c r="C48" s="68" t="str">
        <f>IF(MakeSchedule!AB48=0,"",MakeSchedule!AB48)</f>
        <v/>
      </c>
      <c r="D48" s="69" t="str">
        <f>IF(MakeSchedule!AC48=0,"",MakeSchedule!AC48)</f>
        <v/>
      </c>
      <c r="E48" s="69" t="str">
        <f>IF(MakeSchedule!AD48=0,"",MakeSchedule!AD48)</f>
        <v/>
      </c>
      <c r="F48" s="73" t="str">
        <f>IF(MakeSchedule!AD48=0,"",MakeSchedule!AC48/MakeSchedule!AD48)</f>
        <v/>
      </c>
      <c r="G48" s="73" t="str">
        <f t="shared" si="0"/>
        <v/>
      </c>
      <c r="H48" s="73" t="str">
        <f t="shared" si="1"/>
        <v/>
      </c>
      <c r="I48" s="69" t="str">
        <f>IF(MakeSchedule!AF48=0,"",MakeSchedule!AF48)</f>
        <v/>
      </c>
      <c r="J48" s="69" t="str">
        <f>IF(I48="","",IF(MakeSchedule!AG48=0,0,MakeSchedule!AG48))</f>
        <v/>
      </c>
      <c r="K48" s="39"/>
      <c r="L48" s="39"/>
      <c r="M48" s="39"/>
      <c r="N48" s="39"/>
      <c r="O48" s="39"/>
      <c r="P48" s="39"/>
      <c r="Q48" s="39"/>
      <c r="R48" s="39"/>
      <c r="S48" s="39"/>
      <c r="T48" s="39"/>
      <c r="U48" s="39"/>
      <c r="V48" s="39"/>
      <c r="W48" s="39"/>
    </row>
    <row r="49" spans="1:23" x14ac:dyDescent="0.2">
      <c r="A49" s="66"/>
      <c r="B49" s="67" t="str">
        <f t="shared" si="2"/>
        <v/>
      </c>
      <c r="C49" s="68" t="str">
        <f>IF(MakeSchedule!AB49=0,"",MakeSchedule!AB49)</f>
        <v/>
      </c>
      <c r="D49" s="69" t="str">
        <f>IF(MakeSchedule!AC49=0,"",MakeSchedule!AC49)</f>
        <v/>
      </c>
      <c r="E49" s="69" t="str">
        <f>IF(MakeSchedule!AD49=0,"",MakeSchedule!AD49)</f>
        <v/>
      </c>
      <c r="F49" s="73" t="str">
        <f>IF(MakeSchedule!AD49=0,"",MakeSchedule!AC49/MakeSchedule!AD49)</f>
        <v/>
      </c>
      <c r="G49" s="73" t="str">
        <f t="shared" si="0"/>
        <v/>
      </c>
      <c r="H49" s="73" t="str">
        <f t="shared" si="1"/>
        <v/>
      </c>
      <c r="I49" s="69" t="str">
        <f>IF(MakeSchedule!AF49=0,"",MakeSchedule!AF49)</f>
        <v/>
      </c>
      <c r="J49" s="69" t="str">
        <f>IF(I49="","",IF(MakeSchedule!AG49=0,0,MakeSchedule!AG49))</f>
        <v/>
      </c>
      <c r="K49" s="39"/>
      <c r="L49" s="39"/>
      <c r="M49" s="39"/>
      <c r="N49" s="39"/>
      <c r="O49" s="39"/>
      <c r="P49" s="39"/>
      <c r="Q49" s="39"/>
      <c r="R49" s="39"/>
      <c r="S49" s="39"/>
      <c r="T49" s="39"/>
      <c r="U49" s="39"/>
      <c r="V49" s="39"/>
      <c r="W49" s="39"/>
    </row>
    <row r="50" spans="1:23" x14ac:dyDescent="0.2">
      <c r="A50" s="66"/>
      <c r="B50" s="67" t="str">
        <f t="shared" si="2"/>
        <v/>
      </c>
      <c r="C50" s="68" t="str">
        <f>IF(MakeSchedule!AB50=0,"",MakeSchedule!AB50)</f>
        <v/>
      </c>
      <c r="D50" s="69" t="str">
        <f>IF(MakeSchedule!AC50=0,"",MakeSchedule!AC50)</f>
        <v/>
      </c>
      <c r="E50" s="69" t="str">
        <f>IF(MakeSchedule!AD50=0,"",MakeSchedule!AD50)</f>
        <v/>
      </c>
      <c r="F50" s="73" t="str">
        <f>IF(MakeSchedule!AD50=0,"",MakeSchedule!AC50/MakeSchedule!AD50)</f>
        <v/>
      </c>
      <c r="G50" s="73" t="str">
        <f t="shared" si="0"/>
        <v/>
      </c>
      <c r="H50" s="73" t="str">
        <f t="shared" si="1"/>
        <v/>
      </c>
      <c r="I50" s="69" t="str">
        <f>IF(MakeSchedule!AF50=0,"",MakeSchedule!AF50)</f>
        <v/>
      </c>
      <c r="J50" s="69" t="str">
        <f>IF(I50="","",IF(MakeSchedule!AG50=0,0,MakeSchedule!AG50))</f>
        <v/>
      </c>
      <c r="K50" s="39"/>
      <c r="L50" s="39"/>
      <c r="M50" s="39"/>
      <c r="N50" s="39"/>
      <c r="O50" s="39"/>
      <c r="P50" s="39"/>
      <c r="Q50" s="39"/>
      <c r="R50" s="39"/>
      <c r="S50" s="39"/>
      <c r="T50" s="39"/>
      <c r="U50" s="39"/>
      <c r="V50" s="39"/>
      <c r="W50" s="39"/>
    </row>
    <row r="51" spans="1:23" x14ac:dyDescent="0.2">
      <c r="A51" s="66"/>
      <c r="B51" s="67" t="str">
        <f t="shared" si="2"/>
        <v/>
      </c>
      <c r="C51" s="68" t="str">
        <f>IF(MakeSchedule!AB51=0,"",MakeSchedule!AB51)</f>
        <v/>
      </c>
      <c r="D51" s="69" t="str">
        <f>IF(MakeSchedule!AC51=0,"",MakeSchedule!AC51)</f>
        <v/>
      </c>
      <c r="E51" s="69" t="str">
        <f>IF(MakeSchedule!AD51=0,"",MakeSchedule!AD51)</f>
        <v/>
      </c>
      <c r="F51" s="73" t="str">
        <f>IF(MakeSchedule!AD51=0,"",MakeSchedule!AC51/MakeSchedule!AD51)</f>
        <v/>
      </c>
      <c r="G51" s="73" t="str">
        <f t="shared" si="0"/>
        <v/>
      </c>
      <c r="H51" s="73" t="str">
        <f t="shared" si="1"/>
        <v/>
      </c>
      <c r="I51" s="69" t="str">
        <f>IF(MakeSchedule!AF51=0,"",MakeSchedule!AF51)</f>
        <v/>
      </c>
      <c r="J51" s="69" t="str">
        <f>IF(I51="","",IF(MakeSchedule!AG51=0,0,MakeSchedule!AG51))</f>
        <v/>
      </c>
      <c r="K51" s="39"/>
      <c r="L51" s="39"/>
      <c r="M51" s="39"/>
      <c r="N51" s="39"/>
      <c r="O51" s="39"/>
      <c r="P51" s="39"/>
      <c r="Q51" s="39"/>
      <c r="R51" s="39"/>
      <c r="S51" s="39"/>
      <c r="T51" s="39"/>
      <c r="U51" s="39"/>
      <c r="V51" s="39"/>
      <c r="W51" s="39"/>
    </row>
    <row r="52" spans="1:23" x14ac:dyDescent="0.2">
      <c r="A52" s="66"/>
      <c r="B52" s="67" t="str">
        <f t="shared" si="2"/>
        <v/>
      </c>
      <c r="C52" s="68" t="str">
        <f>IF(MakeSchedule!AB52=0,"",MakeSchedule!AB52)</f>
        <v/>
      </c>
      <c r="D52" s="69" t="str">
        <f>IF(MakeSchedule!AC52=0,"",MakeSchedule!AC52)</f>
        <v/>
      </c>
      <c r="E52" s="69" t="str">
        <f>IF(MakeSchedule!AD52=0,"",MakeSchedule!AD52)</f>
        <v/>
      </c>
      <c r="F52" s="73" t="str">
        <f>IF(MakeSchedule!AD52=0,"",MakeSchedule!AC52/MakeSchedule!AD52)</f>
        <v/>
      </c>
      <c r="G52" s="73" t="str">
        <f t="shared" si="0"/>
        <v/>
      </c>
      <c r="H52" s="73" t="str">
        <f t="shared" si="1"/>
        <v/>
      </c>
      <c r="I52" s="69" t="str">
        <f>IF(MakeSchedule!AF52=0,"",MakeSchedule!AF52)</f>
        <v/>
      </c>
      <c r="J52" s="69" t="str">
        <f>IF(I52="","",IF(MakeSchedule!AG52=0,0,MakeSchedule!AG52))</f>
        <v/>
      </c>
      <c r="K52" s="39"/>
      <c r="L52" s="39"/>
      <c r="M52" s="39"/>
      <c r="N52" s="39"/>
      <c r="O52" s="39"/>
      <c r="P52" s="39"/>
      <c r="Q52" s="39"/>
      <c r="R52" s="39"/>
      <c r="S52" s="39"/>
      <c r="T52" s="39"/>
      <c r="U52" s="39"/>
      <c r="V52" s="39"/>
      <c r="W52" s="39"/>
    </row>
    <row r="53" spans="1:23" x14ac:dyDescent="0.2">
      <c r="A53" s="66"/>
      <c r="B53" s="67" t="str">
        <f t="shared" si="2"/>
        <v/>
      </c>
      <c r="C53" s="68" t="str">
        <f>IF(MakeSchedule!AB53=0,"",MakeSchedule!AB53)</f>
        <v/>
      </c>
      <c r="D53" s="69" t="str">
        <f>IF(MakeSchedule!AC53=0,"",MakeSchedule!AC53)</f>
        <v/>
      </c>
      <c r="E53" s="69" t="str">
        <f>IF(MakeSchedule!AD53=0,"",MakeSchedule!AD53)</f>
        <v/>
      </c>
      <c r="F53" s="73" t="str">
        <f>IF(MakeSchedule!AD53=0,"",MakeSchedule!AC53/MakeSchedule!AD53)</f>
        <v/>
      </c>
      <c r="G53" s="73" t="str">
        <f t="shared" si="0"/>
        <v/>
      </c>
      <c r="H53" s="73" t="str">
        <f t="shared" si="1"/>
        <v/>
      </c>
      <c r="I53" s="69" t="str">
        <f>IF(MakeSchedule!AF53=0,"",MakeSchedule!AF53)</f>
        <v/>
      </c>
      <c r="J53" s="69" t="str">
        <f>IF(I53="","",IF(MakeSchedule!AG53=0,0,MakeSchedule!AG53))</f>
        <v/>
      </c>
      <c r="K53" s="39"/>
      <c r="L53" s="39"/>
      <c r="M53" s="39"/>
      <c r="N53" s="39"/>
      <c r="O53" s="39"/>
      <c r="P53" s="39"/>
      <c r="Q53" s="39"/>
      <c r="R53" s="39"/>
      <c r="S53" s="39"/>
      <c r="T53" s="39"/>
      <c r="U53" s="39"/>
      <c r="V53" s="39"/>
      <c r="W53" s="39"/>
    </row>
    <row r="54" spans="1:23" x14ac:dyDescent="0.2">
      <c r="A54" s="66"/>
      <c r="B54" s="67" t="str">
        <f t="shared" si="2"/>
        <v/>
      </c>
      <c r="C54" s="68" t="str">
        <f>IF(MakeSchedule!AB54=0,"",MakeSchedule!AB54)</f>
        <v/>
      </c>
      <c r="D54" s="69" t="str">
        <f>IF(MakeSchedule!AC54=0,"",MakeSchedule!AC54)</f>
        <v/>
      </c>
      <c r="E54" s="69" t="str">
        <f>IF(MakeSchedule!AD54=0,"",MakeSchedule!AD54)</f>
        <v/>
      </c>
      <c r="F54" s="73" t="str">
        <f>IF(MakeSchedule!AD54=0,"",MakeSchedule!AC54/MakeSchedule!AD54)</f>
        <v/>
      </c>
      <c r="G54" s="73" t="str">
        <f t="shared" si="0"/>
        <v/>
      </c>
      <c r="H54" s="73" t="str">
        <f t="shared" si="1"/>
        <v/>
      </c>
      <c r="I54" s="69" t="str">
        <f>IF(MakeSchedule!AF54=0,"",MakeSchedule!AF54)</f>
        <v/>
      </c>
      <c r="J54" s="69" t="str">
        <f>IF(I54="","",IF(MakeSchedule!AG54=0,0,MakeSchedule!AG54))</f>
        <v/>
      </c>
      <c r="K54" s="39"/>
      <c r="L54" s="39"/>
      <c r="M54" s="39"/>
      <c r="N54" s="39"/>
      <c r="O54" s="39"/>
      <c r="P54" s="39"/>
      <c r="Q54" s="39"/>
      <c r="R54" s="39"/>
      <c r="S54" s="39"/>
      <c r="T54" s="39"/>
      <c r="U54" s="39"/>
      <c r="V54" s="39"/>
      <c r="W54" s="39"/>
    </row>
    <row r="55" spans="1:23" x14ac:dyDescent="0.2">
      <c r="A55" s="66"/>
      <c r="B55" s="67" t="str">
        <f t="shared" si="2"/>
        <v/>
      </c>
      <c r="C55" s="68" t="str">
        <f>IF(MakeSchedule!AB55=0,"",MakeSchedule!AB55)</f>
        <v/>
      </c>
      <c r="D55" s="69" t="str">
        <f>IF(MakeSchedule!AC55=0,"",MakeSchedule!AC55)</f>
        <v/>
      </c>
      <c r="E55" s="69" t="str">
        <f>IF(MakeSchedule!AD55=0,"",MakeSchedule!AD55)</f>
        <v/>
      </c>
      <c r="F55" s="73" t="str">
        <f>IF(MakeSchedule!AD55=0,"",MakeSchedule!AC55/MakeSchedule!AD55)</f>
        <v/>
      </c>
      <c r="G55" s="73" t="str">
        <f t="shared" si="0"/>
        <v/>
      </c>
      <c r="H55" s="73" t="str">
        <f t="shared" si="1"/>
        <v/>
      </c>
      <c r="I55" s="69" t="str">
        <f>IF(MakeSchedule!AF55=0,"",MakeSchedule!AF55)</f>
        <v/>
      </c>
      <c r="J55" s="69" t="str">
        <f>IF(I55="","",IF(MakeSchedule!AG55=0,0,MakeSchedule!AG55))</f>
        <v/>
      </c>
      <c r="K55" s="39"/>
      <c r="L55" s="39"/>
      <c r="M55" s="39"/>
      <c r="N55" s="39"/>
      <c r="O55" s="39"/>
      <c r="P55" s="39"/>
      <c r="Q55" s="39"/>
      <c r="R55" s="39"/>
      <c r="S55" s="39"/>
      <c r="T55" s="39"/>
      <c r="U55" s="39"/>
      <c r="V55" s="39"/>
      <c r="W55" s="39"/>
    </row>
    <row r="56" spans="1:23" x14ac:dyDescent="0.2">
      <c r="A56" s="66"/>
      <c r="B56" s="67" t="str">
        <f t="shared" si="2"/>
        <v/>
      </c>
      <c r="C56" s="68" t="str">
        <f>IF(MakeSchedule!AB56=0,"",MakeSchedule!AB56)</f>
        <v/>
      </c>
      <c r="D56" s="69" t="str">
        <f>IF(MakeSchedule!AC56=0,"",MakeSchedule!AC56)</f>
        <v/>
      </c>
      <c r="E56" s="69" t="str">
        <f>IF(MakeSchedule!AD56=0,"",MakeSchedule!AD56)</f>
        <v/>
      </c>
      <c r="F56" s="73" t="str">
        <f>IF(MakeSchedule!AD56=0,"",MakeSchedule!AC56/MakeSchedule!AD56)</f>
        <v/>
      </c>
      <c r="G56" s="73" t="str">
        <f t="shared" si="0"/>
        <v/>
      </c>
      <c r="H56" s="73" t="str">
        <f t="shared" si="1"/>
        <v/>
      </c>
      <c r="I56" s="69" t="str">
        <f>IF(MakeSchedule!AF56=0,"",MakeSchedule!AF56)</f>
        <v/>
      </c>
      <c r="J56" s="69" t="str">
        <f>IF(I56="","",IF(MakeSchedule!AG56=0,0,MakeSchedule!AG56))</f>
        <v/>
      </c>
      <c r="K56" s="39"/>
      <c r="L56" s="39"/>
      <c r="M56" s="39"/>
      <c r="N56" s="39"/>
      <c r="O56" s="39"/>
      <c r="P56" s="39"/>
      <c r="Q56" s="39"/>
      <c r="R56" s="39"/>
      <c r="S56" s="39"/>
      <c r="T56" s="39"/>
      <c r="U56" s="39"/>
      <c r="V56" s="39"/>
      <c r="W56" s="39"/>
    </row>
    <row r="57" spans="1:23" x14ac:dyDescent="0.2">
      <c r="A57" s="66"/>
      <c r="B57" s="67" t="str">
        <f t="shared" si="2"/>
        <v/>
      </c>
      <c r="C57" s="68" t="str">
        <f>IF(MakeSchedule!AB57=0,"",MakeSchedule!AB57)</f>
        <v/>
      </c>
      <c r="D57" s="69" t="str">
        <f>IF(MakeSchedule!AC57=0,"",MakeSchedule!AC57)</f>
        <v/>
      </c>
      <c r="E57" s="69" t="str">
        <f>IF(MakeSchedule!AD57=0,"",MakeSchedule!AD57)</f>
        <v/>
      </c>
      <c r="F57" s="73" t="str">
        <f>IF(MakeSchedule!AD57=0,"",MakeSchedule!AC57/MakeSchedule!AD57)</f>
        <v/>
      </c>
      <c r="G57" s="73" t="str">
        <f t="shared" si="0"/>
        <v/>
      </c>
      <c r="H57" s="73" t="str">
        <f t="shared" si="1"/>
        <v/>
      </c>
      <c r="I57" s="69" t="str">
        <f>IF(MakeSchedule!AF57=0,"",MakeSchedule!AF57)</f>
        <v/>
      </c>
      <c r="J57" s="69" t="str">
        <f>IF(I57="","",IF(MakeSchedule!AG57=0,0,MakeSchedule!AG57))</f>
        <v/>
      </c>
      <c r="K57" s="39"/>
      <c r="L57" s="39"/>
      <c r="M57" s="39"/>
      <c r="N57" s="39"/>
      <c r="O57" s="39"/>
      <c r="P57" s="39"/>
      <c r="Q57" s="39"/>
      <c r="R57" s="39"/>
      <c r="S57" s="39"/>
      <c r="T57" s="39"/>
      <c r="U57" s="39"/>
      <c r="V57" s="39"/>
      <c r="W57" s="39"/>
    </row>
    <row r="58" spans="1:23" x14ac:dyDescent="0.2">
      <c r="A58" s="66"/>
      <c r="B58" s="67" t="str">
        <f t="shared" si="2"/>
        <v/>
      </c>
      <c r="C58" s="68" t="str">
        <f>IF(MakeSchedule!AB58=0,"",MakeSchedule!AB58)</f>
        <v/>
      </c>
      <c r="D58" s="69" t="str">
        <f>IF(MakeSchedule!AC58=0,"",MakeSchedule!AC58)</f>
        <v/>
      </c>
      <c r="E58" s="69" t="str">
        <f>IF(MakeSchedule!AD58=0,"",MakeSchedule!AD58)</f>
        <v/>
      </c>
      <c r="F58" s="73" t="str">
        <f>IF(MakeSchedule!AD58=0,"",MakeSchedule!AC58/MakeSchedule!AD58)</f>
        <v/>
      </c>
      <c r="G58" s="73" t="str">
        <f t="shared" si="0"/>
        <v/>
      </c>
      <c r="H58" s="73" t="str">
        <f t="shared" si="1"/>
        <v/>
      </c>
      <c r="I58" s="69" t="str">
        <f>IF(MakeSchedule!AF58=0,"",MakeSchedule!AF58)</f>
        <v/>
      </c>
      <c r="J58" s="69" t="str">
        <f>IF(I58="","",IF(MakeSchedule!AG58=0,0,MakeSchedule!AG58))</f>
        <v/>
      </c>
      <c r="K58" s="39"/>
      <c r="L58" s="39"/>
      <c r="M58" s="39"/>
      <c r="N58" s="39"/>
      <c r="O58" s="39"/>
      <c r="P58" s="39"/>
      <c r="Q58" s="39"/>
      <c r="R58" s="39"/>
      <c r="S58" s="39"/>
      <c r="T58" s="39"/>
      <c r="U58" s="39"/>
      <c r="V58" s="39"/>
      <c r="W58" s="39"/>
    </row>
    <row r="59" spans="1:23" x14ac:dyDescent="0.2">
      <c r="A59" s="66"/>
      <c r="B59" s="67" t="str">
        <f t="shared" si="2"/>
        <v/>
      </c>
      <c r="C59" s="68" t="str">
        <f>IF(MakeSchedule!AB59=0,"",MakeSchedule!AB59)</f>
        <v/>
      </c>
      <c r="D59" s="69" t="str">
        <f>IF(MakeSchedule!AC59=0,"",MakeSchedule!AC59)</f>
        <v/>
      </c>
      <c r="E59" s="69" t="str">
        <f>IF(MakeSchedule!AD59=0,"",MakeSchedule!AD59)</f>
        <v/>
      </c>
      <c r="F59" s="73" t="str">
        <f>IF(MakeSchedule!AD59=0,"",MakeSchedule!AC59/MakeSchedule!AD59)</f>
        <v/>
      </c>
      <c r="G59" s="73" t="str">
        <f t="shared" si="0"/>
        <v/>
      </c>
      <c r="H59" s="73" t="str">
        <f t="shared" si="1"/>
        <v/>
      </c>
      <c r="I59" s="69" t="str">
        <f>IF(MakeSchedule!AF59=0,"",MakeSchedule!AF59)</f>
        <v/>
      </c>
      <c r="J59" s="69" t="str">
        <f>IF(I59="","",IF(MakeSchedule!AG59=0,0,MakeSchedule!AG59))</f>
        <v/>
      </c>
      <c r="K59" s="39"/>
      <c r="L59" s="39"/>
      <c r="M59" s="39"/>
      <c r="N59" s="39"/>
      <c r="O59" s="39"/>
      <c r="P59" s="39"/>
      <c r="Q59" s="39"/>
      <c r="R59" s="39"/>
      <c r="S59" s="39"/>
      <c r="T59" s="39"/>
      <c r="U59" s="39"/>
      <c r="V59" s="39"/>
      <c r="W59" s="39"/>
    </row>
    <row r="60" spans="1:23" x14ac:dyDescent="0.2">
      <c r="A60" s="66"/>
      <c r="B60" s="67" t="str">
        <f t="shared" si="2"/>
        <v/>
      </c>
      <c r="C60" s="68" t="str">
        <f>IF(MakeSchedule!AB60=0,"",MakeSchedule!AB60)</f>
        <v/>
      </c>
      <c r="D60" s="69" t="str">
        <f>IF(MakeSchedule!AC60=0,"",MakeSchedule!AC60)</f>
        <v/>
      </c>
      <c r="E60" s="69" t="str">
        <f>IF(MakeSchedule!AD60=0,"",MakeSchedule!AD60)</f>
        <v/>
      </c>
      <c r="F60" s="73" t="str">
        <f>IF(MakeSchedule!AD60=0,"",MakeSchedule!AC60/MakeSchedule!AD60)</f>
        <v/>
      </c>
      <c r="G60" s="73" t="str">
        <f t="shared" si="0"/>
        <v/>
      </c>
      <c r="H60" s="73" t="str">
        <f t="shared" si="1"/>
        <v/>
      </c>
      <c r="I60" s="69" t="str">
        <f>IF(MakeSchedule!AF60=0,"",MakeSchedule!AF60)</f>
        <v/>
      </c>
      <c r="J60" s="69" t="str">
        <f>IF(I60="","",IF(MakeSchedule!AG60=0,0,MakeSchedule!AG60))</f>
        <v/>
      </c>
      <c r="K60" s="39"/>
      <c r="L60" s="39"/>
      <c r="M60" s="39"/>
      <c r="N60" s="39"/>
      <c r="O60" s="39"/>
      <c r="P60" s="39"/>
      <c r="Q60" s="39"/>
      <c r="R60" s="39"/>
      <c r="S60" s="39"/>
      <c r="T60" s="39"/>
      <c r="U60" s="39"/>
      <c r="V60" s="39"/>
      <c r="W60" s="39"/>
    </row>
    <row r="61" spans="1:23" x14ac:dyDescent="0.2">
      <c r="A61" s="66"/>
      <c r="B61" s="67" t="str">
        <f t="shared" si="2"/>
        <v/>
      </c>
      <c r="C61" s="68" t="str">
        <f>IF(MakeSchedule!AB61=0,"",MakeSchedule!AB61)</f>
        <v/>
      </c>
      <c r="D61" s="69" t="str">
        <f>IF(MakeSchedule!AC61=0,"",MakeSchedule!AC61)</f>
        <v/>
      </c>
      <c r="E61" s="69" t="str">
        <f>IF(MakeSchedule!AD61=0,"",MakeSchedule!AD61)</f>
        <v/>
      </c>
      <c r="F61" s="73" t="str">
        <f>IF(MakeSchedule!AD61=0,"",MakeSchedule!AC61/MakeSchedule!AD61)</f>
        <v/>
      </c>
      <c r="G61" s="73" t="str">
        <f t="shared" si="0"/>
        <v/>
      </c>
      <c r="H61" s="73" t="str">
        <f t="shared" si="1"/>
        <v/>
      </c>
      <c r="I61" s="69" t="str">
        <f>IF(MakeSchedule!AF61=0,"",MakeSchedule!AF61)</f>
        <v/>
      </c>
      <c r="J61" s="69" t="str">
        <f>IF(I61="","",IF(MakeSchedule!AG61=0,0,MakeSchedule!AG61))</f>
        <v/>
      </c>
      <c r="K61" s="39"/>
      <c r="L61" s="39"/>
      <c r="M61" s="39"/>
      <c r="N61" s="39"/>
      <c r="O61" s="39"/>
      <c r="P61" s="39"/>
      <c r="Q61" s="39"/>
      <c r="R61" s="39"/>
      <c r="S61" s="39"/>
      <c r="T61" s="39"/>
      <c r="U61" s="39"/>
      <c r="V61" s="39"/>
      <c r="W61" s="39"/>
    </row>
    <row r="62" spans="1:23" x14ac:dyDescent="0.2">
      <c r="A62" s="66"/>
      <c r="B62" s="67" t="str">
        <f t="shared" si="2"/>
        <v/>
      </c>
      <c r="C62" s="68" t="str">
        <f>IF(MakeSchedule!AB62=0,"",MakeSchedule!AB62)</f>
        <v/>
      </c>
      <c r="D62" s="69" t="str">
        <f>IF(MakeSchedule!AC62=0,"",MakeSchedule!AC62)</f>
        <v/>
      </c>
      <c r="E62" s="69" t="str">
        <f>IF(MakeSchedule!AD62=0,"",MakeSchedule!AD62)</f>
        <v/>
      </c>
      <c r="F62" s="73" t="str">
        <f>IF(MakeSchedule!AD62=0,"",MakeSchedule!AC62/MakeSchedule!AD62)</f>
        <v/>
      </c>
      <c r="G62" s="73" t="str">
        <f t="shared" si="0"/>
        <v/>
      </c>
      <c r="H62" s="73" t="str">
        <f t="shared" si="1"/>
        <v/>
      </c>
      <c r="I62" s="69" t="str">
        <f>IF(MakeSchedule!AF62=0,"",MakeSchedule!AF62)</f>
        <v/>
      </c>
      <c r="J62" s="69" t="str">
        <f>IF(I62="","",IF(MakeSchedule!AG62=0,0,MakeSchedule!AG62))</f>
        <v/>
      </c>
      <c r="K62" s="39"/>
      <c r="L62" s="39"/>
      <c r="M62" s="39"/>
      <c r="N62" s="39"/>
      <c r="O62" s="39"/>
      <c r="P62" s="39"/>
      <c r="Q62" s="39"/>
      <c r="R62" s="39"/>
      <c r="S62" s="39"/>
      <c r="T62" s="39"/>
      <c r="U62" s="39"/>
      <c r="V62" s="39"/>
      <c r="W62" s="39"/>
    </row>
    <row r="63" spans="1:23" x14ac:dyDescent="0.2">
      <c r="A63" s="66"/>
      <c r="B63" s="67" t="str">
        <f t="shared" si="2"/>
        <v/>
      </c>
      <c r="C63" s="68" t="str">
        <f>IF(MakeSchedule!AB63=0,"",MakeSchedule!AB63)</f>
        <v/>
      </c>
      <c r="D63" s="69" t="str">
        <f>IF(MakeSchedule!AC63=0,"",MakeSchedule!AC63)</f>
        <v/>
      </c>
      <c r="E63" s="69" t="str">
        <f>IF(MakeSchedule!AD63=0,"",MakeSchedule!AD63)</f>
        <v/>
      </c>
      <c r="F63" s="73" t="str">
        <f>IF(MakeSchedule!AD63=0,"",MakeSchedule!AC63/MakeSchedule!AD63)</f>
        <v/>
      </c>
      <c r="G63" s="73" t="str">
        <f t="shared" si="0"/>
        <v/>
      </c>
      <c r="H63" s="73" t="str">
        <f t="shared" si="1"/>
        <v/>
      </c>
      <c r="I63" s="69" t="str">
        <f>IF(MakeSchedule!AF63=0,"",MakeSchedule!AF63)</f>
        <v/>
      </c>
      <c r="J63" s="69" t="str">
        <f>IF(I63="","",IF(MakeSchedule!AG63=0,0,MakeSchedule!AG63))</f>
        <v/>
      </c>
      <c r="K63" s="39"/>
      <c r="L63" s="39"/>
      <c r="M63" s="39"/>
      <c r="N63" s="39"/>
      <c r="O63" s="39"/>
      <c r="P63" s="39"/>
      <c r="Q63" s="39"/>
      <c r="R63" s="39"/>
      <c r="S63" s="39"/>
      <c r="T63" s="39"/>
      <c r="U63" s="39"/>
      <c r="V63" s="39"/>
      <c r="W63" s="39"/>
    </row>
    <row r="64" spans="1:23" x14ac:dyDescent="0.2">
      <c r="A64" s="66"/>
      <c r="B64" s="67" t="str">
        <f t="shared" si="2"/>
        <v/>
      </c>
      <c r="C64" s="68" t="str">
        <f>IF(MakeSchedule!AB64=0,"",MakeSchedule!AB64)</f>
        <v/>
      </c>
      <c r="D64" s="69" t="str">
        <f>IF(MakeSchedule!AC64=0,"",MakeSchedule!AC64)</f>
        <v/>
      </c>
      <c r="E64" s="69" t="str">
        <f>IF(MakeSchedule!AD64=0,"",MakeSchedule!AD64)</f>
        <v/>
      </c>
      <c r="F64" s="73" t="str">
        <f>IF(MakeSchedule!AD64=0,"",MakeSchedule!AC64/MakeSchedule!AD64)</f>
        <v/>
      </c>
      <c r="G64" s="73" t="str">
        <f t="shared" si="0"/>
        <v/>
      </c>
      <c r="H64" s="73" t="str">
        <f t="shared" si="1"/>
        <v/>
      </c>
      <c r="I64" s="69" t="str">
        <f>IF(MakeSchedule!AF64=0,"",MakeSchedule!AF64)</f>
        <v/>
      </c>
      <c r="J64" s="69" t="str">
        <f>IF(I64="","",IF(MakeSchedule!AG64=0,0,MakeSchedule!AG64))</f>
        <v/>
      </c>
      <c r="K64" s="39"/>
      <c r="L64" s="39"/>
      <c r="M64" s="39"/>
      <c r="N64" s="39"/>
      <c r="O64" s="39"/>
      <c r="P64" s="39"/>
      <c r="Q64" s="39"/>
      <c r="R64" s="39"/>
      <c r="S64" s="39"/>
      <c r="T64" s="39"/>
      <c r="U64" s="39"/>
      <c r="V64" s="39"/>
      <c r="W64" s="39"/>
    </row>
    <row r="65" spans="1:23" x14ac:dyDescent="0.2">
      <c r="A65" s="66"/>
      <c r="B65" s="67" t="str">
        <f t="shared" si="2"/>
        <v/>
      </c>
      <c r="C65" s="68" t="str">
        <f>IF(MakeSchedule!AB65=0,"",MakeSchedule!AB65)</f>
        <v/>
      </c>
      <c r="D65" s="69" t="str">
        <f>IF(MakeSchedule!AC65=0,"",MakeSchedule!AC65)</f>
        <v/>
      </c>
      <c r="E65" s="69" t="str">
        <f>IF(MakeSchedule!AD65=0,"",MakeSchedule!AD65)</f>
        <v/>
      </c>
      <c r="F65" s="73" t="str">
        <f>IF(MakeSchedule!AD65=0,"",MakeSchedule!AC65/MakeSchedule!AD65)</f>
        <v/>
      </c>
      <c r="G65" s="73" t="str">
        <f t="shared" si="0"/>
        <v/>
      </c>
      <c r="H65" s="73" t="str">
        <f t="shared" si="1"/>
        <v/>
      </c>
      <c r="I65" s="69" t="str">
        <f>IF(MakeSchedule!AF65=0,"",MakeSchedule!AF65)</f>
        <v/>
      </c>
      <c r="J65" s="69" t="str">
        <f>IF(I65="","",IF(MakeSchedule!AG65=0,0,MakeSchedule!AG65))</f>
        <v/>
      </c>
      <c r="K65" s="39"/>
      <c r="L65" s="39"/>
      <c r="M65" s="39"/>
      <c r="N65" s="39"/>
      <c r="O65" s="39"/>
      <c r="P65" s="39"/>
      <c r="Q65" s="39"/>
      <c r="R65" s="39"/>
      <c r="S65" s="39"/>
      <c r="T65" s="39"/>
      <c r="U65" s="39"/>
      <c r="V65" s="39"/>
      <c r="W65" s="39"/>
    </row>
    <row r="66" spans="1:23" x14ac:dyDescent="0.2">
      <c r="A66" s="66"/>
      <c r="B66" s="67" t="str">
        <f t="shared" si="2"/>
        <v/>
      </c>
      <c r="C66" s="68" t="str">
        <f>IF(MakeSchedule!AB66=0,"",MakeSchedule!AB66)</f>
        <v/>
      </c>
      <c r="D66" s="69" t="str">
        <f>IF(MakeSchedule!AC66=0,"",MakeSchedule!AC66)</f>
        <v/>
      </c>
      <c r="E66" s="69" t="str">
        <f>IF(MakeSchedule!AD66=0,"",MakeSchedule!AD66)</f>
        <v/>
      </c>
      <c r="F66" s="73" t="str">
        <f>IF(MakeSchedule!AD66=0,"",MakeSchedule!AC66/MakeSchedule!AD66)</f>
        <v/>
      </c>
      <c r="G66" s="73" t="str">
        <f t="shared" si="0"/>
        <v/>
      </c>
      <c r="H66" s="73" t="str">
        <f t="shared" si="1"/>
        <v/>
      </c>
      <c r="I66" s="69" t="str">
        <f>IF(MakeSchedule!AF66=0,"",MakeSchedule!AF66)</f>
        <v/>
      </c>
      <c r="J66" s="69" t="str">
        <f>IF(I66="","",IF(MakeSchedule!AG66=0,0,MakeSchedule!AG66))</f>
        <v/>
      </c>
      <c r="K66" s="39"/>
      <c r="L66" s="39"/>
      <c r="M66" s="39"/>
      <c r="N66" s="39"/>
      <c r="O66" s="39"/>
      <c r="P66" s="39"/>
      <c r="Q66" s="39"/>
      <c r="R66" s="39"/>
      <c r="S66" s="39"/>
      <c r="T66" s="39"/>
      <c r="U66" s="39"/>
      <c r="V66" s="39"/>
      <c r="W66" s="39"/>
    </row>
    <row r="67" spans="1:23" x14ac:dyDescent="0.2">
      <c r="A67" s="66"/>
      <c r="B67" s="67" t="str">
        <f t="shared" si="2"/>
        <v/>
      </c>
      <c r="C67" s="68" t="str">
        <f>IF(MakeSchedule!AB67=0,"",MakeSchedule!AB67)</f>
        <v/>
      </c>
      <c r="D67" s="69" t="str">
        <f>IF(MakeSchedule!AC67=0,"",MakeSchedule!AC67)</f>
        <v/>
      </c>
      <c r="E67" s="69" t="str">
        <f>IF(MakeSchedule!AD67=0,"",MakeSchedule!AD67)</f>
        <v/>
      </c>
      <c r="F67" s="73" t="str">
        <f>IF(MakeSchedule!AD67=0,"",MakeSchedule!AC67/MakeSchedule!AD67)</f>
        <v/>
      </c>
      <c r="G67" s="73" t="str">
        <f t="shared" si="0"/>
        <v/>
      </c>
      <c r="H67" s="73" t="str">
        <f t="shared" si="1"/>
        <v/>
      </c>
      <c r="I67" s="69" t="str">
        <f>IF(MakeSchedule!AF67=0,"",MakeSchedule!AF67)</f>
        <v/>
      </c>
      <c r="J67" s="69" t="str">
        <f>IF(I67="","",IF(MakeSchedule!AG67=0,0,MakeSchedule!AG67))</f>
        <v/>
      </c>
      <c r="K67" s="39"/>
      <c r="L67" s="39"/>
      <c r="M67" s="39"/>
      <c r="N67" s="39"/>
      <c r="O67" s="39"/>
      <c r="P67" s="39"/>
      <c r="Q67" s="39"/>
      <c r="R67" s="39"/>
      <c r="S67" s="39"/>
      <c r="T67" s="39"/>
      <c r="U67" s="39"/>
      <c r="V67" s="39"/>
      <c r="W67" s="39"/>
    </row>
    <row r="68" spans="1:23" x14ac:dyDescent="0.2">
      <c r="A68" s="66"/>
      <c r="B68" s="67" t="str">
        <f t="shared" si="2"/>
        <v/>
      </c>
      <c r="C68" s="68" t="str">
        <f>IF(MakeSchedule!AB68=0,"",MakeSchedule!AB68)</f>
        <v/>
      </c>
      <c r="D68" s="69" t="str">
        <f>IF(MakeSchedule!AC68=0,"",MakeSchedule!AC68)</f>
        <v/>
      </c>
      <c r="E68" s="69" t="str">
        <f>IF(MakeSchedule!AD68=0,"",MakeSchedule!AD68)</f>
        <v/>
      </c>
      <c r="F68" s="73" t="str">
        <f>IF(MakeSchedule!AD68=0,"",MakeSchedule!AC68/MakeSchedule!AD68)</f>
        <v/>
      </c>
      <c r="G68" s="73" t="str">
        <f t="shared" si="0"/>
        <v/>
      </c>
      <c r="H68" s="73" t="str">
        <f t="shared" si="1"/>
        <v/>
      </c>
      <c r="I68" s="69" t="str">
        <f>IF(MakeSchedule!AF68=0,"",MakeSchedule!AF68)</f>
        <v/>
      </c>
      <c r="J68" s="69" t="str">
        <f>IF(I68="","",IF(MakeSchedule!AG68=0,0,MakeSchedule!AG68))</f>
        <v/>
      </c>
      <c r="K68" s="39"/>
      <c r="L68" s="39"/>
      <c r="M68" s="39"/>
      <c r="N68" s="39"/>
      <c r="O68" s="39"/>
      <c r="P68" s="39"/>
      <c r="Q68" s="39"/>
      <c r="R68" s="39"/>
      <c r="S68" s="39"/>
      <c r="T68" s="39"/>
      <c r="U68" s="39"/>
      <c r="V68" s="39"/>
      <c r="W68" s="39"/>
    </row>
    <row r="69" spans="1:23" x14ac:dyDescent="0.2">
      <c r="A69" s="66"/>
      <c r="B69" s="67" t="str">
        <f t="shared" si="2"/>
        <v/>
      </c>
      <c r="C69" s="68" t="str">
        <f>IF(MakeSchedule!AB69=0,"",MakeSchedule!AB69)</f>
        <v/>
      </c>
      <c r="D69" s="69" t="str">
        <f>IF(MakeSchedule!AC69=0,"",MakeSchedule!AC69)</f>
        <v/>
      </c>
      <c r="E69" s="69" t="str">
        <f>IF(MakeSchedule!AD69=0,"",MakeSchedule!AD69)</f>
        <v/>
      </c>
      <c r="F69" s="73" t="str">
        <f>IF(MakeSchedule!AD69=0,"",MakeSchedule!AC69/MakeSchedule!AD69)</f>
        <v/>
      </c>
      <c r="G69" s="73" t="str">
        <f t="shared" si="0"/>
        <v/>
      </c>
      <c r="H69" s="73" t="str">
        <f t="shared" si="1"/>
        <v/>
      </c>
      <c r="I69" s="69" t="str">
        <f>IF(MakeSchedule!AF69=0,"",MakeSchedule!AF69)</f>
        <v/>
      </c>
      <c r="J69" s="69" t="str">
        <f>IF(I69="","",IF(MakeSchedule!AG69=0,0,MakeSchedule!AG69))</f>
        <v/>
      </c>
      <c r="K69" s="39"/>
      <c r="L69" s="39"/>
      <c r="M69" s="39"/>
      <c r="N69" s="39"/>
      <c r="O69" s="39"/>
      <c r="P69" s="39"/>
      <c r="Q69" s="39"/>
      <c r="R69" s="39"/>
      <c r="S69" s="39"/>
      <c r="T69" s="39"/>
      <c r="U69" s="39"/>
      <c r="V69" s="39"/>
      <c r="W69" s="39"/>
    </row>
    <row r="70" spans="1:23" x14ac:dyDescent="0.2">
      <c r="A70" s="66"/>
      <c r="B70" s="67" t="str">
        <f t="shared" si="2"/>
        <v/>
      </c>
      <c r="C70" s="68" t="str">
        <f>IF(MakeSchedule!AB70=0,"",MakeSchedule!AB70)</f>
        <v/>
      </c>
      <c r="D70" s="69" t="str">
        <f>IF(MakeSchedule!AC70=0,"",MakeSchedule!AC70)</f>
        <v/>
      </c>
      <c r="E70" s="69" t="str">
        <f>IF(MakeSchedule!AD70=0,"",MakeSchedule!AD70)</f>
        <v/>
      </c>
      <c r="F70" s="73" t="str">
        <f>IF(MakeSchedule!AD70=0,"",MakeSchedule!AC70/MakeSchedule!AD70)</f>
        <v/>
      </c>
      <c r="G70" s="73" t="str">
        <f t="shared" si="0"/>
        <v/>
      </c>
      <c r="H70" s="73" t="str">
        <f t="shared" si="1"/>
        <v/>
      </c>
      <c r="I70" s="69" t="str">
        <f>IF(MakeSchedule!AF70=0,"",MakeSchedule!AF70)</f>
        <v/>
      </c>
      <c r="J70" s="69" t="str">
        <f>IF(I70="","",IF(MakeSchedule!AG70=0,0,MakeSchedule!AG70))</f>
        <v/>
      </c>
      <c r="K70" s="39"/>
      <c r="L70" s="39"/>
      <c r="M70" s="39"/>
      <c r="N70" s="39"/>
      <c r="O70" s="39"/>
      <c r="P70" s="39"/>
      <c r="Q70" s="39"/>
      <c r="R70" s="39"/>
      <c r="S70" s="39"/>
      <c r="T70" s="39"/>
      <c r="U70" s="39"/>
      <c r="V70" s="39"/>
      <c r="W70" s="39"/>
    </row>
    <row r="71" spans="1:23" x14ac:dyDescent="0.2">
      <c r="A71" s="66"/>
      <c r="B71" s="67" t="str">
        <f t="shared" si="2"/>
        <v/>
      </c>
      <c r="C71" s="68" t="str">
        <f>IF(MakeSchedule!AB71=0,"",MakeSchedule!AB71)</f>
        <v/>
      </c>
      <c r="D71" s="69" t="str">
        <f>IF(MakeSchedule!AC71=0,"",MakeSchedule!AC71)</f>
        <v/>
      </c>
      <c r="E71" s="69" t="str">
        <f>IF(MakeSchedule!AD71=0,"",MakeSchedule!AD71)</f>
        <v/>
      </c>
      <c r="F71" s="73" t="str">
        <f>IF(MakeSchedule!AD71=0,"",MakeSchedule!AC71/MakeSchedule!AD71)</f>
        <v/>
      </c>
      <c r="G71" s="73" t="str">
        <f t="shared" si="0"/>
        <v/>
      </c>
      <c r="H71" s="73" t="str">
        <f t="shared" si="1"/>
        <v/>
      </c>
      <c r="I71" s="69" t="str">
        <f>IF(MakeSchedule!AF71=0,"",MakeSchedule!AF71)</f>
        <v/>
      </c>
      <c r="J71" s="69" t="str">
        <f>IF(I71="","",IF(MakeSchedule!AG71=0,0,MakeSchedule!AG71))</f>
        <v/>
      </c>
      <c r="K71" s="39"/>
      <c r="L71" s="39"/>
      <c r="M71" s="39"/>
      <c r="N71" s="39"/>
      <c r="O71" s="39"/>
      <c r="P71" s="39"/>
      <c r="Q71" s="39"/>
      <c r="R71" s="39"/>
      <c r="S71" s="39"/>
      <c r="T71" s="39"/>
      <c r="U71" s="39"/>
      <c r="V71" s="39"/>
      <c r="W71" s="39"/>
    </row>
    <row r="72" spans="1:23" x14ac:dyDescent="0.2">
      <c r="A72" s="66"/>
      <c r="B72" s="67" t="str">
        <f t="shared" si="2"/>
        <v/>
      </c>
      <c r="C72" s="68" t="str">
        <f>IF(MakeSchedule!AB72=0,"",MakeSchedule!AB72)</f>
        <v/>
      </c>
      <c r="D72" s="69" t="str">
        <f>IF(MakeSchedule!AC72=0,"",MakeSchedule!AC72)</f>
        <v/>
      </c>
      <c r="E72" s="69" t="str">
        <f>IF(MakeSchedule!AD72=0,"",MakeSchedule!AD72)</f>
        <v/>
      </c>
      <c r="F72" s="73" t="str">
        <f>IF(MakeSchedule!AD72=0,"",MakeSchedule!AC72/MakeSchedule!AD72)</f>
        <v/>
      </c>
      <c r="G72" s="73" t="str">
        <f t="shared" si="0"/>
        <v/>
      </c>
      <c r="H72" s="73" t="str">
        <f t="shared" si="1"/>
        <v/>
      </c>
      <c r="I72" s="69" t="str">
        <f>IF(MakeSchedule!AF72=0,"",MakeSchedule!AF72)</f>
        <v/>
      </c>
      <c r="J72" s="69" t="str">
        <f>IF(I72="","",IF(MakeSchedule!AG72=0,0,MakeSchedule!AG72))</f>
        <v/>
      </c>
      <c r="K72" s="39"/>
      <c r="L72" s="39"/>
      <c r="M72" s="39"/>
      <c r="N72" s="39"/>
      <c r="O72" s="39"/>
      <c r="P72" s="39"/>
      <c r="Q72" s="39"/>
      <c r="R72" s="39"/>
      <c r="S72" s="39"/>
      <c r="T72" s="39"/>
      <c r="U72" s="39"/>
      <c r="V72" s="39"/>
      <c r="W72" s="39"/>
    </row>
    <row r="73" spans="1:23" x14ac:dyDescent="0.2">
      <c r="A73" s="66"/>
      <c r="B73" s="67" t="str">
        <f t="shared" si="2"/>
        <v/>
      </c>
      <c r="C73" s="68" t="str">
        <f>IF(MakeSchedule!AB73=0,"",MakeSchedule!AB73)</f>
        <v/>
      </c>
      <c r="D73" s="69" t="str">
        <f>IF(MakeSchedule!AC73=0,"",MakeSchedule!AC73)</f>
        <v/>
      </c>
      <c r="E73" s="69" t="str">
        <f>IF(MakeSchedule!AD73=0,"",MakeSchedule!AD73)</f>
        <v/>
      </c>
      <c r="F73" s="73" t="str">
        <f>IF(MakeSchedule!AD73=0,"",MakeSchedule!AC73/MakeSchedule!AD73)</f>
        <v/>
      </c>
      <c r="G73" s="73" t="str">
        <f t="shared" si="0"/>
        <v/>
      </c>
      <c r="H73" s="73" t="str">
        <f t="shared" si="1"/>
        <v/>
      </c>
      <c r="I73" s="69" t="str">
        <f>IF(MakeSchedule!AF73=0,"",MakeSchedule!AF73)</f>
        <v/>
      </c>
      <c r="J73" s="69" t="str">
        <f>IF(I73="","",IF(MakeSchedule!AG73=0,0,MakeSchedule!AG73))</f>
        <v/>
      </c>
      <c r="K73" s="39"/>
      <c r="L73" s="39"/>
      <c r="M73" s="39"/>
      <c r="N73" s="39"/>
      <c r="O73" s="39"/>
      <c r="P73" s="39"/>
      <c r="Q73" s="39"/>
      <c r="R73" s="39"/>
      <c r="S73" s="39"/>
      <c r="T73" s="39"/>
      <c r="U73" s="39"/>
      <c r="V73" s="39"/>
      <c r="W73" s="39"/>
    </row>
    <row r="74" spans="1:23" x14ac:dyDescent="0.2">
      <c r="A74" s="66"/>
      <c r="B74" s="67" t="str">
        <f t="shared" si="2"/>
        <v/>
      </c>
      <c r="C74" s="68" t="str">
        <f>IF(MakeSchedule!AB74=0,"",MakeSchedule!AB74)</f>
        <v/>
      </c>
      <c r="D74" s="69" t="str">
        <f>IF(MakeSchedule!AC74=0,"",MakeSchedule!AC74)</f>
        <v/>
      </c>
      <c r="E74" s="69" t="str">
        <f>IF(MakeSchedule!AD74=0,"",MakeSchedule!AD74)</f>
        <v/>
      </c>
      <c r="F74" s="73" t="str">
        <f>IF(MakeSchedule!AD74=0,"",MakeSchedule!AC74/MakeSchedule!AD74)</f>
        <v/>
      </c>
      <c r="G74" s="73" t="str">
        <f t="shared" si="0"/>
        <v/>
      </c>
      <c r="H74" s="73" t="str">
        <f t="shared" si="1"/>
        <v/>
      </c>
      <c r="I74" s="69" t="str">
        <f>IF(MakeSchedule!AF74=0,"",MakeSchedule!AF74)</f>
        <v/>
      </c>
      <c r="J74" s="69" t="str">
        <f>IF(I74="","",IF(MakeSchedule!AG74=0,0,MakeSchedule!AG74))</f>
        <v/>
      </c>
      <c r="K74" s="39"/>
      <c r="L74" s="39"/>
      <c r="M74" s="39"/>
      <c r="N74" s="39"/>
      <c r="O74" s="39"/>
      <c r="P74" s="39"/>
      <c r="Q74" s="39"/>
      <c r="R74" s="39"/>
      <c r="S74" s="39"/>
      <c r="T74" s="39"/>
      <c r="U74" s="39"/>
      <c r="V74" s="39"/>
      <c r="W74" s="39"/>
    </row>
    <row r="75" spans="1:23" x14ac:dyDescent="0.2">
      <c r="A75" s="66"/>
      <c r="B75" s="67" t="str">
        <f t="shared" si="2"/>
        <v/>
      </c>
      <c r="C75" s="68" t="str">
        <f>IF(MakeSchedule!AB75=0,"",MakeSchedule!AB75)</f>
        <v/>
      </c>
      <c r="D75" s="69" t="str">
        <f>IF(MakeSchedule!AC75=0,"",MakeSchedule!AC75)</f>
        <v/>
      </c>
      <c r="E75" s="69" t="str">
        <f>IF(MakeSchedule!AD75=0,"",MakeSchedule!AD75)</f>
        <v/>
      </c>
      <c r="F75" s="73" t="str">
        <f>IF(MakeSchedule!AD75=0,"",MakeSchedule!AC75/MakeSchedule!AD75)</f>
        <v/>
      </c>
      <c r="G75" s="73" t="str">
        <f t="shared" si="0"/>
        <v/>
      </c>
      <c r="H75" s="73" t="str">
        <f t="shared" si="1"/>
        <v/>
      </c>
      <c r="I75" s="69" t="str">
        <f>IF(MakeSchedule!AF75=0,"",MakeSchedule!AF75)</f>
        <v/>
      </c>
      <c r="J75" s="69" t="str">
        <f>IF(I75="","",IF(MakeSchedule!AG75=0,0,MakeSchedule!AG75))</f>
        <v/>
      </c>
      <c r="K75" s="39"/>
      <c r="L75" s="39"/>
      <c r="M75" s="39"/>
      <c r="N75" s="39"/>
      <c r="O75" s="39"/>
      <c r="P75" s="39"/>
      <c r="Q75" s="39"/>
      <c r="R75" s="39"/>
      <c r="S75" s="39"/>
      <c r="T75" s="39"/>
      <c r="U75" s="39"/>
      <c r="V75" s="39"/>
      <c r="W75" s="39"/>
    </row>
    <row r="76" spans="1:23" x14ac:dyDescent="0.2">
      <c r="A76" s="66"/>
      <c r="B76" s="67" t="str">
        <f t="shared" si="2"/>
        <v/>
      </c>
      <c r="C76" s="68" t="str">
        <f>IF(MakeSchedule!AB76=0,"",MakeSchedule!AB76)</f>
        <v/>
      </c>
      <c r="D76" s="69" t="str">
        <f>IF(MakeSchedule!AC76=0,"",MakeSchedule!AC76)</f>
        <v/>
      </c>
      <c r="E76" s="69" t="str">
        <f>IF(MakeSchedule!AD76=0,"",MakeSchedule!AD76)</f>
        <v/>
      </c>
      <c r="F76" s="73" t="str">
        <f>IF(MakeSchedule!AD76=0,"",MakeSchedule!AC76/MakeSchedule!AD76)</f>
        <v/>
      </c>
      <c r="G76" s="73" t="str">
        <f t="shared" si="0"/>
        <v/>
      </c>
      <c r="H76" s="73" t="str">
        <f t="shared" si="1"/>
        <v/>
      </c>
      <c r="I76" s="69" t="str">
        <f>IF(MakeSchedule!AF76=0,"",MakeSchedule!AF76)</f>
        <v/>
      </c>
      <c r="J76" s="69" t="str">
        <f>IF(I76="","",IF(MakeSchedule!AG76=0,0,MakeSchedule!AG76))</f>
        <v/>
      </c>
      <c r="K76" s="39"/>
      <c r="L76" s="39"/>
      <c r="M76" s="39"/>
      <c r="N76" s="39"/>
      <c r="O76" s="39"/>
      <c r="P76" s="39"/>
      <c r="Q76" s="39"/>
      <c r="R76" s="39"/>
      <c r="S76" s="39"/>
      <c r="T76" s="39"/>
      <c r="U76" s="39"/>
      <c r="V76" s="39"/>
      <c r="W76" s="39"/>
    </row>
    <row r="77" spans="1:23" x14ac:dyDescent="0.2">
      <c r="A77" s="66"/>
      <c r="B77" s="67" t="str">
        <f t="shared" si="2"/>
        <v/>
      </c>
      <c r="C77" s="68" t="str">
        <f>IF(MakeSchedule!AB77=0,"",MakeSchedule!AB77)</f>
        <v/>
      </c>
      <c r="D77" s="69" t="str">
        <f>IF(MakeSchedule!AC77=0,"",MakeSchedule!AC77)</f>
        <v/>
      </c>
      <c r="E77" s="69" t="str">
        <f>IF(MakeSchedule!AD77=0,"",MakeSchedule!AD77)</f>
        <v/>
      </c>
      <c r="F77" s="73" t="str">
        <f>IF(MakeSchedule!AD77=0,"",MakeSchedule!AC77/MakeSchedule!AD77)</f>
        <v/>
      </c>
      <c r="G77" s="73" t="str">
        <f t="shared" si="0"/>
        <v/>
      </c>
      <c r="H77" s="73" t="str">
        <f t="shared" si="1"/>
        <v/>
      </c>
      <c r="I77" s="69" t="str">
        <f>IF(MakeSchedule!AF77=0,"",MakeSchedule!AF77)</f>
        <v/>
      </c>
      <c r="J77" s="69" t="str">
        <f>IF(I77="","",IF(MakeSchedule!AG77=0,0,MakeSchedule!AG77))</f>
        <v/>
      </c>
      <c r="K77" s="39"/>
      <c r="L77" s="39"/>
      <c r="M77" s="39"/>
      <c r="N77" s="39"/>
      <c r="O77" s="39"/>
      <c r="P77" s="39"/>
      <c r="Q77" s="39"/>
      <c r="R77" s="39"/>
      <c r="S77" s="39"/>
      <c r="T77" s="39"/>
      <c r="U77" s="39"/>
      <c r="V77" s="39"/>
      <c r="W77" s="39"/>
    </row>
    <row r="78" spans="1:23" x14ac:dyDescent="0.2">
      <c r="A78" s="66"/>
      <c r="B78" s="67" t="str">
        <f t="shared" si="2"/>
        <v/>
      </c>
      <c r="C78" s="68" t="str">
        <f>IF(MakeSchedule!AB78=0,"",MakeSchedule!AB78)</f>
        <v/>
      </c>
      <c r="D78" s="69" t="str">
        <f>IF(MakeSchedule!AC78=0,"",MakeSchedule!AC78)</f>
        <v/>
      </c>
      <c r="E78" s="69" t="str">
        <f>IF(MakeSchedule!AD78=0,"",MakeSchedule!AD78)</f>
        <v/>
      </c>
      <c r="F78" s="73" t="str">
        <f>IF(MakeSchedule!AD78=0,"",MakeSchedule!AC78/MakeSchedule!AD78)</f>
        <v/>
      </c>
      <c r="G78" s="73" t="str">
        <f t="shared" si="0"/>
        <v/>
      </c>
      <c r="H78" s="73" t="str">
        <f t="shared" si="1"/>
        <v/>
      </c>
      <c r="I78" s="69" t="str">
        <f>IF(MakeSchedule!AF78=0,"",MakeSchedule!AF78)</f>
        <v/>
      </c>
      <c r="J78" s="69" t="str">
        <f>IF(I78="","",IF(MakeSchedule!AG78=0,0,MakeSchedule!AG78))</f>
        <v/>
      </c>
      <c r="K78" s="39"/>
      <c r="L78" s="39"/>
      <c r="M78" s="39"/>
      <c r="N78" s="39"/>
      <c r="O78" s="39"/>
      <c r="P78" s="39"/>
      <c r="Q78" s="39"/>
      <c r="R78" s="39"/>
      <c r="S78" s="39"/>
      <c r="T78" s="39"/>
      <c r="U78" s="39"/>
      <c r="V78" s="39"/>
      <c r="W78" s="39"/>
    </row>
    <row r="79" spans="1:23" x14ac:dyDescent="0.2">
      <c r="A79" s="66"/>
      <c r="B79" s="67" t="str">
        <f t="shared" si="2"/>
        <v/>
      </c>
      <c r="C79" s="68" t="str">
        <f>IF(MakeSchedule!AB79=0,"",MakeSchedule!AB79)</f>
        <v/>
      </c>
      <c r="D79" s="69" t="str">
        <f>IF(MakeSchedule!AC79=0,"",MakeSchedule!AC79)</f>
        <v/>
      </c>
      <c r="E79" s="69" t="str">
        <f>IF(MakeSchedule!AD79=0,"",MakeSchedule!AD79)</f>
        <v/>
      </c>
      <c r="F79" s="73" t="str">
        <f>IF(MakeSchedule!AD79=0,"",MakeSchedule!AC79/MakeSchedule!AD79)</f>
        <v/>
      </c>
      <c r="G79" s="73" t="str">
        <f t="shared" si="0"/>
        <v/>
      </c>
      <c r="H79" s="73" t="str">
        <f t="shared" si="1"/>
        <v/>
      </c>
      <c r="I79" s="69" t="str">
        <f>IF(MakeSchedule!AF79=0,"",MakeSchedule!AF79)</f>
        <v/>
      </c>
      <c r="J79" s="69" t="str">
        <f>IF(I79="","",IF(MakeSchedule!AG79=0,0,MakeSchedule!AG79))</f>
        <v/>
      </c>
      <c r="K79" s="39"/>
      <c r="L79" s="39"/>
      <c r="M79" s="39"/>
      <c r="N79" s="39"/>
      <c r="O79" s="39"/>
      <c r="P79" s="39"/>
      <c r="Q79" s="39"/>
      <c r="R79" s="39"/>
      <c r="S79" s="39"/>
      <c r="T79" s="39"/>
      <c r="U79" s="39"/>
      <c r="V79" s="39"/>
      <c r="W79" s="39"/>
    </row>
    <row r="80" spans="1:23" x14ac:dyDescent="0.2">
      <c r="A80" s="66"/>
      <c r="B80" s="67" t="str">
        <f t="shared" si="2"/>
        <v/>
      </c>
      <c r="C80" s="68" t="str">
        <f>IF(MakeSchedule!AB80=0,"",MakeSchedule!AB80)</f>
        <v/>
      </c>
      <c r="D80" s="69" t="str">
        <f>IF(MakeSchedule!AC80=0,"",MakeSchedule!AC80)</f>
        <v/>
      </c>
      <c r="E80" s="69" t="str">
        <f>IF(MakeSchedule!AD80=0,"",MakeSchedule!AD80)</f>
        <v/>
      </c>
      <c r="F80" s="73" t="str">
        <f>IF(MakeSchedule!AD80=0,"",MakeSchedule!AC80/MakeSchedule!AD80)</f>
        <v/>
      </c>
      <c r="G80" s="73" t="str">
        <f t="shared" si="0"/>
        <v/>
      </c>
      <c r="H80" s="73" t="str">
        <f t="shared" si="1"/>
        <v/>
      </c>
      <c r="I80" s="69" t="str">
        <f>IF(MakeSchedule!AF80=0,"",MakeSchedule!AF80)</f>
        <v/>
      </c>
      <c r="J80" s="69" t="str">
        <f>IF(I80="","",IF(MakeSchedule!AG80=0,0,MakeSchedule!AG80))</f>
        <v/>
      </c>
      <c r="K80" s="39"/>
      <c r="L80" s="39"/>
      <c r="M80" s="39"/>
      <c r="N80" s="39"/>
      <c r="O80" s="39"/>
      <c r="P80" s="39"/>
      <c r="Q80" s="39"/>
      <c r="R80" s="39"/>
      <c r="S80" s="39"/>
      <c r="T80" s="39"/>
      <c r="U80" s="39"/>
      <c r="V80" s="39"/>
      <c r="W80" s="39"/>
    </row>
    <row r="81" spans="1:23" x14ac:dyDescent="0.2">
      <c r="A81" s="66"/>
      <c r="B81" s="67" t="str">
        <f t="shared" si="2"/>
        <v/>
      </c>
      <c r="C81" s="68" t="str">
        <f>IF(MakeSchedule!AB81=0,"",MakeSchedule!AB81)</f>
        <v/>
      </c>
      <c r="D81" s="69" t="str">
        <f>IF(MakeSchedule!AC81=0,"",MakeSchedule!AC81)</f>
        <v/>
      </c>
      <c r="E81" s="69" t="str">
        <f>IF(MakeSchedule!AD81=0,"",MakeSchedule!AD81)</f>
        <v/>
      </c>
      <c r="F81" s="73" t="str">
        <f>IF(MakeSchedule!AD81=0,"",MakeSchedule!AC81/MakeSchedule!AD81)</f>
        <v/>
      </c>
      <c r="G81" s="73" t="str">
        <f t="shared" ref="G81:G144" si="3">IF(H81="","",G$12*H81)</f>
        <v/>
      </c>
      <c r="H81" s="73" t="str">
        <f t="shared" ref="H81:H144" si="4">IF(E81="","",E81/(1-G$12))</f>
        <v/>
      </c>
      <c r="I81" s="69" t="str">
        <f>IF(MakeSchedule!AF81=0,"",MakeSchedule!AF81)</f>
        <v/>
      </c>
      <c r="J81" s="69" t="str">
        <f>IF(I81="","",IF(MakeSchedule!AG81=0,0,MakeSchedule!AG81))</f>
        <v/>
      </c>
      <c r="K81" s="39"/>
      <c r="L81" s="39"/>
      <c r="M81" s="39"/>
      <c r="N81" s="39"/>
      <c r="O81" s="39"/>
      <c r="P81" s="39"/>
      <c r="Q81" s="39"/>
      <c r="R81" s="39"/>
      <c r="S81" s="39"/>
      <c r="T81" s="39"/>
      <c r="U81" s="39"/>
      <c r="V81" s="39"/>
      <c r="W81" s="39"/>
    </row>
    <row r="82" spans="1:23" x14ac:dyDescent="0.2">
      <c r="A82" s="66"/>
      <c r="B82" s="67" t="str">
        <f t="shared" ref="B82:B145" si="5">IF(C82="","",B81+1)</f>
        <v/>
      </c>
      <c r="C82" s="68" t="str">
        <f>IF(MakeSchedule!AB82=0,"",MakeSchedule!AB82)</f>
        <v/>
      </c>
      <c r="D82" s="69" t="str">
        <f>IF(MakeSchedule!AC82=0,"",MakeSchedule!AC82)</f>
        <v/>
      </c>
      <c r="E82" s="69" t="str">
        <f>IF(MakeSchedule!AD82=0,"",MakeSchedule!AD82)</f>
        <v/>
      </c>
      <c r="F82" s="73" t="str">
        <f>IF(MakeSchedule!AD82=0,"",MakeSchedule!AC82/MakeSchedule!AD82)</f>
        <v/>
      </c>
      <c r="G82" s="73" t="str">
        <f t="shared" si="3"/>
        <v/>
      </c>
      <c r="H82" s="73" t="str">
        <f t="shared" si="4"/>
        <v/>
      </c>
      <c r="I82" s="69" t="str">
        <f>IF(MakeSchedule!AF82=0,"",MakeSchedule!AF82)</f>
        <v/>
      </c>
      <c r="J82" s="69" t="str">
        <f>IF(I82="","",IF(MakeSchedule!AG82=0,0,MakeSchedule!AG82))</f>
        <v/>
      </c>
      <c r="K82" s="39"/>
      <c r="L82" s="39"/>
      <c r="M82" s="39"/>
      <c r="N82" s="39"/>
      <c r="O82" s="39"/>
      <c r="P82" s="39"/>
      <c r="Q82" s="39"/>
      <c r="R82" s="39"/>
      <c r="S82" s="39"/>
      <c r="T82" s="39"/>
      <c r="U82" s="39"/>
      <c r="V82" s="39"/>
      <c r="W82" s="39"/>
    </row>
    <row r="83" spans="1:23" x14ac:dyDescent="0.2">
      <c r="A83" s="66"/>
      <c r="B83" s="67" t="str">
        <f t="shared" si="5"/>
        <v/>
      </c>
      <c r="C83" s="68" t="str">
        <f>IF(MakeSchedule!AB83=0,"",MakeSchedule!AB83)</f>
        <v/>
      </c>
      <c r="D83" s="69" t="str">
        <f>IF(MakeSchedule!AC83=0,"",MakeSchedule!AC83)</f>
        <v/>
      </c>
      <c r="E83" s="69" t="str">
        <f>IF(MakeSchedule!AD83=0,"",MakeSchedule!AD83)</f>
        <v/>
      </c>
      <c r="F83" s="73" t="str">
        <f>IF(MakeSchedule!AD83=0,"",MakeSchedule!AC83/MakeSchedule!AD83)</f>
        <v/>
      </c>
      <c r="G83" s="73" t="str">
        <f t="shared" si="3"/>
        <v/>
      </c>
      <c r="H83" s="73" t="str">
        <f t="shared" si="4"/>
        <v/>
      </c>
      <c r="I83" s="69" t="str">
        <f>IF(MakeSchedule!AF83=0,"",MakeSchedule!AF83)</f>
        <v/>
      </c>
      <c r="J83" s="69" t="str">
        <f>IF(I83="","",IF(MakeSchedule!AG83=0,0,MakeSchedule!AG83))</f>
        <v/>
      </c>
      <c r="K83" s="39"/>
      <c r="L83" s="39"/>
      <c r="M83" s="39"/>
      <c r="N83" s="39"/>
      <c r="O83" s="39"/>
      <c r="P83" s="39"/>
      <c r="Q83" s="39"/>
      <c r="R83" s="39"/>
      <c r="S83" s="39"/>
      <c r="T83" s="39"/>
      <c r="U83" s="39"/>
      <c r="V83" s="39"/>
      <c r="W83" s="39"/>
    </row>
    <row r="84" spans="1:23" x14ac:dyDescent="0.2">
      <c r="A84" s="66"/>
      <c r="B84" s="67" t="str">
        <f t="shared" si="5"/>
        <v/>
      </c>
      <c r="C84" s="68" t="str">
        <f>IF(MakeSchedule!AB84=0,"",MakeSchedule!AB84)</f>
        <v/>
      </c>
      <c r="D84" s="69" t="str">
        <f>IF(MakeSchedule!AC84=0,"",MakeSchedule!AC84)</f>
        <v/>
      </c>
      <c r="E84" s="69" t="str">
        <f>IF(MakeSchedule!AD84=0,"",MakeSchedule!AD84)</f>
        <v/>
      </c>
      <c r="F84" s="73" t="str">
        <f>IF(MakeSchedule!AD84=0,"",MakeSchedule!AC84/MakeSchedule!AD84)</f>
        <v/>
      </c>
      <c r="G84" s="73" t="str">
        <f t="shared" si="3"/>
        <v/>
      </c>
      <c r="H84" s="73" t="str">
        <f t="shared" si="4"/>
        <v/>
      </c>
      <c r="I84" s="69" t="str">
        <f>IF(MakeSchedule!AF84=0,"",MakeSchedule!AF84)</f>
        <v/>
      </c>
      <c r="J84" s="69" t="str">
        <f>IF(I84="","",IF(MakeSchedule!AG84=0,0,MakeSchedule!AG84))</f>
        <v/>
      </c>
      <c r="K84" s="39"/>
      <c r="L84" s="39"/>
      <c r="M84" s="39"/>
      <c r="N84" s="39"/>
      <c r="O84" s="39"/>
      <c r="P84" s="39"/>
      <c r="Q84" s="39"/>
      <c r="R84" s="39"/>
      <c r="S84" s="39"/>
      <c r="T84" s="39"/>
      <c r="U84" s="39"/>
      <c r="V84" s="39"/>
      <c r="W84" s="39"/>
    </row>
    <row r="85" spans="1:23" x14ac:dyDescent="0.2">
      <c r="A85" s="66"/>
      <c r="B85" s="67" t="str">
        <f t="shared" si="5"/>
        <v/>
      </c>
      <c r="C85" s="68" t="str">
        <f>IF(MakeSchedule!AB85=0,"",MakeSchedule!AB85)</f>
        <v/>
      </c>
      <c r="D85" s="69" t="str">
        <f>IF(MakeSchedule!AC85=0,"",MakeSchedule!AC85)</f>
        <v/>
      </c>
      <c r="E85" s="69" t="str">
        <f>IF(MakeSchedule!AD85=0,"",MakeSchedule!AD85)</f>
        <v/>
      </c>
      <c r="F85" s="73" t="str">
        <f>IF(MakeSchedule!AD85=0,"",MakeSchedule!AC85/MakeSchedule!AD85)</f>
        <v/>
      </c>
      <c r="G85" s="73" t="str">
        <f t="shared" si="3"/>
        <v/>
      </c>
      <c r="H85" s="73" t="str">
        <f t="shared" si="4"/>
        <v/>
      </c>
      <c r="I85" s="69" t="str">
        <f>IF(MakeSchedule!AF85=0,"",MakeSchedule!AF85)</f>
        <v/>
      </c>
      <c r="J85" s="69" t="str">
        <f>IF(I85="","",IF(MakeSchedule!AG85=0,0,MakeSchedule!AG85))</f>
        <v/>
      </c>
      <c r="K85" s="39"/>
      <c r="L85" s="39"/>
      <c r="M85" s="39"/>
      <c r="N85" s="39"/>
      <c r="O85" s="39"/>
      <c r="P85" s="39"/>
      <c r="Q85" s="39"/>
      <c r="R85" s="39"/>
      <c r="S85" s="39"/>
      <c r="T85" s="39"/>
      <c r="U85" s="39"/>
      <c r="V85" s="39"/>
      <c r="W85" s="39"/>
    </row>
    <row r="86" spans="1:23" x14ac:dyDescent="0.2">
      <c r="A86" s="66"/>
      <c r="B86" s="67" t="str">
        <f t="shared" si="5"/>
        <v/>
      </c>
      <c r="C86" s="68" t="str">
        <f>IF(MakeSchedule!AB86=0,"",MakeSchedule!AB86)</f>
        <v/>
      </c>
      <c r="D86" s="69" t="str">
        <f>IF(MakeSchedule!AC86=0,"",MakeSchedule!AC86)</f>
        <v/>
      </c>
      <c r="E86" s="69" t="str">
        <f>IF(MakeSchedule!AD86=0,"",MakeSchedule!AD86)</f>
        <v/>
      </c>
      <c r="F86" s="73" t="str">
        <f>IF(MakeSchedule!AD86=0,"",MakeSchedule!AC86/MakeSchedule!AD86)</f>
        <v/>
      </c>
      <c r="G86" s="73" t="str">
        <f t="shared" si="3"/>
        <v/>
      </c>
      <c r="H86" s="73" t="str">
        <f t="shared" si="4"/>
        <v/>
      </c>
      <c r="I86" s="69" t="str">
        <f>IF(MakeSchedule!AF86=0,"",MakeSchedule!AF86)</f>
        <v/>
      </c>
      <c r="J86" s="69" t="str">
        <f>IF(I86="","",IF(MakeSchedule!AG86=0,0,MakeSchedule!AG86))</f>
        <v/>
      </c>
      <c r="K86" s="39"/>
      <c r="L86" s="39"/>
      <c r="M86" s="39"/>
      <c r="N86" s="39"/>
      <c r="O86" s="39"/>
      <c r="P86" s="39"/>
      <c r="Q86" s="39"/>
      <c r="R86" s="39"/>
      <c r="S86" s="39"/>
      <c r="T86" s="39"/>
      <c r="U86" s="39"/>
      <c r="V86" s="39"/>
      <c r="W86" s="39"/>
    </row>
    <row r="87" spans="1:23" x14ac:dyDescent="0.2">
      <c r="A87" s="66"/>
      <c r="B87" s="67" t="str">
        <f t="shared" si="5"/>
        <v/>
      </c>
      <c r="C87" s="68" t="str">
        <f>IF(MakeSchedule!AB87=0,"",MakeSchedule!AB87)</f>
        <v/>
      </c>
      <c r="D87" s="69" t="str">
        <f>IF(MakeSchedule!AC87=0,"",MakeSchedule!AC87)</f>
        <v/>
      </c>
      <c r="E87" s="69" t="str">
        <f>IF(MakeSchedule!AD87=0,"",MakeSchedule!AD87)</f>
        <v/>
      </c>
      <c r="F87" s="73" t="str">
        <f>IF(MakeSchedule!AD87=0,"",MakeSchedule!AC87/MakeSchedule!AD87)</f>
        <v/>
      </c>
      <c r="G87" s="73" t="str">
        <f t="shared" si="3"/>
        <v/>
      </c>
      <c r="H87" s="73" t="str">
        <f t="shared" si="4"/>
        <v/>
      </c>
      <c r="I87" s="69" t="str">
        <f>IF(MakeSchedule!AF87=0,"",MakeSchedule!AF87)</f>
        <v/>
      </c>
      <c r="J87" s="69" t="str">
        <f>IF(I87="","",IF(MakeSchedule!AG87=0,0,MakeSchedule!AG87))</f>
        <v/>
      </c>
      <c r="K87" s="39"/>
      <c r="L87" s="39"/>
      <c r="M87" s="39"/>
      <c r="N87" s="39"/>
      <c r="O87" s="39"/>
      <c r="P87" s="39"/>
      <c r="Q87" s="39"/>
      <c r="R87" s="39"/>
      <c r="S87" s="39"/>
      <c r="T87" s="39"/>
      <c r="U87" s="39"/>
      <c r="V87" s="39"/>
      <c r="W87" s="39"/>
    </row>
    <row r="88" spans="1:23" x14ac:dyDescent="0.2">
      <c r="A88" s="66"/>
      <c r="B88" s="67" t="str">
        <f t="shared" si="5"/>
        <v/>
      </c>
      <c r="C88" s="68" t="str">
        <f>IF(MakeSchedule!AB88=0,"",MakeSchedule!AB88)</f>
        <v/>
      </c>
      <c r="D88" s="69" t="str">
        <f>IF(MakeSchedule!AC88=0,"",MakeSchedule!AC88)</f>
        <v/>
      </c>
      <c r="E88" s="69" t="str">
        <f>IF(MakeSchedule!AD88=0,"",MakeSchedule!AD88)</f>
        <v/>
      </c>
      <c r="F88" s="73" t="str">
        <f>IF(MakeSchedule!AD88=0,"",MakeSchedule!AC88/MakeSchedule!AD88)</f>
        <v/>
      </c>
      <c r="G88" s="73" t="str">
        <f t="shared" si="3"/>
        <v/>
      </c>
      <c r="H88" s="73" t="str">
        <f t="shared" si="4"/>
        <v/>
      </c>
      <c r="I88" s="69" t="str">
        <f>IF(MakeSchedule!AF88=0,"",MakeSchedule!AF88)</f>
        <v/>
      </c>
      <c r="J88" s="69" t="str">
        <f>IF(I88="","",IF(MakeSchedule!AG88=0,0,MakeSchedule!AG88))</f>
        <v/>
      </c>
      <c r="K88" s="39"/>
      <c r="L88" s="39"/>
      <c r="M88" s="39"/>
      <c r="N88" s="39"/>
      <c r="O88" s="39"/>
      <c r="P88" s="39"/>
      <c r="Q88" s="39"/>
      <c r="R88" s="39"/>
      <c r="S88" s="39"/>
      <c r="T88" s="39"/>
      <c r="U88" s="39"/>
      <c r="V88" s="39"/>
      <c r="W88" s="39"/>
    </row>
    <row r="89" spans="1:23" x14ac:dyDescent="0.2">
      <c r="A89" s="66"/>
      <c r="B89" s="67" t="str">
        <f t="shared" si="5"/>
        <v/>
      </c>
      <c r="C89" s="68" t="str">
        <f>IF(MakeSchedule!AB89=0,"",MakeSchedule!AB89)</f>
        <v/>
      </c>
      <c r="D89" s="69" t="str">
        <f>IF(MakeSchedule!AC89=0,"",MakeSchedule!AC89)</f>
        <v/>
      </c>
      <c r="E89" s="69" t="str">
        <f>IF(MakeSchedule!AD89=0,"",MakeSchedule!AD89)</f>
        <v/>
      </c>
      <c r="F89" s="73" t="str">
        <f>IF(MakeSchedule!AD89=0,"",MakeSchedule!AC89/MakeSchedule!AD89)</f>
        <v/>
      </c>
      <c r="G89" s="73" t="str">
        <f t="shared" si="3"/>
        <v/>
      </c>
      <c r="H89" s="73" t="str">
        <f t="shared" si="4"/>
        <v/>
      </c>
      <c r="I89" s="69" t="str">
        <f>IF(MakeSchedule!AF89=0,"",MakeSchedule!AF89)</f>
        <v/>
      </c>
      <c r="J89" s="69" t="str">
        <f>IF(I89="","",IF(MakeSchedule!AG89=0,0,MakeSchedule!AG89))</f>
        <v/>
      </c>
      <c r="K89" s="39"/>
      <c r="L89" s="39"/>
      <c r="M89" s="39"/>
      <c r="N89" s="39"/>
      <c r="O89" s="39"/>
      <c r="P89" s="39"/>
      <c r="Q89" s="39"/>
      <c r="R89" s="39"/>
      <c r="S89" s="39"/>
      <c r="T89" s="39"/>
      <c r="U89" s="39"/>
      <c r="V89" s="39"/>
      <c r="W89" s="39"/>
    </row>
    <row r="90" spans="1:23" x14ac:dyDescent="0.2">
      <c r="A90" s="66"/>
      <c r="B90" s="67" t="str">
        <f t="shared" si="5"/>
        <v/>
      </c>
      <c r="C90" s="68" t="str">
        <f>IF(MakeSchedule!AB90=0,"",MakeSchedule!AB90)</f>
        <v/>
      </c>
      <c r="D90" s="69" t="str">
        <f>IF(MakeSchedule!AC90=0,"",MakeSchedule!AC90)</f>
        <v/>
      </c>
      <c r="E90" s="69" t="str">
        <f>IF(MakeSchedule!AD90=0,"",MakeSchedule!AD90)</f>
        <v/>
      </c>
      <c r="F90" s="73" t="str">
        <f>IF(MakeSchedule!AD90=0,"",MakeSchedule!AC90/MakeSchedule!AD90)</f>
        <v/>
      </c>
      <c r="G90" s="73" t="str">
        <f t="shared" si="3"/>
        <v/>
      </c>
      <c r="H90" s="73" t="str">
        <f t="shared" si="4"/>
        <v/>
      </c>
      <c r="I90" s="69" t="str">
        <f>IF(MakeSchedule!AF90=0,"",MakeSchedule!AF90)</f>
        <v/>
      </c>
      <c r="J90" s="69" t="str">
        <f>IF(I90="","",IF(MakeSchedule!AG90=0,0,MakeSchedule!AG90))</f>
        <v/>
      </c>
      <c r="K90" s="39"/>
      <c r="L90" s="39"/>
      <c r="M90" s="39"/>
      <c r="N90" s="39"/>
      <c r="O90" s="39"/>
      <c r="P90" s="39"/>
      <c r="Q90" s="39"/>
      <c r="R90" s="39"/>
      <c r="S90" s="39"/>
      <c r="T90" s="39"/>
      <c r="U90" s="39"/>
      <c r="V90" s="39"/>
      <c r="W90" s="39"/>
    </row>
    <row r="91" spans="1:23" x14ac:dyDescent="0.2">
      <c r="A91" s="66"/>
      <c r="B91" s="67" t="str">
        <f t="shared" si="5"/>
        <v/>
      </c>
      <c r="C91" s="68" t="str">
        <f>IF(MakeSchedule!AB91=0,"",MakeSchedule!AB91)</f>
        <v/>
      </c>
      <c r="D91" s="69" t="str">
        <f>IF(MakeSchedule!AC91=0,"",MakeSchedule!AC91)</f>
        <v/>
      </c>
      <c r="E91" s="69" t="str">
        <f>IF(MakeSchedule!AD91=0,"",MakeSchedule!AD91)</f>
        <v/>
      </c>
      <c r="F91" s="73" t="str">
        <f>IF(MakeSchedule!AD91=0,"",MakeSchedule!AC91/MakeSchedule!AD91)</f>
        <v/>
      </c>
      <c r="G91" s="73" t="str">
        <f t="shared" si="3"/>
        <v/>
      </c>
      <c r="H91" s="73" t="str">
        <f t="shared" si="4"/>
        <v/>
      </c>
      <c r="I91" s="69" t="str">
        <f>IF(MakeSchedule!AF91=0,"",MakeSchedule!AF91)</f>
        <v/>
      </c>
      <c r="J91" s="69" t="str">
        <f>IF(I91="","",IF(MakeSchedule!AG91=0,0,MakeSchedule!AG91))</f>
        <v/>
      </c>
      <c r="K91" s="39"/>
      <c r="L91" s="39"/>
      <c r="M91" s="39"/>
      <c r="N91" s="39"/>
      <c r="O91" s="39"/>
      <c r="P91" s="39"/>
      <c r="Q91" s="39"/>
      <c r="R91" s="39"/>
      <c r="S91" s="39"/>
      <c r="T91" s="39"/>
      <c r="U91" s="39"/>
      <c r="V91" s="39"/>
      <c r="W91" s="39"/>
    </row>
    <row r="92" spans="1:23" x14ac:dyDescent="0.2">
      <c r="A92" s="66"/>
      <c r="B92" s="67" t="str">
        <f t="shared" si="5"/>
        <v/>
      </c>
      <c r="C92" s="68" t="str">
        <f>IF(MakeSchedule!AB92=0,"",MakeSchedule!AB92)</f>
        <v/>
      </c>
      <c r="D92" s="69" t="str">
        <f>IF(MakeSchedule!AC92=0,"",MakeSchedule!AC92)</f>
        <v/>
      </c>
      <c r="E92" s="69" t="str">
        <f>IF(MakeSchedule!AD92=0,"",MakeSchedule!AD92)</f>
        <v/>
      </c>
      <c r="F92" s="73" t="str">
        <f>IF(MakeSchedule!AD92=0,"",MakeSchedule!AC92/MakeSchedule!AD92)</f>
        <v/>
      </c>
      <c r="G92" s="73" t="str">
        <f t="shared" si="3"/>
        <v/>
      </c>
      <c r="H92" s="73" t="str">
        <f t="shared" si="4"/>
        <v/>
      </c>
      <c r="I92" s="69" t="str">
        <f>IF(MakeSchedule!AF92=0,"",MakeSchedule!AF92)</f>
        <v/>
      </c>
      <c r="J92" s="69" t="str">
        <f>IF(I92="","",IF(MakeSchedule!AG92=0,0,MakeSchedule!AG92))</f>
        <v/>
      </c>
      <c r="K92" s="39"/>
      <c r="L92" s="39"/>
      <c r="M92" s="39"/>
      <c r="N92" s="39"/>
      <c r="O92" s="39"/>
      <c r="P92" s="39"/>
      <c r="Q92" s="39"/>
      <c r="R92" s="39"/>
      <c r="S92" s="39"/>
      <c r="T92" s="39"/>
      <c r="U92" s="39"/>
      <c r="V92" s="39"/>
      <c r="W92" s="39"/>
    </row>
    <row r="93" spans="1:23" x14ac:dyDescent="0.2">
      <c r="A93" s="66"/>
      <c r="B93" s="67" t="str">
        <f t="shared" si="5"/>
        <v/>
      </c>
      <c r="C93" s="68" t="str">
        <f>IF(MakeSchedule!AB93=0,"",MakeSchedule!AB93)</f>
        <v/>
      </c>
      <c r="D93" s="69" t="str">
        <f>IF(MakeSchedule!AC93=0,"",MakeSchedule!AC93)</f>
        <v/>
      </c>
      <c r="E93" s="69" t="str">
        <f>IF(MakeSchedule!AD93=0,"",MakeSchedule!AD93)</f>
        <v/>
      </c>
      <c r="F93" s="73" t="str">
        <f>IF(MakeSchedule!AD93=0,"",MakeSchedule!AC93/MakeSchedule!AD93)</f>
        <v/>
      </c>
      <c r="G93" s="73" t="str">
        <f t="shared" si="3"/>
        <v/>
      </c>
      <c r="H93" s="73" t="str">
        <f t="shared" si="4"/>
        <v/>
      </c>
      <c r="I93" s="69" t="str">
        <f>IF(MakeSchedule!AF93=0,"",MakeSchedule!AF93)</f>
        <v/>
      </c>
      <c r="J93" s="69" t="str">
        <f>IF(I93="","",IF(MakeSchedule!AG93=0,0,MakeSchedule!AG93))</f>
        <v/>
      </c>
      <c r="K93" s="39"/>
      <c r="L93" s="39"/>
      <c r="M93" s="39"/>
      <c r="N93" s="39"/>
      <c r="O93" s="39"/>
      <c r="P93" s="39"/>
      <c r="Q93" s="39"/>
      <c r="R93" s="39"/>
      <c r="S93" s="39"/>
      <c r="T93" s="39"/>
      <c r="U93" s="39"/>
      <c r="V93" s="39"/>
      <c r="W93" s="39"/>
    </row>
    <row r="94" spans="1:23" x14ac:dyDescent="0.2">
      <c r="A94" s="66"/>
      <c r="B94" s="67" t="str">
        <f t="shared" si="5"/>
        <v/>
      </c>
      <c r="C94" s="68" t="str">
        <f>IF(MakeSchedule!AB94=0,"",MakeSchedule!AB94)</f>
        <v/>
      </c>
      <c r="D94" s="69" t="str">
        <f>IF(MakeSchedule!AC94=0,"",MakeSchedule!AC94)</f>
        <v/>
      </c>
      <c r="E94" s="69" t="str">
        <f>IF(MakeSchedule!AD94=0,"",MakeSchedule!AD94)</f>
        <v/>
      </c>
      <c r="F94" s="73" t="str">
        <f>IF(MakeSchedule!AD94=0,"",MakeSchedule!AC94/MakeSchedule!AD94)</f>
        <v/>
      </c>
      <c r="G94" s="73" t="str">
        <f t="shared" si="3"/>
        <v/>
      </c>
      <c r="H94" s="73" t="str">
        <f t="shared" si="4"/>
        <v/>
      </c>
      <c r="I94" s="69" t="str">
        <f>IF(MakeSchedule!AF94=0,"",MakeSchedule!AF94)</f>
        <v/>
      </c>
      <c r="J94" s="69" t="str">
        <f>IF(I94="","",IF(MakeSchedule!AG94=0,0,MakeSchedule!AG94))</f>
        <v/>
      </c>
      <c r="K94" s="39"/>
      <c r="L94" s="39"/>
      <c r="M94" s="39"/>
      <c r="N94" s="39"/>
      <c r="O94" s="39"/>
      <c r="P94" s="39"/>
      <c r="Q94" s="39"/>
      <c r="R94" s="39"/>
      <c r="S94" s="39"/>
      <c r="T94" s="39"/>
      <c r="U94" s="39"/>
      <c r="V94" s="39"/>
      <c r="W94" s="39"/>
    </row>
    <row r="95" spans="1:23" x14ac:dyDescent="0.2">
      <c r="A95" s="66"/>
      <c r="B95" s="67" t="str">
        <f t="shared" si="5"/>
        <v/>
      </c>
      <c r="C95" s="68" t="str">
        <f>IF(MakeSchedule!AB95=0,"",MakeSchedule!AB95)</f>
        <v/>
      </c>
      <c r="D95" s="69" t="str">
        <f>IF(MakeSchedule!AC95=0,"",MakeSchedule!AC95)</f>
        <v/>
      </c>
      <c r="E95" s="69" t="str">
        <f>IF(MakeSchedule!AD95=0,"",MakeSchedule!AD95)</f>
        <v/>
      </c>
      <c r="F95" s="73" t="str">
        <f>IF(MakeSchedule!AD95=0,"",MakeSchedule!AC95/MakeSchedule!AD95)</f>
        <v/>
      </c>
      <c r="G95" s="73" t="str">
        <f t="shared" si="3"/>
        <v/>
      </c>
      <c r="H95" s="73" t="str">
        <f t="shared" si="4"/>
        <v/>
      </c>
      <c r="I95" s="69" t="str">
        <f>IF(MakeSchedule!AF95=0,"",MakeSchedule!AF95)</f>
        <v/>
      </c>
      <c r="J95" s="69" t="str">
        <f>IF(I95="","",IF(MakeSchedule!AG95=0,0,MakeSchedule!AG95))</f>
        <v/>
      </c>
      <c r="K95" s="39"/>
      <c r="L95" s="39"/>
      <c r="M95" s="39"/>
      <c r="N95" s="39"/>
      <c r="O95" s="39"/>
      <c r="P95" s="39"/>
      <c r="Q95" s="39"/>
      <c r="R95" s="39"/>
      <c r="S95" s="39"/>
      <c r="T95" s="39"/>
      <c r="U95" s="39"/>
      <c r="V95" s="39"/>
      <c r="W95" s="39"/>
    </row>
    <row r="96" spans="1:23" x14ac:dyDescent="0.2">
      <c r="A96" s="66"/>
      <c r="B96" s="67" t="str">
        <f t="shared" si="5"/>
        <v/>
      </c>
      <c r="C96" s="68" t="str">
        <f>IF(MakeSchedule!AB96=0,"",MakeSchedule!AB96)</f>
        <v/>
      </c>
      <c r="D96" s="69" t="str">
        <f>IF(MakeSchedule!AC96=0,"",MakeSchedule!AC96)</f>
        <v/>
      </c>
      <c r="E96" s="69" t="str">
        <f>IF(MakeSchedule!AD96=0,"",MakeSchedule!AD96)</f>
        <v/>
      </c>
      <c r="F96" s="73" t="str">
        <f>IF(MakeSchedule!AD96=0,"",MakeSchedule!AC96/MakeSchedule!AD96)</f>
        <v/>
      </c>
      <c r="G96" s="73" t="str">
        <f t="shared" si="3"/>
        <v/>
      </c>
      <c r="H96" s="73" t="str">
        <f t="shared" si="4"/>
        <v/>
      </c>
      <c r="I96" s="69" t="str">
        <f>IF(MakeSchedule!AF96=0,"",MakeSchedule!AF96)</f>
        <v/>
      </c>
      <c r="J96" s="69" t="str">
        <f>IF(I96="","",IF(MakeSchedule!AG96=0,0,MakeSchedule!AG96))</f>
        <v/>
      </c>
      <c r="K96" s="39"/>
      <c r="L96" s="39"/>
      <c r="M96" s="39"/>
      <c r="N96" s="39"/>
      <c r="O96" s="39"/>
      <c r="P96" s="39"/>
      <c r="Q96" s="39"/>
      <c r="R96" s="39"/>
      <c r="S96" s="39"/>
      <c r="T96" s="39"/>
      <c r="U96" s="39"/>
      <c r="V96" s="39"/>
      <c r="W96" s="39"/>
    </row>
    <row r="97" spans="1:23" x14ac:dyDescent="0.2">
      <c r="A97" s="66"/>
      <c r="B97" s="67" t="str">
        <f t="shared" si="5"/>
        <v/>
      </c>
      <c r="C97" s="68" t="str">
        <f>IF(MakeSchedule!AB97=0,"",MakeSchedule!AB97)</f>
        <v/>
      </c>
      <c r="D97" s="69" t="str">
        <f>IF(MakeSchedule!AC97=0,"",MakeSchedule!AC97)</f>
        <v/>
      </c>
      <c r="E97" s="69" t="str">
        <f>IF(MakeSchedule!AD97=0,"",MakeSchedule!AD97)</f>
        <v/>
      </c>
      <c r="F97" s="73" t="str">
        <f>IF(MakeSchedule!AD97=0,"",MakeSchedule!AC97/MakeSchedule!AD97)</f>
        <v/>
      </c>
      <c r="G97" s="73" t="str">
        <f t="shared" si="3"/>
        <v/>
      </c>
      <c r="H97" s="73" t="str">
        <f t="shared" si="4"/>
        <v/>
      </c>
      <c r="I97" s="69" t="str">
        <f>IF(MakeSchedule!AF97=0,"",MakeSchedule!AF97)</f>
        <v/>
      </c>
      <c r="J97" s="69" t="str">
        <f>IF(I97="","",IF(MakeSchedule!AG97=0,0,MakeSchedule!AG97))</f>
        <v/>
      </c>
      <c r="K97" s="39"/>
      <c r="L97" s="39"/>
      <c r="M97" s="39"/>
      <c r="N97" s="39"/>
      <c r="O97" s="39"/>
      <c r="P97" s="39"/>
      <c r="Q97" s="39"/>
      <c r="R97" s="39"/>
      <c r="S97" s="39"/>
      <c r="T97" s="39"/>
      <c r="U97" s="39"/>
      <c r="V97" s="39"/>
      <c r="W97" s="39"/>
    </row>
    <row r="98" spans="1:23" x14ac:dyDescent="0.2">
      <c r="A98" s="66"/>
      <c r="B98" s="67" t="str">
        <f t="shared" si="5"/>
        <v/>
      </c>
      <c r="C98" s="68" t="str">
        <f>IF(MakeSchedule!AB98=0,"",MakeSchedule!AB98)</f>
        <v/>
      </c>
      <c r="D98" s="69" t="str">
        <f>IF(MakeSchedule!AC98=0,"",MakeSchedule!AC98)</f>
        <v/>
      </c>
      <c r="E98" s="69" t="str">
        <f>IF(MakeSchedule!AD98=0,"",MakeSchedule!AD98)</f>
        <v/>
      </c>
      <c r="F98" s="73" t="str">
        <f>IF(MakeSchedule!AD98=0,"",MakeSchedule!AC98/MakeSchedule!AD98)</f>
        <v/>
      </c>
      <c r="G98" s="73" t="str">
        <f t="shared" si="3"/>
        <v/>
      </c>
      <c r="H98" s="73" t="str">
        <f t="shared" si="4"/>
        <v/>
      </c>
      <c r="I98" s="69" t="str">
        <f>IF(MakeSchedule!AF98=0,"",MakeSchedule!AF98)</f>
        <v/>
      </c>
      <c r="J98" s="69" t="str">
        <f>IF(I98="","",IF(MakeSchedule!AG98=0,0,MakeSchedule!AG98))</f>
        <v/>
      </c>
      <c r="K98" s="39"/>
      <c r="L98" s="39"/>
      <c r="M98" s="39"/>
      <c r="N98" s="39"/>
      <c r="O98" s="39"/>
      <c r="P98" s="39"/>
      <c r="Q98" s="39"/>
      <c r="R98" s="39"/>
      <c r="S98" s="39"/>
      <c r="T98" s="39"/>
      <c r="U98" s="39"/>
      <c r="V98" s="39"/>
      <c r="W98" s="39"/>
    </row>
    <row r="99" spans="1:23" x14ac:dyDescent="0.2">
      <c r="A99" s="66"/>
      <c r="B99" s="67" t="str">
        <f t="shared" si="5"/>
        <v/>
      </c>
      <c r="C99" s="68" t="str">
        <f>IF(MakeSchedule!AB99=0,"",MakeSchedule!AB99)</f>
        <v/>
      </c>
      <c r="D99" s="69" t="str">
        <f>IF(MakeSchedule!AC99=0,"",MakeSchedule!AC99)</f>
        <v/>
      </c>
      <c r="E99" s="69" t="str">
        <f>IF(MakeSchedule!AD99=0,"",MakeSchedule!AD99)</f>
        <v/>
      </c>
      <c r="F99" s="73" t="str">
        <f>IF(MakeSchedule!AD99=0,"",MakeSchedule!AC99/MakeSchedule!AD99)</f>
        <v/>
      </c>
      <c r="G99" s="73" t="str">
        <f t="shared" si="3"/>
        <v/>
      </c>
      <c r="H99" s="73" t="str">
        <f t="shared" si="4"/>
        <v/>
      </c>
      <c r="I99" s="69" t="str">
        <f>IF(MakeSchedule!AF99=0,"",MakeSchedule!AF99)</f>
        <v/>
      </c>
      <c r="J99" s="69" t="str">
        <f>IF(I99="","",IF(MakeSchedule!AG99=0,0,MakeSchedule!AG99))</f>
        <v/>
      </c>
      <c r="K99" s="39"/>
      <c r="L99" s="39"/>
      <c r="M99" s="39"/>
      <c r="N99" s="39"/>
      <c r="O99" s="39"/>
      <c r="P99" s="39"/>
      <c r="Q99" s="39"/>
      <c r="R99" s="39"/>
      <c r="S99" s="39"/>
      <c r="T99" s="39"/>
      <c r="U99" s="39"/>
      <c r="V99" s="39"/>
      <c r="W99" s="39"/>
    </row>
    <row r="100" spans="1:23" x14ac:dyDescent="0.2">
      <c r="A100" s="66"/>
      <c r="B100" s="67" t="str">
        <f t="shared" si="5"/>
        <v/>
      </c>
      <c r="C100" s="68" t="str">
        <f>IF(MakeSchedule!AB100=0,"",MakeSchedule!AB100)</f>
        <v/>
      </c>
      <c r="D100" s="69" t="str">
        <f>IF(MakeSchedule!AC100=0,"",MakeSchedule!AC100)</f>
        <v/>
      </c>
      <c r="E100" s="69" t="str">
        <f>IF(MakeSchedule!AD100=0,"",MakeSchedule!AD100)</f>
        <v/>
      </c>
      <c r="F100" s="73" t="str">
        <f>IF(MakeSchedule!AD100=0,"",MakeSchedule!AC100/MakeSchedule!AD100)</f>
        <v/>
      </c>
      <c r="G100" s="73" t="str">
        <f t="shared" si="3"/>
        <v/>
      </c>
      <c r="H100" s="73" t="str">
        <f t="shared" si="4"/>
        <v/>
      </c>
      <c r="I100" s="69" t="str">
        <f>IF(MakeSchedule!AF100=0,"",MakeSchedule!AF100)</f>
        <v/>
      </c>
      <c r="J100" s="69" t="str">
        <f>IF(I100="","",IF(MakeSchedule!AG100=0,0,MakeSchedule!AG100))</f>
        <v/>
      </c>
      <c r="K100" s="39"/>
      <c r="L100" s="39"/>
      <c r="M100" s="39"/>
      <c r="N100" s="39"/>
      <c r="O100" s="39"/>
      <c r="P100" s="39"/>
      <c r="Q100" s="39"/>
      <c r="R100" s="39"/>
      <c r="S100" s="39"/>
      <c r="T100" s="39"/>
      <c r="U100" s="39"/>
      <c r="V100" s="39"/>
      <c r="W100" s="39"/>
    </row>
    <row r="101" spans="1:23" x14ac:dyDescent="0.2">
      <c r="A101" s="66"/>
      <c r="B101" s="67" t="str">
        <f t="shared" si="5"/>
        <v/>
      </c>
      <c r="C101" s="68" t="str">
        <f>IF(MakeSchedule!AB101=0,"",MakeSchedule!AB101)</f>
        <v/>
      </c>
      <c r="D101" s="69" t="str">
        <f>IF(MakeSchedule!AC101=0,"",MakeSchedule!AC101)</f>
        <v/>
      </c>
      <c r="E101" s="69" t="str">
        <f>IF(MakeSchedule!AD101=0,"",MakeSchedule!AD101)</f>
        <v/>
      </c>
      <c r="F101" s="73" t="str">
        <f>IF(MakeSchedule!AD101=0,"",MakeSchedule!AC101/MakeSchedule!AD101)</f>
        <v/>
      </c>
      <c r="G101" s="73" t="str">
        <f t="shared" si="3"/>
        <v/>
      </c>
      <c r="H101" s="73" t="str">
        <f t="shared" si="4"/>
        <v/>
      </c>
      <c r="I101" s="69" t="str">
        <f>IF(MakeSchedule!AF101=0,"",MakeSchedule!AF101)</f>
        <v/>
      </c>
      <c r="J101" s="69" t="str">
        <f>IF(I101="","",IF(MakeSchedule!AG101=0,0,MakeSchedule!AG101))</f>
        <v/>
      </c>
      <c r="K101" s="39"/>
      <c r="L101" s="39"/>
      <c r="M101" s="39"/>
      <c r="N101" s="39"/>
      <c r="O101" s="39"/>
      <c r="P101" s="39"/>
      <c r="Q101" s="39"/>
      <c r="R101" s="39"/>
      <c r="S101" s="39"/>
      <c r="T101" s="39"/>
      <c r="U101" s="39"/>
      <c r="V101" s="39"/>
      <c r="W101" s="39"/>
    </row>
    <row r="102" spans="1:23" x14ac:dyDescent="0.2">
      <c r="A102" s="66"/>
      <c r="B102" s="67" t="str">
        <f t="shared" si="5"/>
        <v/>
      </c>
      <c r="C102" s="68" t="str">
        <f>IF(MakeSchedule!AB102=0,"",MakeSchedule!AB102)</f>
        <v/>
      </c>
      <c r="D102" s="69" t="str">
        <f>IF(MakeSchedule!AC102=0,"",MakeSchedule!AC102)</f>
        <v/>
      </c>
      <c r="E102" s="69" t="str">
        <f>IF(MakeSchedule!AD102=0,"",MakeSchedule!AD102)</f>
        <v/>
      </c>
      <c r="F102" s="73" t="str">
        <f>IF(MakeSchedule!AD102=0,"",MakeSchedule!AC102/MakeSchedule!AD102)</f>
        <v/>
      </c>
      <c r="G102" s="73" t="str">
        <f t="shared" si="3"/>
        <v/>
      </c>
      <c r="H102" s="73" t="str">
        <f t="shared" si="4"/>
        <v/>
      </c>
      <c r="I102" s="69" t="str">
        <f>IF(MakeSchedule!AF102=0,"",MakeSchedule!AF102)</f>
        <v/>
      </c>
      <c r="J102" s="69" t="str">
        <f>IF(I102="","",IF(MakeSchedule!AG102=0,0,MakeSchedule!AG102))</f>
        <v/>
      </c>
      <c r="K102" s="39"/>
      <c r="L102" s="39"/>
      <c r="M102" s="39"/>
      <c r="N102" s="39"/>
      <c r="O102" s="39"/>
      <c r="P102" s="39"/>
      <c r="Q102" s="39"/>
      <c r="R102" s="39"/>
      <c r="S102" s="39"/>
      <c r="T102" s="39"/>
      <c r="U102" s="39"/>
      <c r="V102" s="39"/>
      <c r="W102" s="39"/>
    </row>
    <row r="103" spans="1:23" x14ac:dyDescent="0.2">
      <c r="A103" s="66"/>
      <c r="B103" s="67" t="str">
        <f t="shared" si="5"/>
        <v/>
      </c>
      <c r="C103" s="68" t="str">
        <f>IF(MakeSchedule!AB103=0,"",MakeSchedule!AB103)</f>
        <v/>
      </c>
      <c r="D103" s="69" t="str">
        <f>IF(MakeSchedule!AC103=0,"",MakeSchedule!AC103)</f>
        <v/>
      </c>
      <c r="E103" s="69" t="str">
        <f>IF(MakeSchedule!AD103=0,"",MakeSchedule!AD103)</f>
        <v/>
      </c>
      <c r="F103" s="73" t="str">
        <f>IF(MakeSchedule!AD103=0,"",MakeSchedule!AC103/MakeSchedule!AD103)</f>
        <v/>
      </c>
      <c r="G103" s="73" t="str">
        <f t="shared" si="3"/>
        <v/>
      </c>
      <c r="H103" s="73" t="str">
        <f t="shared" si="4"/>
        <v/>
      </c>
      <c r="I103" s="69" t="str">
        <f>IF(MakeSchedule!AF103=0,"",MakeSchedule!AF103)</f>
        <v/>
      </c>
      <c r="J103" s="69" t="str">
        <f>IF(I103="","",IF(MakeSchedule!AG103=0,0,MakeSchedule!AG103))</f>
        <v/>
      </c>
      <c r="K103" s="39"/>
      <c r="L103" s="39"/>
      <c r="M103" s="39"/>
      <c r="N103" s="39"/>
      <c r="O103" s="39"/>
      <c r="P103" s="39"/>
      <c r="Q103" s="39"/>
      <c r="R103" s="39"/>
      <c r="S103" s="39"/>
      <c r="T103" s="39"/>
      <c r="U103" s="39"/>
      <c r="V103" s="39"/>
      <c r="W103" s="39"/>
    </row>
    <row r="104" spans="1:23" x14ac:dyDescent="0.2">
      <c r="A104" s="66"/>
      <c r="B104" s="67" t="str">
        <f t="shared" si="5"/>
        <v/>
      </c>
      <c r="C104" s="68" t="str">
        <f>IF(MakeSchedule!AB104=0,"",MakeSchedule!AB104)</f>
        <v/>
      </c>
      <c r="D104" s="69" t="str">
        <f>IF(MakeSchedule!AC104=0,"",MakeSchedule!AC104)</f>
        <v/>
      </c>
      <c r="E104" s="69" t="str">
        <f>IF(MakeSchedule!AD104=0,"",MakeSchedule!AD104)</f>
        <v/>
      </c>
      <c r="F104" s="73" t="str">
        <f>IF(MakeSchedule!AD104=0,"",MakeSchedule!AC104/MakeSchedule!AD104)</f>
        <v/>
      </c>
      <c r="G104" s="73" t="str">
        <f t="shared" si="3"/>
        <v/>
      </c>
      <c r="H104" s="73" t="str">
        <f t="shared" si="4"/>
        <v/>
      </c>
      <c r="I104" s="69" t="str">
        <f>IF(MakeSchedule!AF104=0,"",MakeSchedule!AF104)</f>
        <v/>
      </c>
      <c r="J104" s="69" t="str">
        <f>IF(I104="","",IF(MakeSchedule!AG104=0,0,MakeSchedule!AG104))</f>
        <v/>
      </c>
      <c r="K104" s="39"/>
      <c r="L104" s="39"/>
      <c r="M104" s="39"/>
      <c r="N104" s="39"/>
      <c r="O104" s="39"/>
      <c r="P104" s="39"/>
      <c r="Q104" s="39"/>
      <c r="R104" s="39"/>
      <c r="S104" s="39"/>
      <c r="T104" s="39"/>
      <c r="U104" s="39"/>
      <c r="V104" s="39"/>
      <c r="W104" s="39"/>
    </row>
    <row r="105" spans="1:23" x14ac:dyDescent="0.2">
      <c r="A105" s="66"/>
      <c r="B105" s="67" t="str">
        <f t="shared" si="5"/>
        <v/>
      </c>
      <c r="C105" s="68" t="str">
        <f>IF(MakeSchedule!AB105=0,"",MakeSchedule!AB105)</f>
        <v/>
      </c>
      <c r="D105" s="69" t="str">
        <f>IF(MakeSchedule!AC105=0,"",MakeSchedule!AC105)</f>
        <v/>
      </c>
      <c r="E105" s="69" t="str">
        <f>IF(MakeSchedule!AD105=0,"",MakeSchedule!AD105)</f>
        <v/>
      </c>
      <c r="F105" s="73" t="str">
        <f>IF(MakeSchedule!AD105=0,"",MakeSchedule!AC105/MakeSchedule!AD105)</f>
        <v/>
      </c>
      <c r="G105" s="73" t="str">
        <f t="shared" si="3"/>
        <v/>
      </c>
      <c r="H105" s="73" t="str">
        <f t="shared" si="4"/>
        <v/>
      </c>
      <c r="I105" s="69" t="str">
        <f>IF(MakeSchedule!AF105=0,"",MakeSchedule!AF105)</f>
        <v/>
      </c>
      <c r="J105" s="69" t="str">
        <f>IF(I105="","",IF(MakeSchedule!AG105=0,0,MakeSchedule!AG105))</f>
        <v/>
      </c>
      <c r="K105" s="39"/>
      <c r="L105" s="39"/>
      <c r="M105" s="39"/>
      <c r="N105" s="39"/>
      <c r="O105" s="39"/>
      <c r="P105" s="39"/>
      <c r="Q105" s="39"/>
      <c r="R105" s="39"/>
      <c r="S105" s="39"/>
      <c r="T105" s="39"/>
      <c r="U105" s="39"/>
      <c r="V105" s="39"/>
      <c r="W105" s="39"/>
    </row>
    <row r="106" spans="1:23" x14ac:dyDescent="0.2">
      <c r="A106" s="66"/>
      <c r="B106" s="67" t="str">
        <f t="shared" si="5"/>
        <v/>
      </c>
      <c r="C106" s="68" t="str">
        <f>IF(MakeSchedule!AB106=0,"",MakeSchedule!AB106)</f>
        <v/>
      </c>
      <c r="D106" s="69" t="str">
        <f>IF(MakeSchedule!AC106=0,"",MakeSchedule!AC106)</f>
        <v/>
      </c>
      <c r="E106" s="69" t="str">
        <f>IF(MakeSchedule!AD106=0,"",MakeSchedule!AD106)</f>
        <v/>
      </c>
      <c r="F106" s="73" t="str">
        <f>IF(MakeSchedule!AD106=0,"",MakeSchedule!AC106/MakeSchedule!AD106)</f>
        <v/>
      </c>
      <c r="G106" s="73" t="str">
        <f t="shared" si="3"/>
        <v/>
      </c>
      <c r="H106" s="73" t="str">
        <f t="shared" si="4"/>
        <v/>
      </c>
      <c r="I106" s="69" t="str">
        <f>IF(MakeSchedule!AF106=0,"",MakeSchedule!AF106)</f>
        <v/>
      </c>
      <c r="J106" s="69" t="str">
        <f>IF(I106="","",IF(MakeSchedule!AG106=0,0,MakeSchedule!AG106))</f>
        <v/>
      </c>
      <c r="K106" s="39"/>
      <c r="L106" s="39"/>
      <c r="M106" s="39"/>
      <c r="N106" s="39"/>
      <c r="O106" s="39"/>
      <c r="P106" s="39"/>
      <c r="Q106" s="39"/>
      <c r="R106" s="39"/>
      <c r="S106" s="39"/>
      <c r="T106" s="39"/>
      <c r="U106" s="39"/>
      <c r="V106" s="39"/>
      <c r="W106" s="39"/>
    </row>
    <row r="107" spans="1:23" x14ac:dyDescent="0.2">
      <c r="A107" s="66"/>
      <c r="B107" s="67" t="str">
        <f t="shared" si="5"/>
        <v/>
      </c>
      <c r="C107" s="68" t="str">
        <f>IF(MakeSchedule!AB107=0,"",MakeSchedule!AB107)</f>
        <v/>
      </c>
      <c r="D107" s="69" t="str">
        <f>IF(MakeSchedule!AC107=0,"",MakeSchedule!AC107)</f>
        <v/>
      </c>
      <c r="E107" s="69" t="str">
        <f>IF(MakeSchedule!AD107=0,"",MakeSchedule!AD107)</f>
        <v/>
      </c>
      <c r="F107" s="73" t="str">
        <f>IF(MakeSchedule!AD107=0,"",MakeSchedule!AC107/MakeSchedule!AD107)</f>
        <v/>
      </c>
      <c r="G107" s="73" t="str">
        <f t="shared" si="3"/>
        <v/>
      </c>
      <c r="H107" s="73" t="str">
        <f t="shared" si="4"/>
        <v/>
      </c>
      <c r="I107" s="69" t="str">
        <f>IF(MakeSchedule!AF107=0,"",MakeSchedule!AF107)</f>
        <v/>
      </c>
      <c r="J107" s="69" t="str">
        <f>IF(I107="","",IF(MakeSchedule!AG107=0,0,MakeSchedule!AG107))</f>
        <v/>
      </c>
      <c r="K107" s="39"/>
      <c r="L107" s="39"/>
      <c r="M107" s="39"/>
      <c r="N107" s="39"/>
      <c r="O107" s="39"/>
      <c r="P107" s="39"/>
      <c r="Q107" s="39"/>
      <c r="R107" s="39"/>
      <c r="S107" s="39"/>
      <c r="T107" s="39"/>
      <c r="U107" s="39"/>
      <c r="V107" s="39"/>
      <c r="W107" s="39"/>
    </row>
    <row r="108" spans="1:23" x14ac:dyDescent="0.2">
      <c r="A108" s="66"/>
      <c r="B108" s="67" t="str">
        <f t="shared" si="5"/>
        <v/>
      </c>
      <c r="C108" s="68" t="str">
        <f>IF(MakeSchedule!AB108=0,"",MakeSchedule!AB108)</f>
        <v/>
      </c>
      <c r="D108" s="69" t="str">
        <f>IF(MakeSchedule!AC108=0,"",MakeSchedule!AC108)</f>
        <v/>
      </c>
      <c r="E108" s="69" t="str">
        <f>IF(MakeSchedule!AD108=0,"",MakeSchedule!AD108)</f>
        <v/>
      </c>
      <c r="F108" s="73" t="str">
        <f>IF(MakeSchedule!AD108=0,"",MakeSchedule!AC108/MakeSchedule!AD108)</f>
        <v/>
      </c>
      <c r="G108" s="73" t="str">
        <f t="shared" si="3"/>
        <v/>
      </c>
      <c r="H108" s="73" t="str">
        <f t="shared" si="4"/>
        <v/>
      </c>
      <c r="I108" s="69" t="str">
        <f>IF(MakeSchedule!AF108=0,"",MakeSchedule!AF108)</f>
        <v/>
      </c>
      <c r="J108" s="69" t="str">
        <f>IF(I108="","",IF(MakeSchedule!AG108=0,0,MakeSchedule!AG108))</f>
        <v/>
      </c>
      <c r="K108" s="39"/>
      <c r="L108" s="39"/>
      <c r="M108" s="39"/>
      <c r="N108" s="39"/>
      <c r="O108" s="39"/>
      <c r="P108" s="39"/>
      <c r="Q108" s="39"/>
      <c r="R108" s="39"/>
      <c r="S108" s="39"/>
      <c r="T108" s="39"/>
      <c r="U108" s="39"/>
      <c r="V108" s="39"/>
      <c r="W108" s="39"/>
    </row>
    <row r="109" spans="1:23" x14ac:dyDescent="0.2">
      <c r="A109" s="66"/>
      <c r="B109" s="67" t="str">
        <f t="shared" si="5"/>
        <v/>
      </c>
      <c r="C109" s="68" t="str">
        <f>IF(MakeSchedule!AB109=0,"",MakeSchedule!AB109)</f>
        <v/>
      </c>
      <c r="D109" s="69" t="str">
        <f>IF(MakeSchedule!AC109=0,"",MakeSchedule!AC109)</f>
        <v/>
      </c>
      <c r="E109" s="69" t="str">
        <f>IF(MakeSchedule!AD109=0,"",MakeSchedule!AD109)</f>
        <v/>
      </c>
      <c r="F109" s="73" t="str">
        <f>IF(MakeSchedule!AD109=0,"",MakeSchedule!AC109/MakeSchedule!AD109)</f>
        <v/>
      </c>
      <c r="G109" s="73" t="str">
        <f t="shared" si="3"/>
        <v/>
      </c>
      <c r="H109" s="73" t="str">
        <f t="shared" si="4"/>
        <v/>
      </c>
      <c r="I109" s="69" t="str">
        <f>IF(MakeSchedule!AF109=0,"",MakeSchedule!AF109)</f>
        <v/>
      </c>
      <c r="J109" s="69" t="str">
        <f>IF(I109="","",IF(MakeSchedule!AG109=0,0,MakeSchedule!AG109))</f>
        <v/>
      </c>
      <c r="K109" s="39"/>
      <c r="L109" s="39"/>
      <c r="M109" s="39"/>
      <c r="N109" s="39"/>
      <c r="O109" s="39"/>
      <c r="P109" s="39"/>
      <c r="Q109" s="39"/>
      <c r="R109" s="39"/>
      <c r="S109" s="39"/>
      <c r="T109" s="39"/>
      <c r="U109" s="39"/>
      <c r="V109" s="39"/>
      <c r="W109" s="39"/>
    </row>
    <row r="110" spans="1:23" x14ac:dyDescent="0.2">
      <c r="A110" s="66"/>
      <c r="B110" s="67" t="str">
        <f t="shared" si="5"/>
        <v/>
      </c>
      <c r="C110" s="68" t="str">
        <f>IF(MakeSchedule!AB110=0,"",MakeSchedule!AB110)</f>
        <v/>
      </c>
      <c r="D110" s="69" t="str">
        <f>IF(MakeSchedule!AC110=0,"",MakeSchedule!AC110)</f>
        <v/>
      </c>
      <c r="E110" s="69" t="str">
        <f>IF(MakeSchedule!AD110=0,"",MakeSchedule!AD110)</f>
        <v/>
      </c>
      <c r="F110" s="73" t="str">
        <f>IF(MakeSchedule!AD110=0,"",MakeSchedule!AC110/MakeSchedule!AD110)</f>
        <v/>
      </c>
      <c r="G110" s="73" t="str">
        <f t="shared" si="3"/>
        <v/>
      </c>
      <c r="H110" s="73" t="str">
        <f t="shared" si="4"/>
        <v/>
      </c>
      <c r="I110" s="69" t="str">
        <f>IF(MakeSchedule!AF110=0,"",MakeSchedule!AF110)</f>
        <v/>
      </c>
      <c r="J110" s="69" t="str">
        <f>IF(I110="","",IF(MakeSchedule!AG110=0,0,MakeSchedule!AG110))</f>
        <v/>
      </c>
      <c r="K110" s="39"/>
      <c r="L110" s="39"/>
      <c r="M110" s="39"/>
      <c r="N110" s="39"/>
      <c r="O110" s="39"/>
      <c r="P110" s="39"/>
      <c r="Q110" s="39"/>
      <c r="R110" s="39"/>
      <c r="S110" s="39"/>
      <c r="T110" s="39"/>
      <c r="U110" s="39"/>
      <c r="V110" s="39"/>
      <c r="W110" s="39"/>
    </row>
    <row r="111" spans="1:23" x14ac:dyDescent="0.2">
      <c r="A111" s="66"/>
      <c r="B111" s="67" t="str">
        <f t="shared" si="5"/>
        <v/>
      </c>
      <c r="C111" s="68" t="str">
        <f>IF(MakeSchedule!AB111=0,"",MakeSchedule!AB111)</f>
        <v/>
      </c>
      <c r="D111" s="69" t="str">
        <f>IF(MakeSchedule!AC111=0,"",MakeSchedule!AC111)</f>
        <v/>
      </c>
      <c r="E111" s="69" t="str">
        <f>IF(MakeSchedule!AD111=0,"",MakeSchedule!AD111)</f>
        <v/>
      </c>
      <c r="F111" s="73" t="str">
        <f>IF(MakeSchedule!AD111=0,"",MakeSchedule!AC111/MakeSchedule!AD111)</f>
        <v/>
      </c>
      <c r="G111" s="73" t="str">
        <f t="shared" si="3"/>
        <v/>
      </c>
      <c r="H111" s="73" t="str">
        <f t="shared" si="4"/>
        <v/>
      </c>
      <c r="I111" s="69" t="str">
        <f>IF(MakeSchedule!AF111=0,"",MakeSchedule!AF111)</f>
        <v/>
      </c>
      <c r="J111" s="69" t="str">
        <f>IF(I111="","",IF(MakeSchedule!AG111=0,0,MakeSchedule!AG111))</f>
        <v/>
      </c>
      <c r="K111" s="39"/>
      <c r="L111" s="39"/>
      <c r="M111" s="39"/>
      <c r="N111" s="39"/>
      <c r="O111" s="39"/>
      <c r="P111" s="39"/>
      <c r="Q111" s="39"/>
      <c r="R111" s="39"/>
      <c r="S111" s="39"/>
      <c r="T111" s="39"/>
      <c r="U111" s="39"/>
      <c r="V111" s="39"/>
      <c r="W111" s="39"/>
    </row>
    <row r="112" spans="1:23" x14ac:dyDescent="0.2">
      <c r="A112" s="66"/>
      <c r="B112" s="67" t="str">
        <f t="shared" si="5"/>
        <v/>
      </c>
      <c r="C112" s="68" t="str">
        <f>IF(MakeSchedule!AB112=0,"",MakeSchedule!AB112)</f>
        <v/>
      </c>
      <c r="D112" s="69" t="str">
        <f>IF(MakeSchedule!AC112=0,"",MakeSchedule!AC112)</f>
        <v/>
      </c>
      <c r="E112" s="69" t="str">
        <f>IF(MakeSchedule!AD112=0,"",MakeSchedule!AD112)</f>
        <v/>
      </c>
      <c r="F112" s="73" t="str">
        <f>IF(MakeSchedule!AD112=0,"",MakeSchedule!AC112/MakeSchedule!AD112)</f>
        <v/>
      </c>
      <c r="G112" s="73" t="str">
        <f t="shared" si="3"/>
        <v/>
      </c>
      <c r="H112" s="73" t="str">
        <f t="shared" si="4"/>
        <v/>
      </c>
      <c r="I112" s="69" t="str">
        <f>IF(MakeSchedule!AF112=0,"",MakeSchedule!AF112)</f>
        <v/>
      </c>
      <c r="J112" s="69" t="str">
        <f>IF(I112="","",IF(MakeSchedule!AG112=0,0,MakeSchedule!AG112))</f>
        <v/>
      </c>
      <c r="K112" s="39"/>
      <c r="L112" s="39"/>
      <c r="M112" s="39"/>
      <c r="N112" s="39"/>
      <c r="O112" s="39"/>
      <c r="P112" s="39"/>
      <c r="Q112" s="39"/>
      <c r="R112" s="39"/>
      <c r="S112" s="39"/>
      <c r="T112" s="39"/>
      <c r="U112" s="39"/>
      <c r="V112" s="39"/>
      <c r="W112" s="39"/>
    </row>
    <row r="113" spans="1:23" x14ac:dyDescent="0.2">
      <c r="A113" s="66"/>
      <c r="B113" s="67" t="str">
        <f t="shared" si="5"/>
        <v/>
      </c>
      <c r="C113" s="68" t="str">
        <f>IF(MakeSchedule!AB113=0,"",MakeSchedule!AB113)</f>
        <v/>
      </c>
      <c r="D113" s="69" t="str">
        <f>IF(MakeSchedule!AC113=0,"",MakeSchedule!AC113)</f>
        <v/>
      </c>
      <c r="E113" s="69" t="str">
        <f>IF(MakeSchedule!AD113=0,"",MakeSchedule!AD113)</f>
        <v/>
      </c>
      <c r="F113" s="73" t="str">
        <f>IF(MakeSchedule!AD113=0,"",MakeSchedule!AC113/MakeSchedule!AD113)</f>
        <v/>
      </c>
      <c r="G113" s="73" t="str">
        <f t="shared" si="3"/>
        <v/>
      </c>
      <c r="H113" s="73" t="str">
        <f t="shared" si="4"/>
        <v/>
      </c>
      <c r="I113" s="69" t="str">
        <f>IF(MakeSchedule!AF113=0,"",MakeSchedule!AF113)</f>
        <v/>
      </c>
      <c r="J113" s="69" t="str">
        <f>IF(I113="","",IF(MakeSchedule!AG113=0,0,MakeSchedule!AG113))</f>
        <v/>
      </c>
      <c r="K113" s="39"/>
      <c r="L113" s="39"/>
      <c r="M113" s="39"/>
      <c r="N113" s="39"/>
      <c r="O113" s="39"/>
      <c r="P113" s="39"/>
      <c r="Q113" s="39"/>
      <c r="R113" s="39"/>
      <c r="S113" s="39"/>
      <c r="T113" s="39"/>
      <c r="U113" s="39"/>
      <c r="V113" s="39"/>
      <c r="W113" s="39"/>
    </row>
    <row r="114" spans="1:23" x14ac:dyDescent="0.2">
      <c r="A114" s="66"/>
      <c r="B114" s="67" t="str">
        <f t="shared" si="5"/>
        <v/>
      </c>
      <c r="C114" s="68" t="str">
        <f>IF(MakeSchedule!AB114=0,"",MakeSchedule!AB114)</f>
        <v/>
      </c>
      <c r="D114" s="69" t="str">
        <f>IF(MakeSchedule!AC114=0,"",MakeSchedule!AC114)</f>
        <v/>
      </c>
      <c r="E114" s="69" t="str">
        <f>IF(MakeSchedule!AD114=0,"",MakeSchedule!AD114)</f>
        <v/>
      </c>
      <c r="F114" s="73" t="str">
        <f>IF(MakeSchedule!AD114=0,"",MakeSchedule!AC114/MakeSchedule!AD114)</f>
        <v/>
      </c>
      <c r="G114" s="73" t="str">
        <f t="shared" si="3"/>
        <v/>
      </c>
      <c r="H114" s="73" t="str">
        <f t="shared" si="4"/>
        <v/>
      </c>
      <c r="I114" s="69" t="str">
        <f>IF(MakeSchedule!AF114=0,"",MakeSchedule!AF114)</f>
        <v/>
      </c>
      <c r="J114" s="69" t="str">
        <f>IF(I114="","",IF(MakeSchedule!AG114=0,0,MakeSchedule!AG114))</f>
        <v/>
      </c>
      <c r="K114" s="39"/>
      <c r="L114" s="39"/>
      <c r="M114" s="39"/>
      <c r="N114" s="39"/>
      <c r="O114" s="39"/>
      <c r="P114" s="39"/>
      <c r="Q114" s="39"/>
      <c r="R114" s="39"/>
      <c r="S114" s="39"/>
      <c r="T114" s="39"/>
      <c r="U114" s="39"/>
      <c r="V114" s="39"/>
      <c r="W114" s="39"/>
    </row>
    <row r="115" spans="1:23" x14ac:dyDescent="0.2">
      <c r="A115" s="66"/>
      <c r="B115" s="67" t="str">
        <f t="shared" si="5"/>
        <v/>
      </c>
      <c r="C115" s="68" t="str">
        <f>IF(MakeSchedule!AB115=0,"",MakeSchedule!AB115)</f>
        <v/>
      </c>
      <c r="D115" s="69" t="str">
        <f>IF(MakeSchedule!AC115=0,"",MakeSchedule!AC115)</f>
        <v/>
      </c>
      <c r="E115" s="69" t="str">
        <f>IF(MakeSchedule!AD115=0,"",MakeSchedule!AD115)</f>
        <v/>
      </c>
      <c r="F115" s="73" t="str">
        <f>IF(MakeSchedule!AD115=0,"",MakeSchedule!AC115/MakeSchedule!AD115)</f>
        <v/>
      </c>
      <c r="G115" s="73" t="str">
        <f t="shared" si="3"/>
        <v/>
      </c>
      <c r="H115" s="73" t="str">
        <f t="shared" si="4"/>
        <v/>
      </c>
      <c r="I115" s="69" t="str">
        <f>IF(MakeSchedule!AF115=0,"",MakeSchedule!AF115)</f>
        <v/>
      </c>
      <c r="J115" s="69" t="str">
        <f>IF(I115="","",IF(MakeSchedule!AG115=0,0,MakeSchedule!AG115))</f>
        <v/>
      </c>
      <c r="K115" s="39"/>
      <c r="L115" s="39"/>
      <c r="M115" s="39"/>
      <c r="N115" s="39"/>
      <c r="O115" s="39"/>
      <c r="P115" s="39"/>
      <c r="Q115" s="39"/>
      <c r="R115" s="39"/>
      <c r="S115" s="39"/>
      <c r="T115" s="39"/>
      <c r="U115" s="39"/>
      <c r="V115" s="39"/>
      <c r="W115" s="39"/>
    </row>
    <row r="116" spans="1:23" x14ac:dyDescent="0.2">
      <c r="A116" s="66"/>
      <c r="B116" s="67" t="str">
        <f t="shared" si="5"/>
        <v/>
      </c>
      <c r="C116" s="68" t="str">
        <f>IF(MakeSchedule!AB116=0,"",MakeSchedule!AB116)</f>
        <v/>
      </c>
      <c r="D116" s="69" t="str">
        <f>IF(MakeSchedule!AC116=0,"",MakeSchedule!AC116)</f>
        <v/>
      </c>
      <c r="E116" s="69" t="str">
        <f>IF(MakeSchedule!AD116=0,"",MakeSchedule!AD116)</f>
        <v/>
      </c>
      <c r="F116" s="73" t="str">
        <f>IF(MakeSchedule!AD116=0,"",MakeSchedule!AC116/MakeSchedule!AD116)</f>
        <v/>
      </c>
      <c r="G116" s="73" t="str">
        <f t="shared" si="3"/>
        <v/>
      </c>
      <c r="H116" s="73" t="str">
        <f t="shared" si="4"/>
        <v/>
      </c>
      <c r="I116" s="69" t="str">
        <f>IF(MakeSchedule!AF116=0,"",MakeSchedule!AF116)</f>
        <v/>
      </c>
      <c r="J116" s="69" t="str">
        <f>IF(I116="","",IF(MakeSchedule!AG116=0,0,MakeSchedule!AG116))</f>
        <v/>
      </c>
      <c r="K116" s="39"/>
      <c r="L116" s="39"/>
      <c r="M116" s="39"/>
      <c r="N116" s="39"/>
      <c r="O116" s="39"/>
      <c r="P116" s="39"/>
      <c r="Q116" s="39"/>
      <c r="R116" s="39"/>
      <c r="S116" s="39"/>
      <c r="T116" s="39"/>
      <c r="U116" s="39"/>
      <c r="V116" s="39"/>
      <c r="W116" s="39"/>
    </row>
    <row r="117" spans="1:23" x14ac:dyDescent="0.2">
      <c r="A117" s="66"/>
      <c r="B117" s="67" t="str">
        <f t="shared" si="5"/>
        <v/>
      </c>
      <c r="C117" s="68" t="str">
        <f>IF(MakeSchedule!AB117=0,"",MakeSchedule!AB117)</f>
        <v/>
      </c>
      <c r="D117" s="69" t="str">
        <f>IF(MakeSchedule!AC117=0,"",MakeSchedule!AC117)</f>
        <v/>
      </c>
      <c r="E117" s="69" t="str">
        <f>IF(MakeSchedule!AD117=0,"",MakeSchedule!AD117)</f>
        <v/>
      </c>
      <c r="F117" s="73" t="str">
        <f>IF(MakeSchedule!AD117=0,"",MakeSchedule!AC117/MakeSchedule!AD117)</f>
        <v/>
      </c>
      <c r="G117" s="73" t="str">
        <f t="shared" si="3"/>
        <v/>
      </c>
      <c r="H117" s="73" t="str">
        <f t="shared" si="4"/>
        <v/>
      </c>
      <c r="I117" s="69" t="str">
        <f>IF(MakeSchedule!AF117=0,"",MakeSchedule!AF117)</f>
        <v/>
      </c>
      <c r="J117" s="69" t="str">
        <f>IF(I117="","",IF(MakeSchedule!AG117=0,0,MakeSchedule!AG117))</f>
        <v/>
      </c>
      <c r="K117" s="39"/>
      <c r="L117" s="39"/>
      <c r="M117" s="39"/>
      <c r="N117" s="39"/>
      <c r="O117" s="39"/>
      <c r="P117" s="39"/>
      <c r="Q117" s="39"/>
      <c r="R117" s="39"/>
      <c r="S117" s="39"/>
      <c r="T117" s="39"/>
      <c r="U117" s="39"/>
      <c r="V117" s="39"/>
      <c r="W117" s="39"/>
    </row>
    <row r="118" spans="1:23" x14ac:dyDescent="0.2">
      <c r="A118" s="66"/>
      <c r="B118" s="67" t="str">
        <f t="shared" si="5"/>
        <v/>
      </c>
      <c r="C118" s="68" t="str">
        <f>IF(MakeSchedule!AB118=0,"",MakeSchedule!AB118)</f>
        <v/>
      </c>
      <c r="D118" s="69" t="str">
        <f>IF(MakeSchedule!AC118=0,"",MakeSchedule!AC118)</f>
        <v/>
      </c>
      <c r="E118" s="69" t="str">
        <f>IF(MakeSchedule!AD118=0,"",MakeSchedule!AD118)</f>
        <v/>
      </c>
      <c r="F118" s="73" t="str">
        <f>IF(MakeSchedule!AD118=0,"",MakeSchedule!AC118/MakeSchedule!AD118)</f>
        <v/>
      </c>
      <c r="G118" s="73" t="str">
        <f t="shared" si="3"/>
        <v/>
      </c>
      <c r="H118" s="73" t="str">
        <f t="shared" si="4"/>
        <v/>
      </c>
      <c r="I118" s="69" t="str">
        <f>IF(MakeSchedule!AF118=0,"",MakeSchedule!AF118)</f>
        <v/>
      </c>
      <c r="J118" s="69" t="str">
        <f>IF(I118="","",IF(MakeSchedule!AG118=0,0,MakeSchedule!AG118))</f>
        <v/>
      </c>
      <c r="K118" s="39"/>
      <c r="L118" s="39"/>
      <c r="M118" s="39"/>
      <c r="N118" s="39"/>
      <c r="O118" s="39"/>
      <c r="P118" s="39"/>
      <c r="Q118" s="39"/>
      <c r="R118" s="39"/>
      <c r="S118" s="39"/>
      <c r="T118" s="39"/>
      <c r="U118" s="39"/>
      <c r="V118" s="39"/>
      <c r="W118" s="39"/>
    </row>
    <row r="119" spans="1:23" x14ac:dyDescent="0.2">
      <c r="A119" s="66"/>
      <c r="B119" s="67" t="str">
        <f t="shared" si="5"/>
        <v/>
      </c>
      <c r="C119" s="68" t="str">
        <f>IF(MakeSchedule!AB119=0,"",MakeSchedule!AB119)</f>
        <v/>
      </c>
      <c r="D119" s="69" t="str">
        <f>IF(MakeSchedule!AC119=0,"",MakeSchedule!AC119)</f>
        <v/>
      </c>
      <c r="E119" s="69" t="str">
        <f>IF(MakeSchedule!AD119=0,"",MakeSchedule!AD119)</f>
        <v/>
      </c>
      <c r="F119" s="73" t="str">
        <f>IF(MakeSchedule!AD119=0,"",MakeSchedule!AC119/MakeSchedule!AD119)</f>
        <v/>
      </c>
      <c r="G119" s="73" t="str">
        <f t="shared" si="3"/>
        <v/>
      </c>
      <c r="H119" s="73" t="str">
        <f t="shared" si="4"/>
        <v/>
      </c>
      <c r="I119" s="69" t="str">
        <f>IF(MakeSchedule!AF119=0,"",MakeSchedule!AF119)</f>
        <v/>
      </c>
      <c r="J119" s="69" t="str">
        <f>IF(I119="","",IF(MakeSchedule!AG119=0,0,MakeSchedule!AG119))</f>
        <v/>
      </c>
      <c r="K119" s="39"/>
      <c r="L119" s="39"/>
      <c r="M119" s="39"/>
      <c r="N119" s="39"/>
      <c r="O119" s="39"/>
      <c r="P119" s="39"/>
      <c r="Q119" s="39"/>
      <c r="R119" s="39"/>
      <c r="S119" s="39"/>
      <c r="T119" s="39"/>
      <c r="U119" s="39"/>
      <c r="V119" s="39"/>
      <c r="W119" s="39"/>
    </row>
    <row r="120" spans="1:23" x14ac:dyDescent="0.2">
      <c r="A120" s="66"/>
      <c r="B120" s="67" t="str">
        <f t="shared" si="5"/>
        <v/>
      </c>
      <c r="C120" s="68" t="str">
        <f>IF(MakeSchedule!AB120=0,"",MakeSchedule!AB120)</f>
        <v/>
      </c>
      <c r="D120" s="69" t="str">
        <f>IF(MakeSchedule!AC120=0,"",MakeSchedule!AC120)</f>
        <v/>
      </c>
      <c r="E120" s="69" t="str">
        <f>IF(MakeSchedule!AD120=0,"",MakeSchedule!AD120)</f>
        <v/>
      </c>
      <c r="F120" s="73" t="str">
        <f>IF(MakeSchedule!AD120=0,"",MakeSchedule!AC120/MakeSchedule!AD120)</f>
        <v/>
      </c>
      <c r="G120" s="73" t="str">
        <f t="shared" si="3"/>
        <v/>
      </c>
      <c r="H120" s="73" t="str">
        <f t="shared" si="4"/>
        <v/>
      </c>
      <c r="I120" s="69" t="str">
        <f>IF(MakeSchedule!AF120=0,"",MakeSchedule!AF120)</f>
        <v/>
      </c>
      <c r="J120" s="69" t="str">
        <f>IF(I120="","",IF(MakeSchedule!AG120=0,0,MakeSchedule!AG120))</f>
        <v/>
      </c>
      <c r="K120" s="39"/>
      <c r="L120" s="39"/>
      <c r="M120" s="39"/>
      <c r="N120" s="39"/>
      <c r="O120" s="39"/>
      <c r="P120" s="39"/>
      <c r="Q120" s="39"/>
      <c r="R120" s="39"/>
      <c r="S120" s="39"/>
      <c r="T120" s="39"/>
      <c r="U120" s="39"/>
      <c r="V120" s="39"/>
      <c r="W120" s="39"/>
    </row>
    <row r="121" spans="1:23" x14ac:dyDescent="0.2">
      <c r="A121" s="66"/>
      <c r="B121" s="67" t="str">
        <f t="shared" si="5"/>
        <v/>
      </c>
      <c r="C121" s="68" t="str">
        <f>IF(MakeSchedule!AB121=0,"",MakeSchedule!AB121)</f>
        <v/>
      </c>
      <c r="D121" s="69" t="str">
        <f>IF(MakeSchedule!AC121=0,"",MakeSchedule!AC121)</f>
        <v/>
      </c>
      <c r="E121" s="69" t="str">
        <f>IF(MakeSchedule!AD121=0,"",MakeSchedule!AD121)</f>
        <v/>
      </c>
      <c r="F121" s="73" t="str">
        <f>IF(MakeSchedule!AD121=0,"",MakeSchedule!AC121/MakeSchedule!AD121)</f>
        <v/>
      </c>
      <c r="G121" s="73" t="str">
        <f t="shared" si="3"/>
        <v/>
      </c>
      <c r="H121" s="73" t="str">
        <f t="shared" si="4"/>
        <v/>
      </c>
      <c r="I121" s="69" t="str">
        <f>IF(MakeSchedule!AF121=0,"",MakeSchedule!AF121)</f>
        <v/>
      </c>
      <c r="J121" s="69" t="str">
        <f>IF(I121="","",IF(MakeSchedule!AG121=0,0,MakeSchedule!AG121))</f>
        <v/>
      </c>
      <c r="K121" s="39"/>
      <c r="L121" s="39"/>
      <c r="M121" s="39"/>
      <c r="N121" s="39"/>
      <c r="O121" s="39"/>
      <c r="P121" s="39"/>
      <c r="Q121" s="39"/>
      <c r="R121" s="39"/>
      <c r="S121" s="39"/>
      <c r="T121" s="39"/>
      <c r="U121" s="39"/>
      <c r="V121" s="39"/>
      <c r="W121" s="39"/>
    </row>
    <row r="122" spans="1:23" x14ac:dyDescent="0.2">
      <c r="A122" s="66"/>
      <c r="B122" s="67" t="str">
        <f t="shared" si="5"/>
        <v/>
      </c>
      <c r="C122" s="68" t="str">
        <f>IF(MakeSchedule!AB122=0,"",MakeSchedule!AB122)</f>
        <v/>
      </c>
      <c r="D122" s="69" t="str">
        <f>IF(MakeSchedule!AC122=0,"",MakeSchedule!AC122)</f>
        <v/>
      </c>
      <c r="E122" s="69" t="str">
        <f>IF(MakeSchedule!AD122=0,"",MakeSchedule!AD122)</f>
        <v/>
      </c>
      <c r="F122" s="73" t="str">
        <f>IF(MakeSchedule!AD122=0,"",MakeSchedule!AC122/MakeSchedule!AD122)</f>
        <v/>
      </c>
      <c r="G122" s="73" t="str">
        <f t="shared" si="3"/>
        <v/>
      </c>
      <c r="H122" s="73" t="str">
        <f t="shared" si="4"/>
        <v/>
      </c>
      <c r="I122" s="69" t="str">
        <f>IF(MakeSchedule!AF122=0,"",MakeSchedule!AF122)</f>
        <v/>
      </c>
      <c r="J122" s="69" t="str">
        <f>IF(I122="","",IF(MakeSchedule!AG122=0,0,MakeSchedule!AG122))</f>
        <v/>
      </c>
      <c r="K122" s="39"/>
      <c r="L122" s="39"/>
      <c r="M122" s="39"/>
      <c r="N122" s="39"/>
      <c r="O122" s="39"/>
      <c r="P122" s="39"/>
      <c r="Q122" s="39"/>
      <c r="R122" s="39"/>
      <c r="S122" s="39"/>
      <c r="T122" s="39"/>
      <c r="U122" s="39"/>
      <c r="V122" s="39"/>
      <c r="W122" s="39"/>
    </row>
    <row r="123" spans="1:23" x14ac:dyDescent="0.2">
      <c r="A123" s="66"/>
      <c r="B123" s="67" t="str">
        <f t="shared" si="5"/>
        <v/>
      </c>
      <c r="C123" s="68" t="str">
        <f>IF(MakeSchedule!AB123=0,"",MakeSchedule!AB123)</f>
        <v/>
      </c>
      <c r="D123" s="69" t="str">
        <f>IF(MakeSchedule!AC123=0,"",MakeSchedule!AC123)</f>
        <v/>
      </c>
      <c r="E123" s="69" t="str">
        <f>IF(MakeSchedule!AD123=0,"",MakeSchedule!AD123)</f>
        <v/>
      </c>
      <c r="F123" s="73" t="str">
        <f>IF(MakeSchedule!AD123=0,"",MakeSchedule!AC123/MakeSchedule!AD123)</f>
        <v/>
      </c>
      <c r="G123" s="73" t="str">
        <f t="shared" si="3"/>
        <v/>
      </c>
      <c r="H123" s="73" t="str">
        <f t="shared" si="4"/>
        <v/>
      </c>
      <c r="I123" s="69" t="str">
        <f>IF(MakeSchedule!AF123=0,"",MakeSchedule!AF123)</f>
        <v/>
      </c>
      <c r="J123" s="69" t="str">
        <f>IF(I123="","",IF(MakeSchedule!AG123=0,0,MakeSchedule!AG123))</f>
        <v/>
      </c>
      <c r="K123" s="39"/>
      <c r="L123" s="39"/>
      <c r="M123" s="39"/>
      <c r="N123" s="39"/>
      <c r="O123" s="39"/>
      <c r="P123" s="39"/>
      <c r="Q123" s="39"/>
      <c r="R123" s="39"/>
      <c r="S123" s="39"/>
      <c r="T123" s="39"/>
      <c r="U123" s="39"/>
      <c r="V123" s="39"/>
      <c r="W123" s="39"/>
    </row>
    <row r="124" spans="1:23" x14ac:dyDescent="0.2">
      <c r="A124" s="66"/>
      <c r="B124" s="67" t="str">
        <f t="shared" si="5"/>
        <v/>
      </c>
      <c r="C124" s="68" t="str">
        <f>IF(MakeSchedule!AB124=0,"",MakeSchedule!AB124)</f>
        <v/>
      </c>
      <c r="D124" s="69" t="str">
        <f>IF(MakeSchedule!AC124=0,"",MakeSchedule!AC124)</f>
        <v/>
      </c>
      <c r="E124" s="69" t="str">
        <f>IF(MakeSchedule!AD124=0,"",MakeSchedule!AD124)</f>
        <v/>
      </c>
      <c r="F124" s="73" t="str">
        <f>IF(MakeSchedule!AD124=0,"",MakeSchedule!AC124/MakeSchedule!AD124)</f>
        <v/>
      </c>
      <c r="G124" s="73" t="str">
        <f t="shared" si="3"/>
        <v/>
      </c>
      <c r="H124" s="73" t="str">
        <f t="shared" si="4"/>
        <v/>
      </c>
      <c r="I124" s="69" t="str">
        <f>IF(MakeSchedule!AF124=0,"",MakeSchedule!AF124)</f>
        <v/>
      </c>
      <c r="J124" s="69" t="str">
        <f>IF(I124="","",IF(MakeSchedule!AG124=0,0,MakeSchedule!AG124))</f>
        <v/>
      </c>
      <c r="K124" s="39"/>
      <c r="L124" s="39"/>
      <c r="M124" s="39"/>
      <c r="N124" s="39"/>
      <c r="O124" s="39"/>
      <c r="P124" s="39"/>
      <c r="Q124" s="39"/>
      <c r="R124" s="39"/>
      <c r="S124" s="39"/>
      <c r="T124" s="39"/>
      <c r="U124" s="39"/>
      <c r="V124" s="39"/>
      <c r="W124" s="39"/>
    </row>
    <row r="125" spans="1:23" x14ac:dyDescent="0.2">
      <c r="A125" s="66"/>
      <c r="B125" s="67" t="str">
        <f t="shared" si="5"/>
        <v/>
      </c>
      <c r="C125" s="68" t="str">
        <f>IF(MakeSchedule!AB125=0,"",MakeSchedule!AB125)</f>
        <v/>
      </c>
      <c r="D125" s="69" t="str">
        <f>IF(MakeSchedule!AC125=0,"",MakeSchedule!AC125)</f>
        <v/>
      </c>
      <c r="E125" s="69" t="str">
        <f>IF(MakeSchedule!AD125=0,"",MakeSchedule!AD125)</f>
        <v/>
      </c>
      <c r="F125" s="73" t="str">
        <f>IF(MakeSchedule!AD125=0,"",MakeSchedule!AC125/MakeSchedule!AD125)</f>
        <v/>
      </c>
      <c r="G125" s="73" t="str">
        <f t="shared" si="3"/>
        <v/>
      </c>
      <c r="H125" s="73" t="str">
        <f t="shared" si="4"/>
        <v/>
      </c>
      <c r="I125" s="69" t="str">
        <f>IF(MakeSchedule!AF125=0,"",MakeSchedule!AF125)</f>
        <v/>
      </c>
      <c r="J125" s="69" t="str">
        <f>IF(I125="","",IF(MakeSchedule!AG125=0,0,MakeSchedule!AG125))</f>
        <v/>
      </c>
      <c r="K125" s="39"/>
      <c r="L125" s="39"/>
      <c r="M125" s="39"/>
      <c r="N125" s="39"/>
      <c r="O125" s="39"/>
      <c r="P125" s="39"/>
      <c r="Q125" s="39"/>
      <c r="R125" s="39"/>
      <c r="S125" s="39"/>
      <c r="T125" s="39"/>
      <c r="U125" s="39"/>
      <c r="V125" s="39"/>
      <c r="W125" s="39"/>
    </row>
    <row r="126" spans="1:23" x14ac:dyDescent="0.2">
      <c r="A126" s="66"/>
      <c r="B126" s="67" t="str">
        <f t="shared" si="5"/>
        <v/>
      </c>
      <c r="C126" s="68" t="str">
        <f>IF(MakeSchedule!AB126=0,"",MakeSchedule!AB126)</f>
        <v/>
      </c>
      <c r="D126" s="69" t="str">
        <f>IF(MakeSchedule!AC126=0,"",MakeSchedule!AC126)</f>
        <v/>
      </c>
      <c r="E126" s="69" t="str">
        <f>IF(MakeSchedule!AD126=0,"",MakeSchedule!AD126)</f>
        <v/>
      </c>
      <c r="F126" s="73" t="str">
        <f>IF(MakeSchedule!AD126=0,"",MakeSchedule!AC126/MakeSchedule!AD126)</f>
        <v/>
      </c>
      <c r="G126" s="73" t="str">
        <f t="shared" si="3"/>
        <v/>
      </c>
      <c r="H126" s="73" t="str">
        <f t="shared" si="4"/>
        <v/>
      </c>
      <c r="I126" s="69" t="str">
        <f>IF(MakeSchedule!AF126=0,"",MakeSchedule!AF126)</f>
        <v/>
      </c>
      <c r="J126" s="69" t="str">
        <f>IF(I126="","",IF(MakeSchedule!AG126=0,0,MakeSchedule!AG126))</f>
        <v/>
      </c>
      <c r="K126" s="39"/>
      <c r="L126" s="39"/>
      <c r="M126" s="39"/>
      <c r="N126" s="39"/>
      <c r="O126" s="39"/>
      <c r="P126" s="39"/>
      <c r="Q126" s="39"/>
      <c r="R126" s="39"/>
      <c r="S126" s="39"/>
      <c r="T126" s="39"/>
      <c r="U126" s="39"/>
      <c r="V126" s="39"/>
      <c r="W126" s="39"/>
    </row>
    <row r="127" spans="1:23" x14ac:dyDescent="0.2">
      <c r="A127" s="66"/>
      <c r="B127" s="67" t="str">
        <f t="shared" si="5"/>
        <v/>
      </c>
      <c r="C127" s="68" t="str">
        <f>IF(MakeSchedule!AB127=0,"",MakeSchedule!AB127)</f>
        <v/>
      </c>
      <c r="D127" s="69" t="str">
        <f>IF(MakeSchedule!AC127=0,"",MakeSchedule!AC127)</f>
        <v/>
      </c>
      <c r="E127" s="69" t="str">
        <f>IF(MakeSchedule!AD127=0,"",MakeSchedule!AD127)</f>
        <v/>
      </c>
      <c r="F127" s="73" t="str">
        <f>IF(MakeSchedule!AD127=0,"",MakeSchedule!AC127/MakeSchedule!AD127)</f>
        <v/>
      </c>
      <c r="G127" s="73" t="str">
        <f t="shared" si="3"/>
        <v/>
      </c>
      <c r="H127" s="73" t="str">
        <f t="shared" si="4"/>
        <v/>
      </c>
      <c r="I127" s="69" t="str">
        <f>IF(MakeSchedule!AF127=0,"",MakeSchedule!AF127)</f>
        <v/>
      </c>
      <c r="J127" s="69" t="str">
        <f>IF(I127="","",IF(MakeSchedule!AG127=0,0,MakeSchedule!AG127))</f>
        <v/>
      </c>
      <c r="K127" s="39"/>
      <c r="L127" s="39"/>
      <c r="M127" s="39"/>
      <c r="N127" s="39"/>
      <c r="O127" s="39"/>
      <c r="P127" s="39"/>
      <c r="Q127" s="39"/>
      <c r="R127" s="39"/>
      <c r="S127" s="39"/>
      <c r="T127" s="39"/>
      <c r="U127" s="39"/>
      <c r="V127" s="39"/>
      <c r="W127" s="39"/>
    </row>
    <row r="128" spans="1:23" x14ac:dyDescent="0.2">
      <c r="A128" s="66"/>
      <c r="B128" s="67" t="str">
        <f t="shared" si="5"/>
        <v/>
      </c>
      <c r="C128" s="68" t="str">
        <f>IF(MakeSchedule!AB128=0,"",MakeSchedule!AB128)</f>
        <v/>
      </c>
      <c r="D128" s="69" t="str">
        <f>IF(MakeSchedule!AC128=0,"",MakeSchedule!AC128)</f>
        <v/>
      </c>
      <c r="E128" s="69" t="str">
        <f>IF(MakeSchedule!AD128=0,"",MakeSchedule!AD128)</f>
        <v/>
      </c>
      <c r="F128" s="73" t="str">
        <f>IF(MakeSchedule!AD128=0,"",MakeSchedule!AC128/MakeSchedule!AD128)</f>
        <v/>
      </c>
      <c r="G128" s="73" t="str">
        <f t="shared" si="3"/>
        <v/>
      </c>
      <c r="H128" s="73" t="str">
        <f t="shared" si="4"/>
        <v/>
      </c>
      <c r="I128" s="69" t="str">
        <f>IF(MakeSchedule!AF128=0,"",MakeSchedule!AF128)</f>
        <v/>
      </c>
      <c r="J128" s="69" t="str">
        <f>IF(I128="","",IF(MakeSchedule!AG128=0,0,MakeSchedule!AG128))</f>
        <v/>
      </c>
      <c r="K128" s="39"/>
      <c r="L128" s="39"/>
      <c r="M128" s="39"/>
      <c r="N128" s="39"/>
      <c r="O128" s="39"/>
      <c r="P128" s="39"/>
      <c r="Q128" s="39"/>
      <c r="R128" s="39"/>
      <c r="S128" s="39"/>
      <c r="T128" s="39"/>
      <c r="U128" s="39"/>
      <c r="V128" s="39"/>
      <c r="W128" s="39"/>
    </row>
    <row r="129" spans="1:23" x14ac:dyDescent="0.2">
      <c r="A129" s="66"/>
      <c r="B129" s="67" t="str">
        <f t="shared" si="5"/>
        <v/>
      </c>
      <c r="C129" s="68" t="str">
        <f>IF(MakeSchedule!AB129=0,"",MakeSchedule!AB129)</f>
        <v/>
      </c>
      <c r="D129" s="69" t="str">
        <f>IF(MakeSchedule!AC129=0,"",MakeSchedule!AC129)</f>
        <v/>
      </c>
      <c r="E129" s="69" t="str">
        <f>IF(MakeSchedule!AD129=0,"",MakeSchedule!AD129)</f>
        <v/>
      </c>
      <c r="F129" s="73" t="str">
        <f>IF(MakeSchedule!AD129=0,"",MakeSchedule!AC129/MakeSchedule!AD129)</f>
        <v/>
      </c>
      <c r="G129" s="73" t="str">
        <f t="shared" si="3"/>
        <v/>
      </c>
      <c r="H129" s="73" t="str">
        <f t="shared" si="4"/>
        <v/>
      </c>
      <c r="I129" s="69" t="str">
        <f>IF(MakeSchedule!AF129=0,"",MakeSchedule!AF129)</f>
        <v/>
      </c>
      <c r="J129" s="69" t="str">
        <f>IF(I129="","",IF(MakeSchedule!AG129=0,0,MakeSchedule!AG129))</f>
        <v/>
      </c>
      <c r="K129" s="39"/>
      <c r="L129" s="39"/>
      <c r="M129" s="39"/>
      <c r="N129" s="39"/>
      <c r="O129" s="39"/>
      <c r="P129" s="39"/>
      <c r="Q129" s="39"/>
      <c r="R129" s="39"/>
      <c r="S129" s="39"/>
      <c r="T129" s="39"/>
      <c r="U129" s="39"/>
      <c r="V129" s="39"/>
      <c r="W129" s="39"/>
    </row>
    <row r="130" spans="1:23" x14ac:dyDescent="0.2">
      <c r="A130" s="66"/>
      <c r="B130" s="67" t="str">
        <f t="shared" si="5"/>
        <v/>
      </c>
      <c r="C130" s="68" t="str">
        <f>IF(MakeSchedule!AB130=0,"",MakeSchedule!AB130)</f>
        <v/>
      </c>
      <c r="D130" s="69" t="str">
        <f>IF(MakeSchedule!AC130=0,"",MakeSchedule!AC130)</f>
        <v/>
      </c>
      <c r="E130" s="69" t="str">
        <f>IF(MakeSchedule!AD130=0,"",MakeSchedule!AD130)</f>
        <v/>
      </c>
      <c r="F130" s="73" t="str">
        <f>IF(MakeSchedule!AD130=0,"",MakeSchedule!AC130/MakeSchedule!AD130)</f>
        <v/>
      </c>
      <c r="G130" s="73" t="str">
        <f t="shared" si="3"/>
        <v/>
      </c>
      <c r="H130" s="73" t="str">
        <f t="shared" si="4"/>
        <v/>
      </c>
      <c r="I130" s="69" t="str">
        <f>IF(MakeSchedule!AF130=0,"",MakeSchedule!AF130)</f>
        <v/>
      </c>
      <c r="J130" s="69" t="str">
        <f>IF(I130="","",IF(MakeSchedule!AG130=0,0,MakeSchedule!AG130))</f>
        <v/>
      </c>
      <c r="K130" s="39"/>
      <c r="L130" s="39"/>
      <c r="M130" s="39"/>
      <c r="N130" s="39"/>
      <c r="O130" s="39"/>
      <c r="P130" s="39"/>
      <c r="Q130" s="39"/>
      <c r="R130" s="39"/>
      <c r="S130" s="39"/>
      <c r="T130" s="39"/>
      <c r="U130" s="39"/>
      <c r="V130" s="39"/>
      <c r="W130" s="39"/>
    </row>
    <row r="131" spans="1:23" x14ac:dyDescent="0.2">
      <c r="A131" s="66"/>
      <c r="B131" s="67" t="str">
        <f t="shared" si="5"/>
        <v/>
      </c>
      <c r="C131" s="68" t="str">
        <f>IF(MakeSchedule!AB131=0,"",MakeSchedule!AB131)</f>
        <v/>
      </c>
      <c r="D131" s="69" t="str">
        <f>IF(MakeSchedule!AC131=0,"",MakeSchedule!AC131)</f>
        <v/>
      </c>
      <c r="E131" s="69" t="str">
        <f>IF(MakeSchedule!AD131=0,"",MakeSchedule!AD131)</f>
        <v/>
      </c>
      <c r="F131" s="73" t="str">
        <f>IF(MakeSchedule!AD131=0,"",MakeSchedule!AC131/MakeSchedule!AD131)</f>
        <v/>
      </c>
      <c r="G131" s="73" t="str">
        <f t="shared" si="3"/>
        <v/>
      </c>
      <c r="H131" s="73" t="str">
        <f t="shared" si="4"/>
        <v/>
      </c>
      <c r="I131" s="69" t="str">
        <f>IF(MakeSchedule!AF131=0,"",MakeSchedule!AF131)</f>
        <v/>
      </c>
      <c r="J131" s="69" t="str">
        <f>IF(I131="","",IF(MakeSchedule!AG131=0,0,MakeSchedule!AG131))</f>
        <v/>
      </c>
      <c r="K131" s="39"/>
      <c r="L131" s="39"/>
      <c r="M131" s="39"/>
      <c r="N131" s="39"/>
      <c r="O131" s="39"/>
      <c r="P131" s="39"/>
      <c r="Q131" s="39"/>
      <c r="R131" s="39"/>
      <c r="S131" s="39"/>
      <c r="T131" s="39"/>
      <c r="U131" s="39"/>
      <c r="V131" s="39"/>
      <c r="W131" s="39"/>
    </row>
    <row r="132" spans="1:23" x14ac:dyDescent="0.2">
      <c r="A132" s="66"/>
      <c r="B132" s="67" t="str">
        <f t="shared" si="5"/>
        <v/>
      </c>
      <c r="C132" s="68" t="str">
        <f>IF(MakeSchedule!AB132=0,"",MakeSchedule!AB132)</f>
        <v/>
      </c>
      <c r="D132" s="69" t="str">
        <f>IF(MakeSchedule!AC132=0,"",MakeSchedule!AC132)</f>
        <v/>
      </c>
      <c r="E132" s="69" t="str">
        <f>IF(MakeSchedule!AD132=0,"",MakeSchedule!AD132)</f>
        <v/>
      </c>
      <c r="F132" s="73" t="str">
        <f>IF(MakeSchedule!AD132=0,"",MakeSchedule!AC132/MakeSchedule!AD132)</f>
        <v/>
      </c>
      <c r="G132" s="73" t="str">
        <f t="shared" si="3"/>
        <v/>
      </c>
      <c r="H132" s="73" t="str">
        <f t="shared" si="4"/>
        <v/>
      </c>
      <c r="I132" s="69" t="str">
        <f>IF(MakeSchedule!AF132=0,"",MakeSchedule!AF132)</f>
        <v/>
      </c>
      <c r="J132" s="69" t="str">
        <f>IF(I132="","",IF(MakeSchedule!AG132=0,0,MakeSchedule!AG132))</f>
        <v/>
      </c>
      <c r="K132" s="39"/>
      <c r="L132" s="39"/>
      <c r="M132" s="39"/>
      <c r="N132" s="39"/>
      <c r="O132" s="39"/>
      <c r="P132" s="39"/>
      <c r="Q132" s="39"/>
      <c r="R132" s="39"/>
      <c r="S132" s="39"/>
      <c r="T132" s="39"/>
      <c r="U132" s="39"/>
      <c r="V132" s="39"/>
      <c r="W132" s="39"/>
    </row>
    <row r="133" spans="1:23" x14ac:dyDescent="0.2">
      <c r="A133" s="66"/>
      <c r="B133" s="67" t="str">
        <f t="shared" si="5"/>
        <v/>
      </c>
      <c r="C133" s="68" t="str">
        <f>IF(MakeSchedule!AB133=0,"",MakeSchedule!AB133)</f>
        <v/>
      </c>
      <c r="D133" s="69" t="str">
        <f>IF(MakeSchedule!AC133=0,"",MakeSchedule!AC133)</f>
        <v/>
      </c>
      <c r="E133" s="69" t="str">
        <f>IF(MakeSchedule!AD133=0,"",MakeSchedule!AD133)</f>
        <v/>
      </c>
      <c r="F133" s="73" t="str">
        <f>IF(MakeSchedule!AD133=0,"",MakeSchedule!AC133/MakeSchedule!AD133)</f>
        <v/>
      </c>
      <c r="G133" s="73" t="str">
        <f t="shared" si="3"/>
        <v/>
      </c>
      <c r="H133" s="73" t="str">
        <f t="shared" si="4"/>
        <v/>
      </c>
      <c r="I133" s="69" t="str">
        <f>IF(MakeSchedule!AF133=0,"",MakeSchedule!AF133)</f>
        <v/>
      </c>
      <c r="J133" s="69" t="str">
        <f>IF(I133="","",IF(MakeSchedule!AG133=0,0,MakeSchedule!AG133))</f>
        <v/>
      </c>
      <c r="K133" s="39"/>
      <c r="L133" s="39"/>
      <c r="M133" s="39"/>
      <c r="N133" s="39"/>
      <c r="O133" s="39"/>
      <c r="P133" s="39"/>
      <c r="Q133" s="39"/>
      <c r="R133" s="39"/>
      <c r="S133" s="39"/>
      <c r="T133" s="39"/>
      <c r="U133" s="39"/>
      <c r="V133" s="39"/>
      <c r="W133" s="39"/>
    </row>
    <row r="134" spans="1:23" x14ac:dyDescent="0.2">
      <c r="A134" s="66"/>
      <c r="B134" s="67" t="str">
        <f t="shared" si="5"/>
        <v/>
      </c>
      <c r="C134" s="68" t="str">
        <f>IF(MakeSchedule!AB134=0,"",MakeSchedule!AB134)</f>
        <v/>
      </c>
      <c r="D134" s="69" t="str">
        <f>IF(MakeSchedule!AC134=0,"",MakeSchedule!AC134)</f>
        <v/>
      </c>
      <c r="E134" s="69" t="str">
        <f>IF(MakeSchedule!AD134=0,"",MakeSchedule!AD134)</f>
        <v/>
      </c>
      <c r="F134" s="73" t="str">
        <f>IF(MakeSchedule!AD134=0,"",MakeSchedule!AC134/MakeSchedule!AD134)</f>
        <v/>
      </c>
      <c r="G134" s="73" t="str">
        <f t="shared" si="3"/>
        <v/>
      </c>
      <c r="H134" s="73" t="str">
        <f t="shared" si="4"/>
        <v/>
      </c>
      <c r="I134" s="69" t="str">
        <f>IF(MakeSchedule!AF134=0,"",MakeSchedule!AF134)</f>
        <v/>
      </c>
      <c r="J134" s="69" t="str">
        <f>IF(I134="","",IF(MakeSchedule!AG134=0,0,MakeSchedule!AG134))</f>
        <v/>
      </c>
      <c r="K134" s="39"/>
      <c r="L134" s="39"/>
      <c r="M134" s="39"/>
      <c r="N134" s="39"/>
      <c r="O134" s="39"/>
      <c r="P134" s="39"/>
      <c r="Q134" s="39"/>
      <c r="R134" s="39"/>
      <c r="S134" s="39"/>
      <c r="T134" s="39"/>
      <c r="U134" s="39"/>
      <c r="V134" s="39"/>
      <c r="W134" s="39"/>
    </row>
    <row r="135" spans="1:23" x14ac:dyDescent="0.2">
      <c r="A135" s="66"/>
      <c r="B135" s="67" t="str">
        <f t="shared" si="5"/>
        <v/>
      </c>
      <c r="C135" s="68" t="str">
        <f>IF(MakeSchedule!AB135=0,"",MakeSchedule!AB135)</f>
        <v/>
      </c>
      <c r="D135" s="69" t="str">
        <f>IF(MakeSchedule!AC135=0,"",MakeSchedule!AC135)</f>
        <v/>
      </c>
      <c r="E135" s="69" t="str">
        <f>IF(MakeSchedule!AD135=0,"",MakeSchedule!AD135)</f>
        <v/>
      </c>
      <c r="F135" s="73" t="str">
        <f>IF(MakeSchedule!AD135=0,"",MakeSchedule!AC135/MakeSchedule!AD135)</f>
        <v/>
      </c>
      <c r="G135" s="73" t="str">
        <f t="shared" si="3"/>
        <v/>
      </c>
      <c r="H135" s="73" t="str">
        <f t="shared" si="4"/>
        <v/>
      </c>
      <c r="I135" s="69" t="str">
        <f>IF(MakeSchedule!AF135=0,"",MakeSchedule!AF135)</f>
        <v/>
      </c>
      <c r="J135" s="69" t="str">
        <f>IF(I135="","",IF(MakeSchedule!AG135=0,0,MakeSchedule!AG135))</f>
        <v/>
      </c>
      <c r="K135" s="39"/>
      <c r="L135" s="39"/>
      <c r="M135" s="39"/>
      <c r="N135" s="39"/>
      <c r="O135" s="39"/>
      <c r="P135" s="39"/>
      <c r="Q135" s="39"/>
      <c r="R135" s="39"/>
      <c r="S135" s="39"/>
      <c r="T135" s="39"/>
      <c r="U135" s="39"/>
      <c r="V135" s="39"/>
      <c r="W135" s="39"/>
    </row>
    <row r="136" spans="1:23" x14ac:dyDescent="0.2">
      <c r="A136" s="66"/>
      <c r="B136" s="67" t="str">
        <f t="shared" si="5"/>
        <v/>
      </c>
      <c r="C136" s="68" t="str">
        <f>IF(MakeSchedule!AB136=0,"",MakeSchedule!AB136)</f>
        <v/>
      </c>
      <c r="D136" s="69" t="str">
        <f>IF(MakeSchedule!AC136=0,"",MakeSchedule!AC136)</f>
        <v/>
      </c>
      <c r="E136" s="69" t="str">
        <f>IF(MakeSchedule!AD136=0,"",MakeSchedule!AD136)</f>
        <v/>
      </c>
      <c r="F136" s="73" t="str">
        <f>IF(MakeSchedule!AD136=0,"",MakeSchedule!AC136/MakeSchedule!AD136)</f>
        <v/>
      </c>
      <c r="G136" s="73" t="str">
        <f t="shared" si="3"/>
        <v/>
      </c>
      <c r="H136" s="73" t="str">
        <f t="shared" si="4"/>
        <v/>
      </c>
      <c r="I136" s="69" t="str">
        <f>IF(MakeSchedule!AF136=0,"",MakeSchedule!AF136)</f>
        <v/>
      </c>
      <c r="J136" s="69" t="str">
        <f>IF(I136="","",IF(MakeSchedule!AG136=0,0,MakeSchedule!AG136))</f>
        <v/>
      </c>
      <c r="K136" s="39"/>
      <c r="L136" s="39"/>
      <c r="M136" s="39"/>
      <c r="N136" s="39"/>
      <c r="O136" s="39"/>
      <c r="P136" s="39"/>
      <c r="Q136" s="39"/>
      <c r="R136" s="39"/>
      <c r="S136" s="39"/>
      <c r="T136" s="39"/>
      <c r="U136" s="39"/>
      <c r="V136" s="39"/>
      <c r="W136" s="39"/>
    </row>
    <row r="137" spans="1:23" x14ac:dyDescent="0.2">
      <c r="A137" s="66"/>
      <c r="B137" s="67" t="str">
        <f t="shared" si="5"/>
        <v/>
      </c>
      <c r="C137" s="68" t="str">
        <f>IF(MakeSchedule!AB137=0,"",MakeSchedule!AB137)</f>
        <v/>
      </c>
      <c r="D137" s="69" t="str">
        <f>IF(MakeSchedule!AC137=0,"",MakeSchedule!AC137)</f>
        <v/>
      </c>
      <c r="E137" s="69" t="str">
        <f>IF(MakeSchedule!AD137=0,"",MakeSchedule!AD137)</f>
        <v/>
      </c>
      <c r="F137" s="73" t="str">
        <f>IF(MakeSchedule!AD137=0,"",MakeSchedule!AC137/MakeSchedule!AD137)</f>
        <v/>
      </c>
      <c r="G137" s="73" t="str">
        <f t="shared" si="3"/>
        <v/>
      </c>
      <c r="H137" s="73" t="str">
        <f t="shared" si="4"/>
        <v/>
      </c>
      <c r="I137" s="69" t="str">
        <f>IF(MakeSchedule!AF137=0,"",MakeSchedule!AF137)</f>
        <v/>
      </c>
      <c r="J137" s="69" t="str">
        <f>IF(I137="","",IF(MakeSchedule!AG137=0,0,MakeSchedule!AG137))</f>
        <v/>
      </c>
      <c r="K137" s="39"/>
      <c r="L137" s="39"/>
      <c r="M137" s="39"/>
      <c r="N137" s="39"/>
      <c r="O137" s="39"/>
      <c r="P137" s="39"/>
      <c r="Q137" s="39"/>
      <c r="R137" s="39"/>
      <c r="S137" s="39"/>
      <c r="T137" s="39"/>
      <c r="U137" s="39"/>
      <c r="V137" s="39"/>
      <c r="W137" s="39"/>
    </row>
    <row r="138" spans="1:23" x14ac:dyDescent="0.2">
      <c r="A138" s="66"/>
      <c r="B138" s="67" t="str">
        <f t="shared" si="5"/>
        <v/>
      </c>
      <c r="C138" s="68" t="str">
        <f>IF(MakeSchedule!AB138=0,"",MakeSchedule!AB138)</f>
        <v/>
      </c>
      <c r="D138" s="69" t="str">
        <f>IF(MakeSchedule!AC138=0,"",MakeSchedule!AC138)</f>
        <v/>
      </c>
      <c r="E138" s="69" t="str">
        <f>IF(MakeSchedule!AD138=0,"",MakeSchedule!AD138)</f>
        <v/>
      </c>
      <c r="F138" s="73" t="str">
        <f>IF(MakeSchedule!AD138=0,"",MakeSchedule!AC138/MakeSchedule!AD138)</f>
        <v/>
      </c>
      <c r="G138" s="73" t="str">
        <f t="shared" si="3"/>
        <v/>
      </c>
      <c r="H138" s="73" t="str">
        <f t="shared" si="4"/>
        <v/>
      </c>
      <c r="I138" s="69" t="str">
        <f>IF(MakeSchedule!AF138=0,"",MakeSchedule!AF138)</f>
        <v/>
      </c>
      <c r="J138" s="69" t="str">
        <f>IF(I138="","",IF(MakeSchedule!AG138=0,0,MakeSchedule!AG138))</f>
        <v/>
      </c>
      <c r="K138" s="39"/>
      <c r="L138" s="39"/>
      <c r="M138" s="39"/>
      <c r="N138" s="39"/>
      <c r="O138" s="39"/>
      <c r="P138" s="39"/>
      <c r="Q138" s="39"/>
      <c r="R138" s="39"/>
      <c r="S138" s="39"/>
      <c r="T138" s="39"/>
      <c r="U138" s="39"/>
      <c r="V138" s="39"/>
      <c r="W138" s="39"/>
    </row>
    <row r="139" spans="1:23" x14ac:dyDescent="0.2">
      <c r="A139" s="66"/>
      <c r="B139" s="67" t="str">
        <f t="shared" si="5"/>
        <v/>
      </c>
      <c r="C139" s="68" t="str">
        <f>IF(MakeSchedule!AB139=0,"",MakeSchedule!AB139)</f>
        <v/>
      </c>
      <c r="D139" s="69" t="str">
        <f>IF(MakeSchedule!AC139=0,"",MakeSchedule!AC139)</f>
        <v/>
      </c>
      <c r="E139" s="69" t="str">
        <f>IF(MakeSchedule!AD139=0,"",MakeSchedule!AD139)</f>
        <v/>
      </c>
      <c r="F139" s="73" t="str">
        <f>IF(MakeSchedule!AD139=0,"",MakeSchedule!AC139/MakeSchedule!AD139)</f>
        <v/>
      </c>
      <c r="G139" s="73" t="str">
        <f t="shared" si="3"/>
        <v/>
      </c>
      <c r="H139" s="73" t="str">
        <f t="shared" si="4"/>
        <v/>
      </c>
      <c r="I139" s="69" t="str">
        <f>IF(MakeSchedule!AF139=0,"",MakeSchedule!AF139)</f>
        <v/>
      </c>
      <c r="J139" s="69" t="str">
        <f>IF(I139="","",IF(MakeSchedule!AG139=0,0,MakeSchedule!AG139))</f>
        <v/>
      </c>
      <c r="K139" s="39"/>
      <c r="L139" s="39"/>
      <c r="M139" s="39"/>
      <c r="N139" s="39"/>
      <c r="O139" s="39"/>
      <c r="P139" s="39"/>
      <c r="Q139" s="39"/>
      <c r="R139" s="39"/>
      <c r="S139" s="39"/>
      <c r="T139" s="39"/>
      <c r="U139" s="39"/>
      <c r="V139" s="39"/>
      <c r="W139" s="39"/>
    </row>
    <row r="140" spans="1:23" x14ac:dyDescent="0.2">
      <c r="A140" s="66"/>
      <c r="B140" s="67" t="str">
        <f t="shared" si="5"/>
        <v/>
      </c>
      <c r="C140" s="68" t="str">
        <f>IF(MakeSchedule!AB140=0,"",MakeSchedule!AB140)</f>
        <v/>
      </c>
      <c r="D140" s="69" t="str">
        <f>IF(MakeSchedule!AC140=0,"",MakeSchedule!AC140)</f>
        <v/>
      </c>
      <c r="E140" s="69" t="str">
        <f>IF(MakeSchedule!AD140=0,"",MakeSchedule!AD140)</f>
        <v/>
      </c>
      <c r="F140" s="73" t="str">
        <f>IF(MakeSchedule!AD140=0,"",MakeSchedule!AC140/MakeSchedule!AD140)</f>
        <v/>
      </c>
      <c r="G140" s="73" t="str">
        <f t="shared" si="3"/>
        <v/>
      </c>
      <c r="H140" s="73" t="str">
        <f t="shared" si="4"/>
        <v/>
      </c>
      <c r="I140" s="69" t="str">
        <f>IF(MakeSchedule!AF140=0,"",MakeSchedule!AF140)</f>
        <v/>
      </c>
      <c r="J140" s="69" t="str">
        <f>IF(I140="","",IF(MakeSchedule!AG140=0,0,MakeSchedule!AG140))</f>
        <v/>
      </c>
      <c r="K140" s="39"/>
      <c r="L140" s="39"/>
      <c r="M140" s="39"/>
      <c r="N140" s="39"/>
      <c r="O140" s="39"/>
      <c r="P140" s="39"/>
      <c r="Q140" s="39"/>
      <c r="R140" s="39"/>
      <c r="S140" s="39"/>
      <c r="T140" s="39"/>
      <c r="U140" s="39"/>
      <c r="V140" s="39"/>
      <c r="W140" s="39"/>
    </row>
    <row r="141" spans="1:23" x14ac:dyDescent="0.2">
      <c r="A141" s="66"/>
      <c r="B141" s="67" t="str">
        <f t="shared" si="5"/>
        <v/>
      </c>
      <c r="C141" s="68" t="str">
        <f>IF(MakeSchedule!AB141=0,"",MakeSchedule!AB141)</f>
        <v/>
      </c>
      <c r="D141" s="69" t="str">
        <f>IF(MakeSchedule!AC141=0,"",MakeSchedule!AC141)</f>
        <v/>
      </c>
      <c r="E141" s="69" t="str">
        <f>IF(MakeSchedule!AD141=0,"",MakeSchedule!AD141)</f>
        <v/>
      </c>
      <c r="F141" s="73" t="str">
        <f>IF(MakeSchedule!AD141=0,"",MakeSchedule!AC141/MakeSchedule!AD141)</f>
        <v/>
      </c>
      <c r="G141" s="73" t="str">
        <f t="shared" si="3"/>
        <v/>
      </c>
      <c r="H141" s="73" t="str">
        <f t="shared" si="4"/>
        <v/>
      </c>
      <c r="I141" s="69" t="str">
        <f>IF(MakeSchedule!AF141=0,"",MakeSchedule!AF141)</f>
        <v/>
      </c>
      <c r="J141" s="69" t="str">
        <f>IF(I141="","",IF(MakeSchedule!AG141=0,0,MakeSchedule!AG141))</f>
        <v/>
      </c>
      <c r="K141" s="39"/>
      <c r="L141" s="39"/>
      <c r="M141" s="39"/>
      <c r="N141" s="39"/>
      <c r="O141" s="39"/>
      <c r="P141" s="39"/>
      <c r="Q141" s="39"/>
      <c r="R141" s="39"/>
      <c r="S141" s="39"/>
      <c r="T141" s="39"/>
      <c r="U141" s="39"/>
      <c r="V141" s="39"/>
      <c r="W141" s="39"/>
    </row>
    <row r="142" spans="1:23" x14ac:dyDescent="0.2">
      <c r="A142" s="66"/>
      <c r="B142" s="67" t="str">
        <f t="shared" si="5"/>
        <v/>
      </c>
      <c r="C142" s="68" t="str">
        <f>IF(MakeSchedule!AB142=0,"",MakeSchedule!AB142)</f>
        <v/>
      </c>
      <c r="D142" s="69" t="str">
        <f>IF(MakeSchedule!AC142=0,"",MakeSchedule!AC142)</f>
        <v/>
      </c>
      <c r="E142" s="69" t="str">
        <f>IF(MakeSchedule!AD142=0,"",MakeSchedule!AD142)</f>
        <v/>
      </c>
      <c r="F142" s="73" t="str">
        <f>IF(MakeSchedule!AD142=0,"",MakeSchedule!AC142/MakeSchedule!AD142)</f>
        <v/>
      </c>
      <c r="G142" s="73" t="str">
        <f t="shared" si="3"/>
        <v/>
      </c>
      <c r="H142" s="73" t="str">
        <f t="shared" si="4"/>
        <v/>
      </c>
      <c r="I142" s="69" t="str">
        <f>IF(MakeSchedule!AF142=0,"",MakeSchedule!AF142)</f>
        <v/>
      </c>
      <c r="J142" s="69" t="str">
        <f>IF(I142="","",IF(MakeSchedule!AG142=0,0,MakeSchedule!AG142))</f>
        <v/>
      </c>
      <c r="K142" s="39"/>
      <c r="L142" s="39"/>
      <c r="M142" s="39"/>
      <c r="N142" s="39"/>
      <c r="O142" s="39"/>
      <c r="P142" s="39"/>
      <c r="Q142" s="39"/>
      <c r="R142" s="39"/>
      <c r="S142" s="39"/>
      <c r="T142" s="39"/>
      <c r="U142" s="39"/>
      <c r="V142" s="39"/>
      <c r="W142" s="39"/>
    </row>
    <row r="143" spans="1:23" x14ac:dyDescent="0.2">
      <c r="A143" s="66"/>
      <c r="B143" s="67" t="str">
        <f t="shared" si="5"/>
        <v/>
      </c>
      <c r="C143" s="68" t="str">
        <f>IF(MakeSchedule!AB143=0,"",MakeSchedule!AB143)</f>
        <v/>
      </c>
      <c r="D143" s="69" t="str">
        <f>IF(MakeSchedule!AC143=0,"",MakeSchedule!AC143)</f>
        <v/>
      </c>
      <c r="E143" s="69" t="str">
        <f>IF(MakeSchedule!AD143=0,"",MakeSchedule!AD143)</f>
        <v/>
      </c>
      <c r="F143" s="73" t="str">
        <f>IF(MakeSchedule!AD143=0,"",MakeSchedule!AC143/MakeSchedule!AD143)</f>
        <v/>
      </c>
      <c r="G143" s="73" t="str">
        <f t="shared" si="3"/>
        <v/>
      </c>
      <c r="H143" s="73" t="str">
        <f t="shared" si="4"/>
        <v/>
      </c>
      <c r="I143" s="69" t="str">
        <f>IF(MakeSchedule!AF143=0,"",MakeSchedule!AF143)</f>
        <v/>
      </c>
      <c r="J143" s="69" t="str">
        <f>IF(I143="","",IF(MakeSchedule!AG143=0,0,MakeSchedule!AG143))</f>
        <v/>
      </c>
      <c r="K143" s="39"/>
      <c r="L143" s="39"/>
      <c r="M143" s="39"/>
      <c r="N143" s="39"/>
      <c r="O143" s="39"/>
      <c r="P143" s="39"/>
      <c r="Q143" s="39"/>
      <c r="R143" s="39"/>
      <c r="S143" s="39"/>
      <c r="T143" s="39"/>
      <c r="U143" s="39"/>
      <c r="V143" s="39"/>
      <c r="W143" s="39"/>
    </row>
    <row r="144" spans="1:23" x14ac:dyDescent="0.2">
      <c r="A144" s="66"/>
      <c r="B144" s="67" t="str">
        <f t="shared" si="5"/>
        <v/>
      </c>
      <c r="C144" s="68" t="str">
        <f>IF(MakeSchedule!AB144=0,"",MakeSchedule!AB144)</f>
        <v/>
      </c>
      <c r="D144" s="69" t="str">
        <f>IF(MakeSchedule!AC144=0,"",MakeSchedule!AC144)</f>
        <v/>
      </c>
      <c r="E144" s="69" t="str">
        <f>IF(MakeSchedule!AD144=0,"",MakeSchedule!AD144)</f>
        <v/>
      </c>
      <c r="F144" s="73" t="str">
        <f>IF(MakeSchedule!AD144=0,"",MakeSchedule!AC144/MakeSchedule!AD144)</f>
        <v/>
      </c>
      <c r="G144" s="73" t="str">
        <f t="shared" si="3"/>
        <v/>
      </c>
      <c r="H144" s="73" t="str">
        <f t="shared" si="4"/>
        <v/>
      </c>
      <c r="I144" s="69" t="str">
        <f>IF(MakeSchedule!AF144=0,"",MakeSchedule!AF144)</f>
        <v/>
      </c>
      <c r="J144" s="69" t="str">
        <f>IF(I144="","",IF(MakeSchedule!AG144=0,0,MakeSchedule!AG144))</f>
        <v/>
      </c>
      <c r="K144" s="39"/>
      <c r="L144" s="39"/>
      <c r="M144" s="39"/>
      <c r="N144" s="39"/>
      <c r="O144" s="39"/>
      <c r="P144" s="39"/>
      <c r="Q144" s="39"/>
      <c r="R144" s="39"/>
      <c r="S144" s="39"/>
      <c r="T144" s="39"/>
      <c r="U144" s="39"/>
      <c r="V144" s="39"/>
      <c r="W144" s="39"/>
    </row>
    <row r="145" spans="1:23" x14ac:dyDescent="0.2">
      <c r="A145" s="66"/>
      <c r="B145" s="67" t="str">
        <f t="shared" si="5"/>
        <v/>
      </c>
      <c r="C145" s="68" t="str">
        <f>IF(MakeSchedule!AB145=0,"",MakeSchedule!AB145)</f>
        <v/>
      </c>
      <c r="D145" s="69" t="str">
        <f>IF(MakeSchedule!AC145=0,"",MakeSchedule!AC145)</f>
        <v/>
      </c>
      <c r="E145" s="69" t="str">
        <f>IF(MakeSchedule!AD145=0,"",MakeSchedule!AD145)</f>
        <v/>
      </c>
      <c r="F145" s="73" t="str">
        <f>IF(MakeSchedule!AD145=0,"",MakeSchedule!AC145/MakeSchedule!AD145)</f>
        <v/>
      </c>
      <c r="G145" s="73" t="str">
        <f t="shared" ref="G145:G208" si="6">IF(H145="","",G$12*H145)</f>
        <v/>
      </c>
      <c r="H145" s="73" t="str">
        <f t="shared" ref="H145:H208" si="7">IF(E145="","",E145/(1-G$12))</f>
        <v/>
      </c>
      <c r="I145" s="69" t="str">
        <f>IF(MakeSchedule!AF145=0,"",MakeSchedule!AF145)</f>
        <v/>
      </c>
      <c r="J145" s="69" t="str">
        <f>IF(I145="","",IF(MakeSchedule!AG145=0,0,MakeSchedule!AG145))</f>
        <v/>
      </c>
      <c r="K145" s="39"/>
      <c r="L145" s="39"/>
      <c r="M145" s="39"/>
      <c r="N145" s="39"/>
      <c r="O145" s="39"/>
      <c r="P145" s="39"/>
      <c r="Q145" s="39"/>
      <c r="R145" s="39"/>
      <c r="S145" s="39"/>
      <c r="T145" s="39"/>
      <c r="U145" s="39"/>
      <c r="V145" s="39"/>
      <c r="W145" s="39"/>
    </row>
    <row r="146" spans="1:23" x14ac:dyDescent="0.2">
      <c r="A146" s="66"/>
      <c r="B146" s="67" t="str">
        <f t="shared" ref="B146:B209" si="8">IF(C146="","",B145+1)</f>
        <v/>
      </c>
      <c r="C146" s="68" t="str">
        <f>IF(MakeSchedule!AB146=0,"",MakeSchedule!AB146)</f>
        <v/>
      </c>
      <c r="D146" s="69" t="str">
        <f>IF(MakeSchedule!AC146=0,"",MakeSchedule!AC146)</f>
        <v/>
      </c>
      <c r="E146" s="69" t="str">
        <f>IF(MakeSchedule!AD146=0,"",MakeSchedule!AD146)</f>
        <v/>
      </c>
      <c r="F146" s="73" t="str">
        <f>IF(MakeSchedule!AD146=0,"",MakeSchedule!AC146/MakeSchedule!AD146)</f>
        <v/>
      </c>
      <c r="G146" s="73" t="str">
        <f t="shared" si="6"/>
        <v/>
      </c>
      <c r="H146" s="73" t="str">
        <f t="shared" si="7"/>
        <v/>
      </c>
      <c r="I146" s="69" t="str">
        <f>IF(MakeSchedule!AF146=0,"",MakeSchedule!AF146)</f>
        <v/>
      </c>
      <c r="J146" s="69" t="str">
        <f>IF(I146="","",IF(MakeSchedule!AG146=0,0,MakeSchedule!AG146))</f>
        <v/>
      </c>
      <c r="K146" s="39"/>
      <c r="L146" s="39"/>
      <c r="M146" s="39"/>
      <c r="N146" s="39"/>
      <c r="O146" s="39"/>
      <c r="P146" s="39"/>
      <c r="Q146" s="39"/>
      <c r="R146" s="39"/>
      <c r="S146" s="39"/>
      <c r="T146" s="39"/>
      <c r="U146" s="39"/>
      <c r="V146" s="39"/>
      <c r="W146" s="39"/>
    </row>
    <row r="147" spans="1:23" x14ac:dyDescent="0.2">
      <c r="A147" s="66"/>
      <c r="B147" s="67" t="str">
        <f t="shared" si="8"/>
        <v/>
      </c>
      <c r="C147" s="68" t="str">
        <f>IF(MakeSchedule!AB147=0,"",MakeSchedule!AB147)</f>
        <v/>
      </c>
      <c r="D147" s="69" t="str">
        <f>IF(MakeSchedule!AC147=0,"",MakeSchedule!AC147)</f>
        <v/>
      </c>
      <c r="E147" s="69" t="str">
        <f>IF(MakeSchedule!AD147=0,"",MakeSchedule!AD147)</f>
        <v/>
      </c>
      <c r="F147" s="73" t="str">
        <f>IF(MakeSchedule!AD147=0,"",MakeSchedule!AC147/MakeSchedule!AD147)</f>
        <v/>
      </c>
      <c r="G147" s="73" t="str">
        <f t="shared" si="6"/>
        <v/>
      </c>
      <c r="H147" s="73" t="str">
        <f t="shared" si="7"/>
        <v/>
      </c>
      <c r="I147" s="69" t="str">
        <f>IF(MakeSchedule!AF147=0,"",MakeSchedule!AF147)</f>
        <v/>
      </c>
      <c r="J147" s="69" t="str">
        <f>IF(I147="","",IF(MakeSchedule!AG147=0,0,MakeSchedule!AG147))</f>
        <v/>
      </c>
      <c r="K147" s="39"/>
      <c r="L147" s="39"/>
      <c r="M147" s="39"/>
      <c r="N147" s="39"/>
      <c r="O147" s="39"/>
      <c r="P147" s="39"/>
      <c r="Q147" s="39"/>
      <c r="R147" s="39"/>
      <c r="S147" s="39"/>
      <c r="T147" s="39"/>
      <c r="U147" s="39"/>
      <c r="V147" s="39"/>
      <c r="W147" s="39"/>
    </row>
    <row r="148" spans="1:23" x14ac:dyDescent="0.2">
      <c r="A148" s="66"/>
      <c r="B148" s="67" t="str">
        <f t="shared" si="8"/>
        <v/>
      </c>
      <c r="C148" s="68" t="str">
        <f>IF(MakeSchedule!AB148=0,"",MakeSchedule!AB148)</f>
        <v/>
      </c>
      <c r="D148" s="69" t="str">
        <f>IF(MakeSchedule!AC148=0,"",MakeSchedule!AC148)</f>
        <v/>
      </c>
      <c r="E148" s="69" t="str">
        <f>IF(MakeSchedule!AD148=0,"",MakeSchedule!AD148)</f>
        <v/>
      </c>
      <c r="F148" s="73" t="str">
        <f>IF(MakeSchedule!AD148=0,"",MakeSchedule!AC148/MakeSchedule!AD148)</f>
        <v/>
      </c>
      <c r="G148" s="73" t="str">
        <f t="shared" si="6"/>
        <v/>
      </c>
      <c r="H148" s="73" t="str">
        <f t="shared" si="7"/>
        <v/>
      </c>
      <c r="I148" s="69" t="str">
        <f>IF(MakeSchedule!AF148=0,"",MakeSchedule!AF148)</f>
        <v/>
      </c>
      <c r="J148" s="69" t="str">
        <f>IF(I148="","",IF(MakeSchedule!AG148=0,0,MakeSchedule!AG148))</f>
        <v/>
      </c>
      <c r="K148" s="39"/>
      <c r="L148" s="39"/>
      <c r="M148" s="39"/>
      <c r="N148" s="39"/>
      <c r="O148" s="39"/>
      <c r="P148" s="39"/>
      <c r="Q148" s="39"/>
      <c r="R148" s="39"/>
      <c r="S148" s="39"/>
      <c r="T148" s="39"/>
      <c r="U148" s="39"/>
      <c r="V148" s="39"/>
      <c r="W148" s="39"/>
    </row>
    <row r="149" spans="1:23" x14ac:dyDescent="0.2">
      <c r="A149" s="66"/>
      <c r="B149" s="67" t="str">
        <f t="shared" si="8"/>
        <v/>
      </c>
      <c r="C149" s="68" t="str">
        <f>IF(MakeSchedule!AB149=0,"",MakeSchedule!AB149)</f>
        <v/>
      </c>
      <c r="D149" s="69" t="str">
        <f>IF(MakeSchedule!AC149=0,"",MakeSchedule!AC149)</f>
        <v/>
      </c>
      <c r="E149" s="69" t="str">
        <f>IF(MakeSchedule!AD149=0,"",MakeSchedule!AD149)</f>
        <v/>
      </c>
      <c r="F149" s="73" t="str">
        <f>IF(MakeSchedule!AD149=0,"",MakeSchedule!AC149/MakeSchedule!AD149)</f>
        <v/>
      </c>
      <c r="G149" s="73" t="str">
        <f t="shared" si="6"/>
        <v/>
      </c>
      <c r="H149" s="73" t="str">
        <f t="shared" si="7"/>
        <v/>
      </c>
      <c r="I149" s="69" t="str">
        <f>IF(MakeSchedule!AF149=0,"",MakeSchedule!AF149)</f>
        <v/>
      </c>
      <c r="J149" s="69" t="str">
        <f>IF(I149="","",IF(MakeSchedule!AG149=0,0,MakeSchedule!AG149))</f>
        <v/>
      </c>
      <c r="K149" s="39"/>
      <c r="L149" s="39"/>
      <c r="M149" s="39"/>
      <c r="N149" s="39"/>
      <c r="O149" s="39"/>
      <c r="P149" s="39"/>
      <c r="Q149" s="39"/>
      <c r="R149" s="39"/>
      <c r="S149" s="39"/>
      <c r="T149" s="39"/>
      <c r="U149" s="39"/>
      <c r="V149" s="39"/>
      <c r="W149" s="39"/>
    </row>
    <row r="150" spans="1:23" x14ac:dyDescent="0.2">
      <c r="A150" s="66"/>
      <c r="B150" s="67" t="str">
        <f t="shared" si="8"/>
        <v/>
      </c>
      <c r="C150" s="68" t="str">
        <f>IF(MakeSchedule!AB150=0,"",MakeSchedule!AB150)</f>
        <v/>
      </c>
      <c r="D150" s="69" t="str">
        <f>IF(MakeSchedule!AC150=0,"",MakeSchedule!AC150)</f>
        <v/>
      </c>
      <c r="E150" s="69" t="str">
        <f>IF(MakeSchedule!AD150=0,"",MakeSchedule!AD150)</f>
        <v/>
      </c>
      <c r="F150" s="73" t="str">
        <f>IF(MakeSchedule!AD150=0,"",MakeSchedule!AC150/MakeSchedule!AD150)</f>
        <v/>
      </c>
      <c r="G150" s="73" t="str">
        <f t="shared" si="6"/>
        <v/>
      </c>
      <c r="H150" s="73" t="str">
        <f t="shared" si="7"/>
        <v/>
      </c>
      <c r="I150" s="69" t="str">
        <f>IF(MakeSchedule!AF150=0,"",MakeSchedule!AF150)</f>
        <v/>
      </c>
      <c r="J150" s="69" t="str">
        <f>IF(I150="","",IF(MakeSchedule!AG150=0,0,MakeSchedule!AG150))</f>
        <v/>
      </c>
      <c r="K150" s="39"/>
      <c r="L150" s="39"/>
      <c r="M150" s="39"/>
      <c r="N150" s="39"/>
      <c r="O150" s="39"/>
      <c r="P150" s="39"/>
      <c r="Q150" s="39"/>
      <c r="R150" s="39"/>
      <c r="S150" s="39"/>
      <c r="T150" s="39"/>
      <c r="U150" s="39"/>
      <c r="V150" s="39"/>
      <c r="W150" s="39"/>
    </row>
    <row r="151" spans="1:23" x14ac:dyDescent="0.2">
      <c r="A151" s="66"/>
      <c r="B151" s="67" t="str">
        <f t="shared" si="8"/>
        <v/>
      </c>
      <c r="C151" s="68" t="str">
        <f>IF(MakeSchedule!AB151=0,"",MakeSchedule!AB151)</f>
        <v/>
      </c>
      <c r="D151" s="69" t="str">
        <f>IF(MakeSchedule!AC151=0,"",MakeSchedule!AC151)</f>
        <v/>
      </c>
      <c r="E151" s="69" t="str">
        <f>IF(MakeSchedule!AD151=0,"",MakeSchedule!AD151)</f>
        <v/>
      </c>
      <c r="F151" s="73" t="str">
        <f>IF(MakeSchedule!AD151=0,"",MakeSchedule!AC151/MakeSchedule!AD151)</f>
        <v/>
      </c>
      <c r="G151" s="73" t="str">
        <f t="shared" si="6"/>
        <v/>
      </c>
      <c r="H151" s="73" t="str">
        <f t="shared" si="7"/>
        <v/>
      </c>
      <c r="I151" s="69" t="str">
        <f>IF(MakeSchedule!AF151=0,"",MakeSchedule!AF151)</f>
        <v/>
      </c>
      <c r="J151" s="69" t="str">
        <f>IF(I151="","",IF(MakeSchedule!AG151=0,0,MakeSchedule!AG151))</f>
        <v/>
      </c>
      <c r="K151" s="39"/>
      <c r="L151" s="39"/>
      <c r="M151" s="39"/>
      <c r="N151" s="39"/>
      <c r="O151" s="39"/>
      <c r="P151" s="39"/>
      <c r="Q151" s="39"/>
      <c r="R151" s="39"/>
      <c r="S151" s="39"/>
      <c r="T151" s="39"/>
      <c r="U151" s="39"/>
      <c r="V151" s="39"/>
      <c r="W151" s="39"/>
    </row>
    <row r="152" spans="1:23" x14ac:dyDescent="0.2">
      <c r="A152" s="66"/>
      <c r="B152" s="67" t="str">
        <f t="shared" si="8"/>
        <v/>
      </c>
      <c r="C152" s="68" t="str">
        <f>IF(MakeSchedule!AB152=0,"",MakeSchedule!AB152)</f>
        <v/>
      </c>
      <c r="D152" s="69" t="str">
        <f>IF(MakeSchedule!AC152=0,"",MakeSchedule!AC152)</f>
        <v/>
      </c>
      <c r="E152" s="69" t="str">
        <f>IF(MakeSchedule!AD152=0,"",MakeSchedule!AD152)</f>
        <v/>
      </c>
      <c r="F152" s="73" t="str">
        <f>IF(MakeSchedule!AD152=0,"",MakeSchedule!AC152/MakeSchedule!AD152)</f>
        <v/>
      </c>
      <c r="G152" s="73" t="str">
        <f t="shared" si="6"/>
        <v/>
      </c>
      <c r="H152" s="73" t="str">
        <f t="shared" si="7"/>
        <v/>
      </c>
      <c r="I152" s="69" t="str">
        <f>IF(MakeSchedule!AF152=0,"",MakeSchedule!AF152)</f>
        <v/>
      </c>
      <c r="J152" s="69" t="str">
        <f>IF(I152="","",IF(MakeSchedule!AG152=0,0,MakeSchedule!AG152))</f>
        <v/>
      </c>
      <c r="K152" s="39"/>
      <c r="L152" s="39"/>
      <c r="M152" s="39"/>
      <c r="N152" s="39"/>
      <c r="O152" s="39"/>
      <c r="P152" s="39"/>
      <c r="Q152" s="39"/>
      <c r="R152" s="39"/>
      <c r="S152" s="39"/>
      <c r="T152" s="39"/>
      <c r="U152" s="39"/>
      <c r="V152" s="39"/>
      <c r="W152" s="39"/>
    </row>
    <row r="153" spans="1:23" x14ac:dyDescent="0.2">
      <c r="A153" s="66"/>
      <c r="B153" s="67" t="str">
        <f t="shared" si="8"/>
        <v/>
      </c>
      <c r="C153" s="68" t="str">
        <f>IF(MakeSchedule!AB153=0,"",MakeSchedule!AB153)</f>
        <v/>
      </c>
      <c r="D153" s="69" t="str">
        <f>IF(MakeSchedule!AC153=0,"",MakeSchedule!AC153)</f>
        <v/>
      </c>
      <c r="E153" s="69" t="str">
        <f>IF(MakeSchedule!AD153=0,"",MakeSchedule!AD153)</f>
        <v/>
      </c>
      <c r="F153" s="73" t="str">
        <f>IF(MakeSchedule!AD153=0,"",MakeSchedule!AC153/MakeSchedule!AD153)</f>
        <v/>
      </c>
      <c r="G153" s="73" t="str">
        <f t="shared" si="6"/>
        <v/>
      </c>
      <c r="H153" s="73" t="str">
        <f t="shared" si="7"/>
        <v/>
      </c>
      <c r="I153" s="69" t="str">
        <f>IF(MakeSchedule!AF153=0,"",MakeSchedule!AF153)</f>
        <v/>
      </c>
      <c r="J153" s="69" t="str">
        <f>IF(I153="","",IF(MakeSchedule!AG153=0,0,MakeSchedule!AG153))</f>
        <v/>
      </c>
      <c r="K153" s="39"/>
      <c r="L153" s="39"/>
      <c r="M153" s="39"/>
      <c r="N153" s="39"/>
      <c r="O153" s="39"/>
      <c r="P153" s="39"/>
      <c r="Q153" s="39"/>
      <c r="R153" s="39"/>
      <c r="S153" s="39"/>
      <c r="T153" s="39"/>
      <c r="U153" s="39"/>
      <c r="V153" s="39"/>
      <c r="W153" s="39"/>
    </row>
    <row r="154" spans="1:23" x14ac:dyDescent="0.2">
      <c r="A154" s="66"/>
      <c r="B154" s="67" t="str">
        <f t="shared" si="8"/>
        <v/>
      </c>
      <c r="C154" s="68" t="str">
        <f>IF(MakeSchedule!AB154=0,"",MakeSchedule!AB154)</f>
        <v/>
      </c>
      <c r="D154" s="69" t="str">
        <f>IF(MakeSchedule!AC154=0,"",MakeSchedule!AC154)</f>
        <v/>
      </c>
      <c r="E154" s="69" t="str">
        <f>IF(MakeSchedule!AD154=0,"",MakeSchedule!AD154)</f>
        <v/>
      </c>
      <c r="F154" s="73" t="str">
        <f>IF(MakeSchedule!AD154=0,"",MakeSchedule!AC154/MakeSchedule!AD154)</f>
        <v/>
      </c>
      <c r="G154" s="73" t="str">
        <f t="shared" si="6"/>
        <v/>
      </c>
      <c r="H154" s="73" t="str">
        <f t="shared" si="7"/>
        <v/>
      </c>
      <c r="I154" s="69" t="str">
        <f>IF(MakeSchedule!AF154=0,"",MakeSchedule!AF154)</f>
        <v/>
      </c>
      <c r="J154" s="69" t="str">
        <f>IF(I154="","",IF(MakeSchedule!AG154=0,0,MakeSchedule!AG154))</f>
        <v/>
      </c>
      <c r="K154" s="39"/>
      <c r="L154" s="39"/>
      <c r="M154" s="39"/>
      <c r="N154" s="39"/>
      <c r="O154" s="39"/>
      <c r="P154" s="39"/>
      <c r="Q154" s="39"/>
      <c r="R154" s="39"/>
      <c r="S154" s="39"/>
      <c r="T154" s="39"/>
      <c r="U154" s="39"/>
      <c r="V154" s="39"/>
      <c r="W154" s="39"/>
    </row>
    <row r="155" spans="1:23" x14ac:dyDescent="0.2">
      <c r="A155" s="66"/>
      <c r="B155" s="67" t="str">
        <f t="shared" si="8"/>
        <v/>
      </c>
      <c r="C155" s="68" t="str">
        <f>IF(MakeSchedule!AB155=0,"",MakeSchedule!AB155)</f>
        <v/>
      </c>
      <c r="D155" s="69" t="str">
        <f>IF(MakeSchedule!AC155=0,"",MakeSchedule!AC155)</f>
        <v/>
      </c>
      <c r="E155" s="69" t="str">
        <f>IF(MakeSchedule!AD155=0,"",MakeSchedule!AD155)</f>
        <v/>
      </c>
      <c r="F155" s="73" t="str">
        <f>IF(MakeSchedule!AD155=0,"",MakeSchedule!AC155/MakeSchedule!AD155)</f>
        <v/>
      </c>
      <c r="G155" s="73" t="str">
        <f t="shared" si="6"/>
        <v/>
      </c>
      <c r="H155" s="73" t="str">
        <f t="shared" si="7"/>
        <v/>
      </c>
      <c r="I155" s="69" t="str">
        <f>IF(MakeSchedule!AF155=0,"",MakeSchedule!AF155)</f>
        <v/>
      </c>
      <c r="J155" s="69" t="str">
        <f>IF(I155="","",IF(MakeSchedule!AG155=0,0,MakeSchedule!AG155))</f>
        <v/>
      </c>
      <c r="K155" s="39"/>
      <c r="L155" s="39"/>
      <c r="M155" s="39"/>
      <c r="N155" s="39"/>
      <c r="O155" s="39"/>
      <c r="P155" s="39"/>
      <c r="Q155" s="39"/>
      <c r="R155" s="39"/>
      <c r="S155" s="39"/>
      <c r="T155" s="39"/>
      <c r="U155" s="39"/>
      <c r="V155" s="39"/>
      <c r="W155" s="39"/>
    </row>
    <row r="156" spans="1:23" x14ac:dyDescent="0.2">
      <c r="A156" s="66"/>
      <c r="B156" s="67" t="str">
        <f t="shared" si="8"/>
        <v/>
      </c>
      <c r="C156" s="68" t="str">
        <f>IF(MakeSchedule!AB156=0,"",MakeSchedule!AB156)</f>
        <v/>
      </c>
      <c r="D156" s="69" t="str">
        <f>IF(MakeSchedule!AC156=0,"",MakeSchedule!AC156)</f>
        <v/>
      </c>
      <c r="E156" s="69" t="str">
        <f>IF(MakeSchedule!AD156=0,"",MakeSchedule!AD156)</f>
        <v/>
      </c>
      <c r="F156" s="73" t="str">
        <f>IF(MakeSchedule!AD156=0,"",MakeSchedule!AC156/MakeSchedule!AD156)</f>
        <v/>
      </c>
      <c r="G156" s="73" t="str">
        <f t="shared" si="6"/>
        <v/>
      </c>
      <c r="H156" s="73" t="str">
        <f t="shared" si="7"/>
        <v/>
      </c>
      <c r="I156" s="69" t="str">
        <f>IF(MakeSchedule!AF156=0,"",MakeSchedule!AF156)</f>
        <v/>
      </c>
      <c r="J156" s="69" t="str">
        <f>IF(I156="","",IF(MakeSchedule!AG156=0,0,MakeSchedule!AG156))</f>
        <v/>
      </c>
      <c r="K156" s="39"/>
      <c r="L156" s="39"/>
      <c r="M156" s="39"/>
      <c r="N156" s="39"/>
      <c r="O156" s="39"/>
      <c r="P156" s="39"/>
      <c r="Q156" s="39"/>
      <c r="R156" s="39"/>
      <c r="S156" s="39"/>
      <c r="T156" s="39"/>
      <c r="U156" s="39"/>
      <c r="V156" s="39"/>
      <c r="W156" s="39"/>
    </row>
    <row r="157" spans="1:23" x14ac:dyDescent="0.2">
      <c r="A157" s="66"/>
      <c r="B157" s="67" t="str">
        <f t="shared" si="8"/>
        <v/>
      </c>
      <c r="C157" s="68" t="str">
        <f>IF(MakeSchedule!AB157=0,"",MakeSchedule!AB157)</f>
        <v/>
      </c>
      <c r="D157" s="69" t="str">
        <f>IF(MakeSchedule!AC157=0,"",MakeSchedule!AC157)</f>
        <v/>
      </c>
      <c r="E157" s="69" t="str">
        <f>IF(MakeSchedule!AD157=0,"",MakeSchedule!AD157)</f>
        <v/>
      </c>
      <c r="F157" s="73" t="str">
        <f>IF(MakeSchedule!AD157=0,"",MakeSchedule!AC157/MakeSchedule!AD157)</f>
        <v/>
      </c>
      <c r="G157" s="73" t="str">
        <f t="shared" si="6"/>
        <v/>
      </c>
      <c r="H157" s="73" t="str">
        <f t="shared" si="7"/>
        <v/>
      </c>
      <c r="I157" s="69" t="str">
        <f>IF(MakeSchedule!AF157=0,"",MakeSchedule!AF157)</f>
        <v/>
      </c>
      <c r="J157" s="69" t="str">
        <f>IF(I157="","",IF(MakeSchedule!AG157=0,0,MakeSchedule!AG157))</f>
        <v/>
      </c>
      <c r="K157" s="39"/>
      <c r="L157" s="39"/>
      <c r="M157" s="39"/>
      <c r="N157" s="39"/>
      <c r="O157" s="39"/>
      <c r="P157" s="39"/>
      <c r="Q157" s="39"/>
      <c r="R157" s="39"/>
      <c r="S157" s="39"/>
      <c r="T157" s="39"/>
      <c r="U157" s="39"/>
      <c r="V157" s="39"/>
      <c r="W157" s="39"/>
    </row>
    <row r="158" spans="1:23" x14ac:dyDescent="0.2">
      <c r="A158" s="66"/>
      <c r="B158" s="67" t="str">
        <f t="shared" si="8"/>
        <v/>
      </c>
      <c r="C158" s="68" t="str">
        <f>IF(MakeSchedule!AB158=0,"",MakeSchedule!AB158)</f>
        <v/>
      </c>
      <c r="D158" s="69" t="str">
        <f>IF(MakeSchedule!AC158=0,"",MakeSchedule!AC158)</f>
        <v/>
      </c>
      <c r="E158" s="69" t="str">
        <f>IF(MakeSchedule!AD158=0,"",MakeSchedule!AD158)</f>
        <v/>
      </c>
      <c r="F158" s="73" t="str">
        <f>IF(MakeSchedule!AD158=0,"",MakeSchedule!AC158/MakeSchedule!AD158)</f>
        <v/>
      </c>
      <c r="G158" s="73" t="str">
        <f t="shared" si="6"/>
        <v/>
      </c>
      <c r="H158" s="73" t="str">
        <f t="shared" si="7"/>
        <v/>
      </c>
      <c r="I158" s="69" t="str">
        <f>IF(MakeSchedule!AF158=0,"",MakeSchedule!AF158)</f>
        <v/>
      </c>
      <c r="J158" s="69" t="str">
        <f>IF(I158="","",IF(MakeSchedule!AG158=0,0,MakeSchedule!AG158))</f>
        <v/>
      </c>
      <c r="K158" s="39"/>
      <c r="L158" s="39"/>
      <c r="M158" s="39"/>
      <c r="N158" s="39"/>
      <c r="O158" s="39"/>
      <c r="P158" s="39"/>
      <c r="Q158" s="39"/>
      <c r="R158" s="39"/>
      <c r="S158" s="39"/>
      <c r="T158" s="39"/>
      <c r="U158" s="39"/>
      <c r="V158" s="39"/>
      <c r="W158" s="39"/>
    </row>
    <row r="159" spans="1:23" x14ac:dyDescent="0.2">
      <c r="A159" s="66"/>
      <c r="B159" s="67" t="str">
        <f t="shared" si="8"/>
        <v/>
      </c>
      <c r="C159" s="68" t="str">
        <f>IF(MakeSchedule!AB159=0,"",MakeSchedule!AB159)</f>
        <v/>
      </c>
      <c r="D159" s="69" t="str">
        <f>IF(MakeSchedule!AC159=0,"",MakeSchedule!AC159)</f>
        <v/>
      </c>
      <c r="E159" s="69" t="str">
        <f>IF(MakeSchedule!AD159=0,"",MakeSchedule!AD159)</f>
        <v/>
      </c>
      <c r="F159" s="73" t="str">
        <f>IF(MakeSchedule!AD159=0,"",MakeSchedule!AC159/MakeSchedule!AD159)</f>
        <v/>
      </c>
      <c r="G159" s="73" t="str">
        <f t="shared" si="6"/>
        <v/>
      </c>
      <c r="H159" s="73" t="str">
        <f t="shared" si="7"/>
        <v/>
      </c>
      <c r="I159" s="69" t="str">
        <f>IF(MakeSchedule!AF159=0,"",MakeSchedule!AF159)</f>
        <v/>
      </c>
      <c r="J159" s="69" t="str">
        <f>IF(I159="","",IF(MakeSchedule!AG159=0,0,MakeSchedule!AG159))</f>
        <v/>
      </c>
      <c r="K159" s="39"/>
      <c r="L159" s="39"/>
      <c r="M159" s="39"/>
      <c r="N159" s="39"/>
      <c r="O159" s="39"/>
      <c r="P159" s="39"/>
      <c r="Q159" s="39"/>
      <c r="R159" s="39"/>
      <c r="S159" s="39"/>
      <c r="T159" s="39"/>
      <c r="U159" s="39"/>
      <c r="V159" s="39"/>
      <c r="W159" s="39"/>
    </row>
    <row r="160" spans="1:23" x14ac:dyDescent="0.2">
      <c r="A160" s="66"/>
      <c r="B160" s="67" t="str">
        <f t="shared" si="8"/>
        <v/>
      </c>
      <c r="C160" s="68" t="str">
        <f>IF(MakeSchedule!AB160=0,"",MakeSchedule!AB160)</f>
        <v/>
      </c>
      <c r="D160" s="69" t="str">
        <f>IF(MakeSchedule!AC160=0,"",MakeSchedule!AC160)</f>
        <v/>
      </c>
      <c r="E160" s="69" t="str">
        <f>IF(MakeSchedule!AD160=0,"",MakeSchedule!AD160)</f>
        <v/>
      </c>
      <c r="F160" s="73" t="str">
        <f>IF(MakeSchedule!AD160=0,"",MakeSchedule!AC160/MakeSchedule!AD160)</f>
        <v/>
      </c>
      <c r="G160" s="73" t="str">
        <f t="shared" si="6"/>
        <v/>
      </c>
      <c r="H160" s="73" t="str">
        <f t="shared" si="7"/>
        <v/>
      </c>
      <c r="I160" s="69" t="str">
        <f>IF(MakeSchedule!AF160=0,"",MakeSchedule!AF160)</f>
        <v/>
      </c>
      <c r="J160" s="69" t="str">
        <f>IF(I160="","",IF(MakeSchedule!AG160=0,0,MakeSchedule!AG160))</f>
        <v/>
      </c>
      <c r="K160" s="39"/>
      <c r="L160" s="39"/>
      <c r="M160" s="39"/>
      <c r="N160" s="39"/>
      <c r="O160" s="39"/>
      <c r="P160" s="39"/>
      <c r="Q160" s="39"/>
      <c r="R160" s="39"/>
      <c r="S160" s="39"/>
      <c r="T160" s="39"/>
      <c r="U160" s="39"/>
      <c r="V160" s="39"/>
      <c r="W160" s="39"/>
    </row>
    <row r="161" spans="1:23" x14ac:dyDescent="0.2">
      <c r="A161" s="66"/>
      <c r="B161" s="67" t="str">
        <f t="shared" si="8"/>
        <v/>
      </c>
      <c r="C161" s="68" t="str">
        <f>IF(MakeSchedule!AB161=0,"",MakeSchedule!AB161)</f>
        <v/>
      </c>
      <c r="D161" s="69" t="str">
        <f>IF(MakeSchedule!AC161=0,"",MakeSchedule!AC161)</f>
        <v/>
      </c>
      <c r="E161" s="69" t="str">
        <f>IF(MakeSchedule!AD161=0,"",MakeSchedule!AD161)</f>
        <v/>
      </c>
      <c r="F161" s="73" t="str">
        <f>IF(MakeSchedule!AD161=0,"",MakeSchedule!AC161/MakeSchedule!AD161)</f>
        <v/>
      </c>
      <c r="G161" s="73" t="str">
        <f t="shared" si="6"/>
        <v/>
      </c>
      <c r="H161" s="73" t="str">
        <f t="shared" si="7"/>
        <v/>
      </c>
      <c r="I161" s="69" t="str">
        <f>IF(MakeSchedule!AF161=0,"",MakeSchedule!AF161)</f>
        <v/>
      </c>
      <c r="J161" s="69" t="str">
        <f>IF(I161="","",IF(MakeSchedule!AG161=0,0,MakeSchedule!AG161))</f>
        <v/>
      </c>
      <c r="K161" s="39"/>
      <c r="L161" s="39"/>
      <c r="M161" s="39"/>
      <c r="N161" s="39"/>
      <c r="O161" s="39"/>
      <c r="P161" s="39"/>
      <c r="Q161" s="39"/>
      <c r="R161" s="39"/>
      <c r="S161" s="39"/>
      <c r="T161" s="39"/>
      <c r="U161" s="39"/>
      <c r="V161" s="39"/>
      <c r="W161" s="39"/>
    </row>
    <row r="162" spans="1:23" x14ac:dyDescent="0.2">
      <c r="A162" s="66"/>
      <c r="B162" s="67" t="str">
        <f t="shared" si="8"/>
        <v/>
      </c>
      <c r="C162" s="68" t="str">
        <f>IF(MakeSchedule!AB162=0,"",MakeSchedule!AB162)</f>
        <v/>
      </c>
      <c r="D162" s="69" t="str">
        <f>IF(MakeSchedule!AC162=0,"",MakeSchedule!AC162)</f>
        <v/>
      </c>
      <c r="E162" s="69" t="str">
        <f>IF(MakeSchedule!AD162=0,"",MakeSchedule!AD162)</f>
        <v/>
      </c>
      <c r="F162" s="73" t="str">
        <f>IF(MakeSchedule!AD162=0,"",MakeSchedule!AC162/MakeSchedule!AD162)</f>
        <v/>
      </c>
      <c r="G162" s="73" t="str">
        <f t="shared" si="6"/>
        <v/>
      </c>
      <c r="H162" s="73" t="str">
        <f t="shared" si="7"/>
        <v/>
      </c>
      <c r="I162" s="69" t="str">
        <f>IF(MakeSchedule!AF162=0,"",MakeSchedule!AF162)</f>
        <v/>
      </c>
      <c r="J162" s="69" t="str">
        <f>IF(I162="","",IF(MakeSchedule!AG162=0,0,MakeSchedule!AG162))</f>
        <v/>
      </c>
      <c r="K162" s="39"/>
      <c r="L162" s="39"/>
      <c r="M162" s="39"/>
      <c r="N162" s="39"/>
      <c r="O162" s="39"/>
      <c r="P162" s="39"/>
      <c r="Q162" s="39"/>
      <c r="R162" s="39"/>
      <c r="S162" s="39"/>
      <c r="T162" s="39"/>
      <c r="U162" s="39"/>
      <c r="V162" s="39"/>
      <c r="W162" s="39"/>
    </row>
    <row r="163" spans="1:23" x14ac:dyDescent="0.2">
      <c r="A163" s="66"/>
      <c r="B163" s="67" t="str">
        <f t="shared" si="8"/>
        <v/>
      </c>
      <c r="C163" s="68" t="str">
        <f>IF(MakeSchedule!AB163=0,"",MakeSchedule!AB163)</f>
        <v/>
      </c>
      <c r="D163" s="69" t="str">
        <f>IF(MakeSchedule!AC163=0,"",MakeSchedule!AC163)</f>
        <v/>
      </c>
      <c r="E163" s="69" t="str">
        <f>IF(MakeSchedule!AD163=0,"",MakeSchedule!AD163)</f>
        <v/>
      </c>
      <c r="F163" s="73" t="str">
        <f>IF(MakeSchedule!AD163=0,"",MakeSchedule!AC163/MakeSchedule!AD163)</f>
        <v/>
      </c>
      <c r="G163" s="73" t="str">
        <f t="shared" si="6"/>
        <v/>
      </c>
      <c r="H163" s="73" t="str">
        <f t="shared" si="7"/>
        <v/>
      </c>
      <c r="I163" s="69" t="str">
        <f>IF(MakeSchedule!AF163=0,"",MakeSchedule!AF163)</f>
        <v/>
      </c>
      <c r="J163" s="69" t="str">
        <f>IF(I163="","",IF(MakeSchedule!AG163=0,0,MakeSchedule!AG163))</f>
        <v/>
      </c>
      <c r="K163" s="39"/>
      <c r="L163" s="39"/>
      <c r="M163" s="39"/>
      <c r="N163" s="39"/>
      <c r="O163" s="39"/>
      <c r="P163" s="39"/>
      <c r="Q163" s="39"/>
      <c r="R163" s="39"/>
      <c r="S163" s="39"/>
      <c r="T163" s="39"/>
      <c r="U163" s="39"/>
      <c r="V163" s="39"/>
      <c r="W163" s="39"/>
    </row>
    <row r="164" spans="1:23" x14ac:dyDescent="0.2">
      <c r="A164" s="66"/>
      <c r="B164" s="67" t="str">
        <f t="shared" si="8"/>
        <v/>
      </c>
      <c r="C164" s="68" t="str">
        <f>IF(MakeSchedule!AB164=0,"",MakeSchedule!AB164)</f>
        <v/>
      </c>
      <c r="D164" s="69" t="str">
        <f>IF(MakeSchedule!AC164=0,"",MakeSchedule!AC164)</f>
        <v/>
      </c>
      <c r="E164" s="69" t="str">
        <f>IF(MakeSchedule!AD164=0,"",MakeSchedule!AD164)</f>
        <v/>
      </c>
      <c r="F164" s="73" t="str">
        <f>IF(MakeSchedule!AD164=0,"",MakeSchedule!AC164/MakeSchedule!AD164)</f>
        <v/>
      </c>
      <c r="G164" s="73" t="str">
        <f t="shared" si="6"/>
        <v/>
      </c>
      <c r="H164" s="73" t="str">
        <f t="shared" si="7"/>
        <v/>
      </c>
      <c r="I164" s="69" t="str">
        <f>IF(MakeSchedule!AF164=0,"",MakeSchedule!AF164)</f>
        <v/>
      </c>
      <c r="J164" s="69" t="str">
        <f>IF(I164="","",IF(MakeSchedule!AG164=0,0,MakeSchedule!AG164))</f>
        <v/>
      </c>
      <c r="K164" s="39"/>
      <c r="L164" s="39"/>
      <c r="M164" s="39"/>
      <c r="N164" s="39"/>
      <c r="O164" s="39"/>
      <c r="P164" s="39"/>
      <c r="Q164" s="39"/>
      <c r="R164" s="39"/>
      <c r="S164" s="39"/>
      <c r="T164" s="39"/>
      <c r="U164" s="39"/>
      <c r="V164" s="39"/>
      <c r="W164" s="39"/>
    </row>
    <row r="165" spans="1:23" x14ac:dyDescent="0.2">
      <c r="A165" s="66"/>
      <c r="B165" s="67" t="str">
        <f t="shared" si="8"/>
        <v/>
      </c>
      <c r="C165" s="68" t="str">
        <f>IF(MakeSchedule!AB165=0,"",MakeSchedule!AB165)</f>
        <v/>
      </c>
      <c r="D165" s="69" t="str">
        <f>IF(MakeSchedule!AC165=0,"",MakeSchedule!AC165)</f>
        <v/>
      </c>
      <c r="E165" s="69" t="str">
        <f>IF(MakeSchedule!AD165=0,"",MakeSchedule!AD165)</f>
        <v/>
      </c>
      <c r="F165" s="73" t="str">
        <f>IF(MakeSchedule!AD165=0,"",MakeSchedule!AC165/MakeSchedule!AD165)</f>
        <v/>
      </c>
      <c r="G165" s="73" t="str">
        <f t="shared" si="6"/>
        <v/>
      </c>
      <c r="H165" s="73" t="str">
        <f t="shared" si="7"/>
        <v/>
      </c>
      <c r="I165" s="69" t="str">
        <f>IF(MakeSchedule!AF165=0,"",MakeSchedule!AF165)</f>
        <v/>
      </c>
      <c r="J165" s="69" t="str">
        <f>IF(I165="","",IF(MakeSchedule!AG165=0,0,MakeSchedule!AG165))</f>
        <v/>
      </c>
      <c r="K165" s="39"/>
      <c r="L165" s="39"/>
      <c r="M165" s="39"/>
      <c r="N165" s="39"/>
      <c r="O165" s="39"/>
      <c r="P165" s="39"/>
      <c r="Q165" s="39"/>
      <c r="R165" s="39"/>
      <c r="S165" s="39"/>
      <c r="T165" s="39"/>
      <c r="U165" s="39"/>
      <c r="V165" s="39"/>
      <c r="W165" s="39"/>
    </row>
    <row r="166" spans="1:23" x14ac:dyDescent="0.2">
      <c r="A166" s="66"/>
      <c r="B166" s="67" t="str">
        <f t="shared" si="8"/>
        <v/>
      </c>
      <c r="C166" s="68" t="str">
        <f>IF(MakeSchedule!AB166=0,"",MakeSchedule!AB166)</f>
        <v/>
      </c>
      <c r="D166" s="69" t="str">
        <f>IF(MakeSchedule!AC166=0,"",MakeSchedule!AC166)</f>
        <v/>
      </c>
      <c r="E166" s="69" t="str">
        <f>IF(MakeSchedule!AD166=0,"",MakeSchedule!AD166)</f>
        <v/>
      </c>
      <c r="F166" s="73" t="str">
        <f>IF(MakeSchedule!AD166=0,"",MakeSchedule!AC166/MakeSchedule!AD166)</f>
        <v/>
      </c>
      <c r="G166" s="73" t="str">
        <f t="shared" si="6"/>
        <v/>
      </c>
      <c r="H166" s="73" t="str">
        <f t="shared" si="7"/>
        <v/>
      </c>
      <c r="I166" s="69" t="str">
        <f>IF(MakeSchedule!AF166=0,"",MakeSchedule!AF166)</f>
        <v/>
      </c>
      <c r="J166" s="69" t="str">
        <f>IF(I166="","",IF(MakeSchedule!AG166=0,0,MakeSchedule!AG166))</f>
        <v/>
      </c>
      <c r="K166" s="39"/>
      <c r="L166" s="39"/>
      <c r="M166" s="39"/>
      <c r="N166" s="39"/>
      <c r="O166" s="39"/>
      <c r="P166" s="39"/>
      <c r="Q166" s="39"/>
      <c r="R166" s="39"/>
      <c r="S166" s="39"/>
      <c r="T166" s="39"/>
      <c r="U166" s="39"/>
      <c r="V166" s="39"/>
      <c r="W166" s="39"/>
    </row>
    <row r="167" spans="1:23" x14ac:dyDescent="0.2">
      <c r="A167" s="66"/>
      <c r="B167" s="67" t="str">
        <f t="shared" si="8"/>
        <v/>
      </c>
      <c r="C167" s="68" t="str">
        <f>IF(MakeSchedule!AB167=0,"",MakeSchedule!AB167)</f>
        <v/>
      </c>
      <c r="D167" s="69" t="str">
        <f>IF(MakeSchedule!AC167=0,"",MakeSchedule!AC167)</f>
        <v/>
      </c>
      <c r="E167" s="69" t="str">
        <f>IF(MakeSchedule!AD167=0,"",MakeSchedule!AD167)</f>
        <v/>
      </c>
      <c r="F167" s="73" t="str">
        <f>IF(MakeSchedule!AD167=0,"",MakeSchedule!AC167/MakeSchedule!AD167)</f>
        <v/>
      </c>
      <c r="G167" s="73" t="str">
        <f t="shared" si="6"/>
        <v/>
      </c>
      <c r="H167" s="73" t="str">
        <f t="shared" si="7"/>
        <v/>
      </c>
      <c r="I167" s="69" t="str">
        <f>IF(MakeSchedule!AF167=0,"",MakeSchedule!AF167)</f>
        <v/>
      </c>
      <c r="J167" s="69" t="str">
        <f>IF(I167="","",IF(MakeSchedule!AG167=0,0,MakeSchedule!AG167))</f>
        <v/>
      </c>
      <c r="K167" s="39"/>
      <c r="L167" s="39"/>
      <c r="M167" s="39"/>
      <c r="N167" s="39"/>
      <c r="O167" s="39"/>
      <c r="P167" s="39"/>
      <c r="Q167" s="39"/>
      <c r="R167" s="39"/>
      <c r="S167" s="39"/>
      <c r="T167" s="39"/>
      <c r="U167" s="39"/>
      <c r="V167" s="39"/>
      <c r="W167" s="39"/>
    </row>
    <row r="168" spans="1:23" x14ac:dyDescent="0.2">
      <c r="A168" s="66"/>
      <c r="B168" s="67" t="str">
        <f t="shared" si="8"/>
        <v/>
      </c>
      <c r="C168" s="68" t="str">
        <f>IF(MakeSchedule!AB168=0,"",MakeSchedule!AB168)</f>
        <v/>
      </c>
      <c r="D168" s="69" t="str">
        <f>IF(MakeSchedule!AC168=0,"",MakeSchedule!AC168)</f>
        <v/>
      </c>
      <c r="E168" s="69" t="str">
        <f>IF(MakeSchedule!AD168=0,"",MakeSchedule!AD168)</f>
        <v/>
      </c>
      <c r="F168" s="73" t="str">
        <f>IF(MakeSchedule!AD168=0,"",MakeSchedule!AC168/MakeSchedule!AD168)</f>
        <v/>
      </c>
      <c r="G168" s="73" t="str">
        <f t="shared" si="6"/>
        <v/>
      </c>
      <c r="H168" s="73" t="str">
        <f t="shared" si="7"/>
        <v/>
      </c>
      <c r="I168" s="69" t="str">
        <f>IF(MakeSchedule!AF168=0,"",MakeSchedule!AF168)</f>
        <v/>
      </c>
      <c r="J168" s="69" t="str">
        <f>IF(I168="","",IF(MakeSchedule!AG168=0,0,MakeSchedule!AG168))</f>
        <v/>
      </c>
      <c r="K168" s="39"/>
      <c r="L168" s="39"/>
      <c r="M168" s="39"/>
      <c r="N168" s="39"/>
      <c r="O168" s="39"/>
      <c r="P168" s="39"/>
      <c r="Q168" s="39"/>
      <c r="R168" s="39"/>
      <c r="S168" s="39"/>
      <c r="T168" s="39"/>
      <c r="U168" s="39"/>
      <c r="V168" s="39"/>
      <c r="W168" s="39"/>
    </row>
    <row r="169" spans="1:23" x14ac:dyDescent="0.2">
      <c r="A169" s="66"/>
      <c r="B169" s="67" t="str">
        <f t="shared" si="8"/>
        <v/>
      </c>
      <c r="C169" s="68" t="str">
        <f>IF(MakeSchedule!AB169=0,"",MakeSchedule!AB169)</f>
        <v/>
      </c>
      <c r="D169" s="69" t="str">
        <f>IF(MakeSchedule!AC169=0,"",MakeSchedule!AC169)</f>
        <v/>
      </c>
      <c r="E169" s="69" t="str">
        <f>IF(MakeSchedule!AD169=0,"",MakeSchedule!AD169)</f>
        <v/>
      </c>
      <c r="F169" s="73" t="str">
        <f>IF(MakeSchedule!AD169=0,"",MakeSchedule!AC169/MakeSchedule!AD169)</f>
        <v/>
      </c>
      <c r="G169" s="73" t="str">
        <f t="shared" si="6"/>
        <v/>
      </c>
      <c r="H169" s="73" t="str">
        <f t="shared" si="7"/>
        <v/>
      </c>
      <c r="I169" s="69" t="str">
        <f>IF(MakeSchedule!AF169=0,"",MakeSchedule!AF169)</f>
        <v/>
      </c>
      <c r="J169" s="69" t="str">
        <f>IF(I169="","",IF(MakeSchedule!AG169=0,0,MakeSchedule!AG169))</f>
        <v/>
      </c>
      <c r="K169" s="39"/>
      <c r="L169" s="39"/>
      <c r="M169" s="39"/>
      <c r="N169" s="39"/>
      <c r="O169" s="39"/>
      <c r="P169" s="39"/>
      <c r="Q169" s="39"/>
      <c r="R169" s="39"/>
      <c r="S169" s="39"/>
      <c r="T169" s="39"/>
      <c r="U169" s="39"/>
      <c r="V169" s="39"/>
      <c r="W169" s="39"/>
    </row>
    <row r="170" spans="1:23" x14ac:dyDescent="0.2">
      <c r="A170" s="66"/>
      <c r="B170" s="67" t="str">
        <f t="shared" si="8"/>
        <v/>
      </c>
      <c r="C170" s="68" t="str">
        <f>IF(MakeSchedule!AB170=0,"",MakeSchedule!AB170)</f>
        <v/>
      </c>
      <c r="D170" s="69" t="str">
        <f>IF(MakeSchedule!AC170=0,"",MakeSchedule!AC170)</f>
        <v/>
      </c>
      <c r="E170" s="69" t="str">
        <f>IF(MakeSchedule!AD170=0,"",MakeSchedule!AD170)</f>
        <v/>
      </c>
      <c r="F170" s="73" t="str">
        <f>IF(MakeSchedule!AD170=0,"",MakeSchedule!AC170/MakeSchedule!AD170)</f>
        <v/>
      </c>
      <c r="G170" s="73" t="str">
        <f t="shared" si="6"/>
        <v/>
      </c>
      <c r="H170" s="73" t="str">
        <f t="shared" si="7"/>
        <v/>
      </c>
      <c r="I170" s="69" t="str">
        <f>IF(MakeSchedule!AF170=0,"",MakeSchedule!AF170)</f>
        <v/>
      </c>
      <c r="J170" s="69" t="str">
        <f>IF(I170="","",IF(MakeSchedule!AG170=0,0,MakeSchedule!AG170))</f>
        <v/>
      </c>
      <c r="K170" s="39"/>
      <c r="L170" s="39"/>
      <c r="M170" s="39"/>
      <c r="N170" s="39"/>
      <c r="O170" s="39"/>
      <c r="P170" s="39"/>
      <c r="Q170" s="39"/>
      <c r="R170" s="39"/>
      <c r="S170" s="39"/>
      <c r="T170" s="39"/>
      <c r="U170" s="39"/>
      <c r="V170" s="39"/>
      <c r="W170" s="39"/>
    </row>
    <row r="171" spans="1:23" x14ac:dyDescent="0.2">
      <c r="A171" s="66"/>
      <c r="B171" s="67" t="str">
        <f t="shared" si="8"/>
        <v/>
      </c>
      <c r="C171" s="68" t="str">
        <f>IF(MakeSchedule!AB171=0,"",MakeSchedule!AB171)</f>
        <v/>
      </c>
      <c r="D171" s="69" t="str">
        <f>IF(MakeSchedule!AC171=0,"",MakeSchedule!AC171)</f>
        <v/>
      </c>
      <c r="E171" s="69" t="str">
        <f>IF(MakeSchedule!AD171=0,"",MakeSchedule!AD171)</f>
        <v/>
      </c>
      <c r="F171" s="73" t="str">
        <f>IF(MakeSchedule!AD171=0,"",MakeSchedule!AC171/MakeSchedule!AD171)</f>
        <v/>
      </c>
      <c r="G171" s="73" t="str">
        <f t="shared" si="6"/>
        <v/>
      </c>
      <c r="H171" s="73" t="str">
        <f t="shared" si="7"/>
        <v/>
      </c>
      <c r="I171" s="69" t="str">
        <f>IF(MakeSchedule!AF171=0,"",MakeSchedule!AF171)</f>
        <v/>
      </c>
      <c r="J171" s="69" t="str">
        <f>IF(I171="","",IF(MakeSchedule!AG171=0,0,MakeSchedule!AG171))</f>
        <v/>
      </c>
      <c r="K171" s="39"/>
      <c r="L171" s="39"/>
      <c r="M171" s="39"/>
      <c r="N171" s="39"/>
      <c r="O171" s="39"/>
      <c r="P171" s="39"/>
      <c r="Q171" s="39"/>
      <c r="R171" s="39"/>
      <c r="S171" s="39"/>
      <c r="T171" s="39"/>
      <c r="U171" s="39"/>
      <c r="V171" s="39"/>
      <c r="W171" s="39"/>
    </row>
    <row r="172" spans="1:23" x14ac:dyDescent="0.2">
      <c r="A172" s="66"/>
      <c r="B172" s="67" t="str">
        <f t="shared" si="8"/>
        <v/>
      </c>
      <c r="C172" s="68" t="str">
        <f>IF(MakeSchedule!AB172=0,"",MakeSchedule!AB172)</f>
        <v/>
      </c>
      <c r="D172" s="69" t="str">
        <f>IF(MakeSchedule!AC172=0,"",MakeSchedule!AC172)</f>
        <v/>
      </c>
      <c r="E172" s="69" t="str">
        <f>IF(MakeSchedule!AD172=0,"",MakeSchedule!AD172)</f>
        <v/>
      </c>
      <c r="F172" s="73" t="str">
        <f>IF(MakeSchedule!AD172=0,"",MakeSchedule!AC172/MakeSchedule!AD172)</f>
        <v/>
      </c>
      <c r="G172" s="73" t="str">
        <f t="shared" si="6"/>
        <v/>
      </c>
      <c r="H172" s="73" t="str">
        <f t="shared" si="7"/>
        <v/>
      </c>
      <c r="I172" s="69" t="str">
        <f>IF(MakeSchedule!AF172=0,"",MakeSchedule!AF172)</f>
        <v/>
      </c>
      <c r="J172" s="69" t="str">
        <f>IF(I172="","",IF(MakeSchedule!AG172=0,0,MakeSchedule!AG172))</f>
        <v/>
      </c>
      <c r="K172" s="39"/>
      <c r="L172" s="39"/>
      <c r="M172" s="39"/>
      <c r="N172" s="39"/>
      <c r="O172" s="39"/>
      <c r="P172" s="39"/>
      <c r="Q172" s="39"/>
      <c r="R172" s="39"/>
      <c r="S172" s="39"/>
      <c r="T172" s="39"/>
      <c r="U172" s="39"/>
      <c r="V172" s="39"/>
      <c r="W172" s="39"/>
    </row>
    <row r="173" spans="1:23" x14ac:dyDescent="0.2">
      <c r="A173" s="66"/>
      <c r="B173" s="67" t="str">
        <f t="shared" si="8"/>
        <v/>
      </c>
      <c r="C173" s="68" t="str">
        <f>IF(MakeSchedule!AB173=0,"",MakeSchedule!AB173)</f>
        <v/>
      </c>
      <c r="D173" s="69" t="str">
        <f>IF(MakeSchedule!AC173=0,"",MakeSchedule!AC173)</f>
        <v/>
      </c>
      <c r="E173" s="69" t="str">
        <f>IF(MakeSchedule!AD173=0,"",MakeSchedule!AD173)</f>
        <v/>
      </c>
      <c r="F173" s="73" t="str">
        <f>IF(MakeSchedule!AD173=0,"",MakeSchedule!AC173/MakeSchedule!AD173)</f>
        <v/>
      </c>
      <c r="G173" s="73" t="str">
        <f t="shared" si="6"/>
        <v/>
      </c>
      <c r="H173" s="73" t="str">
        <f t="shared" si="7"/>
        <v/>
      </c>
      <c r="I173" s="69" t="str">
        <f>IF(MakeSchedule!AF173=0,"",MakeSchedule!AF173)</f>
        <v/>
      </c>
      <c r="J173" s="69" t="str">
        <f>IF(I173="","",IF(MakeSchedule!AG173=0,0,MakeSchedule!AG173))</f>
        <v/>
      </c>
      <c r="K173" s="39"/>
      <c r="L173" s="39"/>
      <c r="M173" s="39"/>
      <c r="N173" s="39"/>
      <c r="O173" s="39"/>
      <c r="P173" s="39"/>
      <c r="Q173" s="39"/>
      <c r="R173" s="39"/>
      <c r="S173" s="39"/>
      <c r="T173" s="39"/>
      <c r="U173" s="39"/>
      <c r="V173" s="39"/>
      <c r="W173" s="39"/>
    </row>
    <row r="174" spans="1:23" x14ac:dyDescent="0.2">
      <c r="A174" s="66"/>
      <c r="B174" s="67" t="str">
        <f t="shared" si="8"/>
        <v/>
      </c>
      <c r="C174" s="68" t="str">
        <f>IF(MakeSchedule!AB174=0,"",MakeSchedule!AB174)</f>
        <v/>
      </c>
      <c r="D174" s="69" t="str">
        <f>IF(MakeSchedule!AC174=0,"",MakeSchedule!AC174)</f>
        <v/>
      </c>
      <c r="E174" s="69" t="str">
        <f>IF(MakeSchedule!AD174=0,"",MakeSchedule!AD174)</f>
        <v/>
      </c>
      <c r="F174" s="73" t="str">
        <f>IF(MakeSchedule!AD174=0,"",MakeSchedule!AC174/MakeSchedule!AD174)</f>
        <v/>
      </c>
      <c r="G174" s="73" t="str">
        <f t="shared" si="6"/>
        <v/>
      </c>
      <c r="H174" s="73" t="str">
        <f t="shared" si="7"/>
        <v/>
      </c>
      <c r="I174" s="69" t="str">
        <f>IF(MakeSchedule!AF174=0,"",MakeSchedule!AF174)</f>
        <v/>
      </c>
      <c r="J174" s="69" t="str">
        <f>IF(I174="","",IF(MakeSchedule!AG174=0,0,MakeSchedule!AG174))</f>
        <v/>
      </c>
      <c r="K174" s="39"/>
      <c r="L174" s="39"/>
      <c r="M174" s="39"/>
      <c r="N174" s="39"/>
      <c r="O174" s="39"/>
      <c r="P174" s="39"/>
      <c r="Q174" s="39"/>
      <c r="R174" s="39"/>
      <c r="S174" s="39"/>
      <c r="T174" s="39"/>
      <c r="U174" s="39"/>
      <c r="V174" s="39"/>
      <c r="W174" s="39"/>
    </row>
    <row r="175" spans="1:23" x14ac:dyDescent="0.2">
      <c r="A175" s="66"/>
      <c r="B175" s="67" t="str">
        <f t="shared" si="8"/>
        <v/>
      </c>
      <c r="C175" s="68" t="str">
        <f>IF(MakeSchedule!AB175=0,"",MakeSchedule!AB175)</f>
        <v/>
      </c>
      <c r="D175" s="69" t="str">
        <f>IF(MakeSchedule!AC175=0,"",MakeSchedule!AC175)</f>
        <v/>
      </c>
      <c r="E175" s="69" t="str">
        <f>IF(MakeSchedule!AD175=0,"",MakeSchedule!AD175)</f>
        <v/>
      </c>
      <c r="F175" s="73" t="str">
        <f>IF(MakeSchedule!AD175=0,"",MakeSchedule!AC175/MakeSchedule!AD175)</f>
        <v/>
      </c>
      <c r="G175" s="73" t="str">
        <f t="shared" si="6"/>
        <v/>
      </c>
      <c r="H175" s="73" t="str">
        <f t="shared" si="7"/>
        <v/>
      </c>
      <c r="I175" s="69" t="str">
        <f>IF(MakeSchedule!AF175=0,"",MakeSchedule!AF175)</f>
        <v/>
      </c>
      <c r="J175" s="69" t="str">
        <f>IF(I175="","",IF(MakeSchedule!AG175=0,0,MakeSchedule!AG175))</f>
        <v/>
      </c>
      <c r="K175" s="39"/>
      <c r="L175" s="39"/>
      <c r="M175" s="39"/>
      <c r="N175" s="39"/>
      <c r="O175" s="39"/>
      <c r="P175" s="39"/>
      <c r="Q175" s="39"/>
      <c r="R175" s="39"/>
      <c r="S175" s="39"/>
      <c r="T175" s="39"/>
      <c r="U175" s="39"/>
      <c r="V175" s="39"/>
      <c r="W175" s="39"/>
    </row>
    <row r="176" spans="1:23" x14ac:dyDescent="0.2">
      <c r="A176" s="66"/>
      <c r="B176" s="67" t="str">
        <f t="shared" si="8"/>
        <v/>
      </c>
      <c r="C176" s="68" t="str">
        <f>IF(MakeSchedule!AB176=0,"",MakeSchedule!AB176)</f>
        <v/>
      </c>
      <c r="D176" s="69" t="str">
        <f>IF(MakeSchedule!AC176=0,"",MakeSchedule!AC176)</f>
        <v/>
      </c>
      <c r="E176" s="69" t="str">
        <f>IF(MakeSchedule!AD176=0,"",MakeSchedule!AD176)</f>
        <v/>
      </c>
      <c r="F176" s="73" t="str">
        <f>IF(MakeSchedule!AD176=0,"",MakeSchedule!AC176/MakeSchedule!AD176)</f>
        <v/>
      </c>
      <c r="G176" s="73" t="str">
        <f t="shared" si="6"/>
        <v/>
      </c>
      <c r="H176" s="73" t="str">
        <f t="shared" si="7"/>
        <v/>
      </c>
      <c r="I176" s="69" t="str">
        <f>IF(MakeSchedule!AF176=0,"",MakeSchedule!AF176)</f>
        <v/>
      </c>
      <c r="J176" s="69" t="str">
        <f>IF(I176="","",IF(MakeSchedule!AG176=0,0,MakeSchedule!AG176))</f>
        <v/>
      </c>
      <c r="K176" s="39"/>
      <c r="L176" s="39"/>
      <c r="M176" s="39"/>
      <c r="N176" s="39"/>
      <c r="O176" s="39"/>
      <c r="P176" s="39"/>
      <c r="Q176" s="39"/>
      <c r="R176" s="39"/>
      <c r="S176" s="39"/>
      <c r="T176" s="39"/>
      <c r="U176" s="39"/>
      <c r="V176" s="39"/>
      <c r="W176" s="39"/>
    </row>
    <row r="177" spans="1:23" x14ac:dyDescent="0.2">
      <c r="A177" s="66"/>
      <c r="B177" s="67" t="str">
        <f t="shared" si="8"/>
        <v/>
      </c>
      <c r="C177" s="68" t="str">
        <f>IF(MakeSchedule!AB177=0,"",MakeSchedule!AB177)</f>
        <v/>
      </c>
      <c r="D177" s="69" t="str">
        <f>IF(MakeSchedule!AC177=0,"",MakeSchedule!AC177)</f>
        <v/>
      </c>
      <c r="E177" s="69" t="str">
        <f>IF(MakeSchedule!AD177=0,"",MakeSchedule!AD177)</f>
        <v/>
      </c>
      <c r="F177" s="73" t="str">
        <f>IF(MakeSchedule!AD177=0,"",MakeSchedule!AC177/MakeSchedule!AD177)</f>
        <v/>
      </c>
      <c r="G177" s="73" t="str">
        <f t="shared" si="6"/>
        <v/>
      </c>
      <c r="H177" s="73" t="str">
        <f t="shared" si="7"/>
        <v/>
      </c>
      <c r="I177" s="69" t="str">
        <f>IF(MakeSchedule!AF177=0,"",MakeSchedule!AF177)</f>
        <v/>
      </c>
      <c r="J177" s="69" t="str">
        <f>IF(I177="","",IF(MakeSchedule!AG177=0,0,MakeSchedule!AG177))</f>
        <v/>
      </c>
      <c r="K177" s="39"/>
      <c r="L177" s="39"/>
      <c r="M177" s="39"/>
      <c r="N177" s="39"/>
      <c r="O177" s="39"/>
      <c r="P177" s="39"/>
      <c r="Q177" s="39"/>
      <c r="R177" s="39"/>
      <c r="S177" s="39"/>
      <c r="T177" s="39"/>
      <c r="U177" s="39"/>
      <c r="V177" s="39"/>
      <c r="W177" s="39"/>
    </row>
    <row r="178" spans="1:23" x14ac:dyDescent="0.2">
      <c r="A178" s="66"/>
      <c r="B178" s="67" t="str">
        <f t="shared" si="8"/>
        <v/>
      </c>
      <c r="C178" s="68" t="str">
        <f>IF(MakeSchedule!AB178=0,"",MakeSchedule!AB178)</f>
        <v/>
      </c>
      <c r="D178" s="69" t="str">
        <f>IF(MakeSchedule!AC178=0,"",MakeSchedule!AC178)</f>
        <v/>
      </c>
      <c r="E178" s="69" t="str">
        <f>IF(MakeSchedule!AD178=0,"",MakeSchedule!AD178)</f>
        <v/>
      </c>
      <c r="F178" s="73" t="str">
        <f>IF(MakeSchedule!AD178=0,"",MakeSchedule!AC178/MakeSchedule!AD178)</f>
        <v/>
      </c>
      <c r="G178" s="73" t="str">
        <f t="shared" si="6"/>
        <v/>
      </c>
      <c r="H178" s="73" t="str">
        <f t="shared" si="7"/>
        <v/>
      </c>
      <c r="I178" s="69" t="str">
        <f>IF(MakeSchedule!AF178=0,"",MakeSchedule!AF178)</f>
        <v/>
      </c>
      <c r="J178" s="69" t="str">
        <f>IF(I178="","",IF(MakeSchedule!AG178=0,0,MakeSchedule!AG178))</f>
        <v/>
      </c>
      <c r="K178" s="39"/>
      <c r="L178" s="39"/>
      <c r="M178" s="39"/>
      <c r="N178" s="39"/>
      <c r="O178" s="39"/>
      <c r="P178" s="39"/>
      <c r="Q178" s="39"/>
      <c r="R178" s="39"/>
      <c r="S178" s="39"/>
      <c r="T178" s="39"/>
      <c r="U178" s="39"/>
      <c r="V178" s="39"/>
      <c r="W178" s="39"/>
    </row>
    <row r="179" spans="1:23" x14ac:dyDescent="0.2">
      <c r="A179" s="66"/>
      <c r="B179" s="67" t="str">
        <f t="shared" si="8"/>
        <v/>
      </c>
      <c r="C179" s="68" t="str">
        <f>IF(MakeSchedule!AB179=0,"",MakeSchedule!AB179)</f>
        <v/>
      </c>
      <c r="D179" s="69" t="str">
        <f>IF(MakeSchedule!AC179=0,"",MakeSchedule!AC179)</f>
        <v/>
      </c>
      <c r="E179" s="69" t="str">
        <f>IF(MakeSchedule!AD179=0,"",MakeSchedule!AD179)</f>
        <v/>
      </c>
      <c r="F179" s="73" t="str">
        <f>IF(MakeSchedule!AD179=0,"",MakeSchedule!AC179/MakeSchedule!AD179)</f>
        <v/>
      </c>
      <c r="G179" s="73" t="str">
        <f t="shared" si="6"/>
        <v/>
      </c>
      <c r="H179" s="73" t="str">
        <f t="shared" si="7"/>
        <v/>
      </c>
      <c r="I179" s="69" t="str">
        <f>IF(MakeSchedule!AF179=0,"",MakeSchedule!AF179)</f>
        <v/>
      </c>
      <c r="J179" s="69" t="str">
        <f>IF(I179="","",IF(MakeSchedule!AG179=0,0,MakeSchedule!AG179))</f>
        <v/>
      </c>
      <c r="K179" s="39"/>
      <c r="L179" s="39"/>
      <c r="M179" s="39"/>
      <c r="N179" s="39"/>
      <c r="O179" s="39"/>
      <c r="P179" s="39"/>
      <c r="Q179" s="39"/>
      <c r="R179" s="39"/>
      <c r="S179" s="39"/>
      <c r="T179" s="39"/>
      <c r="U179" s="39"/>
      <c r="V179" s="39"/>
      <c r="W179" s="39"/>
    </row>
    <row r="180" spans="1:23" x14ac:dyDescent="0.2">
      <c r="A180" s="66"/>
      <c r="B180" s="67" t="str">
        <f t="shared" si="8"/>
        <v/>
      </c>
      <c r="C180" s="68" t="str">
        <f>IF(MakeSchedule!AB180=0,"",MakeSchedule!AB180)</f>
        <v/>
      </c>
      <c r="D180" s="69" t="str">
        <f>IF(MakeSchedule!AC180=0,"",MakeSchedule!AC180)</f>
        <v/>
      </c>
      <c r="E180" s="69" t="str">
        <f>IF(MakeSchedule!AD180=0,"",MakeSchedule!AD180)</f>
        <v/>
      </c>
      <c r="F180" s="73" t="str">
        <f>IF(MakeSchedule!AD180=0,"",MakeSchedule!AC180/MakeSchedule!AD180)</f>
        <v/>
      </c>
      <c r="G180" s="73" t="str">
        <f t="shared" si="6"/>
        <v/>
      </c>
      <c r="H180" s="73" t="str">
        <f t="shared" si="7"/>
        <v/>
      </c>
      <c r="I180" s="69" t="str">
        <f>IF(MakeSchedule!AF180=0,"",MakeSchedule!AF180)</f>
        <v/>
      </c>
      <c r="J180" s="69" t="str">
        <f>IF(I180="","",IF(MakeSchedule!AG180=0,0,MakeSchedule!AG180))</f>
        <v/>
      </c>
      <c r="K180" s="39"/>
      <c r="L180" s="39"/>
      <c r="M180" s="39"/>
      <c r="N180" s="39"/>
      <c r="O180" s="39"/>
      <c r="P180" s="39"/>
      <c r="Q180" s="39"/>
      <c r="R180" s="39"/>
      <c r="S180" s="39"/>
      <c r="T180" s="39"/>
      <c r="U180" s="39"/>
      <c r="V180" s="39"/>
      <c r="W180" s="39"/>
    </row>
    <row r="181" spans="1:23" x14ac:dyDescent="0.2">
      <c r="A181" s="66"/>
      <c r="B181" s="67" t="str">
        <f t="shared" si="8"/>
        <v/>
      </c>
      <c r="C181" s="68" t="str">
        <f>IF(MakeSchedule!AB181=0,"",MakeSchedule!AB181)</f>
        <v/>
      </c>
      <c r="D181" s="69" t="str">
        <f>IF(MakeSchedule!AC181=0,"",MakeSchedule!AC181)</f>
        <v/>
      </c>
      <c r="E181" s="69" t="str">
        <f>IF(MakeSchedule!AD181=0,"",MakeSchedule!AD181)</f>
        <v/>
      </c>
      <c r="F181" s="73" t="str">
        <f>IF(MakeSchedule!AD181=0,"",MakeSchedule!AC181/MakeSchedule!AD181)</f>
        <v/>
      </c>
      <c r="G181" s="73" t="str">
        <f t="shared" si="6"/>
        <v/>
      </c>
      <c r="H181" s="73" t="str">
        <f t="shared" si="7"/>
        <v/>
      </c>
      <c r="I181" s="69" t="str">
        <f>IF(MakeSchedule!AF181=0,"",MakeSchedule!AF181)</f>
        <v/>
      </c>
      <c r="J181" s="69" t="str">
        <f>IF(I181="","",IF(MakeSchedule!AG181=0,0,MakeSchedule!AG181))</f>
        <v/>
      </c>
      <c r="K181" s="39"/>
      <c r="L181" s="39"/>
      <c r="M181" s="39"/>
      <c r="N181" s="39"/>
      <c r="O181" s="39"/>
      <c r="P181" s="39"/>
      <c r="Q181" s="39"/>
      <c r="R181" s="39"/>
      <c r="S181" s="39"/>
      <c r="T181" s="39"/>
      <c r="U181" s="39"/>
      <c r="V181" s="39"/>
      <c r="W181" s="39"/>
    </row>
    <row r="182" spans="1:23" x14ac:dyDescent="0.2">
      <c r="A182" s="66"/>
      <c r="B182" s="67" t="str">
        <f t="shared" si="8"/>
        <v/>
      </c>
      <c r="C182" s="68" t="str">
        <f>IF(MakeSchedule!AB182=0,"",MakeSchedule!AB182)</f>
        <v/>
      </c>
      <c r="D182" s="69" t="str">
        <f>IF(MakeSchedule!AC182=0,"",MakeSchedule!AC182)</f>
        <v/>
      </c>
      <c r="E182" s="69" t="str">
        <f>IF(MakeSchedule!AD182=0,"",MakeSchedule!AD182)</f>
        <v/>
      </c>
      <c r="F182" s="73" t="str">
        <f>IF(MakeSchedule!AD182=0,"",MakeSchedule!AC182/MakeSchedule!AD182)</f>
        <v/>
      </c>
      <c r="G182" s="73" t="str">
        <f t="shared" si="6"/>
        <v/>
      </c>
      <c r="H182" s="73" t="str">
        <f t="shared" si="7"/>
        <v/>
      </c>
      <c r="I182" s="69" t="str">
        <f>IF(MakeSchedule!AF182=0,"",MakeSchedule!AF182)</f>
        <v/>
      </c>
      <c r="J182" s="69" t="str">
        <f>IF(I182="","",IF(MakeSchedule!AG182=0,0,MakeSchedule!AG182))</f>
        <v/>
      </c>
      <c r="K182" s="39"/>
      <c r="L182" s="39"/>
      <c r="M182" s="39"/>
      <c r="N182" s="39"/>
      <c r="O182" s="39"/>
      <c r="P182" s="39"/>
      <c r="Q182" s="39"/>
      <c r="R182" s="39"/>
      <c r="S182" s="39"/>
      <c r="T182" s="39"/>
      <c r="U182" s="39"/>
      <c r="V182" s="39"/>
      <c r="W182" s="39"/>
    </row>
    <row r="183" spans="1:23" x14ac:dyDescent="0.2">
      <c r="A183" s="66"/>
      <c r="B183" s="67" t="str">
        <f t="shared" si="8"/>
        <v/>
      </c>
      <c r="C183" s="68" t="str">
        <f>IF(MakeSchedule!AB183=0,"",MakeSchedule!AB183)</f>
        <v/>
      </c>
      <c r="D183" s="69" t="str">
        <f>IF(MakeSchedule!AC183=0,"",MakeSchedule!AC183)</f>
        <v/>
      </c>
      <c r="E183" s="69" t="str">
        <f>IF(MakeSchedule!AD183=0,"",MakeSchedule!AD183)</f>
        <v/>
      </c>
      <c r="F183" s="73" t="str">
        <f>IF(MakeSchedule!AD183=0,"",MakeSchedule!AC183/MakeSchedule!AD183)</f>
        <v/>
      </c>
      <c r="G183" s="73" t="str">
        <f t="shared" si="6"/>
        <v/>
      </c>
      <c r="H183" s="73" t="str">
        <f t="shared" si="7"/>
        <v/>
      </c>
      <c r="I183" s="69" t="str">
        <f>IF(MakeSchedule!AF183=0,"",MakeSchedule!AF183)</f>
        <v/>
      </c>
      <c r="J183" s="69" t="str">
        <f>IF(I183="","",IF(MakeSchedule!AG183=0,0,MakeSchedule!AG183))</f>
        <v/>
      </c>
      <c r="K183" s="39"/>
      <c r="L183" s="39"/>
      <c r="M183" s="39"/>
      <c r="N183" s="39"/>
      <c r="O183" s="39"/>
      <c r="P183" s="39"/>
      <c r="Q183" s="39"/>
      <c r="R183" s="39"/>
      <c r="S183" s="39"/>
      <c r="T183" s="39"/>
      <c r="U183" s="39"/>
      <c r="V183" s="39"/>
      <c r="W183" s="39"/>
    </row>
    <row r="184" spans="1:23" x14ac:dyDescent="0.2">
      <c r="A184" s="66"/>
      <c r="B184" s="67" t="str">
        <f t="shared" si="8"/>
        <v/>
      </c>
      <c r="C184" s="68" t="str">
        <f>IF(MakeSchedule!AB184=0,"",MakeSchedule!AB184)</f>
        <v/>
      </c>
      <c r="D184" s="69" t="str">
        <f>IF(MakeSchedule!AC184=0,"",MakeSchedule!AC184)</f>
        <v/>
      </c>
      <c r="E184" s="69" t="str">
        <f>IF(MakeSchedule!AD184=0,"",MakeSchedule!AD184)</f>
        <v/>
      </c>
      <c r="F184" s="73" t="str">
        <f>IF(MakeSchedule!AD184=0,"",MakeSchedule!AC184/MakeSchedule!AD184)</f>
        <v/>
      </c>
      <c r="G184" s="73" t="str">
        <f t="shared" si="6"/>
        <v/>
      </c>
      <c r="H184" s="73" t="str">
        <f t="shared" si="7"/>
        <v/>
      </c>
      <c r="I184" s="69" t="str">
        <f>IF(MakeSchedule!AF184=0,"",MakeSchedule!AF184)</f>
        <v/>
      </c>
      <c r="J184" s="69" t="str">
        <f>IF(I184="","",IF(MakeSchedule!AG184=0,0,MakeSchedule!AG184))</f>
        <v/>
      </c>
      <c r="K184" s="39"/>
      <c r="L184" s="39"/>
      <c r="M184" s="39"/>
      <c r="N184" s="39"/>
      <c r="O184" s="39"/>
      <c r="P184" s="39"/>
      <c r="Q184" s="39"/>
      <c r="R184" s="39"/>
      <c r="S184" s="39"/>
      <c r="T184" s="39"/>
      <c r="U184" s="39"/>
      <c r="V184" s="39"/>
      <c r="W184" s="39"/>
    </row>
    <row r="185" spans="1:23" x14ac:dyDescent="0.2">
      <c r="A185" s="66"/>
      <c r="B185" s="67" t="str">
        <f t="shared" si="8"/>
        <v/>
      </c>
      <c r="C185" s="68" t="str">
        <f>IF(MakeSchedule!AB185=0,"",MakeSchedule!AB185)</f>
        <v/>
      </c>
      <c r="D185" s="69" t="str">
        <f>IF(MakeSchedule!AC185=0,"",MakeSchedule!AC185)</f>
        <v/>
      </c>
      <c r="E185" s="69" t="str">
        <f>IF(MakeSchedule!AD185=0,"",MakeSchedule!AD185)</f>
        <v/>
      </c>
      <c r="F185" s="73" t="str">
        <f>IF(MakeSchedule!AD185=0,"",MakeSchedule!AC185/MakeSchedule!AD185)</f>
        <v/>
      </c>
      <c r="G185" s="73" t="str">
        <f t="shared" si="6"/>
        <v/>
      </c>
      <c r="H185" s="73" t="str">
        <f t="shared" si="7"/>
        <v/>
      </c>
      <c r="I185" s="69" t="str">
        <f>IF(MakeSchedule!AF185=0,"",MakeSchedule!AF185)</f>
        <v/>
      </c>
      <c r="J185" s="69" t="str">
        <f>IF(I185="","",IF(MakeSchedule!AG185=0,0,MakeSchedule!AG185))</f>
        <v/>
      </c>
      <c r="K185" s="39"/>
      <c r="L185" s="39"/>
      <c r="M185" s="39"/>
      <c r="N185" s="39"/>
      <c r="O185" s="39"/>
      <c r="P185" s="39"/>
      <c r="Q185" s="39"/>
      <c r="R185" s="39"/>
      <c r="S185" s="39"/>
      <c r="T185" s="39"/>
      <c r="U185" s="39"/>
      <c r="V185" s="39"/>
      <c r="W185" s="39"/>
    </row>
    <row r="186" spans="1:23" x14ac:dyDescent="0.2">
      <c r="A186" s="66"/>
      <c r="B186" s="67" t="str">
        <f t="shared" si="8"/>
        <v/>
      </c>
      <c r="C186" s="68" t="str">
        <f>IF(MakeSchedule!AB186=0,"",MakeSchedule!AB186)</f>
        <v/>
      </c>
      <c r="D186" s="69" t="str">
        <f>IF(MakeSchedule!AC186=0,"",MakeSchedule!AC186)</f>
        <v/>
      </c>
      <c r="E186" s="69" t="str">
        <f>IF(MakeSchedule!AD186=0,"",MakeSchedule!AD186)</f>
        <v/>
      </c>
      <c r="F186" s="73" t="str">
        <f>IF(MakeSchedule!AD186=0,"",MakeSchedule!AC186/MakeSchedule!AD186)</f>
        <v/>
      </c>
      <c r="G186" s="73" t="str">
        <f t="shared" si="6"/>
        <v/>
      </c>
      <c r="H186" s="73" t="str">
        <f t="shared" si="7"/>
        <v/>
      </c>
      <c r="I186" s="69" t="str">
        <f>IF(MakeSchedule!AF186=0,"",MakeSchedule!AF186)</f>
        <v/>
      </c>
      <c r="J186" s="69" t="str">
        <f>IF(I186="","",IF(MakeSchedule!AG186=0,0,MakeSchedule!AG186))</f>
        <v/>
      </c>
      <c r="K186" s="39"/>
      <c r="L186" s="39"/>
      <c r="M186" s="39"/>
      <c r="N186" s="39"/>
      <c r="O186" s="39"/>
      <c r="P186" s="39"/>
      <c r="Q186" s="39"/>
      <c r="R186" s="39"/>
      <c r="S186" s="39"/>
      <c r="T186" s="39"/>
      <c r="U186" s="39"/>
      <c r="V186" s="39"/>
      <c r="W186" s="39"/>
    </row>
    <row r="187" spans="1:23" x14ac:dyDescent="0.2">
      <c r="A187" s="66"/>
      <c r="B187" s="67" t="str">
        <f t="shared" si="8"/>
        <v/>
      </c>
      <c r="C187" s="68" t="str">
        <f>IF(MakeSchedule!AB187=0,"",MakeSchedule!AB187)</f>
        <v/>
      </c>
      <c r="D187" s="69" t="str">
        <f>IF(MakeSchedule!AC187=0,"",MakeSchedule!AC187)</f>
        <v/>
      </c>
      <c r="E187" s="69" t="str">
        <f>IF(MakeSchedule!AD187=0,"",MakeSchedule!AD187)</f>
        <v/>
      </c>
      <c r="F187" s="73" t="str">
        <f>IF(MakeSchedule!AD187=0,"",MakeSchedule!AC187/MakeSchedule!AD187)</f>
        <v/>
      </c>
      <c r="G187" s="73" t="str">
        <f t="shared" si="6"/>
        <v/>
      </c>
      <c r="H187" s="73" t="str">
        <f t="shared" si="7"/>
        <v/>
      </c>
      <c r="I187" s="69" t="str">
        <f>IF(MakeSchedule!AF187=0,"",MakeSchedule!AF187)</f>
        <v/>
      </c>
      <c r="J187" s="69" t="str">
        <f>IF(I187="","",IF(MakeSchedule!AG187=0,0,MakeSchedule!AG187))</f>
        <v/>
      </c>
      <c r="K187" s="39"/>
      <c r="L187" s="39"/>
      <c r="M187" s="39"/>
      <c r="N187" s="39"/>
      <c r="O187" s="39"/>
      <c r="P187" s="39"/>
      <c r="Q187" s="39"/>
      <c r="R187" s="39"/>
      <c r="S187" s="39"/>
      <c r="T187" s="39"/>
      <c r="U187" s="39"/>
      <c r="V187" s="39"/>
      <c r="W187" s="39"/>
    </row>
    <row r="188" spans="1:23" x14ac:dyDescent="0.2">
      <c r="A188" s="66"/>
      <c r="B188" s="67" t="str">
        <f t="shared" si="8"/>
        <v/>
      </c>
      <c r="C188" s="68" t="str">
        <f>IF(MakeSchedule!AB188=0,"",MakeSchedule!AB188)</f>
        <v/>
      </c>
      <c r="D188" s="69" t="str">
        <f>IF(MakeSchedule!AC188=0,"",MakeSchedule!AC188)</f>
        <v/>
      </c>
      <c r="E188" s="69" t="str">
        <f>IF(MakeSchedule!AD188=0,"",MakeSchedule!AD188)</f>
        <v/>
      </c>
      <c r="F188" s="73" t="str">
        <f>IF(MakeSchedule!AD188=0,"",MakeSchedule!AC188/MakeSchedule!AD188)</f>
        <v/>
      </c>
      <c r="G188" s="73" t="str">
        <f t="shared" si="6"/>
        <v/>
      </c>
      <c r="H188" s="73" t="str">
        <f t="shared" si="7"/>
        <v/>
      </c>
      <c r="I188" s="69" t="str">
        <f>IF(MakeSchedule!AF188=0,"",MakeSchedule!AF188)</f>
        <v/>
      </c>
      <c r="J188" s="69" t="str">
        <f>IF(I188="","",IF(MakeSchedule!AG188=0,0,MakeSchedule!AG188))</f>
        <v/>
      </c>
      <c r="K188" s="39"/>
      <c r="L188" s="39"/>
      <c r="M188" s="39"/>
      <c r="N188" s="39"/>
      <c r="O188" s="39"/>
      <c r="P188" s="39"/>
      <c r="Q188" s="39"/>
      <c r="R188" s="39"/>
      <c r="S188" s="39"/>
      <c r="T188" s="39"/>
      <c r="U188" s="39"/>
      <c r="V188" s="39"/>
      <c r="W188" s="39"/>
    </row>
    <row r="189" spans="1:23" x14ac:dyDescent="0.2">
      <c r="A189" s="66"/>
      <c r="B189" s="67" t="str">
        <f t="shared" si="8"/>
        <v/>
      </c>
      <c r="C189" s="68" t="str">
        <f>IF(MakeSchedule!AB189=0,"",MakeSchedule!AB189)</f>
        <v/>
      </c>
      <c r="D189" s="69" t="str">
        <f>IF(MakeSchedule!AC189=0,"",MakeSchedule!AC189)</f>
        <v/>
      </c>
      <c r="E189" s="69" t="str">
        <f>IF(MakeSchedule!AD189=0,"",MakeSchedule!AD189)</f>
        <v/>
      </c>
      <c r="F189" s="73" t="str">
        <f>IF(MakeSchedule!AD189=0,"",MakeSchedule!AC189/MakeSchedule!AD189)</f>
        <v/>
      </c>
      <c r="G189" s="73" t="str">
        <f t="shared" si="6"/>
        <v/>
      </c>
      <c r="H189" s="73" t="str">
        <f t="shared" si="7"/>
        <v/>
      </c>
      <c r="I189" s="69" t="str">
        <f>IF(MakeSchedule!AF189=0,"",MakeSchedule!AF189)</f>
        <v/>
      </c>
      <c r="J189" s="69" t="str">
        <f>IF(I189="","",IF(MakeSchedule!AG189=0,0,MakeSchedule!AG189))</f>
        <v/>
      </c>
      <c r="K189" s="39"/>
      <c r="L189" s="39"/>
      <c r="M189" s="39"/>
      <c r="N189" s="39"/>
      <c r="O189" s="39"/>
      <c r="P189" s="39"/>
      <c r="Q189" s="39"/>
      <c r="R189" s="39"/>
      <c r="S189" s="39"/>
      <c r="T189" s="39"/>
      <c r="U189" s="39"/>
      <c r="V189" s="39"/>
      <c r="W189" s="39"/>
    </row>
    <row r="190" spans="1:23" x14ac:dyDescent="0.2">
      <c r="A190" s="66"/>
      <c r="B190" s="67" t="str">
        <f t="shared" si="8"/>
        <v/>
      </c>
      <c r="C190" s="68" t="str">
        <f>IF(MakeSchedule!AB190=0,"",MakeSchedule!AB190)</f>
        <v/>
      </c>
      <c r="D190" s="69" t="str">
        <f>IF(MakeSchedule!AC190=0,"",MakeSchedule!AC190)</f>
        <v/>
      </c>
      <c r="E190" s="69" t="str">
        <f>IF(MakeSchedule!AD190=0,"",MakeSchedule!AD190)</f>
        <v/>
      </c>
      <c r="F190" s="73" t="str">
        <f>IF(MakeSchedule!AD190=0,"",MakeSchedule!AC190/MakeSchedule!AD190)</f>
        <v/>
      </c>
      <c r="G190" s="73" t="str">
        <f t="shared" si="6"/>
        <v/>
      </c>
      <c r="H190" s="73" t="str">
        <f t="shared" si="7"/>
        <v/>
      </c>
      <c r="I190" s="69" t="str">
        <f>IF(MakeSchedule!AF190=0,"",MakeSchedule!AF190)</f>
        <v/>
      </c>
      <c r="J190" s="69" t="str">
        <f>IF(I190="","",IF(MakeSchedule!AG190=0,0,MakeSchedule!AG190))</f>
        <v/>
      </c>
      <c r="K190" s="39"/>
      <c r="L190" s="39"/>
      <c r="M190" s="39"/>
      <c r="N190" s="39"/>
      <c r="O190" s="39"/>
      <c r="P190" s="39"/>
      <c r="Q190" s="39"/>
      <c r="R190" s="39"/>
      <c r="S190" s="39"/>
      <c r="T190" s="39"/>
      <c r="U190" s="39"/>
      <c r="V190" s="39"/>
      <c r="W190" s="39"/>
    </row>
    <row r="191" spans="1:23" x14ac:dyDescent="0.2">
      <c r="A191" s="66"/>
      <c r="B191" s="67" t="str">
        <f t="shared" si="8"/>
        <v/>
      </c>
      <c r="C191" s="68" t="str">
        <f>IF(MakeSchedule!AB191=0,"",MakeSchedule!AB191)</f>
        <v/>
      </c>
      <c r="D191" s="69" t="str">
        <f>IF(MakeSchedule!AC191=0,"",MakeSchedule!AC191)</f>
        <v/>
      </c>
      <c r="E191" s="69" t="str">
        <f>IF(MakeSchedule!AD191=0,"",MakeSchedule!AD191)</f>
        <v/>
      </c>
      <c r="F191" s="73" t="str">
        <f>IF(MakeSchedule!AD191=0,"",MakeSchedule!AC191/MakeSchedule!AD191)</f>
        <v/>
      </c>
      <c r="G191" s="73" t="str">
        <f t="shared" si="6"/>
        <v/>
      </c>
      <c r="H191" s="73" t="str">
        <f t="shared" si="7"/>
        <v/>
      </c>
      <c r="I191" s="69" t="str">
        <f>IF(MakeSchedule!AF191=0,"",MakeSchedule!AF191)</f>
        <v/>
      </c>
      <c r="J191" s="69" t="str">
        <f>IF(I191="","",IF(MakeSchedule!AG191=0,0,MakeSchedule!AG191))</f>
        <v/>
      </c>
      <c r="K191" s="39"/>
      <c r="L191" s="39"/>
      <c r="M191" s="39"/>
      <c r="N191" s="39"/>
      <c r="O191" s="39"/>
      <c r="P191" s="39"/>
      <c r="Q191" s="39"/>
      <c r="R191" s="39"/>
      <c r="S191" s="39"/>
      <c r="T191" s="39"/>
      <c r="U191" s="39"/>
      <c r="V191" s="39"/>
      <c r="W191" s="39"/>
    </row>
    <row r="192" spans="1:23" x14ac:dyDescent="0.2">
      <c r="A192" s="66"/>
      <c r="B192" s="67" t="str">
        <f t="shared" si="8"/>
        <v/>
      </c>
      <c r="C192" s="68" t="str">
        <f>IF(MakeSchedule!AB192=0,"",MakeSchedule!AB192)</f>
        <v/>
      </c>
      <c r="D192" s="69" t="str">
        <f>IF(MakeSchedule!AC192=0,"",MakeSchedule!AC192)</f>
        <v/>
      </c>
      <c r="E192" s="69" t="str">
        <f>IF(MakeSchedule!AD192=0,"",MakeSchedule!AD192)</f>
        <v/>
      </c>
      <c r="F192" s="73" t="str">
        <f>IF(MakeSchedule!AD192=0,"",MakeSchedule!AC192/MakeSchedule!AD192)</f>
        <v/>
      </c>
      <c r="G192" s="73" t="str">
        <f t="shared" si="6"/>
        <v/>
      </c>
      <c r="H192" s="73" t="str">
        <f t="shared" si="7"/>
        <v/>
      </c>
      <c r="I192" s="69" t="str">
        <f>IF(MakeSchedule!AF192=0,"",MakeSchedule!AF192)</f>
        <v/>
      </c>
      <c r="J192" s="69" t="str">
        <f>IF(I192="","",IF(MakeSchedule!AG192=0,0,MakeSchedule!AG192))</f>
        <v/>
      </c>
      <c r="K192" s="39"/>
      <c r="L192" s="39"/>
      <c r="M192" s="39"/>
      <c r="N192" s="39"/>
      <c r="O192" s="39"/>
      <c r="P192" s="39"/>
      <c r="Q192" s="39"/>
      <c r="R192" s="39"/>
      <c r="S192" s="39"/>
      <c r="T192" s="39"/>
      <c r="U192" s="39"/>
      <c r="V192" s="39"/>
      <c r="W192" s="39"/>
    </row>
    <row r="193" spans="1:23" x14ac:dyDescent="0.2">
      <c r="A193" s="66"/>
      <c r="B193" s="67" t="str">
        <f t="shared" si="8"/>
        <v/>
      </c>
      <c r="C193" s="68" t="str">
        <f>IF(MakeSchedule!AB193=0,"",MakeSchedule!AB193)</f>
        <v/>
      </c>
      <c r="D193" s="69" t="str">
        <f>IF(MakeSchedule!AC193=0,"",MakeSchedule!AC193)</f>
        <v/>
      </c>
      <c r="E193" s="69" t="str">
        <f>IF(MakeSchedule!AD193=0,"",MakeSchedule!AD193)</f>
        <v/>
      </c>
      <c r="F193" s="73" t="str">
        <f>IF(MakeSchedule!AD193=0,"",MakeSchedule!AC193/MakeSchedule!AD193)</f>
        <v/>
      </c>
      <c r="G193" s="73" t="str">
        <f t="shared" si="6"/>
        <v/>
      </c>
      <c r="H193" s="73" t="str">
        <f t="shared" si="7"/>
        <v/>
      </c>
      <c r="I193" s="69" t="str">
        <f>IF(MakeSchedule!AF193=0,"",MakeSchedule!AF193)</f>
        <v/>
      </c>
      <c r="J193" s="69" t="str">
        <f>IF(I193="","",IF(MakeSchedule!AG193=0,0,MakeSchedule!AG193))</f>
        <v/>
      </c>
      <c r="K193" s="39"/>
      <c r="L193" s="39"/>
      <c r="M193" s="39"/>
      <c r="N193" s="39"/>
      <c r="O193" s="39"/>
      <c r="P193" s="39"/>
      <c r="Q193" s="39"/>
      <c r="R193" s="39"/>
      <c r="S193" s="39"/>
      <c r="T193" s="39"/>
      <c r="U193" s="39"/>
      <c r="V193" s="39"/>
      <c r="W193" s="39"/>
    </row>
    <row r="194" spans="1:23" x14ac:dyDescent="0.2">
      <c r="A194" s="66"/>
      <c r="B194" s="67" t="str">
        <f t="shared" si="8"/>
        <v/>
      </c>
      <c r="C194" s="68" t="str">
        <f>IF(MakeSchedule!AB194=0,"",MakeSchedule!AB194)</f>
        <v/>
      </c>
      <c r="D194" s="69" t="str">
        <f>IF(MakeSchedule!AC194=0,"",MakeSchedule!AC194)</f>
        <v/>
      </c>
      <c r="E194" s="69" t="str">
        <f>IF(MakeSchedule!AD194=0,"",MakeSchedule!AD194)</f>
        <v/>
      </c>
      <c r="F194" s="73" t="str">
        <f>IF(MakeSchedule!AD194=0,"",MakeSchedule!AC194/MakeSchedule!AD194)</f>
        <v/>
      </c>
      <c r="G194" s="73" t="str">
        <f t="shared" si="6"/>
        <v/>
      </c>
      <c r="H194" s="73" t="str">
        <f t="shared" si="7"/>
        <v/>
      </c>
      <c r="I194" s="69" t="str">
        <f>IF(MakeSchedule!AF194=0,"",MakeSchedule!AF194)</f>
        <v/>
      </c>
      <c r="J194" s="69" t="str">
        <f>IF(I194="","",IF(MakeSchedule!AG194=0,0,MakeSchedule!AG194))</f>
        <v/>
      </c>
      <c r="K194" s="39"/>
      <c r="L194" s="39"/>
      <c r="M194" s="39"/>
      <c r="N194" s="39"/>
      <c r="O194" s="39"/>
      <c r="P194" s="39"/>
      <c r="Q194" s="39"/>
      <c r="R194" s="39"/>
      <c r="S194" s="39"/>
      <c r="T194" s="39"/>
      <c r="U194" s="39"/>
      <c r="V194" s="39"/>
      <c r="W194" s="39"/>
    </row>
    <row r="195" spans="1:23" x14ac:dyDescent="0.2">
      <c r="A195" s="66"/>
      <c r="B195" s="67" t="str">
        <f t="shared" si="8"/>
        <v/>
      </c>
      <c r="C195" s="68" t="str">
        <f>IF(MakeSchedule!AB195=0,"",MakeSchedule!AB195)</f>
        <v/>
      </c>
      <c r="D195" s="69" t="str">
        <f>IF(MakeSchedule!AC195=0,"",MakeSchedule!AC195)</f>
        <v/>
      </c>
      <c r="E195" s="69" t="str">
        <f>IF(MakeSchedule!AD195=0,"",MakeSchedule!AD195)</f>
        <v/>
      </c>
      <c r="F195" s="73" t="str">
        <f>IF(MakeSchedule!AD195=0,"",MakeSchedule!AC195/MakeSchedule!AD195)</f>
        <v/>
      </c>
      <c r="G195" s="73" t="str">
        <f t="shared" si="6"/>
        <v/>
      </c>
      <c r="H195" s="73" t="str">
        <f t="shared" si="7"/>
        <v/>
      </c>
      <c r="I195" s="69" t="str">
        <f>IF(MakeSchedule!AF195=0,"",MakeSchedule!AF195)</f>
        <v/>
      </c>
      <c r="J195" s="69" t="str">
        <f>IF(I195="","",IF(MakeSchedule!AG195=0,0,MakeSchedule!AG195))</f>
        <v/>
      </c>
      <c r="K195" s="39"/>
      <c r="L195" s="39"/>
      <c r="M195" s="39"/>
      <c r="N195" s="39"/>
      <c r="O195" s="39"/>
      <c r="P195" s="39"/>
      <c r="Q195" s="39"/>
      <c r="R195" s="39"/>
      <c r="S195" s="39"/>
      <c r="T195" s="39"/>
      <c r="U195" s="39"/>
      <c r="V195" s="39"/>
      <c r="W195" s="39"/>
    </row>
    <row r="196" spans="1:23" x14ac:dyDescent="0.2">
      <c r="A196" s="66"/>
      <c r="B196" s="67" t="str">
        <f t="shared" si="8"/>
        <v/>
      </c>
      <c r="C196" s="68" t="str">
        <f>IF(MakeSchedule!AB196=0,"",MakeSchedule!AB196)</f>
        <v/>
      </c>
      <c r="D196" s="69" t="str">
        <f>IF(MakeSchedule!AC196=0,"",MakeSchedule!AC196)</f>
        <v/>
      </c>
      <c r="E196" s="69" t="str">
        <f>IF(MakeSchedule!AD196=0,"",MakeSchedule!AD196)</f>
        <v/>
      </c>
      <c r="F196" s="73" t="str">
        <f>IF(MakeSchedule!AD196=0,"",MakeSchedule!AC196/MakeSchedule!AD196)</f>
        <v/>
      </c>
      <c r="G196" s="73" t="str">
        <f t="shared" si="6"/>
        <v/>
      </c>
      <c r="H196" s="73" t="str">
        <f t="shared" si="7"/>
        <v/>
      </c>
      <c r="I196" s="69" t="str">
        <f>IF(MakeSchedule!AF196=0,"",MakeSchedule!AF196)</f>
        <v/>
      </c>
      <c r="J196" s="69" t="str">
        <f>IF(I196="","",IF(MakeSchedule!AG196=0,0,MakeSchedule!AG196))</f>
        <v/>
      </c>
      <c r="K196" s="39"/>
      <c r="L196" s="39"/>
      <c r="M196" s="39"/>
      <c r="N196" s="39"/>
      <c r="O196" s="39"/>
      <c r="P196" s="39"/>
      <c r="Q196" s="39"/>
      <c r="R196" s="39"/>
      <c r="S196" s="39"/>
      <c r="T196" s="39"/>
      <c r="U196" s="39"/>
      <c r="V196" s="39"/>
      <c r="W196" s="39"/>
    </row>
    <row r="197" spans="1:23" x14ac:dyDescent="0.2">
      <c r="A197" s="66"/>
      <c r="B197" s="67" t="str">
        <f t="shared" si="8"/>
        <v/>
      </c>
      <c r="C197" s="68" t="str">
        <f>IF(MakeSchedule!AB197=0,"",MakeSchedule!AB197)</f>
        <v/>
      </c>
      <c r="D197" s="69" t="str">
        <f>IF(MakeSchedule!AC197=0,"",MakeSchedule!AC197)</f>
        <v/>
      </c>
      <c r="E197" s="69" t="str">
        <f>IF(MakeSchedule!AD197=0,"",MakeSchedule!AD197)</f>
        <v/>
      </c>
      <c r="F197" s="73" t="str">
        <f>IF(MakeSchedule!AD197=0,"",MakeSchedule!AC197/MakeSchedule!AD197)</f>
        <v/>
      </c>
      <c r="G197" s="73" t="str">
        <f t="shared" si="6"/>
        <v/>
      </c>
      <c r="H197" s="73" t="str">
        <f t="shared" si="7"/>
        <v/>
      </c>
      <c r="I197" s="69" t="str">
        <f>IF(MakeSchedule!AF197=0,"",MakeSchedule!AF197)</f>
        <v/>
      </c>
      <c r="J197" s="69" t="str">
        <f>IF(I197="","",IF(MakeSchedule!AG197=0,0,MakeSchedule!AG197))</f>
        <v/>
      </c>
      <c r="K197" s="39"/>
      <c r="L197" s="39"/>
      <c r="M197" s="39"/>
      <c r="N197" s="39"/>
      <c r="O197" s="39"/>
      <c r="P197" s="39"/>
      <c r="Q197" s="39"/>
      <c r="R197" s="39"/>
      <c r="S197" s="39"/>
      <c r="T197" s="39"/>
      <c r="U197" s="39"/>
      <c r="V197" s="39"/>
      <c r="W197" s="39"/>
    </row>
    <row r="198" spans="1:23" x14ac:dyDescent="0.2">
      <c r="A198" s="66"/>
      <c r="B198" s="67" t="str">
        <f t="shared" si="8"/>
        <v/>
      </c>
      <c r="C198" s="68" t="str">
        <f>IF(MakeSchedule!AB198=0,"",MakeSchedule!AB198)</f>
        <v/>
      </c>
      <c r="D198" s="69" t="str">
        <f>IF(MakeSchedule!AC198=0,"",MakeSchedule!AC198)</f>
        <v/>
      </c>
      <c r="E198" s="69" t="str">
        <f>IF(MakeSchedule!AD198=0,"",MakeSchedule!AD198)</f>
        <v/>
      </c>
      <c r="F198" s="73" t="str">
        <f>IF(MakeSchedule!AD198=0,"",MakeSchedule!AC198/MakeSchedule!AD198)</f>
        <v/>
      </c>
      <c r="G198" s="73" t="str">
        <f t="shared" si="6"/>
        <v/>
      </c>
      <c r="H198" s="73" t="str">
        <f t="shared" si="7"/>
        <v/>
      </c>
      <c r="I198" s="69" t="str">
        <f>IF(MakeSchedule!AF198=0,"",MakeSchedule!AF198)</f>
        <v/>
      </c>
      <c r="J198" s="69" t="str">
        <f>IF(I198="","",IF(MakeSchedule!AG198=0,0,MakeSchedule!AG198))</f>
        <v/>
      </c>
      <c r="K198" s="39"/>
      <c r="L198" s="39"/>
      <c r="M198" s="39"/>
      <c r="N198" s="39"/>
      <c r="O198" s="39"/>
      <c r="P198" s="39"/>
      <c r="Q198" s="39"/>
      <c r="R198" s="39"/>
      <c r="S198" s="39"/>
      <c r="T198" s="39"/>
      <c r="U198" s="39"/>
      <c r="V198" s="39"/>
      <c r="W198" s="39"/>
    </row>
    <row r="199" spans="1:23" x14ac:dyDescent="0.2">
      <c r="A199" s="66"/>
      <c r="B199" s="67" t="str">
        <f t="shared" si="8"/>
        <v/>
      </c>
      <c r="C199" s="68" t="str">
        <f>IF(MakeSchedule!AB199=0,"",MakeSchedule!AB199)</f>
        <v/>
      </c>
      <c r="D199" s="69" t="str">
        <f>IF(MakeSchedule!AC199=0,"",MakeSchedule!AC199)</f>
        <v/>
      </c>
      <c r="E199" s="69" t="str">
        <f>IF(MakeSchedule!AD199=0,"",MakeSchedule!AD199)</f>
        <v/>
      </c>
      <c r="F199" s="73" t="str">
        <f>IF(MakeSchedule!AD199=0,"",MakeSchedule!AC199/MakeSchedule!AD199)</f>
        <v/>
      </c>
      <c r="G199" s="73" t="str">
        <f t="shared" si="6"/>
        <v/>
      </c>
      <c r="H199" s="73" t="str">
        <f t="shared" si="7"/>
        <v/>
      </c>
      <c r="I199" s="69" t="str">
        <f>IF(MakeSchedule!AF199=0,"",MakeSchedule!AF199)</f>
        <v/>
      </c>
      <c r="J199" s="69" t="str">
        <f>IF(I199="","",IF(MakeSchedule!AG199=0,0,MakeSchedule!AG199))</f>
        <v/>
      </c>
      <c r="K199" s="39"/>
      <c r="L199" s="39"/>
      <c r="M199" s="39"/>
      <c r="N199" s="39"/>
      <c r="O199" s="39"/>
      <c r="P199" s="39"/>
      <c r="Q199" s="39"/>
      <c r="R199" s="39"/>
      <c r="S199" s="39"/>
      <c r="T199" s="39"/>
      <c r="U199" s="39"/>
      <c r="V199" s="39"/>
      <c r="W199" s="39"/>
    </row>
    <row r="200" spans="1:23" x14ac:dyDescent="0.2">
      <c r="A200" s="66"/>
      <c r="B200" s="67" t="str">
        <f t="shared" si="8"/>
        <v/>
      </c>
      <c r="C200" s="68" t="str">
        <f>IF(MakeSchedule!AB200=0,"",MakeSchedule!AB200)</f>
        <v/>
      </c>
      <c r="D200" s="69" t="str">
        <f>IF(MakeSchedule!AC200=0,"",MakeSchedule!AC200)</f>
        <v/>
      </c>
      <c r="E200" s="69" t="str">
        <f>IF(MakeSchedule!AD200=0,"",MakeSchedule!AD200)</f>
        <v/>
      </c>
      <c r="F200" s="73" t="str">
        <f>IF(MakeSchedule!AD200=0,"",MakeSchedule!AC200/MakeSchedule!AD200)</f>
        <v/>
      </c>
      <c r="G200" s="73" t="str">
        <f t="shared" si="6"/>
        <v/>
      </c>
      <c r="H200" s="73" t="str">
        <f t="shared" si="7"/>
        <v/>
      </c>
      <c r="I200" s="69" t="str">
        <f>IF(MakeSchedule!AF200=0,"",MakeSchedule!AF200)</f>
        <v/>
      </c>
      <c r="J200" s="69" t="str">
        <f>IF(I200="","",IF(MakeSchedule!AG200=0,0,MakeSchedule!AG200))</f>
        <v/>
      </c>
      <c r="K200" s="39"/>
      <c r="L200" s="39"/>
      <c r="M200" s="39"/>
      <c r="N200" s="39"/>
      <c r="O200" s="39"/>
      <c r="P200" s="39"/>
      <c r="Q200" s="39"/>
      <c r="R200" s="39"/>
      <c r="S200" s="39"/>
      <c r="T200" s="39"/>
      <c r="U200" s="39"/>
      <c r="V200" s="39"/>
      <c r="W200" s="39"/>
    </row>
    <row r="201" spans="1:23" x14ac:dyDescent="0.2">
      <c r="A201" s="66"/>
      <c r="B201" s="67" t="str">
        <f t="shared" si="8"/>
        <v/>
      </c>
      <c r="C201" s="68" t="str">
        <f>IF(MakeSchedule!AB201=0,"",MakeSchedule!AB201)</f>
        <v/>
      </c>
      <c r="D201" s="69" t="str">
        <f>IF(MakeSchedule!AC201=0,"",MakeSchedule!AC201)</f>
        <v/>
      </c>
      <c r="E201" s="69" t="str">
        <f>IF(MakeSchedule!AD201=0,"",MakeSchedule!AD201)</f>
        <v/>
      </c>
      <c r="F201" s="73" t="str">
        <f>IF(MakeSchedule!AD201=0,"",MakeSchedule!AC201/MakeSchedule!AD201)</f>
        <v/>
      </c>
      <c r="G201" s="73" t="str">
        <f t="shared" si="6"/>
        <v/>
      </c>
      <c r="H201" s="73" t="str">
        <f t="shared" si="7"/>
        <v/>
      </c>
      <c r="I201" s="69" t="str">
        <f>IF(MakeSchedule!AF201=0,"",MakeSchedule!AF201)</f>
        <v/>
      </c>
      <c r="J201" s="69" t="str">
        <f>IF(I201="","",IF(MakeSchedule!AG201=0,0,MakeSchedule!AG201))</f>
        <v/>
      </c>
      <c r="K201" s="39"/>
      <c r="L201" s="39"/>
      <c r="M201" s="39"/>
      <c r="N201" s="39"/>
      <c r="O201" s="39"/>
      <c r="P201" s="39"/>
      <c r="Q201" s="39"/>
      <c r="R201" s="39"/>
      <c r="S201" s="39"/>
      <c r="T201" s="39"/>
      <c r="U201" s="39"/>
      <c r="V201" s="39"/>
      <c r="W201" s="39"/>
    </row>
    <row r="202" spans="1:23" x14ac:dyDescent="0.2">
      <c r="A202" s="66"/>
      <c r="B202" s="67" t="str">
        <f t="shared" si="8"/>
        <v/>
      </c>
      <c r="C202" s="68" t="str">
        <f>IF(MakeSchedule!AB202=0,"",MakeSchedule!AB202)</f>
        <v/>
      </c>
      <c r="D202" s="69" t="str">
        <f>IF(MakeSchedule!AC202=0,"",MakeSchedule!AC202)</f>
        <v/>
      </c>
      <c r="E202" s="69" t="str">
        <f>IF(MakeSchedule!AD202=0,"",MakeSchedule!AD202)</f>
        <v/>
      </c>
      <c r="F202" s="73" t="str">
        <f>IF(MakeSchedule!AD202=0,"",MakeSchedule!AC202/MakeSchedule!AD202)</f>
        <v/>
      </c>
      <c r="G202" s="73" t="str">
        <f t="shared" si="6"/>
        <v/>
      </c>
      <c r="H202" s="73" t="str">
        <f t="shared" si="7"/>
        <v/>
      </c>
      <c r="I202" s="69" t="str">
        <f>IF(MakeSchedule!AF202=0,"",MakeSchedule!AF202)</f>
        <v/>
      </c>
      <c r="J202" s="69" t="str">
        <f>IF(I202="","",IF(MakeSchedule!AG202=0,0,MakeSchedule!AG202))</f>
        <v/>
      </c>
      <c r="K202" s="39"/>
      <c r="L202" s="39"/>
      <c r="M202" s="39"/>
      <c r="N202" s="39"/>
      <c r="O202" s="39"/>
      <c r="P202" s="39"/>
      <c r="Q202" s="39"/>
      <c r="R202" s="39"/>
      <c r="S202" s="39"/>
      <c r="T202" s="39"/>
      <c r="U202" s="39"/>
      <c r="V202" s="39"/>
      <c r="W202" s="39"/>
    </row>
    <row r="203" spans="1:23" x14ac:dyDescent="0.2">
      <c r="A203" s="66"/>
      <c r="B203" s="67" t="str">
        <f t="shared" si="8"/>
        <v/>
      </c>
      <c r="C203" s="68" t="str">
        <f>IF(MakeSchedule!AB203=0,"",MakeSchedule!AB203)</f>
        <v/>
      </c>
      <c r="D203" s="69" t="str">
        <f>IF(MakeSchedule!AC203=0,"",MakeSchedule!AC203)</f>
        <v/>
      </c>
      <c r="E203" s="69" t="str">
        <f>IF(MakeSchedule!AD203=0,"",MakeSchedule!AD203)</f>
        <v/>
      </c>
      <c r="F203" s="73" t="str">
        <f>IF(MakeSchedule!AD203=0,"",MakeSchedule!AC203/MakeSchedule!AD203)</f>
        <v/>
      </c>
      <c r="G203" s="73" t="str">
        <f t="shared" si="6"/>
        <v/>
      </c>
      <c r="H203" s="73" t="str">
        <f t="shared" si="7"/>
        <v/>
      </c>
      <c r="I203" s="69" t="str">
        <f>IF(MakeSchedule!AF203=0,"",MakeSchedule!AF203)</f>
        <v/>
      </c>
      <c r="J203" s="69" t="str">
        <f>IF(I203="","",IF(MakeSchedule!AG203=0,0,MakeSchedule!AG203))</f>
        <v/>
      </c>
      <c r="K203" s="39"/>
      <c r="L203" s="39"/>
      <c r="M203" s="39"/>
      <c r="N203" s="39"/>
      <c r="O203" s="39"/>
      <c r="P203" s="39"/>
      <c r="Q203" s="39"/>
      <c r="R203" s="39"/>
      <c r="S203" s="39"/>
      <c r="T203" s="39"/>
      <c r="U203" s="39"/>
      <c r="V203" s="39"/>
      <c r="W203" s="39"/>
    </row>
    <row r="204" spans="1:23" x14ac:dyDescent="0.2">
      <c r="A204" s="66"/>
      <c r="B204" s="67" t="str">
        <f t="shared" si="8"/>
        <v/>
      </c>
      <c r="C204" s="68" t="str">
        <f>IF(MakeSchedule!AB204=0,"",MakeSchedule!AB204)</f>
        <v/>
      </c>
      <c r="D204" s="69" t="str">
        <f>IF(MakeSchedule!AC204=0,"",MakeSchedule!AC204)</f>
        <v/>
      </c>
      <c r="E204" s="69" t="str">
        <f>IF(MakeSchedule!AD204=0,"",MakeSchedule!AD204)</f>
        <v/>
      </c>
      <c r="F204" s="73" t="str">
        <f>IF(MakeSchedule!AD204=0,"",MakeSchedule!AC204/MakeSchedule!AD204)</f>
        <v/>
      </c>
      <c r="G204" s="73" t="str">
        <f t="shared" si="6"/>
        <v/>
      </c>
      <c r="H204" s="73" t="str">
        <f t="shared" si="7"/>
        <v/>
      </c>
      <c r="I204" s="69" t="str">
        <f>IF(MakeSchedule!AF204=0,"",MakeSchedule!AF204)</f>
        <v/>
      </c>
      <c r="J204" s="69" t="str">
        <f>IF(I204="","",IF(MakeSchedule!AG204=0,0,MakeSchedule!AG204))</f>
        <v/>
      </c>
      <c r="K204" s="39"/>
      <c r="L204" s="39"/>
      <c r="M204" s="39"/>
      <c r="N204" s="39"/>
      <c r="O204" s="39"/>
      <c r="P204" s="39"/>
      <c r="Q204" s="39"/>
      <c r="R204" s="39"/>
      <c r="S204" s="39"/>
      <c r="T204" s="39"/>
      <c r="U204" s="39"/>
      <c r="V204" s="39"/>
      <c r="W204" s="39"/>
    </row>
    <row r="205" spans="1:23" x14ac:dyDescent="0.2">
      <c r="A205" s="66"/>
      <c r="B205" s="67" t="str">
        <f t="shared" si="8"/>
        <v/>
      </c>
      <c r="C205" s="68" t="str">
        <f>IF(MakeSchedule!AB205=0,"",MakeSchedule!AB205)</f>
        <v/>
      </c>
      <c r="D205" s="69" t="str">
        <f>IF(MakeSchedule!AC205=0,"",MakeSchedule!AC205)</f>
        <v/>
      </c>
      <c r="E205" s="69" t="str">
        <f>IF(MakeSchedule!AD205=0,"",MakeSchedule!AD205)</f>
        <v/>
      </c>
      <c r="F205" s="73" t="str">
        <f>IF(MakeSchedule!AD205=0,"",MakeSchedule!AC205/MakeSchedule!AD205)</f>
        <v/>
      </c>
      <c r="G205" s="73" t="str">
        <f t="shared" si="6"/>
        <v/>
      </c>
      <c r="H205" s="73" t="str">
        <f t="shared" si="7"/>
        <v/>
      </c>
      <c r="I205" s="69" t="str">
        <f>IF(MakeSchedule!AF205=0,"",MakeSchedule!AF205)</f>
        <v/>
      </c>
      <c r="J205" s="69" t="str">
        <f>IF(I205="","",IF(MakeSchedule!AG205=0,0,MakeSchedule!AG205))</f>
        <v/>
      </c>
      <c r="K205" s="39"/>
      <c r="L205" s="39"/>
      <c r="M205" s="39"/>
      <c r="N205" s="39"/>
      <c r="O205" s="39"/>
      <c r="P205" s="39"/>
      <c r="Q205" s="39"/>
      <c r="R205" s="39"/>
      <c r="S205" s="39"/>
      <c r="T205" s="39"/>
      <c r="U205" s="39"/>
      <c r="V205" s="39"/>
      <c r="W205" s="39"/>
    </row>
    <row r="206" spans="1:23" x14ac:dyDescent="0.2">
      <c r="A206" s="66"/>
      <c r="B206" s="67" t="str">
        <f t="shared" si="8"/>
        <v/>
      </c>
      <c r="C206" s="68" t="str">
        <f>IF(MakeSchedule!AB206=0,"",MakeSchedule!AB206)</f>
        <v/>
      </c>
      <c r="D206" s="69" t="str">
        <f>IF(MakeSchedule!AC206=0,"",MakeSchedule!AC206)</f>
        <v/>
      </c>
      <c r="E206" s="69" t="str">
        <f>IF(MakeSchedule!AD206=0,"",MakeSchedule!AD206)</f>
        <v/>
      </c>
      <c r="F206" s="73" t="str">
        <f>IF(MakeSchedule!AD206=0,"",MakeSchedule!AC206/MakeSchedule!AD206)</f>
        <v/>
      </c>
      <c r="G206" s="73" t="str">
        <f t="shared" si="6"/>
        <v/>
      </c>
      <c r="H206" s="73" t="str">
        <f t="shared" si="7"/>
        <v/>
      </c>
      <c r="I206" s="69" t="str">
        <f>IF(MakeSchedule!AF206=0,"",MakeSchedule!AF206)</f>
        <v/>
      </c>
      <c r="J206" s="69" t="str">
        <f>IF(I206="","",IF(MakeSchedule!AG206=0,0,MakeSchedule!AG206))</f>
        <v/>
      </c>
      <c r="K206" s="39"/>
      <c r="L206" s="39"/>
      <c r="M206" s="39"/>
      <c r="N206" s="39"/>
      <c r="O206" s="39"/>
      <c r="P206" s="39"/>
      <c r="Q206" s="39"/>
      <c r="R206" s="39"/>
      <c r="S206" s="39"/>
      <c r="T206" s="39"/>
      <c r="U206" s="39"/>
      <c r="V206" s="39"/>
      <c r="W206" s="39"/>
    </row>
    <row r="207" spans="1:23" x14ac:dyDescent="0.2">
      <c r="A207" s="66"/>
      <c r="B207" s="67" t="str">
        <f t="shared" si="8"/>
        <v/>
      </c>
      <c r="C207" s="68" t="str">
        <f>IF(MakeSchedule!AB207=0,"",MakeSchedule!AB207)</f>
        <v/>
      </c>
      <c r="D207" s="69" t="str">
        <f>IF(MakeSchedule!AC207=0,"",MakeSchedule!AC207)</f>
        <v/>
      </c>
      <c r="E207" s="69" t="str">
        <f>IF(MakeSchedule!AD207=0,"",MakeSchedule!AD207)</f>
        <v/>
      </c>
      <c r="F207" s="73" t="str">
        <f>IF(MakeSchedule!AD207=0,"",MakeSchedule!AC207/MakeSchedule!AD207)</f>
        <v/>
      </c>
      <c r="G207" s="73" t="str">
        <f t="shared" si="6"/>
        <v/>
      </c>
      <c r="H207" s="73" t="str">
        <f t="shared" si="7"/>
        <v/>
      </c>
      <c r="I207" s="69" t="str">
        <f>IF(MakeSchedule!AF207=0,"",MakeSchedule!AF207)</f>
        <v/>
      </c>
      <c r="J207" s="69" t="str">
        <f>IF(I207="","",IF(MakeSchedule!AG207=0,0,MakeSchedule!AG207))</f>
        <v/>
      </c>
      <c r="K207" s="39"/>
      <c r="L207" s="39"/>
      <c r="M207" s="39"/>
      <c r="N207" s="39"/>
      <c r="O207" s="39"/>
      <c r="P207" s="39"/>
      <c r="Q207" s="39"/>
      <c r="R207" s="39"/>
      <c r="S207" s="39"/>
      <c r="T207" s="39"/>
      <c r="U207" s="39"/>
      <c r="V207" s="39"/>
      <c r="W207" s="39"/>
    </row>
    <row r="208" spans="1:23" x14ac:dyDescent="0.2">
      <c r="A208" s="66"/>
      <c r="B208" s="67" t="str">
        <f t="shared" si="8"/>
        <v/>
      </c>
      <c r="C208" s="68" t="str">
        <f>IF(MakeSchedule!AB208=0,"",MakeSchedule!AB208)</f>
        <v/>
      </c>
      <c r="D208" s="69" t="str">
        <f>IF(MakeSchedule!AC208=0,"",MakeSchedule!AC208)</f>
        <v/>
      </c>
      <c r="E208" s="69" t="str">
        <f>IF(MakeSchedule!AD208=0,"",MakeSchedule!AD208)</f>
        <v/>
      </c>
      <c r="F208" s="73" t="str">
        <f>IF(MakeSchedule!AD208=0,"",MakeSchedule!AC208/MakeSchedule!AD208)</f>
        <v/>
      </c>
      <c r="G208" s="73" t="str">
        <f t="shared" si="6"/>
        <v/>
      </c>
      <c r="H208" s="73" t="str">
        <f t="shared" si="7"/>
        <v/>
      </c>
      <c r="I208" s="69" t="str">
        <f>IF(MakeSchedule!AF208=0,"",MakeSchedule!AF208)</f>
        <v/>
      </c>
      <c r="J208" s="69" t="str">
        <f>IF(I208="","",IF(MakeSchedule!AG208=0,0,MakeSchedule!AG208))</f>
        <v/>
      </c>
      <c r="K208" s="39"/>
      <c r="L208" s="39"/>
      <c r="M208" s="39"/>
      <c r="N208" s="39"/>
      <c r="O208" s="39"/>
      <c r="P208" s="39"/>
      <c r="Q208" s="39"/>
      <c r="R208" s="39"/>
      <c r="S208" s="39"/>
      <c r="T208" s="39"/>
      <c r="U208" s="39"/>
      <c r="V208" s="39"/>
      <c r="W208" s="39"/>
    </row>
    <row r="209" spans="1:23" x14ac:dyDescent="0.2">
      <c r="A209" s="66"/>
      <c r="B209" s="67" t="str">
        <f t="shared" si="8"/>
        <v/>
      </c>
      <c r="C209" s="68" t="str">
        <f>IF(MakeSchedule!AB209=0,"",MakeSchedule!AB209)</f>
        <v/>
      </c>
      <c r="D209" s="69" t="str">
        <f>IF(MakeSchedule!AC209=0,"",MakeSchedule!AC209)</f>
        <v/>
      </c>
      <c r="E209" s="69" t="str">
        <f>IF(MakeSchedule!AD209=0,"",MakeSchedule!AD209)</f>
        <v/>
      </c>
      <c r="F209" s="73" t="str">
        <f>IF(MakeSchedule!AD209=0,"",MakeSchedule!AC209/MakeSchedule!AD209)</f>
        <v/>
      </c>
      <c r="G209" s="73" t="str">
        <f t="shared" ref="G209:G272" si="9">IF(H209="","",G$12*H209)</f>
        <v/>
      </c>
      <c r="H209" s="73" t="str">
        <f t="shared" ref="H209:H272" si="10">IF(E209="","",E209/(1-G$12))</f>
        <v/>
      </c>
      <c r="I209" s="69" t="str">
        <f>IF(MakeSchedule!AF209=0,"",MakeSchedule!AF209)</f>
        <v/>
      </c>
      <c r="J209" s="69" t="str">
        <f>IF(I209="","",IF(MakeSchedule!AG209=0,0,MakeSchedule!AG209))</f>
        <v/>
      </c>
      <c r="K209" s="39"/>
      <c r="L209" s="39"/>
      <c r="M209" s="39"/>
      <c r="N209" s="39"/>
      <c r="O209" s="39"/>
      <c r="P209" s="39"/>
      <c r="Q209" s="39"/>
      <c r="R209" s="39"/>
      <c r="S209" s="39"/>
      <c r="T209" s="39"/>
      <c r="U209" s="39"/>
      <c r="V209" s="39"/>
      <c r="W209" s="39"/>
    </row>
    <row r="210" spans="1:23" x14ac:dyDescent="0.2">
      <c r="A210" s="66"/>
      <c r="B210" s="67" t="str">
        <f t="shared" ref="B210:B215" si="11">IF(C210="","",B209+1)</f>
        <v/>
      </c>
      <c r="C210" s="68" t="str">
        <f>IF(MakeSchedule!AB210=0,"",MakeSchedule!AB210)</f>
        <v/>
      </c>
      <c r="D210" s="69" t="str">
        <f>IF(MakeSchedule!AC210=0,"",MakeSchedule!AC210)</f>
        <v/>
      </c>
      <c r="E210" s="69" t="str">
        <f>IF(MakeSchedule!AD210=0,"",MakeSchedule!AD210)</f>
        <v/>
      </c>
      <c r="F210" s="73" t="str">
        <f>IF(MakeSchedule!AD210=0,"",MakeSchedule!AC210/MakeSchedule!AD210)</f>
        <v/>
      </c>
      <c r="G210" s="73" t="str">
        <f t="shared" si="9"/>
        <v/>
      </c>
      <c r="H210" s="73" t="str">
        <f t="shared" si="10"/>
        <v/>
      </c>
      <c r="I210" s="69" t="str">
        <f>IF(MakeSchedule!AF210=0,"",MakeSchedule!AF210)</f>
        <v/>
      </c>
      <c r="J210" s="69" t="str">
        <f>IF(I210="","",IF(MakeSchedule!AG210=0,0,MakeSchedule!AG210))</f>
        <v/>
      </c>
      <c r="K210" s="39"/>
      <c r="L210" s="39"/>
      <c r="M210" s="39"/>
      <c r="N210" s="39"/>
      <c r="O210" s="39"/>
      <c r="P210" s="39"/>
      <c r="Q210" s="39"/>
      <c r="R210" s="39"/>
      <c r="S210" s="39"/>
      <c r="T210" s="39"/>
      <c r="U210" s="39"/>
      <c r="V210" s="39"/>
      <c r="W210" s="39"/>
    </row>
    <row r="211" spans="1:23" x14ac:dyDescent="0.2">
      <c r="A211" s="66"/>
      <c r="B211" s="67" t="str">
        <f t="shared" si="11"/>
        <v/>
      </c>
      <c r="C211" s="68" t="str">
        <f>IF(MakeSchedule!AB211=0,"",MakeSchedule!AB211)</f>
        <v/>
      </c>
      <c r="D211" s="69" t="str">
        <f>IF(MakeSchedule!AC211=0,"",MakeSchedule!AC211)</f>
        <v/>
      </c>
      <c r="E211" s="69" t="str">
        <f>IF(MakeSchedule!AD211=0,"",MakeSchedule!AD211)</f>
        <v/>
      </c>
      <c r="F211" s="73" t="str">
        <f>IF(MakeSchedule!AD211=0,"",MakeSchedule!AC211/MakeSchedule!AD211)</f>
        <v/>
      </c>
      <c r="G211" s="73" t="str">
        <f t="shared" si="9"/>
        <v/>
      </c>
      <c r="H211" s="73" t="str">
        <f t="shared" si="10"/>
        <v/>
      </c>
      <c r="I211" s="69" t="str">
        <f>IF(MakeSchedule!AF211=0,"",MakeSchedule!AF211)</f>
        <v/>
      </c>
      <c r="J211" s="69" t="str">
        <f>IF(I211="","",IF(MakeSchedule!AG211=0,0,MakeSchedule!AG211))</f>
        <v/>
      </c>
      <c r="K211" s="39"/>
      <c r="L211" s="39"/>
      <c r="M211" s="39"/>
      <c r="N211" s="39"/>
      <c r="O211" s="39"/>
      <c r="P211" s="39"/>
      <c r="Q211" s="39"/>
      <c r="R211" s="39"/>
      <c r="S211" s="39"/>
      <c r="T211" s="39"/>
      <c r="U211" s="39"/>
      <c r="V211" s="39"/>
      <c r="W211" s="39"/>
    </row>
    <row r="212" spans="1:23" x14ac:dyDescent="0.2">
      <c r="A212" s="66"/>
      <c r="B212" s="67" t="str">
        <f t="shared" si="11"/>
        <v/>
      </c>
      <c r="C212" s="68" t="str">
        <f>IF(MakeSchedule!AB212=0,"",MakeSchedule!AB212)</f>
        <v/>
      </c>
      <c r="D212" s="69" t="str">
        <f>IF(MakeSchedule!AC212=0,"",MakeSchedule!AC212)</f>
        <v/>
      </c>
      <c r="E212" s="69" t="str">
        <f>IF(MakeSchedule!AD212=0,"",MakeSchedule!AD212)</f>
        <v/>
      </c>
      <c r="F212" s="73" t="str">
        <f>IF(MakeSchedule!AD212=0,"",MakeSchedule!AC212/MakeSchedule!AD212)</f>
        <v/>
      </c>
      <c r="G212" s="73" t="str">
        <f t="shared" si="9"/>
        <v/>
      </c>
      <c r="H212" s="73" t="str">
        <f t="shared" si="10"/>
        <v/>
      </c>
      <c r="I212" s="69" t="str">
        <f>IF(MakeSchedule!AF212=0,"",MakeSchedule!AF212)</f>
        <v/>
      </c>
      <c r="J212" s="69" t="str">
        <f>IF(I212="","",IF(MakeSchedule!AG212=0,0,MakeSchedule!AG212))</f>
        <v/>
      </c>
      <c r="K212" s="39"/>
      <c r="L212" s="39"/>
      <c r="M212" s="39"/>
      <c r="N212" s="39"/>
      <c r="O212" s="39"/>
      <c r="P212" s="39"/>
      <c r="Q212" s="39"/>
      <c r="R212" s="39"/>
      <c r="S212" s="39"/>
      <c r="T212" s="39"/>
      <c r="U212" s="39"/>
      <c r="V212" s="39"/>
      <c r="W212" s="39"/>
    </row>
    <row r="213" spans="1:23" x14ac:dyDescent="0.2">
      <c r="A213" s="66"/>
      <c r="B213" s="67" t="str">
        <f t="shared" si="11"/>
        <v/>
      </c>
      <c r="C213" s="68" t="str">
        <f>IF(MakeSchedule!AB213=0,"",MakeSchedule!AB213)</f>
        <v/>
      </c>
      <c r="D213" s="69" t="str">
        <f>IF(MakeSchedule!AC213=0,"",MakeSchedule!AC213)</f>
        <v/>
      </c>
      <c r="E213" s="69" t="str">
        <f>IF(MakeSchedule!AD213=0,"",MakeSchedule!AD213)</f>
        <v/>
      </c>
      <c r="F213" s="73" t="str">
        <f>IF(MakeSchedule!AD213=0,"",MakeSchedule!AC213/MakeSchedule!AD213)</f>
        <v/>
      </c>
      <c r="G213" s="73" t="str">
        <f t="shared" si="9"/>
        <v/>
      </c>
      <c r="H213" s="73" t="str">
        <f t="shared" si="10"/>
        <v/>
      </c>
      <c r="I213" s="69" t="str">
        <f>IF(MakeSchedule!AF213=0,"",MakeSchedule!AF213)</f>
        <v/>
      </c>
      <c r="J213" s="69" t="str">
        <f>IF(I213="","",IF(MakeSchedule!AG213=0,0,MakeSchedule!AG213))</f>
        <v/>
      </c>
      <c r="K213" s="39"/>
      <c r="L213" s="39"/>
      <c r="M213" s="39"/>
      <c r="N213" s="39"/>
      <c r="O213" s="39"/>
      <c r="P213" s="39"/>
      <c r="Q213" s="39"/>
      <c r="R213" s="39"/>
      <c r="S213" s="39"/>
      <c r="T213" s="39"/>
      <c r="U213" s="39"/>
      <c r="V213" s="39"/>
      <c r="W213" s="39"/>
    </row>
    <row r="214" spans="1:23" x14ac:dyDescent="0.2">
      <c r="A214" s="66"/>
      <c r="B214" s="67" t="str">
        <f t="shared" si="11"/>
        <v/>
      </c>
      <c r="C214" s="68" t="str">
        <f>IF(MakeSchedule!AB214=0,"",MakeSchedule!AB214)</f>
        <v/>
      </c>
      <c r="D214" s="69" t="str">
        <f>IF(MakeSchedule!AC214=0,"",MakeSchedule!AC214)</f>
        <v/>
      </c>
      <c r="E214" s="69" t="str">
        <f>IF(MakeSchedule!AD214=0,"",MakeSchedule!AD214)</f>
        <v/>
      </c>
      <c r="F214" s="73" t="str">
        <f>IF(MakeSchedule!AD214=0,"",MakeSchedule!AC214/MakeSchedule!AD214)</f>
        <v/>
      </c>
      <c r="G214" s="73" t="str">
        <f t="shared" si="9"/>
        <v/>
      </c>
      <c r="H214" s="73" t="str">
        <f t="shared" si="10"/>
        <v/>
      </c>
      <c r="I214" s="69" t="str">
        <f>IF(MakeSchedule!AF214=0,"",MakeSchedule!AF214)</f>
        <v/>
      </c>
      <c r="J214" s="69" t="str">
        <f>IF(I214="","",IF(MakeSchedule!AG214=0,0,MakeSchedule!AG214))</f>
        <v/>
      </c>
      <c r="K214" s="39"/>
      <c r="L214" s="39"/>
      <c r="M214" s="39"/>
      <c r="N214" s="39"/>
      <c r="O214" s="39"/>
      <c r="P214" s="39"/>
      <c r="Q214" s="39"/>
      <c r="R214" s="39"/>
      <c r="S214" s="39"/>
      <c r="T214" s="39"/>
      <c r="U214" s="39"/>
      <c r="V214" s="39"/>
      <c r="W214" s="39"/>
    </row>
    <row r="215" spans="1:23" x14ac:dyDescent="0.2">
      <c r="A215" s="66"/>
      <c r="B215" s="67" t="str">
        <f t="shared" si="11"/>
        <v/>
      </c>
      <c r="C215" s="68" t="str">
        <f>IF(MakeSchedule!AB215=0,"",MakeSchedule!AB215)</f>
        <v/>
      </c>
      <c r="D215" s="69" t="str">
        <f>IF(MakeSchedule!AC215=0,"",MakeSchedule!AC215)</f>
        <v/>
      </c>
      <c r="E215" s="69" t="str">
        <f>IF(MakeSchedule!AD215=0,"",MakeSchedule!AD215)</f>
        <v/>
      </c>
      <c r="F215" s="73" t="str">
        <f>IF(MakeSchedule!AD215=0,"",MakeSchedule!AC215/MakeSchedule!AD215)</f>
        <v/>
      </c>
      <c r="G215" s="73" t="str">
        <f t="shared" si="9"/>
        <v/>
      </c>
      <c r="H215" s="73" t="str">
        <f t="shared" si="10"/>
        <v/>
      </c>
      <c r="I215" s="69" t="str">
        <f>IF(MakeSchedule!AF215=0,"",MakeSchedule!AF215)</f>
        <v/>
      </c>
      <c r="J215" s="69" t="str">
        <f>IF(I215="","",IF(MakeSchedule!AG215=0,0,MakeSchedule!AG215))</f>
        <v/>
      </c>
      <c r="K215" s="39"/>
      <c r="L215" s="39"/>
      <c r="M215" s="39"/>
      <c r="N215" s="39"/>
      <c r="O215" s="39"/>
      <c r="P215" s="39"/>
      <c r="Q215" s="39"/>
      <c r="R215" s="39"/>
      <c r="S215" s="39"/>
      <c r="T215" s="39"/>
      <c r="U215" s="39"/>
      <c r="V215" s="39"/>
      <c r="W215" s="39"/>
    </row>
    <row r="216" spans="1:23" x14ac:dyDescent="0.2">
      <c r="A216" s="66"/>
      <c r="B216" s="67" t="str">
        <f t="shared" ref="B216:B279" si="12">IF(C216="","",B215+1)</f>
        <v/>
      </c>
      <c r="C216" s="68" t="str">
        <f>IF(MakeSchedule!AB216=0,"",MakeSchedule!AB216)</f>
        <v/>
      </c>
      <c r="D216" s="69" t="str">
        <f>IF(MakeSchedule!AC216=0,"",MakeSchedule!AC216)</f>
        <v/>
      </c>
      <c r="E216" s="69" t="str">
        <f>IF(MakeSchedule!AD216=0,"",MakeSchedule!AD216)</f>
        <v/>
      </c>
      <c r="F216" s="73" t="str">
        <f>IF(MakeSchedule!AD216=0,"",MakeSchedule!AC216/MakeSchedule!AD216)</f>
        <v/>
      </c>
      <c r="G216" s="73" t="str">
        <f t="shared" si="9"/>
        <v/>
      </c>
      <c r="H216" s="73" t="str">
        <f t="shared" si="10"/>
        <v/>
      </c>
      <c r="I216" s="69" t="str">
        <f>IF(MakeSchedule!AF216=0,"",MakeSchedule!AF216)</f>
        <v/>
      </c>
      <c r="J216" s="69" t="str">
        <f>IF(I216="","",IF(MakeSchedule!AG216=0,0,MakeSchedule!AG216))</f>
        <v/>
      </c>
      <c r="K216" s="39"/>
      <c r="L216" s="39"/>
      <c r="M216" s="39"/>
      <c r="N216" s="39"/>
      <c r="O216" s="39"/>
      <c r="P216" s="39"/>
      <c r="Q216" s="39"/>
      <c r="R216" s="39"/>
      <c r="S216" s="39"/>
      <c r="T216" s="39"/>
      <c r="U216" s="39"/>
      <c r="V216" s="39"/>
      <c r="W216" s="39"/>
    </row>
    <row r="217" spans="1:23" x14ac:dyDescent="0.2">
      <c r="A217" s="66"/>
      <c r="B217" s="67" t="str">
        <f t="shared" si="12"/>
        <v/>
      </c>
      <c r="C217" s="68" t="str">
        <f>IF(MakeSchedule!AB217=0,"",MakeSchedule!AB217)</f>
        <v/>
      </c>
      <c r="D217" s="69" t="str">
        <f>IF(MakeSchedule!AC217=0,"",MakeSchedule!AC217)</f>
        <v/>
      </c>
      <c r="E217" s="69" t="str">
        <f>IF(MakeSchedule!AD217=0,"",MakeSchedule!AD217)</f>
        <v/>
      </c>
      <c r="F217" s="73" t="str">
        <f>IF(MakeSchedule!AD217=0,"",MakeSchedule!AC217/MakeSchedule!AD217)</f>
        <v/>
      </c>
      <c r="G217" s="73" t="str">
        <f t="shared" si="9"/>
        <v/>
      </c>
      <c r="H217" s="73" t="str">
        <f t="shared" si="10"/>
        <v/>
      </c>
      <c r="I217" s="69" t="str">
        <f>IF(MakeSchedule!AF217=0,"",MakeSchedule!AF217)</f>
        <v/>
      </c>
      <c r="J217" s="69" t="str">
        <f>IF(I217="","",IF(MakeSchedule!AG217=0,0,MakeSchedule!AG217))</f>
        <v/>
      </c>
      <c r="K217" s="39"/>
      <c r="L217" s="39"/>
      <c r="M217" s="39"/>
      <c r="N217" s="39"/>
      <c r="O217" s="39"/>
      <c r="P217" s="39"/>
      <c r="Q217" s="39"/>
      <c r="R217" s="39"/>
      <c r="S217" s="39"/>
      <c r="T217" s="39"/>
      <c r="U217" s="39"/>
      <c r="V217" s="39"/>
      <c r="W217" s="39"/>
    </row>
    <row r="218" spans="1:23" x14ac:dyDescent="0.2">
      <c r="A218" s="66"/>
      <c r="B218" s="67" t="str">
        <f t="shared" si="12"/>
        <v/>
      </c>
      <c r="C218" s="68" t="str">
        <f>IF(MakeSchedule!AB218=0,"",MakeSchedule!AB218)</f>
        <v/>
      </c>
      <c r="D218" s="69" t="str">
        <f>IF(MakeSchedule!AC218=0,"",MakeSchedule!AC218)</f>
        <v/>
      </c>
      <c r="E218" s="69" t="str">
        <f>IF(MakeSchedule!AD218=0,"",MakeSchedule!AD218)</f>
        <v/>
      </c>
      <c r="F218" s="73" t="str">
        <f>IF(MakeSchedule!AD218=0,"",MakeSchedule!AC218/MakeSchedule!AD218)</f>
        <v/>
      </c>
      <c r="G218" s="73" t="str">
        <f t="shared" si="9"/>
        <v/>
      </c>
      <c r="H218" s="73" t="str">
        <f t="shared" si="10"/>
        <v/>
      </c>
      <c r="I218" s="69" t="str">
        <f>IF(MakeSchedule!AF218=0,"",MakeSchedule!AF218)</f>
        <v/>
      </c>
      <c r="J218" s="69" t="str">
        <f>IF(I218="","",IF(MakeSchedule!AG218=0,0,MakeSchedule!AG218))</f>
        <v/>
      </c>
      <c r="K218" s="39"/>
      <c r="L218" s="39"/>
      <c r="M218" s="39"/>
      <c r="N218" s="39"/>
      <c r="O218" s="39"/>
      <c r="P218" s="39"/>
      <c r="Q218" s="39"/>
      <c r="R218" s="39"/>
      <c r="S218" s="39"/>
      <c r="T218" s="39"/>
      <c r="U218" s="39"/>
      <c r="V218" s="39"/>
      <c r="W218" s="39"/>
    </row>
    <row r="219" spans="1:23" x14ac:dyDescent="0.2">
      <c r="A219" s="66"/>
      <c r="B219" s="67" t="str">
        <f t="shared" si="12"/>
        <v/>
      </c>
      <c r="C219" s="68" t="str">
        <f>IF(MakeSchedule!AB219=0,"",MakeSchedule!AB219)</f>
        <v/>
      </c>
      <c r="D219" s="69" t="str">
        <f>IF(MakeSchedule!AC219=0,"",MakeSchedule!AC219)</f>
        <v/>
      </c>
      <c r="E219" s="69" t="str">
        <f>IF(MakeSchedule!AD219=0,"",MakeSchedule!AD219)</f>
        <v/>
      </c>
      <c r="F219" s="73" t="str">
        <f>IF(MakeSchedule!AD219=0,"",MakeSchedule!AC219/MakeSchedule!AD219)</f>
        <v/>
      </c>
      <c r="G219" s="73" t="str">
        <f t="shared" si="9"/>
        <v/>
      </c>
      <c r="H219" s="73" t="str">
        <f t="shared" si="10"/>
        <v/>
      </c>
      <c r="I219" s="69" t="str">
        <f>IF(MakeSchedule!AF219=0,"",MakeSchedule!AF219)</f>
        <v/>
      </c>
      <c r="J219" s="69" t="str">
        <f>IF(I219="","",IF(MakeSchedule!AG219=0,0,MakeSchedule!AG219))</f>
        <v/>
      </c>
      <c r="K219" s="39"/>
      <c r="L219" s="39"/>
      <c r="M219" s="39"/>
      <c r="N219" s="39"/>
      <c r="O219" s="39"/>
      <c r="P219" s="39"/>
      <c r="Q219" s="39"/>
      <c r="R219" s="39"/>
      <c r="S219" s="39"/>
      <c r="T219" s="39"/>
      <c r="U219" s="39"/>
      <c r="V219" s="39"/>
      <c r="W219" s="39"/>
    </row>
    <row r="220" spans="1:23" x14ac:dyDescent="0.2">
      <c r="A220" s="66"/>
      <c r="B220" s="67" t="str">
        <f t="shared" si="12"/>
        <v/>
      </c>
      <c r="C220" s="68" t="str">
        <f>IF(MakeSchedule!AB220=0,"",MakeSchedule!AB220)</f>
        <v/>
      </c>
      <c r="D220" s="69" t="str">
        <f>IF(MakeSchedule!AC220=0,"",MakeSchedule!AC220)</f>
        <v/>
      </c>
      <c r="E220" s="69" t="str">
        <f>IF(MakeSchedule!AD220=0,"",MakeSchedule!AD220)</f>
        <v/>
      </c>
      <c r="F220" s="73" t="str">
        <f>IF(MakeSchedule!AD220=0,"",MakeSchedule!AC220/MakeSchedule!AD220)</f>
        <v/>
      </c>
      <c r="G220" s="73" t="str">
        <f t="shared" si="9"/>
        <v/>
      </c>
      <c r="H220" s="73" t="str">
        <f t="shared" si="10"/>
        <v/>
      </c>
      <c r="I220" s="69" t="str">
        <f>IF(MakeSchedule!AF220=0,"",MakeSchedule!AF220)</f>
        <v/>
      </c>
      <c r="J220" s="69" t="str">
        <f>IF(I220="","",IF(MakeSchedule!AG220=0,0,MakeSchedule!AG220))</f>
        <v/>
      </c>
      <c r="K220" s="39"/>
      <c r="L220" s="39"/>
      <c r="M220" s="39"/>
      <c r="N220" s="39"/>
      <c r="O220" s="39"/>
      <c r="P220" s="39"/>
      <c r="Q220" s="39"/>
      <c r="R220" s="39"/>
      <c r="S220" s="39"/>
      <c r="T220" s="39"/>
      <c r="U220" s="39"/>
      <c r="V220" s="39"/>
      <c r="W220" s="39"/>
    </row>
    <row r="221" spans="1:23" x14ac:dyDescent="0.2">
      <c r="A221" s="66"/>
      <c r="B221" s="67" t="str">
        <f t="shared" si="12"/>
        <v/>
      </c>
      <c r="C221" s="68" t="str">
        <f>IF(MakeSchedule!AB221=0,"",MakeSchedule!AB221)</f>
        <v/>
      </c>
      <c r="D221" s="69" t="str">
        <f>IF(MakeSchedule!AC221=0,"",MakeSchedule!AC221)</f>
        <v/>
      </c>
      <c r="E221" s="69" t="str">
        <f>IF(MakeSchedule!AD221=0,"",MakeSchedule!AD221)</f>
        <v/>
      </c>
      <c r="F221" s="73" t="str">
        <f>IF(MakeSchedule!AD221=0,"",MakeSchedule!AC221/MakeSchedule!AD221)</f>
        <v/>
      </c>
      <c r="G221" s="73" t="str">
        <f t="shared" si="9"/>
        <v/>
      </c>
      <c r="H221" s="73" t="str">
        <f t="shared" si="10"/>
        <v/>
      </c>
      <c r="I221" s="69" t="str">
        <f>IF(MakeSchedule!AF221=0,"",MakeSchedule!AF221)</f>
        <v/>
      </c>
      <c r="J221" s="69" t="str">
        <f>IF(I221="","",IF(MakeSchedule!AG221=0,0,MakeSchedule!AG221))</f>
        <v/>
      </c>
      <c r="K221" s="39"/>
      <c r="L221" s="39"/>
      <c r="M221" s="39"/>
      <c r="N221" s="39"/>
      <c r="O221" s="39"/>
      <c r="P221" s="39"/>
      <c r="Q221" s="39"/>
      <c r="R221" s="39"/>
      <c r="S221" s="39"/>
      <c r="T221" s="39"/>
      <c r="U221" s="39"/>
      <c r="V221" s="39"/>
      <c r="W221" s="39"/>
    </row>
    <row r="222" spans="1:23" x14ac:dyDescent="0.2">
      <c r="A222" s="66"/>
      <c r="B222" s="67" t="str">
        <f t="shared" si="12"/>
        <v/>
      </c>
      <c r="C222" s="68" t="str">
        <f>IF(MakeSchedule!AB222=0,"",MakeSchedule!AB222)</f>
        <v/>
      </c>
      <c r="D222" s="69" t="str">
        <f>IF(MakeSchedule!AC222=0,"",MakeSchedule!AC222)</f>
        <v/>
      </c>
      <c r="E222" s="69" t="str">
        <f>IF(MakeSchedule!AD222=0,"",MakeSchedule!AD222)</f>
        <v/>
      </c>
      <c r="F222" s="73" t="str">
        <f>IF(MakeSchedule!AD222=0,"",MakeSchedule!AC222/MakeSchedule!AD222)</f>
        <v/>
      </c>
      <c r="G222" s="73" t="str">
        <f t="shared" si="9"/>
        <v/>
      </c>
      <c r="H222" s="73" t="str">
        <f t="shared" si="10"/>
        <v/>
      </c>
      <c r="I222" s="69" t="str">
        <f>IF(MakeSchedule!AF222=0,"",MakeSchedule!AF222)</f>
        <v/>
      </c>
      <c r="J222" s="69" t="str">
        <f>IF(I222="","",IF(MakeSchedule!AG222=0,0,MakeSchedule!AG222))</f>
        <v/>
      </c>
      <c r="K222" s="39"/>
      <c r="L222" s="39"/>
      <c r="M222" s="39"/>
      <c r="N222" s="39"/>
      <c r="O222" s="39"/>
      <c r="P222" s="39"/>
      <c r="Q222" s="39"/>
      <c r="R222" s="39"/>
      <c r="S222" s="39"/>
      <c r="T222" s="39"/>
      <c r="U222" s="39"/>
      <c r="V222" s="39"/>
      <c r="W222" s="39"/>
    </row>
    <row r="223" spans="1:23" x14ac:dyDescent="0.2">
      <c r="A223" s="66"/>
      <c r="B223" s="67" t="str">
        <f t="shared" si="12"/>
        <v/>
      </c>
      <c r="C223" s="68" t="str">
        <f>IF(MakeSchedule!AB223=0,"",MakeSchedule!AB223)</f>
        <v/>
      </c>
      <c r="D223" s="69" t="str">
        <f>IF(MakeSchedule!AC223=0,"",MakeSchedule!AC223)</f>
        <v/>
      </c>
      <c r="E223" s="69" t="str">
        <f>IF(MakeSchedule!AD223=0,"",MakeSchedule!AD223)</f>
        <v/>
      </c>
      <c r="F223" s="73" t="str">
        <f>IF(MakeSchedule!AD223=0,"",MakeSchedule!AC223/MakeSchedule!AD223)</f>
        <v/>
      </c>
      <c r="G223" s="73" t="str">
        <f t="shared" si="9"/>
        <v/>
      </c>
      <c r="H223" s="73" t="str">
        <f t="shared" si="10"/>
        <v/>
      </c>
      <c r="I223" s="69" t="str">
        <f>IF(MakeSchedule!AF223=0,"",MakeSchedule!AF223)</f>
        <v/>
      </c>
      <c r="J223" s="69" t="str">
        <f>IF(I223="","",IF(MakeSchedule!AG223=0,0,MakeSchedule!AG223))</f>
        <v/>
      </c>
      <c r="K223" s="39"/>
      <c r="L223" s="39"/>
      <c r="M223" s="39"/>
      <c r="N223" s="39"/>
      <c r="O223" s="39"/>
      <c r="P223" s="39"/>
      <c r="Q223" s="39"/>
      <c r="R223" s="39"/>
      <c r="S223" s="39"/>
      <c r="T223" s="39"/>
      <c r="U223" s="39"/>
      <c r="V223" s="39"/>
      <c r="W223" s="39"/>
    </row>
    <row r="224" spans="1:23" x14ac:dyDescent="0.2">
      <c r="A224" s="66"/>
      <c r="B224" s="67" t="str">
        <f t="shared" si="12"/>
        <v/>
      </c>
      <c r="C224" s="68" t="str">
        <f>IF(MakeSchedule!AB224=0,"",MakeSchedule!AB224)</f>
        <v/>
      </c>
      <c r="D224" s="69" t="str">
        <f>IF(MakeSchedule!AC224=0,"",MakeSchedule!AC224)</f>
        <v/>
      </c>
      <c r="E224" s="69" t="str">
        <f>IF(MakeSchedule!AD224=0,"",MakeSchedule!AD224)</f>
        <v/>
      </c>
      <c r="F224" s="73" t="str">
        <f>IF(MakeSchedule!AD224=0,"",MakeSchedule!AC224/MakeSchedule!AD224)</f>
        <v/>
      </c>
      <c r="G224" s="73" t="str">
        <f t="shared" si="9"/>
        <v/>
      </c>
      <c r="H224" s="73" t="str">
        <f t="shared" si="10"/>
        <v/>
      </c>
      <c r="I224" s="69" t="str">
        <f>IF(MakeSchedule!AF224=0,"",MakeSchedule!AF224)</f>
        <v/>
      </c>
      <c r="J224" s="69" t="str">
        <f>IF(I224="","",IF(MakeSchedule!AG224=0,0,MakeSchedule!AG224))</f>
        <v/>
      </c>
      <c r="K224" s="39"/>
      <c r="L224" s="39"/>
      <c r="M224" s="39"/>
      <c r="N224" s="39"/>
      <c r="O224" s="39"/>
      <c r="P224" s="39"/>
      <c r="Q224" s="39"/>
      <c r="R224" s="39"/>
      <c r="S224" s="39"/>
      <c r="T224" s="39"/>
      <c r="U224" s="39"/>
      <c r="V224" s="39"/>
      <c r="W224" s="39"/>
    </row>
    <row r="225" spans="1:23" x14ac:dyDescent="0.2">
      <c r="A225" s="66"/>
      <c r="B225" s="67" t="str">
        <f t="shared" si="12"/>
        <v/>
      </c>
      <c r="C225" s="68" t="str">
        <f>IF(MakeSchedule!AB225=0,"",MakeSchedule!AB225)</f>
        <v/>
      </c>
      <c r="D225" s="69" t="str">
        <f>IF(MakeSchedule!AC225=0,"",MakeSchedule!AC225)</f>
        <v/>
      </c>
      <c r="E225" s="69" t="str">
        <f>IF(MakeSchedule!AD225=0,"",MakeSchedule!AD225)</f>
        <v/>
      </c>
      <c r="F225" s="73" t="str">
        <f>IF(MakeSchedule!AD225=0,"",MakeSchedule!AC225/MakeSchedule!AD225)</f>
        <v/>
      </c>
      <c r="G225" s="73" t="str">
        <f t="shared" si="9"/>
        <v/>
      </c>
      <c r="H225" s="73" t="str">
        <f t="shared" si="10"/>
        <v/>
      </c>
      <c r="I225" s="69" t="str">
        <f>IF(MakeSchedule!AF225=0,"",MakeSchedule!AF225)</f>
        <v/>
      </c>
      <c r="J225" s="69" t="str">
        <f>IF(I225="","",IF(MakeSchedule!AG225=0,0,MakeSchedule!AG225))</f>
        <v/>
      </c>
      <c r="K225" s="39"/>
      <c r="L225" s="39"/>
      <c r="M225" s="39"/>
      <c r="N225" s="39"/>
      <c r="O225" s="39"/>
      <c r="P225" s="39"/>
      <c r="Q225" s="39"/>
      <c r="R225" s="39"/>
      <c r="S225" s="39"/>
      <c r="T225" s="39"/>
      <c r="U225" s="39"/>
      <c r="V225" s="39"/>
      <c r="W225" s="39"/>
    </row>
    <row r="226" spans="1:23" x14ac:dyDescent="0.2">
      <c r="A226" s="66"/>
      <c r="B226" s="67" t="str">
        <f t="shared" si="12"/>
        <v/>
      </c>
      <c r="C226" s="68" t="str">
        <f>IF(MakeSchedule!AB226=0,"",MakeSchedule!AB226)</f>
        <v/>
      </c>
      <c r="D226" s="69" t="str">
        <f>IF(MakeSchedule!AC226=0,"",MakeSchedule!AC226)</f>
        <v/>
      </c>
      <c r="E226" s="69" t="str">
        <f>IF(MakeSchedule!AD226=0,"",MakeSchedule!AD226)</f>
        <v/>
      </c>
      <c r="F226" s="73" t="str">
        <f>IF(MakeSchedule!AD226=0,"",MakeSchedule!AC226/MakeSchedule!AD226)</f>
        <v/>
      </c>
      <c r="G226" s="73" t="str">
        <f t="shared" si="9"/>
        <v/>
      </c>
      <c r="H226" s="73" t="str">
        <f t="shared" si="10"/>
        <v/>
      </c>
      <c r="I226" s="69" t="str">
        <f>IF(MakeSchedule!AF226=0,"",MakeSchedule!AF226)</f>
        <v/>
      </c>
      <c r="J226" s="69" t="str">
        <f>IF(I226="","",IF(MakeSchedule!AG226=0,0,MakeSchedule!AG226))</f>
        <v/>
      </c>
      <c r="K226" s="39"/>
      <c r="L226" s="39"/>
      <c r="M226" s="39"/>
      <c r="N226" s="39"/>
      <c r="O226" s="39"/>
      <c r="P226" s="39"/>
      <c r="Q226" s="39"/>
      <c r="R226" s="39"/>
      <c r="S226" s="39"/>
      <c r="T226" s="39"/>
      <c r="U226" s="39"/>
      <c r="V226" s="39"/>
      <c r="W226" s="39"/>
    </row>
    <row r="227" spans="1:23" x14ac:dyDescent="0.2">
      <c r="A227" s="66"/>
      <c r="B227" s="67" t="str">
        <f t="shared" si="12"/>
        <v/>
      </c>
      <c r="C227" s="68" t="str">
        <f>IF(MakeSchedule!AB227=0,"",MakeSchedule!AB227)</f>
        <v/>
      </c>
      <c r="D227" s="69" t="str">
        <f>IF(MakeSchedule!AC227=0,"",MakeSchedule!AC227)</f>
        <v/>
      </c>
      <c r="E227" s="69" t="str">
        <f>IF(MakeSchedule!AD227=0,"",MakeSchedule!AD227)</f>
        <v/>
      </c>
      <c r="F227" s="73" t="str">
        <f>IF(MakeSchedule!AD227=0,"",MakeSchedule!AC227/MakeSchedule!AD227)</f>
        <v/>
      </c>
      <c r="G227" s="73" t="str">
        <f t="shared" si="9"/>
        <v/>
      </c>
      <c r="H227" s="73" t="str">
        <f t="shared" si="10"/>
        <v/>
      </c>
      <c r="I227" s="69" t="str">
        <f>IF(MakeSchedule!AF227=0,"",MakeSchedule!AF227)</f>
        <v/>
      </c>
      <c r="J227" s="69" t="str">
        <f>IF(I227="","",IF(MakeSchedule!AG227=0,0,MakeSchedule!AG227))</f>
        <v/>
      </c>
      <c r="K227" s="39"/>
      <c r="L227" s="39"/>
      <c r="M227" s="39"/>
      <c r="N227" s="39"/>
      <c r="O227" s="39"/>
      <c r="P227" s="39"/>
      <c r="Q227" s="39"/>
      <c r="R227" s="39"/>
      <c r="S227" s="39"/>
      <c r="T227" s="39"/>
      <c r="U227" s="39"/>
      <c r="V227" s="39"/>
      <c r="W227" s="39"/>
    </row>
    <row r="228" spans="1:23" x14ac:dyDescent="0.2">
      <c r="A228" s="66"/>
      <c r="B228" s="67" t="str">
        <f t="shared" si="12"/>
        <v/>
      </c>
      <c r="C228" s="68" t="str">
        <f>IF(MakeSchedule!AB228=0,"",MakeSchedule!AB228)</f>
        <v/>
      </c>
      <c r="D228" s="69" t="str">
        <f>IF(MakeSchedule!AC228=0,"",MakeSchedule!AC228)</f>
        <v/>
      </c>
      <c r="E228" s="69" t="str">
        <f>IF(MakeSchedule!AD228=0,"",MakeSchedule!AD228)</f>
        <v/>
      </c>
      <c r="F228" s="73" t="str">
        <f>IF(MakeSchedule!AD228=0,"",MakeSchedule!AC228/MakeSchedule!AD228)</f>
        <v/>
      </c>
      <c r="G228" s="73" t="str">
        <f t="shared" si="9"/>
        <v/>
      </c>
      <c r="H228" s="73" t="str">
        <f t="shared" si="10"/>
        <v/>
      </c>
      <c r="I228" s="69" t="str">
        <f>IF(MakeSchedule!AF228=0,"",MakeSchedule!AF228)</f>
        <v/>
      </c>
      <c r="J228" s="69" t="str">
        <f>IF(I228="","",IF(MakeSchedule!AG228=0,0,MakeSchedule!AG228))</f>
        <v/>
      </c>
      <c r="K228" s="39"/>
      <c r="L228" s="39"/>
      <c r="M228" s="39"/>
      <c r="N228" s="39"/>
      <c r="O228" s="39"/>
      <c r="P228" s="39"/>
      <c r="Q228" s="39"/>
      <c r="R228" s="39"/>
      <c r="S228" s="39"/>
      <c r="T228" s="39"/>
      <c r="U228" s="39"/>
      <c r="V228" s="39"/>
      <c r="W228" s="39"/>
    </row>
    <row r="229" spans="1:23" x14ac:dyDescent="0.2">
      <c r="A229" s="66"/>
      <c r="B229" s="67" t="str">
        <f t="shared" si="12"/>
        <v/>
      </c>
      <c r="C229" s="68" t="str">
        <f>IF(MakeSchedule!AB229=0,"",MakeSchedule!AB229)</f>
        <v/>
      </c>
      <c r="D229" s="69" t="str">
        <f>IF(MakeSchedule!AC229=0,"",MakeSchedule!AC229)</f>
        <v/>
      </c>
      <c r="E229" s="69" t="str">
        <f>IF(MakeSchedule!AD229=0,"",MakeSchedule!AD229)</f>
        <v/>
      </c>
      <c r="F229" s="73" t="str">
        <f>IF(MakeSchedule!AD229=0,"",MakeSchedule!AC229/MakeSchedule!AD229)</f>
        <v/>
      </c>
      <c r="G229" s="73" t="str">
        <f t="shared" si="9"/>
        <v/>
      </c>
      <c r="H229" s="73" t="str">
        <f t="shared" si="10"/>
        <v/>
      </c>
      <c r="I229" s="69" t="str">
        <f>IF(MakeSchedule!AF229=0,"",MakeSchedule!AF229)</f>
        <v/>
      </c>
      <c r="J229" s="69" t="str">
        <f>IF(I229="","",IF(MakeSchedule!AG229=0,0,MakeSchedule!AG229))</f>
        <v/>
      </c>
      <c r="K229" s="39"/>
      <c r="L229" s="39"/>
      <c r="M229" s="39"/>
      <c r="N229" s="39"/>
      <c r="O229" s="39"/>
      <c r="P229" s="39"/>
      <c r="Q229" s="39"/>
      <c r="R229" s="39"/>
      <c r="S229" s="39"/>
      <c r="T229" s="39"/>
      <c r="U229" s="39"/>
      <c r="V229" s="39"/>
      <c r="W229" s="39"/>
    </row>
    <row r="230" spans="1:23" x14ac:dyDescent="0.2">
      <c r="A230" s="66"/>
      <c r="B230" s="67" t="str">
        <f t="shared" si="12"/>
        <v/>
      </c>
      <c r="C230" s="68" t="str">
        <f>IF(MakeSchedule!AB230=0,"",MakeSchedule!AB230)</f>
        <v/>
      </c>
      <c r="D230" s="69" t="str">
        <f>IF(MakeSchedule!AC230=0,"",MakeSchedule!AC230)</f>
        <v/>
      </c>
      <c r="E230" s="69" t="str">
        <f>IF(MakeSchedule!AD230=0,"",MakeSchedule!AD230)</f>
        <v/>
      </c>
      <c r="F230" s="73" t="str">
        <f>IF(MakeSchedule!AD230=0,"",MakeSchedule!AC230/MakeSchedule!AD230)</f>
        <v/>
      </c>
      <c r="G230" s="73" t="str">
        <f t="shared" si="9"/>
        <v/>
      </c>
      <c r="H230" s="73" t="str">
        <f t="shared" si="10"/>
        <v/>
      </c>
      <c r="I230" s="69" t="str">
        <f>IF(MakeSchedule!AF230=0,"",MakeSchedule!AF230)</f>
        <v/>
      </c>
      <c r="J230" s="69" t="str">
        <f>IF(I230="","",IF(MakeSchedule!AG230=0,0,MakeSchedule!AG230))</f>
        <v/>
      </c>
      <c r="K230" s="39"/>
      <c r="L230" s="39"/>
      <c r="M230" s="39"/>
      <c r="N230" s="39"/>
      <c r="O230" s="39"/>
      <c r="P230" s="39"/>
      <c r="Q230" s="39"/>
      <c r="R230" s="39"/>
      <c r="S230" s="39"/>
      <c r="T230" s="39"/>
      <c r="U230" s="39"/>
      <c r="V230" s="39"/>
      <c r="W230" s="39"/>
    </row>
    <row r="231" spans="1:23" x14ac:dyDescent="0.2">
      <c r="A231" s="66"/>
      <c r="B231" s="67" t="str">
        <f t="shared" si="12"/>
        <v/>
      </c>
      <c r="C231" s="68" t="str">
        <f>IF(MakeSchedule!AB231=0,"",MakeSchedule!AB231)</f>
        <v/>
      </c>
      <c r="D231" s="69" t="str">
        <f>IF(MakeSchedule!AC231=0,"",MakeSchedule!AC231)</f>
        <v/>
      </c>
      <c r="E231" s="69" t="str">
        <f>IF(MakeSchedule!AD231=0,"",MakeSchedule!AD231)</f>
        <v/>
      </c>
      <c r="F231" s="73" t="str">
        <f>IF(MakeSchedule!AD231=0,"",MakeSchedule!AC231/MakeSchedule!AD231)</f>
        <v/>
      </c>
      <c r="G231" s="73" t="str">
        <f t="shared" si="9"/>
        <v/>
      </c>
      <c r="H231" s="73" t="str">
        <f t="shared" si="10"/>
        <v/>
      </c>
      <c r="I231" s="69" t="str">
        <f>IF(MakeSchedule!AF231=0,"",MakeSchedule!AF231)</f>
        <v/>
      </c>
      <c r="J231" s="69" t="str">
        <f>IF(I231="","",IF(MakeSchedule!AG231=0,0,MakeSchedule!AG231))</f>
        <v/>
      </c>
      <c r="K231" s="39"/>
      <c r="L231" s="39"/>
      <c r="M231" s="39"/>
      <c r="N231" s="39"/>
      <c r="O231" s="39"/>
      <c r="P231" s="39"/>
      <c r="Q231" s="39"/>
      <c r="R231" s="39"/>
      <c r="S231" s="39"/>
      <c r="T231" s="39"/>
      <c r="U231" s="39"/>
      <c r="V231" s="39"/>
      <c r="W231" s="39"/>
    </row>
    <row r="232" spans="1:23" x14ac:dyDescent="0.2">
      <c r="A232" s="66"/>
      <c r="B232" s="67" t="str">
        <f t="shared" si="12"/>
        <v/>
      </c>
      <c r="C232" s="68" t="str">
        <f>IF(MakeSchedule!AB232=0,"",MakeSchedule!AB232)</f>
        <v/>
      </c>
      <c r="D232" s="69" t="str">
        <f>IF(MakeSchedule!AC232=0,"",MakeSchedule!AC232)</f>
        <v/>
      </c>
      <c r="E232" s="69" t="str">
        <f>IF(MakeSchedule!AD232=0,"",MakeSchedule!AD232)</f>
        <v/>
      </c>
      <c r="F232" s="73" t="str">
        <f>IF(MakeSchedule!AD232=0,"",MakeSchedule!AC232/MakeSchedule!AD232)</f>
        <v/>
      </c>
      <c r="G232" s="73" t="str">
        <f t="shared" si="9"/>
        <v/>
      </c>
      <c r="H232" s="73" t="str">
        <f t="shared" si="10"/>
        <v/>
      </c>
      <c r="I232" s="69" t="str">
        <f>IF(MakeSchedule!AF232=0,"",MakeSchedule!AF232)</f>
        <v/>
      </c>
      <c r="J232" s="69" t="str">
        <f>IF(I232="","",IF(MakeSchedule!AG232=0,0,MakeSchedule!AG232))</f>
        <v/>
      </c>
      <c r="K232" s="39"/>
      <c r="L232" s="39"/>
      <c r="M232" s="39"/>
      <c r="N232" s="39"/>
      <c r="O232" s="39"/>
      <c r="P232" s="39"/>
      <c r="Q232" s="39"/>
      <c r="R232" s="39"/>
      <c r="S232" s="39"/>
      <c r="T232" s="39"/>
      <c r="U232" s="39"/>
      <c r="V232" s="39"/>
      <c r="W232" s="39"/>
    </row>
    <row r="233" spans="1:23" x14ac:dyDescent="0.2">
      <c r="A233" s="66"/>
      <c r="B233" s="67" t="str">
        <f t="shared" si="12"/>
        <v/>
      </c>
      <c r="C233" s="68" t="str">
        <f>IF(MakeSchedule!AB233=0,"",MakeSchedule!AB233)</f>
        <v/>
      </c>
      <c r="D233" s="69" t="str">
        <f>IF(MakeSchedule!AC233=0,"",MakeSchedule!AC233)</f>
        <v/>
      </c>
      <c r="E233" s="69" t="str">
        <f>IF(MakeSchedule!AD233=0,"",MakeSchedule!AD233)</f>
        <v/>
      </c>
      <c r="F233" s="73" t="str">
        <f>IF(MakeSchedule!AD233=0,"",MakeSchedule!AC233/MakeSchedule!AD233)</f>
        <v/>
      </c>
      <c r="G233" s="73" t="str">
        <f t="shared" si="9"/>
        <v/>
      </c>
      <c r="H233" s="73" t="str">
        <f t="shared" si="10"/>
        <v/>
      </c>
      <c r="I233" s="69" t="str">
        <f>IF(MakeSchedule!AF233=0,"",MakeSchedule!AF233)</f>
        <v/>
      </c>
      <c r="J233" s="69" t="str">
        <f>IF(I233="","",IF(MakeSchedule!AG233=0,0,MakeSchedule!AG233))</f>
        <v/>
      </c>
      <c r="K233" s="39"/>
      <c r="L233" s="39"/>
      <c r="M233" s="39"/>
      <c r="N233" s="39"/>
      <c r="O233" s="39"/>
      <c r="P233" s="39"/>
      <c r="Q233" s="39"/>
      <c r="R233" s="39"/>
      <c r="S233" s="39"/>
      <c r="T233" s="39"/>
      <c r="U233" s="39"/>
      <c r="V233" s="39"/>
      <c r="W233" s="39"/>
    </row>
    <row r="234" spans="1:23" x14ac:dyDescent="0.2">
      <c r="A234" s="66"/>
      <c r="B234" s="67" t="str">
        <f t="shared" si="12"/>
        <v/>
      </c>
      <c r="C234" s="68" t="str">
        <f>IF(MakeSchedule!AB234=0,"",MakeSchedule!AB234)</f>
        <v/>
      </c>
      <c r="D234" s="69" t="str">
        <f>IF(MakeSchedule!AC234=0,"",MakeSchedule!AC234)</f>
        <v/>
      </c>
      <c r="E234" s="69" t="str">
        <f>IF(MakeSchedule!AD234=0,"",MakeSchedule!AD234)</f>
        <v/>
      </c>
      <c r="F234" s="73" t="str">
        <f>IF(MakeSchedule!AD234=0,"",MakeSchedule!AC234/MakeSchedule!AD234)</f>
        <v/>
      </c>
      <c r="G234" s="73" t="str">
        <f t="shared" si="9"/>
        <v/>
      </c>
      <c r="H234" s="73" t="str">
        <f t="shared" si="10"/>
        <v/>
      </c>
      <c r="I234" s="69" t="str">
        <f>IF(MakeSchedule!AF234=0,"",MakeSchedule!AF234)</f>
        <v/>
      </c>
      <c r="J234" s="69" t="str">
        <f>IF(I234="","",IF(MakeSchedule!AG234=0,0,MakeSchedule!AG234))</f>
        <v/>
      </c>
      <c r="K234" s="39"/>
      <c r="L234" s="39"/>
      <c r="M234" s="39"/>
      <c r="N234" s="39"/>
      <c r="O234" s="39"/>
      <c r="P234" s="39"/>
      <c r="Q234" s="39"/>
      <c r="R234" s="39"/>
      <c r="S234" s="39"/>
      <c r="T234" s="39"/>
      <c r="U234" s="39"/>
      <c r="V234" s="39"/>
      <c r="W234" s="39"/>
    </row>
    <row r="235" spans="1:23" x14ac:dyDescent="0.2">
      <c r="A235" s="66"/>
      <c r="B235" s="67" t="str">
        <f t="shared" si="12"/>
        <v/>
      </c>
      <c r="C235" s="68" t="str">
        <f>IF(MakeSchedule!AB235=0,"",MakeSchedule!AB235)</f>
        <v/>
      </c>
      <c r="D235" s="69" t="str">
        <f>IF(MakeSchedule!AC235=0,"",MakeSchedule!AC235)</f>
        <v/>
      </c>
      <c r="E235" s="69" t="str">
        <f>IF(MakeSchedule!AD235=0,"",MakeSchedule!AD235)</f>
        <v/>
      </c>
      <c r="F235" s="73" t="str">
        <f>IF(MakeSchedule!AD235=0,"",MakeSchedule!AC235/MakeSchedule!AD235)</f>
        <v/>
      </c>
      <c r="G235" s="73" t="str">
        <f t="shared" si="9"/>
        <v/>
      </c>
      <c r="H235" s="73" t="str">
        <f t="shared" si="10"/>
        <v/>
      </c>
      <c r="I235" s="69" t="str">
        <f>IF(MakeSchedule!AF235=0,"",MakeSchedule!AF235)</f>
        <v/>
      </c>
      <c r="J235" s="69" t="str">
        <f>IF(I235="","",IF(MakeSchedule!AG235=0,0,MakeSchedule!AG235))</f>
        <v/>
      </c>
      <c r="K235" s="39"/>
      <c r="L235" s="39"/>
      <c r="M235" s="39"/>
      <c r="N235" s="39"/>
      <c r="O235" s="39"/>
      <c r="P235" s="39"/>
      <c r="Q235" s="39"/>
      <c r="R235" s="39"/>
      <c r="S235" s="39"/>
      <c r="T235" s="39"/>
      <c r="U235" s="39"/>
      <c r="V235" s="39"/>
      <c r="W235" s="39"/>
    </row>
    <row r="236" spans="1:23" x14ac:dyDescent="0.2">
      <c r="A236" s="66"/>
      <c r="B236" s="67" t="str">
        <f t="shared" si="12"/>
        <v/>
      </c>
      <c r="C236" s="68" t="str">
        <f>IF(MakeSchedule!AB236=0,"",MakeSchedule!AB236)</f>
        <v/>
      </c>
      <c r="D236" s="69" t="str">
        <f>IF(MakeSchedule!AC236=0,"",MakeSchedule!AC236)</f>
        <v/>
      </c>
      <c r="E236" s="69" t="str">
        <f>IF(MakeSchedule!AD236=0,"",MakeSchedule!AD236)</f>
        <v/>
      </c>
      <c r="F236" s="73" t="str">
        <f>IF(MakeSchedule!AD236=0,"",MakeSchedule!AC236/MakeSchedule!AD236)</f>
        <v/>
      </c>
      <c r="G236" s="73" t="str">
        <f t="shared" si="9"/>
        <v/>
      </c>
      <c r="H236" s="73" t="str">
        <f t="shared" si="10"/>
        <v/>
      </c>
      <c r="I236" s="69" t="str">
        <f>IF(MakeSchedule!AF236=0,"",MakeSchedule!AF236)</f>
        <v/>
      </c>
      <c r="J236" s="69" t="str">
        <f>IF(I236="","",IF(MakeSchedule!AG236=0,0,MakeSchedule!AG236))</f>
        <v/>
      </c>
      <c r="K236" s="39"/>
      <c r="L236" s="39"/>
      <c r="M236" s="39"/>
      <c r="N236" s="39"/>
      <c r="O236" s="39"/>
      <c r="P236" s="39"/>
      <c r="Q236" s="39"/>
      <c r="R236" s="39"/>
      <c r="S236" s="39"/>
      <c r="T236" s="39"/>
      <c r="U236" s="39"/>
      <c r="V236" s="39"/>
      <c r="W236" s="39"/>
    </row>
    <row r="237" spans="1:23" x14ac:dyDescent="0.2">
      <c r="A237" s="66"/>
      <c r="B237" s="67" t="str">
        <f t="shared" si="12"/>
        <v/>
      </c>
      <c r="C237" s="68" t="str">
        <f>IF(MakeSchedule!AB237=0,"",MakeSchedule!AB237)</f>
        <v/>
      </c>
      <c r="D237" s="69" t="str">
        <f>IF(MakeSchedule!AC237=0,"",MakeSchedule!AC237)</f>
        <v/>
      </c>
      <c r="E237" s="69" t="str">
        <f>IF(MakeSchedule!AD237=0,"",MakeSchedule!AD237)</f>
        <v/>
      </c>
      <c r="F237" s="73" t="str">
        <f>IF(MakeSchedule!AD237=0,"",MakeSchedule!AC237/MakeSchedule!AD237)</f>
        <v/>
      </c>
      <c r="G237" s="73" t="str">
        <f t="shared" si="9"/>
        <v/>
      </c>
      <c r="H237" s="73" t="str">
        <f t="shared" si="10"/>
        <v/>
      </c>
      <c r="I237" s="69" t="str">
        <f>IF(MakeSchedule!AF237=0,"",MakeSchedule!AF237)</f>
        <v/>
      </c>
      <c r="J237" s="69" t="str">
        <f>IF(I237="","",IF(MakeSchedule!AG237=0,0,MakeSchedule!AG237))</f>
        <v/>
      </c>
      <c r="K237" s="39"/>
      <c r="L237" s="39"/>
      <c r="M237" s="39"/>
      <c r="N237" s="39"/>
      <c r="O237" s="39"/>
      <c r="P237" s="39"/>
      <c r="Q237" s="39"/>
      <c r="R237" s="39"/>
      <c r="S237" s="39"/>
      <c r="T237" s="39"/>
      <c r="U237" s="39"/>
      <c r="V237" s="39"/>
      <c r="W237" s="39"/>
    </row>
    <row r="238" spans="1:23" x14ac:dyDescent="0.2">
      <c r="A238" s="66"/>
      <c r="B238" s="67" t="str">
        <f t="shared" si="12"/>
        <v/>
      </c>
      <c r="C238" s="68" t="str">
        <f>IF(MakeSchedule!AB238=0,"",MakeSchedule!AB238)</f>
        <v/>
      </c>
      <c r="D238" s="69" t="str">
        <f>IF(MakeSchedule!AC238=0,"",MakeSchedule!AC238)</f>
        <v/>
      </c>
      <c r="E238" s="69" t="str">
        <f>IF(MakeSchedule!AD238=0,"",MakeSchedule!AD238)</f>
        <v/>
      </c>
      <c r="F238" s="73" t="str">
        <f>IF(MakeSchedule!AD238=0,"",MakeSchedule!AC238/MakeSchedule!AD238)</f>
        <v/>
      </c>
      <c r="G238" s="73" t="str">
        <f t="shared" si="9"/>
        <v/>
      </c>
      <c r="H238" s="73" t="str">
        <f t="shared" si="10"/>
        <v/>
      </c>
      <c r="I238" s="69" t="str">
        <f>IF(MakeSchedule!AF238=0,"",MakeSchedule!AF238)</f>
        <v/>
      </c>
      <c r="J238" s="69" t="str">
        <f>IF(I238="","",IF(MakeSchedule!AG238=0,0,MakeSchedule!AG238))</f>
        <v/>
      </c>
      <c r="K238" s="39"/>
      <c r="L238" s="39"/>
      <c r="M238" s="39"/>
      <c r="N238" s="39"/>
      <c r="O238" s="39"/>
      <c r="P238" s="39"/>
      <c r="Q238" s="39"/>
      <c r="R238" s="39"/>
      <c r="S238" s="39"/>
      <c r="T238" s="39"/>
      <c r="U238" s="39"/>
      <c r="V238" s="39"/>
      <c r="W238" s="39"/>
    </row>
    <row r="239" spans="1:23" x14ac:dyDescent="0.2">
      <c r="A239" s="66"/>
      <c r="B239" s="67" t="str">
        <f t="shared" si="12"/>
        <v/>
      </c>
      <c r="C239" s="68" t="str">
        <f>IF(MakeSchedule!AB239=0,"",MakeSchedule!AB239)</f>
        <v/>
      </c>
      <c r="D239" s="69" t="str">
        <f>IF(MakeSchedule!AC239=0,"",MakeSchedule!AC239)</f>
        <v/>
      </c>
      <c r="E239" s="69" t="str">
        <f>IF(MakeSchedule!AD239=0,"",MakeSchedule!AD239)</f>
        <v/>
      </c>
      <c r="F239" s="73" t="str">
        <f>IF(MakeSchedule!AD239=0,"",MakeSchedule!AC239/MakeSchedule!AD239)</f>
        <v/>
      </c>
      <c r="G239" s="73" t="str">
        <f t="shared" si="9"/>
        <v/>
      </c>
      <c r="H239" s="73" t="str">
        <f t="shared" si="10"/>
        <v/>
      </c>
      <c r="I239" s="69" t="str">
        <f>IF(MakeSchedule!AF239=0,"",MakeSchedule!AF239)</f>
        <v/>
      </c>
      <c r="J239" s="69" t="str">
        <f>IF(I239="","",IF(MakeSchedule!AG239=0,0,MakeSchedule!AG239))</f>
        <v/>
      </c>
      <c r="K239" s="39"/>
      <c r="L239" s="39"/>
      <c r="M239" s="39"/>
      <c r="N239" s="39"/>
      <c r="O239" s="39"/>
      <c r="P239" s="39"/>
      <c r="Q239" s="39"/>
      <c r="R239" s="39"/>
      <c r="S239" s="39"/>
      <c r="T239" s="39"/>
      <c r="U239" s="39"/>
      <c r="V239" s="39"/>
      <c r="W239" s="39"/>
    </row>
    <row r="240" spans="1:23" x14ac:dyDescent="0.2">
      <c r="A240" s="66"/>
      <c r="B240" s="67" t="str">
        <f t="shared" si="12"/>
        <v/>
      </c>
      <c r="C240" s="68" t="str">
        <f>IF(MakeSchedule!AB240=0,"",MakeSchedule!AB240)</f>
        <v/>
      </c>
      <c r="D240" s="69" t="str">
        <f>IF(MakeSchedule!AC240=0,"",MakeSchedule!AC240)</f>
        <v/>
      </c>
      <c r="E240" s="69" t="str">
        <f>IF(MakeSchedule!AD240=0,"",MakeSchedule!AD240)</f>
        <v/>
      </c>
      <c r="F240" s="73" t="str">
        <f>IF(MakeSchedule!AD240=0,"",MakeSchedule!AC240/MakeSchedule!AD240)</f>
        <v/>
      </c>
      <c r="G240" s="73" t="str">
        <f t="shared" si="9"/>
        <v/>
      </c>
      <c r="H240" s="73" t="str">
        <f t="shared" si="10"/>
        <v/>
      </c>
      <c r="I240" s="69" t="str">
        <f>IF(MakeSchedule!AF240=0,"",MakeSchedule!AF240)</f>
        <v/>
      </c>
      <c r="J240" s="69" t="str">
        <f>IF(I240="","",IF(MakeSchedule!AG240=0,0,MakeSchedule!AG240))</f>
        <v/>
      </c>
      <c r="K240" s="39"/>
      <c r="L240" s="39"/>
      <c r="M240" s="39"/>
      <c r="N240" s="39"/>
      <c r="O240" s="39"/>
      <c r="P240" s="39"/>
      <c r="Q240" s="39"/>
      <c r="R240" s="39"/>
      <c r="S240" s="39"/>
      <c r="T240" s="39"/>
      <c r="U240" s="39"/>
      <c r="V240" s="39"/>
      <c r="W240" s="39"/>
    </row>
    <row r="241" spans="1:23" x14ac:dyDescent="0.2">
      <c r="A241" s="66"/>
      <c r="B241" s="67" t="str">
        <f t="shared" si="12"/>
        <v/>
      </c>
      <c r="C241" s="68" t="str">
        <f>IF(MakeSchedule!AB241=0,"",MakeSchedule!AB241)</f>
        <v/>
      </c>
      <c r="D241" s="69" t="str">
        <f>IF(MakeSchedule!AC241=0,"",MakeSchedule!AC241)</f>
        <v/>
      </c>
      <c r="E241" s="69" t="str">
        <f>IF(MakeSchedule!AD241=0,"",MakeSchedule!AD241)</f>
        <v/>
      </c>
      <c r="F241" s="73" t="str">
        <f>IF(MakeSchedule!AD241=0,"",MakeSchedule!AC241/MakeSchedule!AD241)</f>
        <v/>
      </c>
      <c r="G241" s="73" t="str">
        <f t="shared" si="9"/>
        <v/>
      </c>
      <c r="H241" s="73" t="str">
        <f t="shared" si="10"/>
        <v/>
      </c>
      <c r="I241" s="69" t="str">
        <f>IF(MakeSchedule!AF241=0,"",MakeSchedule!AF241)</f>
        <v/>
      </c>
      <c r="J241" s="69" t="str">
        <f>IF(I241="","",IF(MakeSchedule!AG241=0,0,MakeSchedule!AG241))</f>
        <v/>
      </c>
      <c r="K241" s="39"/>
      <c r="L241" s="39"/>
      <c r="M241" s="39"/>
      <c r="N241" s="39"/>
      <c r="O241" s="39"/>
      <c r="P241" s="39"/>
      <c r="Q241" s="39"/>
      <c r="R241" s="39"/>
      <c r="S241" s="39"/>
      <c r="T241" s="39"/>
      <c r="U241" s="39"/>
      <c r="V241" s="39"/>
      <c r="W241" s="39"/>
    </row>
    <row r="242" spans="1:23" x14ac:dyDescent="0.2">
      <c r="A242" s="66"/>
      <c r="B242" s="67" t="str">
        <f t="shared" si="12"/>
        <v/>
      </c>
      <c r="C242" s="68" t="str">
        <f>IF(MakeSchedule!AB242=0,"",MakeSchedule!AB242)</f>
        <v/>
      </c>
      <c r="D242" s="69" t="str">
        <f>IF(MakeSchedule!AC242=0,"",MakeSchedule!AC242)</f>
        <v/>
      </c>
      <c r="E242" s="69" t="str">
        <f>IF(MakeSchedule!AD242=0,"",MakeSchedule!AD242)</f>
        <v/>
      </c>
      <c r="F242" s="73" t="str">
        <f>IF(MakeSchedule!AD242=0,"",MakeSchedule!AC242/MakeSchedule!AD242)</f>
        <v/>
      </c>
      <c r="G242" s="73" t="str">
        <f t="shared" si="9"/>
        <v/>
      </c>
      <c r="H242" s="73" t="str">
        <f t="shared" si="10"/>
        <v/>
      </c>
      <c r="I242" s="69" t="str">
        <f>IF(MakeSchedule!AF242=0,"",MakeSchedule!AF242)</f>
        <v/>
      </c>
      <c r="J242" s="69" t="str">
        <f>IF(I242="","",IF(MakeSchedule!AG242=0,0,MakeSchedule!AG242))</f>
        <v/>
      </c>
      <c r="K242" s="39"/>
      <c r="L242" s="39"/>
      <c r="M242" s="39"/>
      <c r="N242" s="39"/>
      <c r="O242" s="39"/>
      <c r="P242" s="39"/>
      <c r="Q242" s="39"/>
      <c r="R242" s="39"/>
      <c r="S242" s="39"/>
      <c r="T242" s="39"/>
      <c r="U242" s="39"/>
      <c r="V242" s="39"/>
      <c r="W242" s="39"/>
    </row>
    <row r="243" spans="1:23" x14ac:dyDescent="0.2">
      <c r="A243" s="66"/>
      <c r="B243" s="67" t="str">
        <f t="shared" si="12"/>
        <v/>
      </c>
      <c r="C243" s="68" t="str">
        <f>IF(MakeSchedule!AB243=0,"",MakeSchedule!AB243)</f>
        <v/>
      </c>
      <c r="D243" s="69" t="str">
        <f>IF(MakeSchedule!AC243=0,"",MakeSchedule!AC243)</f>
        <v/>
      </c>
      <c r="E243" s="69" t="str">
        <f>IF(MakeSchedule!AD243=0,"",MakeSchedule!AD243)</f>
        <v/>
      </c>
      <c r="F243" s="73" t="str">
        <f>IF(MakeSchedule!AD243=0,"",MakeSchedule!AC243/MakeSchedule!AD243)</f>
        <v/>
      </c>
      <c r="G243" s="73" t="str">
        <f t="shared" si="9"/>
        <v/>
      </c>
      <c r="H243" s="73" t="str">
        <f t="shared" si="10"/>
        <v/>
      </c>
      <c r="I243" s="69" t="str">
        <f>IF(MakeSchedule!AF243=0,"",MakeSchedule!AF243)</f>
        <v/>
      </c>
      <c r="J243" s="69" t="str">
        <f>IF(I243="","",IF(MakeSchedule!AG243=0,0,MakeSchedule!AG243))</f>
        <v/>
      </c>
      <c r="K243" s="39"/>
      <c r="L243" s="39"/>
      <c r="M243" s="39"/>
      <c r="N243" s="39"/>
      <c r="O243" s="39"/>
      <c r="P243" s="39"/>
      <c r="Q243" s="39"/>
      <c r="R243" s="39"/>
      <c r="S243" s="39"/>
      <c r="T243" s="39"/>
      <c r="U243" s="39"/>
      <c r="V243" s="39"/>
      <c r="W243" s="39"/>
    </row>
    <row r="244" spans="1:23" x14ac:dyDescent="0.2">
      <c r="A244" s="66"/>
      <c r="B244" s="67" t="str">
        <f t="shared" si="12"/>
        <v/>
      </c>
      <c r="C244" s="68" t="str">
        <f>IF(MakeSchedule!AB244=0,"",MakeSchedule!AB244)</f>
        <v/>
      </c>
      <c r="D244" s="69" t="str">
        <f>IF(MakeSchedule!AC244=0,"",MakeSchedule!AC244)</f>
        <v/>
      </c>
      <c r="E244" s="69" t="str">
        <f>IF(MakeSchedule!AD244=0,"",MakeSchedule!AD244)</f>
        <v/>
      </c>
      <c r="F244" s="73" t="str">
        <f>IF(MakeSchedule!AD244=0,"",MakeSchedule!AC244/MakeSchedule!AD244)</f>
        <v/>
      </c>
      <c r="G244" s="73" t="str">
        <f t="shared" si="9"/>
        <v/>
      </c>
      <c r="H244" s="73" t="str">
        <f t="shared" si="10"/>
        <v/>
      </c>
      <c r="I244" s="69" t="str">
        <f>IF(MakeSchedule!AF244=0,"",MakeSchedule!AF244)</f>
        <v/>
      </c>
      <c r="J244" s="69" t="str">
        <f>IF(I244="","",IF(MakeSchedule!AG244=0,0,MakeSchedule!AG244))</f>
        <v/>
      </c>
      <c r="K244" s="39"/>
      <c r="L244" s="39"/>
      <c r="M244" s="39"/>
      <c r="N244" s="39"/>
      <c r="O244" s="39"/>
      <c r="P244" s="39"/>
      <c r="Q244" s="39"/>
      <c r="R244" s="39"/>
      <c r="S244" s="39"/>
      <c r="T244" s="39"/>
      <c r="U244" s="39"/>
      <c r="V244" s="39"/>
      <c r="W244" s="39"/>
    </row>
    <row r="245" spans="1:23" x14ac:dyDescent="0.2">
      <c r="A245" s="66"/>
      <c r="B245" s="67" t="str">
        <f t="shared" si="12"/>
        <v/>
      </c>
      <c r="C245" s="68" t="str">
        <f>IF(MakeSchedule!AB245=0,"",MakeSchedule!AB245)</f>
        <v/>
      </c>
      <c r="D245" s="69" t="str">
        <f>IF(MakeSchedule!AC245=0,"",MakeSchedule!AC245)</f>
        <v/>
      </c>
      <c r="E245" s="69" t="str">
        <f>IF(MakeSchedule!AD245=0,"",MakeSchedule!AD245)</f>
        <v/>
      </c>
      <c r="F245" s="73" t="str">
        <f>IF(MakeSchedule!AD245=0,"",MakeSchedule!AC245/MakeSchedule!AD245)</f>
        <v/>
      </c>
      <c r="G245" s="73" t="str">
        <f t="shared" si="9"/>
        <v/>
      </c>
      <c r="H245" s="73" t="str">
        <f t="shared" si="10"/>
        <v/>
      </c>
      <c r="I245" s="69" t="str">
        <f>IF(MakeSchedule!AF245=0,"",MakeSchedule!AF245)</f>
        <v/>
      </c>
      <c r="J245" s="69" t="str">
        <f>IF(I245="","",IF(MakeSchedule!AG245=0,0,MakeSchedule!AG245))</f>
        <v/>
      </c>
      <c r="K245" s="39"/>
      <c r="L245" s="39"/>
      <c r="M245" s="39"/>
      <c r="N245" s="39"/>
      <c r="O245" s="39"/>
      <c r="P245" s="39"/>
      <c r="Q245" s="39"/>
      <c r="R245" s="39"/>
      <c r="S245" s="39"/>
      <c r="T245" s="39"/>
      <c r="U245" s="39"/>
      <c r="V245" s="39"/>
      <c r="W245" s="39"/>
    </row>
    <row r="246" spans="1:23" x14ac:dyDescent="0.2">
      <c r="A246" s="66"/>
      <c r="B246" s="67" t="str">
        <f t="shared" si="12"/>
        <v/>
      </c>
      <c r="C246" s="68" t="str">
        <f>IF(MakeSchedule!AB246=0,"",MakeSchedule!AB246)</f>
        <v/>
      </c>
      <c r="D246" s="69" t="str">
        <f>IF(MakeSchedule!AC246=0,"",MakeSchedule!AC246)</f>
        <v/>
      </c>
      <c r="E246" s="69" t="str">
        <f>IF(MakeSchedule!AD246=0,"",MakeSchedule!AD246)</f>
        <v/>
      </c>
      <c r="F246" s="73" t="str">
        <f>IF(MakeSchedule!AD246=0,"",MakeSchedule!AC246/MakeSchedule!AD246)</f>
        <v/>
      </c>
      <c r="G246" s="73" t="str">
        <f t="shared" si="9"/>
        <v/>
      </c>
      <c r="H246" s="73" t="str">
        <f t="shared" si="10"/>
        <v/>
      </c>
      <c r="I246" s="69" t="str">
        <f>IF(MakeSchedule!AF246=0,"",MakeSchedule!AF246)</f>
        <v/>
      </c>
      <c r="J246" s="69" t="str">
        <f>IF(I246="","",IF(MakeSchedule!AG246=0,0,MakeSchedule!AG246))</f>
        <v/>
      </c>
      <c r="K246" s="39"/>
      <c r="L246" s="39"/>
      <c r="M246" s="39"/>
      <c r="N246" s="39"/>
      <c r="O246" s="39"/>
      <c r="P246" s="39"/>
      <c r="Q246" s="39"/>
      <c r="R246" s="39"/>
      <c r="S246" s="39"/>
      <c r="T246" s="39"/>
      <c r="U246" s="39"/>
      <c r="V246" s="39"/>
      <c r="W246" s="39"/>
    </row>
    <row r="247" spans="1:23" x14ac:dyDescent="0.2">
      <c r="A247" s="66"/>
      <c r="B247" s="67" t="str">
        <f t="shared" si="12"/>
        <v/>
      </c>
      <c r="C247" s="68" t="str">
        <f>IF(MakeSchedule!AB247=0,"",MakeSchedule!AB247)</f>
        <v/>
      </c>
      <c r="D247" s="69" t="str">
        <f>IF(MakeSchedule!AC247=0,"",MakeSchedule!AC247)</f>
        <v/>
      </c>
      <c r="E247" s="69" t="str">
        <f>IF(MakeSchedule!AD247=0,"",MakeSchedule!AD247)</f>
        <v/>
      </c>
      <c r="F247" s="73" t="str">
        <f>IF(MakeSchedule!AD247=0,"",MakeSchedule!AC247/MakeSchedule!AD247)</f>
        <v/>
      </c>
      <c r="G247" s="73" t="str">
        <f t="shared" si="9"/>
        <v/>
      </c>
      <c r="H247" s="73" t="str">
        <f t="shared" si="10"/>
        <v/>
      </c>
      <c r="I247" s="69" t="str">
        <f>IF(MakeSchedule!AF247=0,"",MakeSchedule!AF247)</f>
        <v/>
      </c>
      <c r="J247" s="69" t="str">
        <f>IF(I247="","",IF(MakeSchedule!AG247=0,0,MakeSchedule!AG247))</f>
        <v/>
      </c>
      <c r="K247" s="39"/>
      <c r="L247" s="39"/>
      <c r="M247" s="39"/>
      <c r="N247" s="39"/>
      <c r="O247" s="39"/>
      <c r="P247" s="39"/>
      <c r="Q247" s="39"/>
      <c r="R247" s="39"/>
      <c r="S247" s="39"/>
      <c r="T247" s="39"/>
      <c r="U247" s="39"/>
      <c r="V247" s="39"/>
      <c r="W247" s="39"/>
    </row>
    <row r="248" spans="1:23" x14ac:dyDescent="0.2">
      <c r="A248" s="66"/>
      <c r="B248" s="67" t="str">
        <f t="shared" si="12"/>
        <v/>
      </c>
      <c r="C248" s="68" t="str">
        <f>IF(MakeSchedule!AB248=0,"",MakeSchedule!AB248)</f>
        <v/>
      </c>
      <c r="D248" s="69" t="str">
        <f>IF(MakeSchedule!AC248=0,"",MakeSchedule!AC248)</f>
        <v/>
      </c>
      <c r="E248" s="69" t="str">
        <f>IF(MakeSchedule!AD248=0,"",MakeSchedule!AD248)</f>
        <v/>
      </c>
      <c r="F248" s="73" t="str">
        <f>IF(MakeSchedule!AD248=0,"",MakeSchedule!AC248/MakeSchedule!AD248)</f>
        <v/>
      </c>
      <c r="G248" s="73" t="str">
        <f t="shared" si="9"/>
        <v/>
      </c>
      <c r="H248" s="73" t="str">
        <f t="shared" si="10"/>
        <v/>
      </c>
      <c r="I248" s="69" t="str">
        <f>IF(MakeSchedule!AF248=0,"",MakeSchedule!AF248)</f>
        <v/>
      </c>
      <c r="J248" s="69" t="str">
        <f>IF(I248="","",IF(MakeSchedule!AG248=0,0,MakeSchedule!AG248))</f>
        <v/>
      </c>
      <c r="K248" s="39"/>
      <c r="L248" s="39"/>
      <c r="M248" s="39"/>
      <c r="N248" s="39"/>
      <c r="O248" s="39"/>
      <c r="P248" s="39"/>
      <c r="Q248" s="39"/>
      <c r="R248" s="39"/>
      <c r="S248" s="39"/>
      <c r="T248" s="39"/>
      <c r="U248" s="39"/>
      <c r="V248" s="39"/>
      <c r="W248" s="39"/>
    </row>
    <row r="249" spans="1:23" x14ac:dyDescent="0.2">
      <c r="A249" s="66"/>
      <c r="B249" s="67" t="str">
        <f t="shared" si="12"/>
        <v/>
      </c>
      <c r="C249" s="68" t="str">
        <f>IF(MakeSchedule!AB249=0,"",MakeSchedule!AB249)</f>
        <v/>
      </c>
      <c r="D249" s="69" t="str">
        <f>IF(MakeSchedule!AC249=0,"",MakeSchedule!AC249)</f>
        <v/>
      </c>
      <c r="E249" s="69" t="str">
        <f>IF(MakeSchedule!AD249=0,"",MakeSchedule!AD249)</f>
        <v/>
      </c>
      <c r="F249" s="73" t="str">
        <f>IF(MakeSchedule!AD249=0,"",MakeSchedule!AC249/MakeSchedule!AD249)</f>
        <v/>
      </c>
      <c r="G249" s="73" t="str">
        <f t="shared" si="9"/>
        <v/>
      </c>
      <c r="H249" s="73" t="str">
        <f t="shared" si="10"/>
        <v/>
      </c>
      <c r="I249" s="69" t="str">
        <f>IF(MakeSchedule!AF249=0,"",MakeSchedule!AF249)</f>
        <v/>
      </c>
      <c r="J249" s="69" t="str">
        <f>IF(I249="","",IF(MakeSchedule!AG249=0,0,MakeSchedule!AG249))</f>
        <v/>
      </c>
      <c r="K249" s="39"/>
      <c r="L249" s="39"/>
      <c r="M249" s="39"/>
      <c r="N249" s="39"/>
      <c r="O249" s="39"/>
      <c r="P249" s="39"/>
      <c r="Q249" s="39"/>
      <c r="R249" s="39"/>
      <c r="S249" s="39"/>
      <c r="T249" s="39"/>
      <c r="U249" s="39"/>
      <c r="V249" s="39"/>
      <c r="W249" s="39"/>
    </row>
    <row r="250" spans="1:23" x14ac:dyDescent="0.2">
      <c r="A250" s="66"/>
      <c r="B250" s="67" t="str">
        <f t="shared" si="12"/>
        <v/>
      </c>
      <c r="C250" s="68" t="str">
        <f>IF(MakeSchedule!AB250=0,"",MakeSchedule!AB250)</f>
        <v/>
      </c>
      <c r="D250" s="69" t="str">
        <f>IF(MakeSchedule!AC250=0,"",MakeSchedule!AC250)</f>
        <v/>
      </c>
      <c r="E250" s="69" t="str">
        <f>IF(MakeSchedule!AD250=0,"",MakeSchedule!AD250)</f>
        <v/>
      </c>
      <c r="F250" s="73" t="str">
        <f>IF(MakeSchedule!AD250=0,"",MakeSchedule!AC250/MakeSchedule!AD250)</f>
        <v/>
      </c>
      <c r="G250" s="73" t="str">
        <f t="shared" si="9"/>
        <v/>
      </c>
      <c r="H250" s="73" t="str">
        <f t="shared" si="10"/>
        <v/>
      </c>
      <c r="I250" s="69" t="str">
        <f>IF(MakeSchedule!AF250=0,"",MakeSchedule!AF250)</f>
        <v/>
      </c>
      <c r="J250" s="69" t="str">
        <f>IF(I250="","",IF(MakeSchedule!AG250=0,0,MakeSchedule!AG250))</f>
        <v/>
      </c>
      <c r="K250" s="39"/>
      <c r="L250" s="39"/>
      <c r="M250" s="39"/>
      <c r="N250" s="39"/>
      <c r="O250" s="39"/>
      <c r="P250" s="39"/>
      <c r="Q250" s="39"/>
      <c r="R250" s="39"/>
      <c r="S250" s="39"/>
      <c r="T250" s="39"/>
      <c r="U250" s="39"/>
      <c r="V250" s="39"/>
      <c r="W250" s="39"/>
    </row>
    <row r="251" spans="1:23" x14ac:dyDescent="0.2">
      <c r="A251" s="66"/>
      <c r="B251" s="67" t="str">
        <f t="shared" si="12"/>
        <v/>
      </c>
      <c r="C251" s="68" t="str">
        <f>IF(MakeSchedule!AB251=0,"",MakeSchedule!AB251)</f>
        <v/>
      </c>
      <c r="D251" s="69" t="str">
        <f>IF(MakeSchedule!AC251=0,"",MakeSchedule!AC251)</f>
        <v/>
      </c>
      <c r="E251" s="69" t="str">
        <f>IF(MakeSchedule!AD251=0,"",MakeSchedule!AD251)</f>
        <v/>
      </c>
      <c r="F251" s="73" t="str">
        <f>IF(MakeSchedule!AD251=0,"",MakeSchedule!AC251/MakeSchedule!AD251)</f>
        <v/>
      </c>
      <c r="G251" s="73" t="str">
        <f t="shared" si="9"/>
        <v/>
      </c>
      <c r="H251" s="73" t="str">
        <f t="shared" si="10"/>
        <v/>
      </c>
      <c r="I251" s="69" t="str">
        <f>IF(MakeSchedule!AF251=0,"",MakeSchedule!AF251)</f>
        <v/>
      </c>
      <c r="J251" s="69" t="str">
        <f>IF(I251="","",IF(MakeSchedule!AG251=0,0,MakeSchedule!AG251))</f>
        <v/>
      </c>
      <c r="K251" s="39"/>
      <c r="L251" s="39"/>
      <c r="M251" s="39"/>
      <c r="N251" s="39"/>
      <c r="O251" s="39"/>
      <c r="P251" s="39"/>
      <c r="Q251" s="39"/>
      <c r="R251" s="39"/>
      <c r="S251" s="39"/>
      <c r="T251" s="39"/>
      <c r="U251" s="39"/>
      <c r="V251" s="39"/>
      <c r="W251" s="39"/>
    </row>
    <row r="252" spans="1:23" x14ac:dyDescent="0.2">
      <c r="A252" s="66"/>
      <c r="B252" s="67" t="str">
        <f t="shared" si="12"/>
        <v/>
      </c>
      <c r="C252" s="68" t="str">
        <f>IF(MakeSchedule!AB252=0,"",MakeSchedule!AB252)</f>
        <v/>
      </c>
      <c r="D252" s="69" t="str">
        <f>IF(MakeSchedule!AC252=0,"",MakeSchedule!AC252)</f>
        <v/>
      </c>
      <c r="E252" s="69" t="str">
        <f>IF(MakeSchedule!AD252=0,"",MakeSchedule!AD252)</f>
        <v/>
      </c>
      <c r="F252" s="73" t="str">
        <f>IF(MakeSchedule!AD252=0,"",MakeSchedule!AC252/MakeSchedule!AD252)</f>
        <v/>
      </c>
      <c r="G252" s="73" t="str">
        <f t="shared" si="9"/>
        <v/>
      </c>
      <c r="H252" s="73" t="str">
        <f t="shared" si="10"/>
        <v/>
      </c>
      <c r="I252" s="69" t="str">
        <f>IF(MakeSchedule!AF252=0,"",MakeSchedule!AF252)</f>
        <v/>
      </c>
      <c r="J252" s="69" t="str">
        <f>IF(I252="","",IF(MakeSchedule!AG252=0,0,MakeSchedule!AG252))</f>
        <v/>
      </c>
      <c r="K252" s="39"/>
      <c r="L252" s="39"/>
      <c r="M252" s="39"/>
      <c r="N252" s="39"/>
      <c r="O252" s="39"/>
      <c r="P252" s="39"/>
      <c r="Q252" s="39"/>
      <c r="R252" s="39"/>
      <c r="S252" s="39"/>
      <c r="T252" s="39"/>
      <c r="U252" s="39"/>
      <c r="V252" s="39"/>
      <c r="W252" s="39"/>
    </row>
    <row r="253" spans="1:23" x14ac:dyDescent="0.2">
      <c r="A253" s="66"/>
      <c r="B253" s="67" t="str">
        <f t="shared" si="12"/>
        <v/>
      </c>
      <c r="C253" s="68" t="str">
        <f>IF(MakeSchedule!AB253=0,"",MakeSchedule!AB253)</f>
        <v/>
      </c>
      <c r="D253" s="69" t="str">
        <f>IF(MakeSchedule!AC253=0,"",MakeSchedule!AC253)</f>
        <v/>
      </c>
      <c r="E253" s="69" t="str">
        <f>IF(MakeSchedule!AD253=0,"",MakeSchedule!AD253)</f>
        <v/>
      </c>
      <c r="F253" s="73" t="str">
        <f>IF(MakeSchedule!AD253=0,"",MakeSchedule!AC253/MakeSchedule!AD253)</f>
        <v/>
      </c>
      <c r="G253" s="73" t="str">
        <f t="shared" si="9"/>
        <v/>
      </c>
      <c r="H253" s="73" t="str">
        <f t="shared" si="10"/>
        <v/>
      </c>
      <c r="I253" s="69" t="str">
        <f>IF(MakeSchedule!AF253=0,"",MakeSchedule!AF253)</f>
        <v/>
      </c>
      <c r="J253" s="69" t="str">
        <f>IF(I253="","",IF(MakeSchedule!AG253=0,0,MakeSchedule!AG253))</f>
        <v/>
      </c>
      <c r="K253" s="39"/>
      <c r="L253" s="39"/>
      <c r="M253" s="39"/>
      <c r="N253" s="39"/>
      <c r="O253" s="39"/>
      <c r="P253" s="39"/>
      <c r="Q253" s="39"/>
      <c r="R253" s="39"/>
      <c r="S253" s="39"/>
      <c r="T253" s="39"/>
      <c r="U253" s="39"/>
      <c r="V253" s="39"/>
      <c r="W253" s="39"/>
    </row>
    <row r="254" spans="1:23" x14ac:dyDescent="0.2">
      <c r="A254" s="66"/>
      <c r="B254" s="67" t="str">
        <f t="shared" si="12"/>
        <v/>
      </c>
      <c r="C254" s="68" t="str">
        <f>IF(MakeSchedule!AB254=0,"",MakeSchedule!AB254)</f>
        <v/>
      </c>
      <c r="D254" s="69" t="str">
        <f>IF(MakeSchedule!AC254=0,"",MakeSchedule!AC254)</f>
        <v/>
      </c>
      <c r="E254" s="69" t="str">
        <f>IF(MakeSchedule!AD254=0,"",MakeSchedule!AD254)</f>
        <v/>
      </c>
      <c r="F254" s="73" t="str">
        <f>IF(MakeSchedule!AD254=0,"",MakeSchedule!AC254/MakeSchedule!AD254)</f>
        <v/>
      </c>
      <c r="G254" s="73" t="str">
        <f t="shared" si="9"/>
        <v/>
      </c>
      <c r="H254" s="73" t="str">
        <f t="shared" si="10"/>
        <v/>
      </c>
      <c r="I254" s="69" t="str">
        <f>IF(MakeSchedule!AF254=0,"",MakeSchedule!AF254)</f>
        <v/>
      </c>
      <c r="J254" s="69" t="str">
        <f>IF(I254="","",IF(MakeSchedule!AG254=0,0,MakeSchedule!AG254))</f>
        <v/>
      </c>
      <c r="K254" s="39"/>
      <c r="L254" s="39"/>
      <c r="M254" s="39"/>
      <c r="N254" s="39"/>
      <c r="O254" s="39"/>
      <c r="P254" s="39"/>
      <c r="Q254" s="39"/>
      <c r="R254" s="39"/>
      <c r="S254" s="39"/>
      <c r="T254" s="39"/>
      <c r="U254" s="39"/>
      <c r="V254" s="39"/>
      <c r="W254" s="39"/>
    </row>
    <row r="255" spans="1:23" x14ac:dyDescent="0.2">
      <c r="A255" s="66"/>
      <c r="B255" s="67" t="str">
        <f t="shared" si="12"/>
        <v/>
      </c>
      <c r="C255" s="68" t="str">
        <f>IF(MakeSchedule!AB255=0,"",MakeSchedule!AB255)</f>
        <v/>
      </c>
      <c r="D255" s="69" t="str">
        <f>IF(MakeSchedule!AC255=0,"",MakeSchedule!AC255)</f>
        <v/>
      </c>
      <c r="E255" s="69" t="str">
        <f>IF(MakeSchedule!AD255=0,"",MakeSchedule!AD255)</f>
        <v/>
      </c>
      <c r="F255" s="73" t="str">
        <f>IF(MakeSchedule!AD255=0,"",MakeSchedule!AC255/MakeSchedule!AD255)</f>
        <v/>
      </c>
      <c r="G255" s="73" t="str">
        <f t="shared" si="9"/>
        <v/>
      </c>
      <c r="H255" s="73" t="str">
        <f t="shared" si="10"/>
        <v/>
      </c>
      <c r="I255" s="69" t="str">
        <f>IF(MakeSchedule!AF255=0,"",MakeSchedule!AF255)</f>
        <v/>
      </c>
      <c r="J255" s="69" t="str">
        <f>IF(I255="","",IF(MakeSchedule!AG255=0,0,MakeSchedule!AG255))</f>
        <v/>
      </c>
      <c r="K255" s="39"/>
      <c r="L255" s="39"/>
      <c r="M255" s="39"/>
      <c r="N255" s="39"/>
      <c r="O255" s="39"/>
      <c r="P255" s="39"/>
      <c r="Q255" s="39"/>
      <c r="R255" s="39"/>
      <c r="S255" s="39"/>
      <c r="T255" s="39"/>
      <c r="U255" s="39"/>
      <c r="V255" s="39"/>
      <c r="W255" s="39"/>
    </row>
    <row r="256" spans="1:23" x14ac:dyDescent="0.2">
      <c r="A256" s="66"/>
      <c r="B256" s="67" t="str">
        <f t="shared" si="12"/>
        <v/>
      </c>
      <c r="C256" s="68" t="str">
        <f>IF(MakeSchedule!AB256=0,"",MakeSchedule!AB256)</f>
        <v/>
      </c>
      <c r="D256" s="69" t="str">
        <f>IF(MakeSchedule!AC256=0,"",MakeSchedule!AC256)</f>
        <v/>
      </c>
      <c r="E256" s="69" t="str">
        <f>IF(MakeSchedule!AD256=0,"",MakeSchedule!AD256)</f>
        <v/>
      </c>
      <c r="F256" s="73" t="str">
        <f>IF(MakeSchedule!AD256=0,"",MakeSchedule!AC256/MakeSchedule!AD256)</f>
        <v/>
      </c>
      <c r="G256" s="73" t="str">
        <f t="shared" si="9"/>
        <v/>
      </c>
      <c r="H256" s="73" t="str">
        <f t="shared" si="10"/>
        <v/>
      </c>
      <c r="I256" s="69" t="str">
        <f>IF(MakeSchedule!AF256=0,"",MakeSchedule!AF256)</f>
        <v/>
      </c>
      <c r="J256" s="69" t="str">
        <f>IF(I256="","",IF(MakeSchedule!AG256=0,0,MakeSchedule!AG256))</f>
        <v/>
      </c>
      <c r="K256" s="39"/>
      <c r="L256" s="39"/>
      <c r="M256" s="39"/>
      <c r="N256" s="39"/>
      <c r="O256" s="39"/>
      <c r="P256" s="39"/>
      <c r="Q256" s="39"/>
      <c r="R256" s="39"/>
      <c r="S256" s="39"/>
      <c r="T256" s="39"/>
      <c r="U256" s="39"/>
      <c r="V256" s="39"/>
      <c r="W256" s="39"/>
    </row>
    <row r="257" spans="1:23" x14ac:dyDescent="0.2">
      <c r="A257" s="66"/>
      <c r="B257" s="67" t="str">
        <f t="shared" si="12"/>
        <v/>
      </c>
      <c r="C257" s="68" t="str">
        <f>IF(MakeSchedule!AB257=0,"",MakeSchedule!AB257)</f>
        <v/>
      </c>
      <c r="D257" s="69" t="str">
        <f>IF(MakeSchedule!AC257=0,"",MakeSchedule!AC257)</f>
        <v/>
      </c>
      <c r="E257" s="69" t="str">
        <f>IF(MakeSchedule!AD257=0,"",MakeSchedule!AD257)</f>
        <v/>
      </c>
      <c r="F257" s="73" t="str">
        <f>IF(MakeSchedule!AD257=0,"",MakeSchedule!AC257/MakeSchedule!AD257)</f>
        <v/>
      </c>
      <c r="G257" s="73" t="str">
        <f t="shared" si="9"/>
        <v/>
      </c>
      <c r="H257" s="73" t="str">
        <f t="shared" si="10"/>
        <v/>
      </c>
      <c r="I257" s="69" t="str">
        <f>IF(MakeSchedule!AF257=0,"",MakeSchedule!AF257)</f>
        <v/>
      </c>
      <c r="J257" s="69" t="str">
        <f>IF(I257="","",IF(MakeSchedule!AG257=0,0,MakeSchedule!AG257))</f>
        <v/>
      </c>
      <c r="K257" s="39"/>
      <c r="L257" s="39"/>
      <c r="M257" s="39"/>
      <c r="N257" s="39"/>
      <c r="O257" s="39"/>
      <c r="P257" s="39"/>
      <c r="Q257" s="39"/>
      <c r="R257" s="39"/>
      <c r="S257" s="39"/>
      <c r="T257" s="39"/>
      <c r="U257" s="39"/>
      <c r="V257" s="39"/>
      <c r="W257" s="39"/>
    </row>
    <row r="258" spans="1:23" x14ac:dyDescent="0.2">
      <c r="A258" s="66"/>
      <c r="B258" s="67" t="str">
        <f t="shared" si="12"/>
        <v/>
      </c>
      <c r="C258" s="68" t="str">
        <f>IF(MakeSchedule!AB258=0,"",MakeSchedule!AB258)</f>
        <v/>
      </c>
      <c r="D258" s="69" t="str">
        <f>IF(MakeSchedule!AC258=0,"",MakeSchedule!AC258)</f>
        <v/>
      </c>
      <c r="E258" s="69" t="str">
        <f>IF(MakeSchedule!AD258=0,"",MakeSchedule!AD258)</f>
        <v/>
      </c>
      <c r="F258" s="73" t="str">
        <f>IF(MakeSchedule!AD258=0,"",MakeSchedule!AC258/MakeSchedule!AD258)</f>
        <v/>
      </c>
      <c r="G258" s="73" t="str">
        <f t="shared" si="9"/>
        <v/>
      </c>
      <c r="H258" s="73" t="str">
        <f t="shared" si="10"/>
        <v/>
      </c>
      <c r="I258" s="69" t="str">
        <f>IF(MakeSchedule!AF258=0,"",MakeSchedule!AF258)</f>
        <v/>
      </c>
      <c r="J258" s="69" t="str">
        <f>IF(I258="","",IF(MakeSchedule!AG258=0,0,MakeSchedule!AG258))</f>
        <v/>
      </c>
      <c r="K258" s="39"/>
      <c r="L258" s="39"/>
      <c r="M258" s="39"/>
      <c r="N258" s="39"/>
      <c r="O258" s="39"/>
      <c r="P258" s="39"/>
      <c r="Q258" s="39"/>
      <c r="R258" s="39"/>
      <c r="S258" s="39"/>
      <c r="T258" s="39"/>
      <c r="U258" s="39"/>
      <c r="V258" s="39"/>
      <c r="W258" s="39"/>
    </row>
    <row r="259" spans="1:23" x14ac:dyDescent="0.2">
      <c r="A259" s="66"/>
      <c r="B259" s="67" t="str">
        <f t="shared" si="12"/>
        <v/>
      </c>
      <c r="C259" s="68" t="str">
        <f>IF(MakeSchedule!AB259=0,"",MakeSchedule!AB259)</f>
        <v/>
      </c>
      <c r="D259" s="69" t="str">
        <f>IF(MakeSchedule!AC259=0,"",MakeSchedule!AC259)</f>
        <v/>
      </c>
      <c r="E259" s="69" t="str">
        <f>IF(MakeSchedule!AD259=0,"",MakeSchedule!AD259)</f>
        <v/>
      </c>
      <c r="F259" s="73" t="str">
        <f>IF(MakeSchedule!AD259=0,"",MakeSchedule!AC259/MakeSchedule!AD259)</f>
        <v/>
      </c>
      <c r="G259" s="73" t="str">
        <f t="shared" si="9"/>
        <v/>
      </c>
      <c r="H259" s="73" t="str">
        <f t="shared" si="10"/>
        <v/>
      </c>
      <c r="I259" s="69" t="str">
        <f>IF(MakeSchedule!AF259=0,"",MakeSchedule!AF259)</f>
        <v/>
      </c>
      <c r="J259" s="69" t="str">
        <f>IF(I259="","",IF(MakeSchedule!AG259=0,0,MakeSchedule!AG259))</f>
        <v/>
      </c>
      <c r="K259" s="39"/>
      <c r="L259" s="39"/>
      <c r="M259" s="39"/>
      <c r="N259" s="39"/>
      <c r="O259" s="39"/>
      <c r="P259" s="39"/>
      <c r="Q259" s="39"/>
      <c r="R259" s="39"/>
      <c r="S259" s="39"/>
      <c r="T259" s="39"/>
      <c r="U259" s="39"/>
      <c r="V259" s="39"/>
      <c r="W259" s="39"/>
    </row>
    <row r="260" spans="1:23" x14ac:dyDescent="0.2">
      <c r="A260" s="66"/>
      <c r="B260" s="67" t="str">
        <f t="shared" si="12"/>
        <v/>
      </c>
      <c r="C260" s="68" t="str">
        <f>IF(MakeSchedule!AB260=0,"",MakeSchedule!AB260)</f>
        <v/>
      </c>
      <c r="D260" s="69" t="str">
        <f>IF(MakeSchedule!AC260=0,"",MakeSchedule!AC260)</f>
        <v/>
      </c>
      <c r="E260" s="69" t="str">
        <f>IF(MakeSchedule!AD260=0,"",MakeSchedule!AD260)</f>
        <v/>
      </c>
      <c r="F260" s="73" t="str">
        <f>IF(MakeSchedule!AD260=0,"",MakeSchedule!AC260/MakeSchedule!AD260)</f>
        <v/>
      </c>
      <c r="G260" s="73" t="str">
        <f t="shared" si="9"/>
        <v/>
      </c>
      <c r="H260" s="73" t="str">
        <f t="shared" si="10"/>
        <v/>
      </c>
      <c r="I260" s="69" t="str">
        <f>IF(MakeSchedule!AF260=0,"",MakeSchedule!AF260)</f>
        <v/>
      </c>
      <c r="J260" s="69" t="str">
        <f>IF(I260="","",IF(MakeSchedule!AG260=0,0,MakeSchedule!AG260))</f>
        <v/>
      </c>
      <c r="K260" s="39"/>
      <c r="L260" s="39"/>
      <c r="M260" s="39"/>
      <c r="N260" s="39"/>
      <c r="O260" s="39"/>
      <c r="P260" s="39"/>
      <c r="Q260" s="39"/>
      <c r="R260" s="39"/>
      <c r="S260" s="39"/>
      <c r="T260" s="39"/>
      <c r="U260" s="39"/>
      <c r="V260" s="39"/>
      <c r="W260" s="39"/>
    </row>
    <row r="261" spans="1:23" x14ac:dyDescent="0.2">
      <c r="A261" s="66"/>
      <c r="B261" s="67" t="str">
        <f t="shared" si="12"/>
        <v/>
      </c>
      <c r="C261" s="68" t="str">
        <f>IF(MakeSchedule!AB261=0,"",MakeSchedule!AB261)</f>
        <v/>
      </c>
      <c r="D261" s="69" t="str">
        <f>IF(MakeSchedule!AC261=0,"",MakeSchedule!AC261)</f>
        <v/>
      </c>
      <c r="E261" s="69" t="str">
        <f>IF(MakeSchedule!AD261=0,"",MakeSchedule!AD261)</f>
        <v/>
      </c>
      <c r="F261" s="73" t="str">
        <f>IF(MakeSchedule!AD261=0,"",MakeSchedule!AC261/MakeSchedule!AD261)</f>
        <v/>
      </c>
      <c r="G261" s="73" t="str">
        <f t="shared" si="9"/>
        <v/>
      </c>
      <c r="H261" s="73" t="str">
        <f t="shared" si="10"/>
        <v/>
      </c>
      <c r="I261" s="69" t="str">
        <f>IF(MakeSchedule!AF261=0,"",MakeSchedule!AF261)</f>
        <v/>
      </c>
      <c r="J261" s="69" t="str">
        <f>IF(I261="","",IF(MakeSchedule!AG261=0,0,MakeSchedule!AG261))</f>
        <v/>
      </c>
      <c r="K261" s="39"/>
      <c r="L261" s="39"/>
      <c r="M261" s="39"/>
      <c r="N261" s="39"/>
      <c r="O261" s="39"/>
      <c r="P261" s="39"/>
      <c r="Q261" s="39"/>
      <c r="R261" s="39"/>
      <c r="S261" s="39"/>
      <c r="T261" s="39"/>
      <c r="U261" s="39"/>
      <c r="V261" s="39"/>
      <c r="W261" s="39"/>
    </row>
    <row r="262" spans="1:23" x14ac:dyDescent="0.2">
      <c r="A262" s="66"/>
      <c r="B262" s="67" t="str">
        <f t="shared" si="12"/>
        <v/>
      </c>
      <c r="C262" s="68" t="str">
        <f>IF(MakeSchedule!AB262=0,"",MakeSchedule!AB262)</f>
        <v/>
      </c>
      <c r="D262" s="69" t="str">
        <f>IF(MakeSchedule!AC262=0,"",MakeSchedule!AC262)</f>
        <v/>
      </c>
      <c r="E262" s="69" t="str">
        <f>IF(MakeSchedule!AD262=0,"",MakeSchedule!AD262)</f>
        <v/>
      </c>
      <c r="F262" s="73" t="str">
        <f>IF(MakeSchedule!AD262=0,"",MakeSchedule!AC262/MakeSchedule!AD262)</f>
        <v/>
      </c>
      <c r="G262" s="73" t="str">
        <f t="shared" si="9"/>
        <v/>
      </c>
      <c r="H262" s="73" t="str">
        <f t="shared" si="10"/>
        <v/>
      </c>
      <c r="I262" s="69" t="str">
        <f>IF(MakeSchedule!AF262=0,"",MakeSchedule!AF262)</f>
        <v/>
      </c>
      <c r="J262" s="69" t="str">
        <f>IF(I262="","",IF(MakeSchedule!AG262=0,0,MakeSchedule!AG262))</f>
        <v/>
      </c>
      <c r="K262" s="39"/>
      <c r="L262" s="39"/>
      <c r="M262" s="39"/>
      <c r="N262" s="39"/>
      <c r="O262" s="39"/>
      <c r="P262" s="39"/>
      <c r="Q262" s="39"/>
      <c r="R262" s="39"/>
      <c r="S262" s="39"/>
      <c r="T262" s="39"/>
      <c r="U262" s="39"/>
      <c r="V262" s="39"/>
      <c r="W262" s="39"/>
    </row>
    <row r="263" spans="1:23" x14ac:dyDescent="0.2">
      <c r="A263" s="66"/>
      <c r="B263" s="67" t="str">
        <f t="shared" si="12"/>
        <v/>
      </c>
      <c r="C263" s="68" t="str">
        <f>IF(MakeSchedule!AB263=0,"",MakeSchedule!AB263)</f>
        <v/>
      </c>
      <c r="D263" s="69" t="str">
        <f>IF(MakeSchedule!AC263=0,"",MakeSchedule!AC263)</f>
        <v/>
      </c>
      <c r="E263" s="69" t="str">
        <f>IF(MakeSchedule!AD263=0,"",MakeSchedule!AD263)</f>
        <v/>
      </c>
      <c r="F263" s="73" t="str">
        <f>IF(MakeSchedule!AD263=0,"",MakeSchedule!AC263/MakeSchedule!AD263)</f>
        <v/>
      </c>
      <c r="G263" s="73" t="str">
        <f t="shared" si="9"/>
        <v/>
      </c>
      <c r="H263" s="73" t="str">
        <f t="shared" si="10"/>
        <v/>
      </c>
      <c r="I263" s="69" t="str">
        <f>IF(MakeSchedule!AF263=0,"",MakeSchedule!AF263)</f>
        <v/>
      </c>
      <c r="J263" s="69" t="str">
        <f>IF(I263="","",IF(MakeSchedule!AG263=0,0,MakeSchedule!AG263))</f>
        <v/>
      </c>
      <c r="K263" s="39"/>
      <c r="L263" s="39"/>
      <c r="M263" s="39"/>
      <c r="N263" s="39"/>
      <c r="O263" s="39"/>
      <c r="P263" s="39"/>
      <c r="Q263" s="39"/>
      <c r="R263" s="39"/>
      <c r="S263" s="39"/>
      <c r="T263" s="39"/>
      <c r="U263" s="39"/>
      <c r="V263" s="39"/>
      <c r="W263" s="39"/>
    </row>
    <row r="264" spans="1:23" x14ac:dyDescent="0.2">
      <c r="A264" s="66"/>
      <c r="B264" s="67" t="str">
        <f t="shared" si="12"/>
        <v/>
      </c>
      <c r="C264" s="68" t="str">
        <f>IF(MakeSchedule!AB264=0,"",MakeSchedule!AB264)</f>
        <v/>
      </c>
      <c r="D264" s="69" t="str">
        <f>IF(MakeSchedule!AC264=0,"",MakeSchedule!AC264)</f>
        <v/>
      </c>
      <c r="E264" s="69" t="str">
        <f>IF(MakeSchedule!AD264=0,"",MakeSchedule!AD264)</f>
        <v/>
      </c>
      <c r="F264" s="73" t="str">
        <f>IF(MakeSchedule!AD264=0,"",MakeSchedule!AC264/MakeSchedule!AD264)</f>
        <v/>
      </c>
      <c r="G264" s="73" t="str">
        <f t="shared" si="9"/>
        <v/>
      </c>
      <c r="H264" s="73" t="str">
        <f t="shared" si="10"/>
        <v/>
      </c>
      <c r="I264" s="69" t="str">
        <f>IF(MakeSchedule!AF264=0,"",MakeSchedule!AF264)</f>
        <v/>
      </c>
      <c r="J264" s="69" t="str">
        <f>IF(I264="","",IF(MakeSchedule!AG264=0,0,MakeSchedule!AG264))</f>
        <v/>
      </c>
      <c r="K264" s="39"/>
      <c r="L264" s="39"/>
      <c r="M264" s="39"/>
      <c r="N264" s="39"/>
      <c r="O264" s="39"/>
      <c r="P264" s="39"/>
      <c r="Q264" s="39"/>
      <c r="R264" s="39"/>
      <c r="S264" s="39"/>
      <c r="T264" s="39"/>
      <c r="U264" s="39"/>
      <c r="V264" s="39"/>
      <c r="W264" s="39"/>
    </row>
    <row r="265" spans="1:23" x14ac:dyDescent="0.2">
      <c r="A265" s="66"/>
      <c r="B265" s="67" t="str">
        <f t="shared" si="12"/>
        <v/>
      </c>
      <c r="C265" s="68" t="str">
        <f>IF(MakeSchedule!AB265=0,"",MakeSchedule!AB265)</f>
        <v/>
      </c>
      <c r="D265" s="69" t="str">
        <f>IF(MakeSchedule!AC265=0,"",MakeSchedule!AC265)</f>
        <v/>
      </c>
      <c r="E265" s="69" t="str">
        <f>IF(MakeSchedule!AD265=0,"",MakeSchedule!AD265)</f>
        <v/>
      </c>
      <c r="F265" s="73" t="str">
        <f>IF(MakeSchedule!AD265=0,"",MakeSchedule!AC265/MakeSchedule!AD265)</f>
        <v/>
      </c>
      <c r="G265" s="73" t="str">
        <f t="shared" si="9"/>
        <v/>
      </c>
      <c r="H265" s="73" t="str">
        <f t="shared" si="10"/>
        <v/>
      </c>
      <c r="I265" s="69" t="str">
        <f>IF(MakeSchedule!AF265=0,"",MakeSchedule!AF265)</f>
        <v/>
      </c>
      <c r="J265" s="69" t="str">
        <f>IF(I265="","",IF(MakeSchedule!AG265=0,0,MakeSchedule!AG265))</f>
        <v/>
      </c>
      <c r="K265" s="39"/>
      <c r="L265" s="39"/>
      <c r="M265" s="39"/>
      <c r="N265" s="39"/>
      <c r="O265" s="39"/>
      <c r="P265" s="39"/>
      <c r="Q265" s="39"/>
      <c r="R265" s="39"/>
      <c r="S265" s="39"/>
      <c r="T265" s="39"/>
      <c r="U265" s="39"/>
      <c r="V265" s="39"/>
      <c r="W265" s="39"/>
    </row>
    <row r="266" spans="1:23" x14ac:dyDescent="0.2">
      <c r="A266" s="66"/>
      <c r="B266" s="67" t="str">
        <f t="shared" si="12"/>
        <v/>
      </c>
      <c r="C266" s="68" t="str">
        <f>IF(MakeSchedule!AB266=0,"",MakeSchedule!AB266)</f>
        <v/>
      </c>
      <c r="D266" s="69" t="str">
        <f>IF(MakeSchedule!AC266=0,"",MakeSchedule!AC266)</f>
        <v/>
      </c>
      <c r="E266" s="69" t="str">
        <f>IF(MakeSchedule!AD266=0,"",MakeSchedule!AD266)</f>
        <v/>
      </c>
      <c r="F266" s="73" t="str">
        <f>IF(MakeSchedule!AD266=0,"",MakeSchedule!AC266/MakeSchedule!AD266)</f>
        <v/>
      </c>
      <c r="G266" s="73" t="str">
        <f t="shared" si="9"/>
        <v/>
      </c>
      <c r="H266" s="73" t="str">
        <f t="shared" si="10"/>
        <v/>
      </c>
      <c r="I266" s="69" t="str">
        <f>IF(MakeSchedule!AF266=0,"",MakeSchedule!AF266)</f>
        <v/>
      </c>
      <c r="J266" s="69" t="str">
        <f>IF(I266="","",IF(MakeSchedule!AG266=0,0,MakeSchedule!AG266))</f>
        <v/>
      </c>
      <c r="K266" s="39"/>
      <c r="L266" s="39"/>
      <c r="M266" s="39"/>
      <c r="N266" s="39"/>
      <c r="O266" s="39"/>
      <c r="P266" s="39"/>
      <c r="Q266" s="39"/>
      <c r="R266" s="39"/>
      <c r="S266" s="39"/>
      <c r="T266" s="39"/>
      <c r="U266" s="39"/>
      <c r="V266" s="39"/>
      <c r="W266" s="39"/>
    </row>
    <row r="267" spans="1:23" x14ac:dyDescent="0.2">
      <c r="A267" s="66"/>
      <c r="B267" s="67" t="str">
        <f t="shared" si="12"/>
        <v/>
      </c>
      <c r="C267" s="68" t="str">
        <f>IF(MakeSchedule!AB267=0,"",MakeSchedule!AB267)</f>
        <v/>
      </c>
      <c r="D267" s="69" t="str">
        <f>IF(MakeSchedule!AC267=0,"",MakeSchedule!AC267)</f>
        <v/>
      </c>
      <c r="E267" s="69" t="str">
        <f>IF(MakeSchedule!AD267=0,"",MakeSchedule!AD267)</f>
        <v/>
      </c>
      <c r="F267" s="73" t="str">
        <f>IF(MakeSchedule!AD267=0,"",MakeSchedule!AC267/MakeSchedule!AD267)</f>
        <v/>
      </c>
      <c r="G267" s="73" t="str">
        <f t="shared" si="9"/>
        <v/>
      </c>
      <c r="H267" s="73" t="str">
        <f t="shared" si="10"/>
        <v/>
      </c>
      <c r="I267" s="69" t="str">
        <f>IF(MakeSchedule!AF267=0,"",MakeSchedule!AF267)</f>
        <v/>
      </c>
      <c r="J267" s="69" t="str">
        <f>IF(I267="","",IF(MakeSchedule!AG267=0,0,MakeSchedule!AG267))</f>
        <v/>
      </c>
      <c r="K267" s="39"/>
      <c r="L267" s="39"/>
      <c r="M267" s="39"/>
      <c r="N267" s="39"/>
      <c r="O267" s="39"/>
      <c r="P267" s="39"/>
      <c r="Q267" s="39"/>
      <c r="R267" s="39"/>
      <c r="S267" s="39"/>
      <c r="T267" s="39"/>
      <c r="U267" s="39"/>
      <c r="V267" s="39"/>
      <c r="W267" s="39"/>
    </row>
    <row r="268" spans="1:23" x14ac:dyDescent="0.2">
      <c r="A268" s="66"/>
      <c r="B268" s="67" t="str">
        <f t="shared" si="12"/>
        <v/>
      </c>
      <c r="C268" s="68" t="str">
        <f>IF(MakeSchedule!AB268=0,"",MakeSchedule!AB268)</f>
        <v/>
      </c>
      <c r="D268" s="69" t="str">
        <f>IF(MakeSchedule!AC268=0,"",MakeSchedule!AC268)</f>
        <v/>
      </c>
      <c r="E268" s="69" t="str">
        <f>IF(MakeSchedule!AD268=0,"",MakeSchedule!AD268)</f>
        <v/>
      </c>
      <c r="F268" s="73" t="str">
        <f>IF(MakeSchedule!AD268=0,"",MakeSchedule!AC268/MakeSchedule!AD268)</f>
        <v/>
      </c>
      <c r="G268" s="73" t="str">
        <f t="shared" si="9"/>
        <v/>
      </c>
      <c r="H268" s="73" t="str">
        <f t="shared" si="10"/>
        <v/>
      </c>
      <c r="I268" s="69" t="str">
        <f>IF(MakeSchedule!AF268=0,"",MakeSchedule!AF268)</f>
        <v/>
      </c>
      <c r="J268" s="69" t="str">
        <f>IF(I268="","",IF(MakeSchedule!AG268=0,0,MakeSchedule!AG268))</f>
        <v/>
      </c>
      <c r="K268" s="39"/>
      <c r="L268" s="39"/>
      <c r="M268" s="39"/>
      <c r="N268" s="39"/>
      <c r="O268" s="39"/>
      <c r="P268" s="39"/>
      <c r="Q268" s="39"/>
      <c r="R268" s="39"/>
      <c r="S268" s="39"/>
      <c r="T268" s="39"/>
      <c r="U268" s="39"/>
      <c r="V268" s="39"/>
      <c r="W268" s="39"/>
    </row>
    <row r="269" spans="1:23" x14ac:dyDescent="0.2">
      <c r="A269" s="66"/>
      <c r="B269" s="67" t="str">
        <f t="shared" si="12"/>
        <v/>
      </c>
      <c r="C269" s="68" t="str">
        <f>IF(MakeSchedule!AB269=0,"",MakeSchedule!AB269)</f>
        <v/>
      </c>
      <c r="D269" s="69" t="str">
        <f>IF(MakeSchedule!AC269=0,"",MakeSchedule!AC269)</f>
        <v/>
      </c>
      <c r="E269" s="69" t="str">
        <f>IF(MakeSchedule!AD269=0,"",MakeSchedule!AD269)</f>
        <v/>
      </c>
      <c r="F269" s="73" t="str">
        <f>IF(MakeSchedule!AD269=0,"",MakeSchedule!AC269/MakeSchedule!AD269)</f>
        <v/>
      </c>
      <c r="G269" s="73" t="str">
        <f t="shared" si="9"/>
        <v/>
      </c>
      <c r="H269" s="73" t="str">
        <f t="shared" si="10"/>
        <v/>
      </c>
      <c r="I269" s="69" t="str">
        <f>IF(MakeSchedule!AF269=0,"",MakeSchedule!AF269)</f>
        <v/>
      </c>
      <c r="J269" s="69" t="str">
        <f>IF(I269="","",IF(MakeSchedule!AG269=0,0,MakeSchedule!AG269))</f>
        <v/>
      </c>
      <c r="K269" s="39"/>
      <c r="L269" s="39"/>
      <c r="M269" s="39"/>
      <c r="N269" s="39"/>
      <c r="O269" s="39"/>
      <c r="P269" s="39"/>
      <c r="Q269" s="39"/>
      <c r="R269" s="39"/>
      <c r="S269" s="39"/>
      <c r="T269" s="39"/>
      <c r="U269" s="39"/>
      <c r="V269" s="39"/>
      <c r="W269" s="39"/>
    </row>
    <row r="270" spans="1:23" x14ac:dyDescent="0.2">
      <c r="A270" s="66"/>
      <c r="B270" s="67" t="str">
        <f t="shared" si="12"/>
        <v/>
      </c>
      <c r="C270" s="68" t="str">
        <f>IF(MakeSchedule!AB270=0,"",MakeSchedule!AB270)</f>
        <v/>
      </c>
      <c r="D270" s="69" t="str">
        <f>IF(MakeSchedule!AC270=0,"",MakeSchedule!AC270)</f>
        <v/>
      </c>
      <c r="E270" s="69" t="str">
        <f>IF(MakeSchedule!AD270=0,"",MakeSchedule!AD270)</f>
        <v/>
      </c>
      <c r="F270" s="73" t="str">
        <f>IF(MakeSchedule!AD270=0,"",MakeSchedule!AC270/MakeSchedule!AD270)</f>
        <v/>
      </c>
      <c r="G270" s="73" t="str">
        <f t="shared" si="9"/>
        <v/>
      </c>
      <c r="H270" s="73" t="str">
        <f t="shared" si="10"/>
        <v/>
      </c>
      <c r="I270" s="69" t="str">
        <f>IF(MakeSchedule!AF270=0,"",MakeSchedule!AF270)</f>
        <v/>
      </c>
      <c r="J270" s="69" t="str">
        <f>IF(I270="","",IF(MakeSchedule!AG270=0,0,MakeSchedule!AG270))</f>
        <v/>
      </c>
      <c r="K270" s="39"/>
      <c r="L270" s="39"/>
      <c r="M270" s="39"/>
      <c r="N270" s="39"/>
      <c r="O270" s="39"/>
      <c r="P270" s="39"/>
      <c r="Q270" s="39"/>
      <c r="R270" s="39"/>
      <c r="S270" s="39"/>
      <c r="T270" s="39"/>
      <c r="U270" s="39"/>
      <c r="V270" s="39"/>
      <c r="W270" s="39"/>
    </row>
    <row r="271" spans="1:23" x14ac:dyDescent="0.2">
      <c r="A271" s="66"/>
      <c r="B271" s="67" t="str">
        <f t="shared" si="12"/>
        <v/>
      </c>
      <c r="C271" s="68" t="str">
        <f>IF(MakeSchedule!AB271=0,"",MakeSchedule!AB271)</f>
        <v/>
      </c>
      <c r="D271" s="69" t="str">
        <f>IF(MakeSchedule!AC271=0,"",MakeSchedule!AC271)</f>
        <v/>
      </c>
      <c r="E271" s="69" t="str">
        <f>IF(MakeSchedule!AD271=0,"",MakeSchedule!AD271)</f>
        <v/>
      </c>
      <c r="F271" s="73" t="str">
        <f>IF(MakeSchedule!AD271=0,"",MakeSchedule!AC271/MakeSchedule!AD271)</f>
        <v/>
      </c>
      <c r="G271" s="73" t="str">
        <f t="shared" si="9"/>
        <v/>
      </c>
      <c r="H271" s="73" t="str">
        <f t="shared" si="10"/>
        <v/>
      </c>
      <c r="I271" s="69" t="str">
        <f>IF(MakeSchedule!AF271=0,"",MakeSchedule!AF271)</f>
        <v/>
      </c>
      <c r="J271" s="69" t="str">
        <f>IF(I271="","",IF(MakeSchedule!AG271=0,0,MakeSchedule!AG271))</f>
        <v/>
      </c>
      <c r="K271" s="39"/>
      <c r="L271" s="39"/>
      <c r="M271" s="39"/>
      <c r="N271" s="39"/>
      <c r="O271" s="39"/>
      <c r="P271" s="39"/>
      <c r="Q271" s="39"/>
      <c r="R271" s="39"/>
      <c r="S271" s="39"/>
      <c r="T271" s="39"/>
      <c r="U271" s="39"/>
      <c r="V271" s="39"/>
      <c r="W271" s="39"/>
    </row>
    <row r="272" spans="1:23" x14ac:dyDescent="0.2">
      <c r="A272" s="66"/>
      <c r="B272" s="67" t="str">
        <f t="shared" si="12"/>
        <v/>
      </c>
      <c r="C272" s="68" t="str">
        <f>IF(MakeSchedule!AB272=0,"",MakeSchedule!AB272)</f>
        <v/>
      </c>
      <c r="D272" s="69" t="str">
        <f>IF(MakeSchedule!AC272=0,"",MakeSchedule!AC272)</f>
        <v/>
      </c>
      <c r="E272" s="69" t="str">
        <f>IF(MakeSchedule!AD272=0,"",MakeSchedule!AD272)</f>
        <v/>
      </c>
      <c r="F272" s="73" t="str">
        <f>IF(MakeSchedule!AD272=0,"",MakeSchedule!AC272/MakeSchedule!AD272)</f>
        <v/>
      </c>
      <c r="G272" s="73" t="str">
        <f t="shared" si="9"/>
        <v/>
      </c>
      <c r="H272" s="73" t="str">
        <f t="shared" si="10"/>
        <v/>
      </c>
      <c r="I272" s="69" t="str">
        <f>IF(MakeSchedule!AF272=0,"",MakeSchedule!AF272)</f>
        <v/>
      </c>
      <c r="J272" s="69" t="str">
        <f>IF(I272="","",IF(MakeSchedule!AG272=0,0,MakeSchedule!AG272))</f>
        <v/>
      </c>
      <c r="K272" s="39"/>
      <c r="L272" s="39"/>
      <c r="M272" s="39"/>
      <c r="N272" s="39"/>
      <c r="O272" s="39"/>
      <c r="P272" s="39"/>
      <c r="Q272" s="39"/>
      <c r="R272" s="39"/>
      <c r="S272" s="39"/>
      <c r="T272" s="39"/>
      <c r="U272" s="39"/>
      <c r="V272" s="39"/>
      <c r="W272" s="39"/>
    </row>
    <row r="273" spans="1:23" x14ac:dyDescent="0.2">
      <c r="A273" s="66"/>
      <c r="B273" s="67" t="str">
        <f t="shared" si="12"/>
        <v/>
      </c>
      <c r="C273" s="68" t="str">
        <f>IF(MakeSchedule!AB273=0,"",MakeSchedule!AB273)</f>
        <v/>
      </c>
      <c r="D273" s="69" t="str">
        <f>IF(MakeSchedule!AC273=0,"",MakeSchedule!AC273)</f>
        <v/>
      </c>
      <c r="E273" s="69" t="str">
        <f>IF(MakeSchedule!AD273=0,"",MakeSchedule!AD273)</f>
        <v/>
      </c>
      <c r="F273" s="73" t="str">
        <f>IF(MakeSchedule!AD273=0,"",MakeSchedule!AC273/MakeSchedule!AD273)</f>
        <v/>
      </c>
      <c r="G273" s="73" t="str">
        <f t="shared" ref="G273:G336" si="13">IF(H273="","",G$12*H273)</f>
        <v/>
      </c>
      <c r="H273" s="73" t="str">
        <f t="shared" ref="H273:H336" si="14">IF(E273="","",E273/(1-G$12))</f>
        <v/>
      </c>
      <c r="I273" s="69" t="str">
        <f>IF(MakeSchedule!AF273=0,"",MakeSchedule!AF273)</f>
        <v/>
      </c>
      <c r="J273" s="69" t="str">
        <f>IF(I273="","",IF(MakeSchedule!AG273=0,0,MakeSchedule!AG273))</f>
        <v/>
      </c>
      <c r="K273" s="39"/>
      <c r="L273" s="39"/>
      <c r="M273" s="39"/>
      <c r="N273" s="39"/>
      <c r="O273" s="39"/>
      <c r="P273" s="39"/>
      <c r="Q273" s="39"/>
      <c r="R273" s="39"/>
      <c r="S273" s="39"/>
      <c r="T273" s="39"/>
      <c r="U273" s="39"/>
      <c r="V273" s="39"/>
      <c r="W273" s="39"/>
    </row>
    <row r="274" spans="1:23" x14ac:dyDescent="0.2">
      <c r="A274" s="66"/>
      <c r="B274" s="67" t="str">
        <f t="shared" si="12"/>
        <v/>
      </c>
      <c r="C274" s="68" t="str">
        <f>IF(MakeSchedule!AB274=0,"",MakeSchedule!AB274)</f>
        <v/>
      </c>
      <c r="D274" s="69" t="str">
        <f>IF(MakeSchedule!AC274=0,"",MakeSchedule!AC274)</f>
        <v/>
      </c>
      <c r="E274" s="69" t="str">
        <f>IF(MakeSchedule!AD274=0,"",MakeSchedule!AD274)</f>
        <v/>
      </c>
      <c r="F274" s="73" t="str">
        <f>IF(MakeSchedule!AD274=0,"",MakeSchedule!AC274/MakeSchedule!AD274)</f>
        <v/>
      </c>
      <c r="G274" s="73" t="str">
        <f t="shared" si="13"/>
        <v/>
      </c>
      <c r="H274" s="73" t="str">
        <f t="shared" si="14"/>
        <v/>
      </c>
      <c r="I274" s="69" t="str">
        <f>IF(MakeSchedule!AF274=0,"",MakeSchedule!AF274)</f>
        <v/>
      </c>
      <c r="J274" s="69" t="str">
        <f>IF(I274="","",IF(MakeSchedule!AG274=0,0,MakeSchedule!AG274))</f>
        <v/>
      </c>
      <c r="K274" s="39"/>
      <c r="L274" s="39"/>
      <c r="M274" s="39"/>
      <c r="N274" s="39"/>
      <c r="O274" s="39"/>
      <c r="P274" s="39"/>
      <c r="Q274" s="39"/>
      <c r="R274" s="39"/>
      <c r="S274" s="39"/>
      <c r="T274" s="39"/>
      <c r="U274" s="39"/>
      <c r="V274" s="39"/>
      <c r="W274" s="39"/>
    </row>
    <row r="275" spans="1:23" x14ac:dyDescent="0.2">
      <c r="A275" s="66"/>
      <c r="B275" s="67" t="str">
        <f t="shared" si="12"/>
        <v/>
      </c>
      <c r="C275" s="68" t="str">
        <f>IF(MakeSchedule!AB275=0,"",MakeSchedule!AB275)</f>
        <v/>
      </c>
      <c r="D275" s="69" t="str">
        <f>IF(MakeSchedule!AC275=0,"",MakeSchedule!AC275)</f>
        <v/>
      </c>
      <c r="E275" s="69" t="str">
        <f>IF(MakeSchedule!AD275=0,"",MakeSchedule!AD275)</f>
        <v/>
      </c>
      <c r="F275" s="73" t="str">
        <f>IF(MakeSchedule!AD275=0,"",MakeSchedule!AC275/MakeSchedule!AD275)</f>
        <v/>
      </c>
      <c r="G275" s="73" t="str">
        <f t="shared" si="13"/>
        <v/>
      </c>
      <c r="H275" s="73" t="str">
        <f t="shared" si="14"/>
        <v/>
      </c>
      <c r="I275" s="69" t="str">
        <f>IF(MakeSchedule!AF275=0,"",MakeSchedule!AF275)</f>
        <v/>
      </c>
      <c r="J275" s="69" t="str">
        <f>IF(I275="","",IF(MakeSchedule!AG275=0,0,MakeSchedule!AG275))</f>
        <v/>
      </c>
      <c r="K275" s="39"/>
      <c r="L275" s="39"/>
      <c r="M275" s="39"/>
      <c r="N275" s="39"/>
      <c r="O275" s="39"/>
      <c r="P275" s="39"/>
      <c r="Q275" s="39"/>
      <c r="R275" s="39"/>
      <c r="S275" s="39"/>
      <c r="T275" s="39"/>
      <c r="U275" s="39"/>
      <c r="V275" s="39"/>
      <c r="W275" s="39"/>
    </row>
    <row r="276" spans="1:23" x14ac:dyDescent="0.2">
      <c r="A276" s="66"/>
      <c r="B276" s="67" t="str">
        <f t="shared" si="12"/>
        <v/>
      </c>
      <c r="C276" s="68" t="str">
        <f>IF(MakeSchedule!AB276=0,"",MakeSchedule!AB276)</f>
        <v/>
      </c>
      <c r="D276" s="69" t="str">
        <f>IF(MakeSchedule!AC276=0,"",MakeSchedule!AC276)</f>
        <v/>
      </c>
      <c r="E276" s="69" t="str">
        <f>IF(MakeSchedule!AD276=0,"",MakeSchedule!AD276)</f>
        <v/>
      </c>
      <c r="F276" s="73" t="str">
        <f>IF(MakeSchedule!AD276=0,"",MakeSchedule!AC276/MakeSchedule!AD276)</f>
        <v/>
      </c>
      <c r="G276" s="73" t="str">
        <f t="shared" si="13"/>
        <v/>
      </c>
      <c r="H276" s="73" t="str">
        <f t="shared" si="14"/>
        <v/>
      </c>
      <c r="I276" s="69" t="str">
        <f>IF(MakeSchedule!AF276=0,"",MakeSchedule!AF276)</f>
        <v/>
      </c>
      <c r="J276" s="69" t="str">
        <f>IF(I276="","",IF(MakeSchedule!AG276=0,0,MakeSchedule!AG276))</f>
        <v/>
      </c>
      <c r="K276" s="39"/>
      <c r="L276" s="39"/>
      <c r="M276" s="39"/>
      <c r="N276" s="39"/>
      <c r="O276" s="39"/>
      <c r="P276" s="39"/>
      <c r="Q276" s="39"/>
      <c r="R276" s="39"/>
      <c r="S276" s="39"/>
      <c r="T276" s="39"/>
      <c r="U276" s="39"/>
      <c r="V276" s="39"/>
      <c r="W276" s="39"/>
    </row>
    <row r="277" spans="1:23" x14ac:dyDescent="0.2">
      <c r="A277" s="66"/>
      <c r="B277" s="67" t="str">
        <f t="shared" si="12"/>
        <v/>
      </c>
      <c r="C277" s="68" t="str">
        <f>IF(MakeSchedule!AB277=0,"",MakeSchedule!AB277)</f>
        <v/>
      </c>
      <c r="D277" s="69" t="str">
        <f>IF(MakeSchedule!AC277=0,"",MakeSchedule!AC277)</f>
        <v/>
      </c>
      <c r="E277" s="69" t="str">
        <f>IF(MakeSchedule!AD277=0,"",MakeSchedule!AD277)</f>
        <v/>
      </c>
      <c r="F277" s="73" t="str">
        <f>IF(MakeSchedule!AD277=0,"",MakeSchedule!AC277/MakeSchedule!AD277)</f>
        <v/>
      </c>
      <c r="G277" s="73" t="str">
        <f t="shared" si="13"/>
        <v/>
      </c>
      <c r="H277" s="73" t="str">
        <f t="shared" si="14"/>
        <v/>
      </c>
      <c r="I277" s="69" t="str">
        <f>IF(MakeSchedule!AF277=0,"",MakeSchedule!AF277)</f>
        <v/>
      </c>
      <c r="J277" s="69" t="str">
        <f>IF(I277="","",IF(MakeSchedule!AG277=0,0,MakeSchedule!AG277))</f>
        <v/>
      </c>
      <c r="K277" s="39"/>
      <c r="L277" s="39"/>
      <c r="M277" s="39"/>
      <c r="N277" s="39"/>
      <c r="O277" s="39"/>
      <c r="P277" s="39"/>
      <c r="Q277" s="39"/>
      <c r="R277" s="39"/>
      <c r="S277" s="39"/>
      <c r="T277" s="39"/>
      <c r="U277" s="39"/>
      <c r="V277" s="39"/>
      <c r="W277" s="39"/>
    </row>
    <row r="278" spans="1:23" x14ac:dyDescent="0.2">
      <c r="A278" s="66"/>
      <c r="B278" s="67" t="str">
        <f t="shared" si="12"/>
        <v/>
      </c>
      <c r="C278" s="68" t="str">
        <f>IF(MakeSchedule!AB278=0,"",MakeSchedule!AB278)</f>
        <v/>
      </c>
      <c r="D278" s="69" t="str">
        <f>IF(MakeSchedule!AC278=0,"",MakeSchedule!AC278)</f>
        <v/>
      </c>
      <c r="E278" s="69" t="str">
        <f>IF(MakeSchedule!AD278=0,"",MakeSchedule!AD278)</f>
        <v/>
      </c>
      <c r="F278" s="73" t="str">
        <f>IF(MakeSchedule!AD278=0,"",MakeSchedule!AC278/MakeSchedule!AD278)</f>
        <v/>
      </c>
      <c r="G278" s="73" t="str">
        <f t="shared" si="13"/>
        <v/>
      </c>
      <c r="H278" s="73" t="str">
        <f t="shared" si="14"/>
        <v/>
      </c>
      <c r="I278" s="69" t="str">
        <f>IF(MakeSchedule!AF278=0,"",MakeSchedule!AF278)</f>
        <v/>
      </c>
      <c r="J278" s="69" t="str">
        <f>IF(I278="","",IF(MakeSchedule!AG278=0,0,MakeSchedule!AG278))</f>
        <v/>
      </c>
      <c r="K278" s="39"/>
      <c r="L278" s="39"/>
      <c r="M278" s="39"/>
      <c r="N278" s="39"/>
      <c r="O278" s="39"/>
      <c r="P278" s="39"/>
      <c r="Q278" s="39"/>
      <c r="R278" s="39"/>
      <c r="S278" s="39"/>
      <c r="T278" s="39"/>
      <c r="U278" s="39"/>
      <c r="V278" s="39"/>
      <c r="W278" s="39"/>
    </row>
    <row r="279" spans="1:23" x14ac:dyDescent="0.2">
      <c r="A279" s="66"/>
      <c r="B279" s="67" t="str">
        <f t="shared" si="12"/>
        <v/>
      </c>
      <c r="C279" s="68" t="str">
        <f>IF(MakeSchedule!AB279=0,"",MakeSchedule!AB279)</f>
        <v/>
      </c>
      <c r="D279" s="69" t="str">
        <f>IF(MakeSchedule!AC279=0,"",MakeSchedule!AC279)</f>
        <v/>
      </c>
      <c r="E279" s="69" t="str">
        <f>IF(MakeSchedule!AD279=0,"",MakeSchedule!AD279)</f>
        <v/>
      </c>
      <c r="F279" s="73" t="str">
        <f>IF(MakeSchedule!AD279=0,"",MakeSchedule!AC279/MakeSchedule!AD279)</f>
        <v/>
      </c>
      <c r="G279" s="73" t="str">
        <f t="shared" si="13"/>
        <v/>
      </c>
      <c r="H279" s="73" t="str">
        <f t="shared" si="14"/>
        <v/>
      </c>
      <c r="I279" s="69" t="str">
        <f>IF(MakeSchedule!AF279=0,"",MakeSchedule!AF279)</f>
        <v/>
      </c>
      <c r="J279" s="69" t="str">
        <f>IF(I279="","",IF(MakeSchedule!AG279=0,0,MakeSchedule!AG279))</f>
        <v/>
      </c>
      <c r="K279" s="39"/>
      <c r="L279" s="39"/>
      <c r="M279" s="39"/>
      <c r="N279" s="39"/>
      <c r="O279" s="39"/>
      <c r="P279" s="39"/>
      <c r="Q279" s="39"/>
      <c r="R279" s="39"/>
      <c r="S279" s="39"/>
      <c r="T279" s="39"/>
      <c r="U279" s="39"/>
      <c r="V279" s="39"/>
      <c r="W279" s="39"/>
    </row>
    <row r="280" spans="1:23" x14ac:dyDescent="0.2">
      <c r="A280" s="66"/>
      <c r="B280" s="67" t="str">
        <f t="shared" ref="B280:B300" si="15">IF(C280="","",B279+1)</f>
        <v/>
      </c>
      <c r="C280" s="68" t="str">
        <f>IF(MakeSchedule!AB280=0,"",MakeSchedule!AB280)</f>
        <v/>
      </c>
      <c r="D280" s="69" t="str">
        <f>IF(MakeSchedule!AC280=0,"",MakeSchedule!AC280)</f>
        <v/>
      </c>
      <c r="E280" s="69" t="str">
        <f>IF(MakeSchedule!AD280=0,"",MakeSchedule!AD280)</f>
        <v/>
      </c>
      <c r="F280" s="73" t="str">
        <f>IF(MakeSchedule!AD280=0,"",MakeSchedule!AC280/MakeSchedule!AD280)</f>
        <v/>
      </c>
      <c r="G280" s="73" t="str">
        <f t="shared" si="13"/>
        <v/>
      </c>
      <c r="H280" s="73" t="str">
        <f t="shared" si="14"/>
        <v/>
      </c>
      <c r="I280" s="69" t="str">
        <f>IF(MakeSchedule!AF280=0,"",MakeSchedule!AF280)</f>
        <v/>
      </c>
      <c r="J280" s="69" t="str">
        <f>IF(I280="","",IF(MakeSchedule!AG280=0,0,MakeSchedule!AG280))</f>
        <v/>
      </c>
      <c r="K280" s="39"/>
      <c r="L280" s="39"/>
      <c r="M280" s="39"/>
      <c r="N280" s="39"/>
      <c r="O280" s="39"/>
      <c r="P280" s="39"/>
      <c r="Q280" s="39"/>
      <c r="R280" s="39"/>
      <c r="S280" s="39"/>
      <c r="T280" s="39"/>
      <c r="U280" s="39"/>
      <c r="V280" s="39"/>
      <c r="W280" s="39"/>
    </row>
    <row r="281" spans="1:23" x14ac:dyDescent="0.2">
      <c r="A281" s="66"/>
      <c r="B281" s="67" t="str">
        <f t="shared" si="15"/>
        <v/>
      </c>
      <c r="C281" s="68" t="str">
        <f>IF(MakeSchedule!AB281=0,"",MakeSchedule!AB281)</f>
        <v/>
      </c>
      <c r="D281" s="69" t="str">
        <f>IF(MakeSchedule!AC281=0,"",MakeSchedule!AC281)</f>
        <v/>
      </c>
      <c r="E281" s="69" t="str">
        <f>IF(MakeSchedule!AD281=0,"",MakeSchedule!AD281)</f>
        <v/>
      </c>
      <c r="F281" s="73" t="str">
        <f>IF(MakeSchedule!AD281=0,"",MakeSchedule!AC281/MakeSchedule!AD281)</f>
        <v/>
      </c>
      <c r="G281" s="73" t="str">
        <f t="shared" si="13"/>
        <v/>
      </c>
      <c r="H281" s="73" t="str">
        <f t="shared" si="14"/>
        <v/>
      </c>
      <c r="I281" s="69" t="str">
        <f>IF(MakeSchedule!AF281=0,"",MakeSchedule!AF281)</f>
        <v/>
      </c>
      <c r="J281" s="69" t="str">
        <f>IF(I281="","",IF(MakeSchedule!AG281=0,0,MakeSchedule!AG281))</f>
        <v/>
      </c>
      <c r="K281" s="39"/>
      <c r="L281" s="39"/>
      <c r="M281" s="39"/>
      <c r="N281" s="39"/>
      <c r="O281" s="39"/>
      <c r="P281" s="39"/>
      <c r="Q281" s="39"/>
      <c r="R281" s="39"/>
      <c r="S281" s="39"/>
      <c r="T281" s="39"/>
      <c r="U281" s="39"/>
      <c r="V281" s="39"/>
      <c r="W281" s="39"/>
    </row>
    <row r="282" spans="1:23" x14ac:dyDescent="0.2">
      <c r="A282" s="66"/>
      <c r="B282" s="67" t="str">
        <f t="shared" si="15"/>
        <v/>
      </c>
      <c r="C282" s="68" t="str">
        <f>IF(MakeSchedule!AB282=0,"",MakeSchedule!AB282)</f>
        <v/>
      </c>
      <c r="D282" s="69" t="str">
        <f>IF(MakeSchedule!AC282=0,"",MakeSchedule!AC282)</f>
        <v/>
      </c>
      <c r="E282" s="69" t="str">
        <f>IF(MakeSchedule!AD282=0,"",MakeSchedule!AD282)</f>
        <v/>
      </c>
      <c r="F282" s="73" t="str">
        <f>IF(MakeSchedule!AD282=0,"",MakeSchedule!AC282/MakeSchedule!AD282)</f>
        <v/>
      </c>
      <c r="G282" s="73" t="str">
        <f t="shared" si="13"/>
        <v/>
      </c>
      <c r="H282" s="73" t="str">
        <f t="shared" si="14"/>
        <v/>
      </c>
      <c r="I282" s="69" t="str">
        <f>IF(MakeSchedule!AF282=0,"",MakeSchedule!AF282)</f>
        <v/>
      </c>
      <c r="J282" s="69" t="str">
        <f>IF(I282="","",IF(MakeSchedule!AG282=0,0,MakeSchedule!AG282))</f>
        <v/>
      </c>
      <c r="K282" s="39"/>
      <c r="L282" s="39"/>
      <c r="M282" s="39"/>
      <c r="N282" s="39"/>
      <c r="O282" s="39"/>
      <c r="P282" s="39"/>
      <c r="Q282" s="39"/>
      <c r="R282" s="39"/>
      <c r="S282" s="39"/>
      <c r="T282" s="39"/>
      <c r="U282" s="39"/>
      <c r="V282" s="39"/>
      <c r="W282" s="39"/>
    </row>
    <row r="283" spans="1:23" x14ac:dyDescent="0.2">
      <c r="A283" s="66"/>
      <c r="B283" s="67" t="str">
        <f t="shared" si="15"/>
        <v/>
      </c>
      <c r="C283" s="68" t="str">
        <f>IF(MakeSchedule!AB283=0,"",MakeSchedule!AB283)</f>
        <v/>
      </c>
      <c r="D283" s="69" t="str">
        <f>IF(MakeSchedule!AC283=0,"",MakeSchedule!AC283)</f>
        <v/>
      </c>
      <c r="E283" s="69" t="str">
        <f>IF(MakeSchedule!AD283=0,"",MakeSchedule!AD283)</f>
        <v/>
      </c>
      <c r="F283" s="73" t="str">
        <f>IF(MakeSchedule!AD283=0,"",MakeSchedule!AC283/MakeSchedule!AD283)</f>
        <v/>
      </c>
      <c r="G283" s="73" t="str">
        <f t="shared" si="13"/>
        <v/>
      </c>
      <c r="H283" s="73" t="str">
        <f t="shared" si="14"/>
        <v/>
      </c>
      <c r="I283" s="69" t="str">
        <f>IF(MakeSchedule!AF283=0,"",MakeSchedule!AF283)</f>
        <v/>
      </c>
      <c r="J283" s="69" t="str">
        <f>IF(I283="","",IF(MakeSchedule!AG283=0,0,MakeSchedule!AG283))</f>
        <v/>
      </c>
      <c r="K283" s="39"/>
      <c r="L283" s="39"/>
      <c r="M283" s="39"/>
      <c r="N283" s="39"/>
      <c r="O283" s="39"/>
      <c r="P283" s="39"/>
      <c r="Q283" s="39"/>
      <c r="R283" s="39"/>
      <c r="S283" s="39"/>
      <c r="T283" s="39"/>
      <c r="U283" s="39"/>
      <c r="V283" s="39"/>
      <c r="W283" s="39"/>
    </row>
    <row r="284" spans="1:23" x14ac:dyDescent="0.2">
      <c r="A284" s="66"/>
      <c r="B284" s="67" t="str">
        <f t="shared" si="15"/>
        <v/>
      </c>
      <c r="C284" s="68" t="str">
        <f>IF(MakeSchedule!AB284=0,"",MakeSchedule!AB284)</f>
        <v/>
      </c>
      <c r="D284" s="69" t="str">
        <f>IF(MakeSchedule!AC284=0,"",MakeSchedule!AC284)</f>
        <v/>
      </c>
      <c r="E284" s="69" t="str">
        <f>IF(MakeSchedule!AD284=0,"",MakeSchedule!AD284)</f>
        <v/>
      </c>
      <c r="F284" s="73" t="str">
        <f>IF(MakeSchedule!AD284=0,"",MakeSchedule!AC284/MakeSchedule!AD284)</f>
        <v/>
      </c>
      <c r="G284" s="73" t="str">
        <f t="shared" si="13"/>
        <v/>
      </c>
      <c r="H284" s="73" t="str">
        <f t="shared" si="14"/>
        <v/>
      </c>
      <c r="I284" s="69" t="str">
        <f>IF(MakeSchedule!AF284=0,"",MakeSchedule!AF284)</f>
        <v/>
      </c>
      <c r="J284" s="69" t="str">
        <f>IF(I284="","",IF(MakeSchedule!AG284=0,0,MakeSchedule!AG284))</f>
        <v/>
      </c>
      <c r="K284" s="39"/>
      <c r="L284" s="39"/>
      <c r="M284" s="39"/>
      <c r="N284" s="39"/>
      <c r="O284" s="39"/>
      <c r="P284" s="39"/>
      <c r="Q284" s="39"/>
      <c r="R284" s="39"/>
      <c r="S284" s="39"/>
      <c r="T284" s="39"/>
      <c r="U284" s="39"/>
      <c r="V284" s="39"/>
      <c r="W284" s="39"/>
    </row>
    <row r="285" spans="1:23" x14ac:dyDescent="0.2">
      <c r="A285" s="66"/>
      <c r="B285" s="67" t="str">
        <f t="shared" si="15"/>
        <v/>
      </c>
      <c r="C285" s="68" t="str">
        <f>IF(MakeSchedule!AB285=0,"",MakeSchedule!AB285)</f>
        <v/>
      </c>
      <c r="D285" s="69" t="str">
        <f>IF(MakeSchedule!AC285=0,"",MakeSchedule!AC285)</f>
        <v/>
      </c>
      <c r="E285" s="69" t="str">
        <f>IF(MakeSchedule!AD285=0,"",MakeSchedule!AD285)</f>
        <v/>
      </c>
      <c r="F285" s="73" t="str">
        <f>IF(MakeSchedule!AD285=0,"",MakeSchedule!AC285/MakeSchedule!AD285)</f>
        <v/>
      </c>
      <c r="G285" s="73" t="str">
        <f t="shared" si="13"/>
        <v/>
      </c>
      <c r="H285" s="73" t="str">
        <f t="shared" si="14"/>
        <v/>
      </c>
      <c r="I285" s="69" t="str">
        <f>IF(MakeSchedule!AF285=0,"",MakeSchedule!AF285)</f>
        <v/>
      </c>
      <c r="J285" s="69" t="str">
        <f>IF(I285="","",IF(MakeSchedule!AG285=0,0,MakeSchedule!AG285))</f>
        <v/>
      </c>
      <c r="K285" s="39"/>
      <c r="L285" s="39"/>
      <c r="M285" s="39"/>
      <c r="N285" s="39"/>
      <c r="O285" s="39"/>
      <c r="P285" s="39"/>
      <c r="Q285" s="39"/>
      <c r="R285" s="39"/>
      <c r="S285" s="39"/>
      <c r="T285" s="39"/>
      <c r="U285" s="39"/>
      <c r="V285" s="39"/>
      <c r="W285" s="39"/>
    </row>
    <row r="286" spans="1:23" x14ac:dyDescent="0.2">
      <c r="A286" s="66"/>
      <c r="B286" s="67" t="str">
        <f t="shared" si="15"/>
        <v/>
      </c>
      <c r="C286" s="68" t="str">
        <f>IF(MakeSchedule!AB286=0,"",MakeSchedule!AB286)</f>
        <v/>
      </c>
      <c r="D286" s="69" t="str">
        <f>IF(MakeSchedule!AC286=0,"",MakeSchedule!AC286)</f>
        <v/>
      </c>
      <c r="E286" s="69" t="str">
        <f>IF(MakeSchedule!AD286=0,"",MakeSchedule!AD286)</f>
        <v/>
      </c>
      <c r="F286" s="73" t="str">
        <f>IF(MakeSchedule!AD286=0,"",MakeSchedule!AC286/MakeSchedule!AD286)</f>
        <v/>
      </c>
      <c r="G286" s="73" t="str">
        <f t="shared" si="13"/>
        <v/>
      </c>
      <c r="H286" s="73" t="str">
        <f t="shared" si="14"/>
        <v/>
      </c>
      <c r="I286" s="69" t="str">
        <f>IF(MakeSchedule!AF286=0,"",MakeSchedule!AF286)</f>
        <v/>
      </c>
      <c r="J286" s="69" t="str">
        <f>IF(I286="","",IF(MakeSchedule!AG286=0,0,MakeSchedule!AG286))</f>
        <v/>
      </c>
      <c r="K286" s="39"/>
      <c r="L286" s="39"/>
      <c r="M286" s="39"/>
      <c r="N286" s="39"/>
      <c r="O286" s="39"/>
      <c r="P286" s="39"/>
      <c r="Q286" s="39"/>
      <c r="R286" s="39"/>
      <c r="S286" s="39"/>
      <c r="T286" s="39"/>
      <c r="U286" s="39"/>
      <c r="V286" s="39"/>
      <c r="W286" s="39"/>
    </row>
    <row r="287" spans="1:23" x14ac:dyDescent="0.2">
      <c r="A287" s="66"/>
      <c r="B287" s="67" t="str">
        <f t="shared" si="15"/>
        <v/>
      </c>
      <c r="C287" s="68" t="str">
        <f>IF(MakeSchedule!AB287=0,"",MakeSchedule!AB287)</f>
        <v/>
      </c>
      <c r="D287" s="69" t="str">
        <f>IF(MakeSchedule!AC287=0,"",MakeSchedule!AC287)</f>
        <v/>
      </c>
      <c r="E287" s="69" t="str">
        <f>IF(MakeSchedule!AD287=0,"",MakeSchedule!AD287)</f>
        <v/>
      </c>
      <c r="F287" s="73" t="str">
        <f>IF(MakeSchedule!AD287=0,"",MakeSchedule!AC287/MakeSchedule!AD287)</f>
        <v/>
      </c>
      <c r="G287" s="73" t="str">
        <f t="shared" si="13"/>
        <v/>
      </c>
      <c r="H287" s="73" t="str">
        <f t="shared" si="14"/>
        <v/>
      </c>
      <c r="I287" s="69" t="str">
        <f>IF(MakeSchedule!AF287=0,"",MakeSchedule!AF287)</f>
        <v/>
      </c>
      <c r="J287" s="69" t="str">
        <f>IF(I287="","",IF(MakeSchedule!AG287=0,0,MakeSchedule!AG287))</f>
        <v/>
      </c>
      <c r="K287" s="39"/>
      <c r="L287" s="39"/>
      <c r="M287" s="39"/>
      <c r="N287" s="39"/>
      <c r="O287" s="39"/>
      <c r="P287" s="39"/>
      <c r="Q287" s="39"/>
      <c r="R287" s="39"/>
      <c r="S287" s="39"/>
      <c r="T287" s="39"/>
      <c r="U287" s="39"/>
      <c r="V287" s="39"/>
      <c r="W287" s="39"/>
    </row>
    <row r="288" spans="1:23" x14ac:dyDescent="0.2">
      <c r="A288" s="66"/>
      <c r="B288" s="67" t="str">
        <f t="shared" si="15"/>
        <v/>
      </c>
      <c r="C288" s="68" t="str">
        <f>IF(MakeSchedule!AB288=0,"",MakeSchedule!AB288)</f>
        <v/>
      </c>
      <c r="D288" s="69" t="str">
        <f>IF(MakeSchedule!AC288=0,"",MakeSchedule!AC288)</f>
        <v/>
      </c>
      <c r="E288" s="69" t="str">
        <f>IF(MakeSchedule!AD288=0,"",MakeSchedule!AD288)</f>
        <v/>
      </c>
      <c r="F288" s="73" t="str">
        <f>IF(MakeSchedule!AD288=0,"",MakeSchedule!AC288/MakeSchedule!AD288)</f>
        <v/>
      </c>
      <c r="G288" s="73" t="str">
        <f t="shared" si="13"/>
        <v/>
      </c>
      <c r="H288" s="73" t="str">
        <f t="shared" si="14"/>
        <v/>
      </c>
      <c r="I288" s="69" t="str">
        <f>IF(MakeSchedule!AF288=0,"",MakeSchedule!AF288)</f>
        <v/>
      </c>
      <c r="J288" s="69" t="str">
        <f>IF(I288="","",IF(MakeSchedule!AG288=0,0,MakeSchedule!AG288))</f>
        <v/>
      </c>
      <c r="K288" s="39"/>
      <c r="L288" s="39"/>
      <c r="M288" s="39"/>
      <c r="N288" s="39"/>
      <c r="O288" s="39"/>
      <c r="P288" s="39"/>
      <c r="Q288" s="39"/>
      <c r="R288" s="39"/>
      <c r="S288" s="39"/>
      <c r="T288" s="39"/>
      <c r="U288" s="39"/>
      <c r="V288" s="39"/>
      <c r="W288" s="39"/>
    </row>
    <row r="289" spans="1:23" x14ac:dyDescent="0.2">
      <c r="A289" s="66"/>
      <c r="B289" s="67" t="str">
        <f t="shared" si="15"/>
        <v/>
      </c>
      <c r="C289" s="68" t="str">
        <f>IF(MakeSchedule!AB289=0,"",MakeSchedule!AB289)</f>
        <v/>
      </c>
      <c r="D289" s="69" t="str">
        <f>IF(MakeSchedule!AC289=0,"",MakeSchedule!AC289)</f>
        <v/>
      </c>
      <c r="E289" s="69" t="str">
        <f>IF(MakeSchedule!AD289=0,"",MakeSchedule!AD289)</f>
        <v/>
      </c>
      <c r="F289" s="73" t="str">
        <f>IF(MakeSchedule!AD289=0,"",MakeSchedule!AC289/MakeSchedule!AD289)</f>
        <v/>
      </c>
      <c r="G289" s="73" t="str">
        <f t="shared" si="13"/>
        <v/>
      </c>
      <c r="H289" s="73" t="str">
        <f t="shared" si="14"/>
        <v/>
      </c>
      <c r="I289" s="69" t="str">
        <f>IF(MakeSchedule!AF289=0,"",MakeSchedule!AF289)</f>
        <v/>
      </c>
      <c r="J289" s="69" t="str">
        <f>IF(I289="","",IF(MakeSchedule!AG289=0,0,MakeSchedule!AG289))</f>
        <v/>
      </c>
      <c r="K289" s="39"/>
      <c r="L289" s="39"/>
      <c r="M289" s="39"/>
      <c r="N289" s="39"/>
      <c r="O289" s="39"/>
      <c r="P289" s="39"/>
      <c r="Q289" s="39"/>
      <c r="R289" s="39"/>
      <c r="S289" s="39"/>
      <c r="T289" s="39"/>
      <c r="U289" s="39"/>
      <c r="V289" s="39"/>
      <c r="W289" s="39"/>
    </row>
    <row r="290" spans="1:23" x14ac:dyDescent="0.2">
      <c r="A290" s="66"/>
      <c r="B290" s="67" t="str">
        <f t="shared" si="15"/>
        <v/>
      </c>
      <c r="C290" s="68" t="str">
        <f>IF(MakeSchedule!AB290=0,"",MakeSchedule!AB290)</f>
        <v/>
      </c>
      <c r="D290" s="69" t="str">
        <f>IF(MakeSchedule!AC290=0,"",MakeSchedule!AC290)</f>
        <v/>
      </c>
      <c r="E290" s="69" t="str">
        <f>IF(MakeSchedule!AD290=0,"",MakeSchedule!AD290)</f>
        <v/>
      </c>
      <c r="F290" s="73" t="str">
        <f>IF(MakeSchedule!AD290=0,"",MakeSchedule!AC290/MakeSchedule!AD290)</f>
        <v/>
      </c>
      <c r="G290" s="73" t="str">
        <f t="shared" si="13"/>
        <v/>
      </c>
      <c r="H290" s="73" t="str">
        <f t="shared" si="14"/>
        <v/>
      </c>
      <c r="I290" s="69" t="str">
        <f>IF(MakeSchedule!AF290=0,"",MakeSchedule!AF290)</f>
        <v/>
      </c>
      <c r="J290" s="69" t="str">
        <f>IF(I290="","",IF(MakeSchedule!AG290=0,0,MakeSchedule!AG290))</f>
        <v/>
      </c>
      <c r="K290" s="39"/>
      <c r="L290" s="39"/>
      <c r="M290" s="39"/>
      <c r="N290" s="39"/>
      <c r="O290" s="39"/>
      <c r="P290" s="39"/>
      <c r="Q290" s="39"/>
      <c r="R290" s="39"/>
      <c r="S290" s="39"/>
      <c r="T290" s="39"/>
      <c r="U290" s="39"/>
      <c r="V290" s="39"/>
      <c r="W290" s="39"/>
    </row>
    <row r="291" spans="1:23" x14ac:dyDescent="0.2">
      <c r="A291" s="66"/>
      <c r="B291" s="67" t="str">
        <f t="shared" si="15"/>
        <v/>
      </c>
      <c r="C291" s="68" t="str">
        <f>IF(MakeSchedule!AB291=0,"",MakeSchedule!AB291)</f>
        <v/>
      </c>
      <c r="D291" s="69" t="str">
        <f>IF(MakeSchedule!AC291=0,"",MakeSchedule!AC291)</f>
        <v/>
      </c>
      <c r="E291" s="69" t="str">
        <f>IF(MakeSchedule!AD291=0,"",MakeSchedule!AD291)</f>
        <v/>
      </c>
      <c r="F291" s="73" t="str">
        <f>IF(MakeSchedule!AD291=0,"",MakeSchedule!AC291/MakeSchedule!AD291)</f>
        <v/>
      </c>
      <c r="G291" s="73" t="str">
        <f t="shared" si="13"/>
        <v/>
      </c>
      <c r="H291" s="73" t="str">
        <f t="shared" si="14"/>
        <v/>
      </c>
      <c r="I291" s="69" t="str">
        <f>IF(MakeSchedule!AF291=0,"",MakeSchedule!AF291)</f>
        <v/>
      </c>
      <c r="J291" s="69" t="str">
        <f>IF(I291="","",IF(MakeSchedule!AG291=0,0,MakeSchedule!AG291))</f>
        <v/>
      </c>
      <c r="K291" s="39"/>
      <c r="L291" s="39"/>
      <c r="M291" s="39"/>
      <c r="N291" s="39"/>
      <c r="O291" s="39"/>
      <c r="P291" s="39"/>
      <c r="Q291" s="39"/>
      <c r="R291" s="39"/>
      <c r="S291" s="39"/>
      <c r="T291" s="39"/>
      <c r="U291" s="39"/>
      <c r="V291" s="39"/>
      <c r="W291" s="39"/>
    </row>
    <row r="292" spans="1:23" x14ac:dyDescent="0.2">
      <c r="A292" s="66"/>
      <c r="B292" s="67" t="str">
        <f t="shared" si="15"/>
        <v/>
      </c>
      <c r="C292" s="68" t="str">
        <f>IF(MakeSchedule!AB292=0,"",MakeSchedule!AB292)</f>
        <v/>
      </c>
      <c r="D292" s="69" t="str">
        <f>IF(MakeSchedule!AC292=0,"",MakeSchedule!AC292)</f>
        <v/>
      </c>
      <c r="E292" s="69" t="str">
        <f>IF(MakeSchedule!AD292=0,"",MakeSchedule!AD292)</f>
        <v/>
      </c>
      <c r="F292" s="73" t="str">
        <f>IF(MakeSchedule!AD292=0,"",MakeSchedule!AC292/MakeSchedule!AD292)</f>
        <v/>
      </c>
      <c r="G292" s="73" t="str">
        <f t="shared" si="13"/>
        <v/>
      </c>
      <c r="H292" s="73" t="str">
        <f t="shared" si="14"/>
        <v/>
      </c>
      <c r="I292" s="69" t="str">
        <f>IF(MakeSchedule!AF292=0,"",MakeSchedule!AF292)</f>
        <v/>
      </c>
      <c r="J292" s="69" t="str">
        <f>IF(I292="","",IF(MakeSchedule!AG292=0,0,MakeSchedule!AG292))</f>
        <v/>
      </c>
      <c r="K292" s="39"/>
      <c r="L292" s="39"/>
      <c r="M292" s="39"/>
      <c r="N292" s="39"/>
      <c r="O292" s="39"/>
      <c r="P292" s="39"/>
      <c r="Q292" s="39"/>
      <c r="R292" s="39"/>
      <c r="S292" s="39"/>
      <c r="T292" s="39"/>
      <c r="U292" s="39"/>
      <c r="V292" s="39"/>
      <c r="W292" s="39"/>
    </row>
    <row r="293" spans="1:23" x14ac:dyDescent="0.2">
      <c r="A293" s="66"/>
      <c r="B293" s="67" t="str">
        <f t="shared" si="15"/>
        <v/>
      </c>
      <c r="C293" s="68" t="str">
        <f>IF(MakeSchedule!AB293=0,"",MakeSchedule!AB293)</f>
        <v/>
      </c>
      <c r="D293" s="69" t="str">
        <f>IF(MakeSchedule!AC293=0,"",MakeSchedule!AC293)</f>
        <v/>
      </c>
      <c r="E293" s="69" t="str">
        <f>IF(MakeSchedule!AD293=0,"",MakeSchedule!AD293)</f>
        <v/>
      </c>
      <c r="F293" s="73" t="str">
        <f>IF(MakeSchedule!AD293=0,"",MakeSchedule!AC293/MakeSchedule!AD293)</f>
        <v/>
      </c>
      <c r="G293" s="73" t="str">
        <f t="shared" si="13"/>
        <v/>
      </c>
      <c r="H293" s="73" t="str">
        <f t="shared" si="14"/>
        <v/>
      </c>
      <c r="I293" s="69" t="str">
        <f>IF(MakeSchedule!AF293=0,"",MakeSchedule!AF293)</f>
        <v/>
      </c>
      <c r="J293" s="69" t="str">
        <f>IF(I293="","",IF(MakeSchedule!AG293=0,0,MakeSchedule!AG293))</f>
        <v/>
      </c>
      <c r="K293" s="39"/>
      <c r="L293" s="39"/>
      <c r="M293" s="39"/>
      <c r="N293" s="39"/>
      <c r="O293" s="39"/>
      <c r="P293" s="39"/>
      <c r="Q293" s="39"/>
      <c r="R293" s="39"/>
      <c r="S293" s="39"/>
      <c r="T293" s="39"/>
      <c r="U293" s="39"/>
      <c r="V293" s="39"/>
      <c r="W293" s="39"/>
    </row>
    <row r="294" spans="1:23" x14ac:dyDescent="0.2">
      <c r="A294" s="66"/>
      <c r="B294" s="67" t="str">
        <f t="shared" si="15"/>
        <v/>
      </c>
      <c r="C294" s="68" t="str">
        <f>IF(MakeSchedule!AB294=0,"",MakeSchedule!AB294)</f>
        <v/>
      </c>
      <c r="D294" s="69" t="str">
        <f>IF(MakeSchedule!AC294=0,"",MakeSchedule!AC294)</f>
        <v/>
      </c>
      <c r="E294" s="69" t="str">
        <f>IF(MakeSchedule!AD294=0,"",MakeSchedule!AD294)</f>
        <v/>
      </c>
      <c r="F294" s="73" t="str">
        <f>IF(MakeSchedule!AD294=0,"",MakeSchedule!AC294/MakeSchedule!AD294)</f>
        <v/>
      </c>
      <c r="G294" s="73" t="str">
        <f t="shared" si="13"/>
        <v/>
      </c>
      <c r="H294" s="73" t="str">
        <f t="shared" si="14"/>
        <v/>
      </c>
      <c r="I294" s="69" t="str">
        <f>IF(MakeSchedule!AF294=0,"",MakeSchedule!AF294)</f>
        <v/>
      </c>
      <c r="J294" s="69" t="str">
        <f>IF(I294="","",IF(MakeSchedule!AG294=0,0,MakeSchedule!AG294))</f>
        <v/>
      </c>
      <c r="K294" s="39"/>
      <c r="L294" s="39"/>
      <c r="M294" s="39"/>
      <c r="N294" s="39"/>
      <c r="O294" s="39"/>
      <c r="P294" s="39"/>
      <c r="Q294" s="39"/>
      <c r="R294" s="39"/>
      <c r="S294" s="39"/>
      <c r="T294" s="39"/>
      <c r="U294" s="39"/>
      <c r="V294" s="39"/>
      <c r="W294" s="39"/>
    </row>
    <row r="295" spans="1:23" x14ac:dyDescent="0.2">
      <c r="A295" s="66"/>
      <c r="B295" s="67" t="str">
        <f t="shared" si="15"/>
        <v/>
      </c>
      <c r="C295" s="68" t="str">
        <f>IF(MakeSchedule!AB295=0,"",MakeSchedule!AB295)</f>
        <v/>
      </c>
      <c r="D295" s="69" t="str">
        <f>IF(MakeSchedule!AC295=0,"",MakeSchedule!AC295)</f>
        <v/>
      </c>
      <c r="E295" s="69" t="str">
        <f>IF(MakeSchedule!AD295=0,"",MakeSchedule!AD295)</f>
        <v/>
      </c>
      <c r="F295" s="73" t="str">
        <f>IF(MakeSchedule!AD295=0,"",MakeSchedule!AC295/MakeSchedule!AD295)</f>
        <v/>
      </c>
      <c r="G295" s="73" t="str">
        <f t="shared" si="13"/>
        <v/>
      </c>
      <c r="H295" s="73" t="str">
        <f t="shared" si="14"/>
        <v/>
      </c>
      <c r="I295" s="69" t="str">
        <f>IF(MakeSchedule!AF295=0,"",MakeSchedule!AF295)</f>
        <v/>
      </c>
      <c r="J295" s="69" t="str">
        <f>IF(I295="","",IF(MakeSchedule!AG295=0,0,MakeSchedule!AG295))</f>
        <v/>
      </c>
      <c r="K295" s="39"/>
      <c r="L295" s="39"/>
      <c r="M295" s="39"/>
      <c r="N295" s="39"/>
      <c r="O295" s="39"/>
      <c r="P295" s="39"/>
      <c r="Q295" s="39"/>
      <c r="R295" s="39"/>
      <c r="S295" s="39"/>
      <c r="T295" s="39"/>
      <c r="U295" s="39"/>
      <c r="V295" s="39"/>
      <c r="W295" s="39"/>
    </row>
    <row r="296" spans="1:23" x14ac:dyDescent="0.2">
      <c r="A296" s="66"/>
      <c r="B296" s="67" t="str">
        <f t="shared" si="15"/>
        <v/>
      </c>
      <c r="C296" s="68" t="str">
        <f>IF(MakeSchedule!AB296=0,"",MakeSchedule!AB296)</f>
        <v/>
      </c>
      <c r="D296" s="69" t="str">
        <f>IF(MakeSchedule!AC296=0,"",MakeSchedule!AC296)</f>
        <v/>
      </c>
      <c r="E296" s="69" t="str">
        <f>IF(MakeSchedule!AD296=0,"",MakeSchedule!AD296)</f>
        <v/>
      </c>
      <c r="F296" s="73" t="str">
        <f>IF(MakeSchedule!AD296=0,"",MakeSchedule!AC296/MakeSchedule!AD296)</f>
        <v/>
      </c>
      <c r="G296" s="73" t="str">
        <f t="shared" si="13"/>
        <v/>
      </c>
      <c r="H296" s="73" t="str">
        <f t="shared" si="14"/>
        <v/>
      </c>
      <c r="I296" s="69" t="str">
        <f>IF(MakeSchedule!AF296=0,"",MakeSchedule!AF296)</f>
        <v/>
      </c>
      <c r="J296" s="69" t="str">
        <f>IF(I296="","",IF(MakeSchedule!AG296=0,0,MakeSchedule!AG296))</f>
        <v/>
      </c>
      <c r="K296" s="39"/>
      <c r="L296" s="39"/>
      <c r="M296" s="39"/>
      <c r="N296" s="39"/>
      <c r="O296" s="39"/>
      <c r="P296" s="39"/>
      <c r="Q296" s="39"/>
      <c r="R296" s="39"/>
      <c r="S296" s="39"/>
      <c r="T296" s="39"/>
      <c r="U296" s="39"/>
      <c r="V296" s="39"/>
      <c r="W296" s="39"/>
    </row>
    <row r="297" spans="1:23" x14ac:dyDescent="0.2">
      <c r="A297" s="66"/>
      <c r="B297" s="67" t="str">
        <f t="shared" si="15"/>
        <v/>
      </c>
      <c r="C297" s="68" t="str">
        <f>IF(MakeSchedule!AB297=0,"",MakeSchedule!AB297)</f>
        <v/>
      </c>
      <c r="D297" s="69" t="str">
        <f>IF(MakeSchedule!AC297=0,"",MakeSchedule!AC297)</f>
        <v/>
      </c>
      <c r="E297" s="69" t="str">
        <f>IF(MakeSchedule!AD297=0,"",MakeSchedule!AD297)</f>
        <v/>
      </c>
      <c r="F297" s="73" t="str">
        <f>IF(MakeSchedule!AD297=0,"",MakeSchedule!AC297/MakeSchedule!AD297)</f>
        <v/>
      </c>
      <c r="G297" s="73" t="str">
        <f t="shared" si="13"/>
        <v/>
      </c>
      <c r="H297" s="73" t="str">
        <f t="shared" si="14"/>
        <v/>
      </c>
      <c r="I297" s="69" t="str">
        <f>IF(MakeSchedule!AF297=0,"",MakeSchedule!AF297)</f>
        <v/>
      </c>
      <c r="J297" s="69" t="str">
        <f>IF(I297="","",IF(MakeSchedule!AG297=0,0,MakeSchedule!AG297))</f>
        <v/>
      </c>
      <c r="K297" s="39"/>
      <c r="L297" s="39"/>
      <c r="M297" s="39"/>
      <c r="N297" s="39"/>
      <c r="O297" s="39"/>
      <c r="P297" s="39"/>
      <c r="Q297" s="39"/>
      <c r="R297" s="39"/>
      <c r="S297" s="39"/>
      <c r="T297" s="39"/>
      <c r="U297" s="39"/>
      <c r="V297" s="39"/>
      <c r="W297" s="39"/>
    </row>
    <row r="298" spans="1:23" x14ac:dyDescent="0.2">
      <c r="A298" s="66"/>
      <c r="B298" s="67" t="str">
        <f t="shared" si="15"/>
        <v/>
      </c>
      <c r="C298" s="68" t="str">
        <f>IF(MakeSchedule!AB298=0,"",MakeSchedule!AB298)</f>
        <v/>
      </c>
      <c r="D298" s="69" t="str">
        <f>IF(MakeSchedule!AC298=0,"",MakeSchedule!AC298)</f>
        <v/>
      </c>
      <c r="E298" s="69" t="str">
        <f>IF(MakeSchedule!AD298=0,"",MakeSchedule!AD298)</f>
        <v/>
      </c>
      <c r="F298" s="73" t="str">
        <f>IF(MakeSchedule!AD298=0,"",MakeSchedule!AC298/MakeSchedule!AD298)</f>
        <v/>
      </c>
      <c r="G298" s="73" t="str">
        <f t="shared" si="13"/>
        <v/>
      </c>
      <c r="H298" s="73" t="str">
        <f t="shared" si="14"/>
        <v/>
      </c>
      <c r="I298" s="69" t="str">
        <f>IF(MakeSchedule!AF298=0,"",MakeSchedule!AF298)</f>
        <v/>
      </c>
      <c r="J298" s="69" t="str">
        <f>IF(I298="","",IF(MakeSchedule!AG298=0,0,MakeSchedule!AG298))</f>
        <v/>
      </c>
      <c r="K298" s="39"/>
      <c r="L298" s="39"/>
      <c r="M298" s="39"/>
      <c r="N298" s="39"/>
      <c r="O298" s="39"/>
      <c r="P298" s="39"/>
      <c r="Q298" s="39"/>
      <c r="R298" s="39"/>
      <c r="S298" s="39"/>
      <c r="T298" s="39"/>
      <c r="U298" s="39"/>
      <c r="V298" s="39"/>
      <c r="W298" s="39"/>
    </row>
    <row r="299" spans="1:23" x14ac:dyDescent="0.2">
      <c r="A299" s="66"/>
      <c r="B299" s="67" t="str">
        <f t="shared" si="15"/>
        <v/>
      </c>
      <c r="C299" s="68" t="str">
        <f>IF(MakeSchedule!AB299=0,"",MakeSchedule!AB299)</f>
        <v/>
      </c>
      <c r="D299" s="69" t="str">
        <f>IF(MakeSchedule!AC299=0,"",MakeSchedule!AC299)</f>
        <v/>
      </c>
      <c r="E299" s="69" t="str">
        <f>IF(MakeSchedule!AD299=0,"",MakeSchedule!AD299)</f>
        <v/>
      </c>
      <c r="F299" s="73" t="str">
        <f>IF(MakeSchedule!AD299=0,"",MakeSchedule!AC299/MakeSchedule!AD299)</f>
        <v/>
      </c>
      <c r="G299" s="73" t="str">
        <f t="shared" si="13"/>
        <v/>
      </c>
      <c r="H299" s="73" t="str">
        <f t="shared" si="14"/>
        <v/>
      </c>
      <c r="I299" s="69" t="str">
        <f>IF(MakeSchedule!AF299=0,"",MakeSchedule!AF299)</f>
        <v/>
      </c>
      <c r="J299" s="69" t="str">
        <f>IF(I299="","",IF(MakeSchedule!AG299=0,0,MakeSchedule!AG299))</f>
        <v/>
      </c>
      <c r="K299" s="39"/>
      <c r="L299" s="39"/>
      <c r="M299" s="39"/>
      <c r="N299" s="39"/>
      <c r="O299" s="39"/>
      <c r="P299" s="39"/>
      <c r="Q299" s="39"/>
      <c r="R299" s="39"/>
      <c r="S299" s="39"/>
      <c r="T299" s="39"/>
      <c r="U299" s="39"/>
      <c r="V299" s="39"/>
      <c r="W299" s="39"/>
    </row>
    <row r="300" spans="1:23" x14ac:dyDescent="0.2">
      <c r="A300" s="66"/>
      <c r="B300" s="67" t="str">
        <f t="shared" si="15"/>
        <v/>
      </c>
      <c r="C300" s="68" t="str">
        <f>IF(MakeSchedule!AB300=0,"",MakeSchedule!AB300)</f>
        <v/>
      </c>
      <c r="D300" s="69" t="str">
        <f>IF(MakeSchedule!AC300=0,"",MakeSchedule!AC300)</f>
        <v/>
      </c>
      <c r="E300" s="69" t="str">
        <f>IF(MakeSchedule!AD300=0,"",MakeSchedule!AD300)</f>
        <v/>
      </c>
      <c r="F300" s="73" t="str">
        <f>IF(MakeSchedule!AD300=0,"",MakeSchedule!AC300/MakeSchedule!AD300)</f>
        <v/>
      </c>
      <c r="G300" s="73" t="str">
        <f t="shared" si="13"/>
        <v/>
      </c>
      <c r="H300" s="73" t="str">
        <f t="shared" si="14"/>
        <v/>
      </c>
      <c r="I300" s="69" t="str">
        <f>IF(MakeSchedule!AF300=0,"",MakeSchedule!AF300)</f>
        <v/>
      </c>
      <c r="J300" s="69" t="str">
        <f>IF(I300="","",IF(MakeSchedule!AG300=0,0,MakeSchedule!AG300))</f>
        <v/>
      </c>
      <c r="K300" s="39"/>
      <c r="L300" s="39"/>
      <c r="M300" s="39"/>
      <c r="N300" s="39"/>
      <c r="O300" s="39"/>
      <c r="P300" s="39"/>
      <c r="Q300" s="39"/>
      <c r="R300" s="39"/>
      <c r="S300" s="39"/>
      <c r="T300" s="39"/>
      <c r="U300" s="39"/>
      <c r="V300" s="39"/>
      <c r="W300" s="39"/>
    </row>
    <row r="301" spans="1:23" x14ac:dyDescent="0.2">
      <c r="A301" s="66"/>
      <c r="B301" s="67" t="str">
        <f t="shared" ref="B301:B364" si="16">IF(C301="","",B300+1)</f>
        <v/>
      </c>
      <c r="C301" s="68" t="str">
        <f>IF(MakeSchedule!AB301=0,"",MakeSchedule!AB301)</f>
        <v/>
      </c>
      <c r="D301" s="69" t="str">
        <f>IF(MakeSchedule!AC301=0,"",MakeSchedule!AC301)</f>
        <v/>
      </c>
      <c r="E301" s="69" t="str">
        <f>IF(MakeSchedule!AD301=0,"",MakeSchedule!AD301)</f>
        <v/>
      </c>
      <c r="F301" s="73" t="str">
        <f>IF(MakeSchedule!AD301=0,"",MakeSchedule!AC301/MakeSchedule!AD301)</f>
        <v/>
      </c>
      <c r="G301" s="73" t="str">
        <f t="shared" si="13"/>
        <v/>
      </c>
      <c r="H301" s="73" t="str">
        <f t="shared" si="14"/>
        <v/>
      </c>
      <c r="I301" s="69" t="str">
        <f>IF(MakeSchedule!AF301=0,"",MakeSchedule!AF301)</f>
        <v/>
      </c>
      <c r="J301" s="69" t="str">
        <f>IF(I301="","",IF(MakeSchedule!AG301=0,0,MakeSchedule!AG301))</f>
        <v/>
      </c>
      <c r="K301" s="39"/>
      <c r="L301" s="39"/>
      <c r="M301" s="39"/>
      <c r="N301" s="39"/>
      <c r="O301" s="39"/>
      <c r="P301" s="39"/>
      <c r="Q301" s="39"/>
      <c r="R301" s="39"/>
      <c r="S301" s="39"/>
      <c r="T301" s="39"/>
      <c r="U301" s="39"/>
      <c r="V301" s="39"/>
      <c r="W301" s="39"/>
    </row>
    <row r="302" spans="1:23" x14ac:dyDescent="0.2">
      <c r="A302" s="66"/>
      <c r="B302" s="67" t="str">
        <f t="shared" si="16"/>
        <v/>
      </c>
      <c r="C302" s="68" t="str">
        <f>IF(MakeSchedule!AB302=0,"",MakeSchedule!AB302)</f>
        <v/>
      </c>
      <c r="D302" s="69" t="str">
        <f>IF(MakeSchedule!AC302=0,"",MakeSchedule!AC302)</f>
        <v/>
      </c>
      <c r="E302" s="69" t="str">
        <f>IF(MakeSchedule!AD302=0,"",MakeSchedule!AD302)</f>
        <v/>
      </c>
      <c r="F302" s="73" t="str">
        <f>IF(MakeSchedule!AD302=0,"",MakeSchedule!AC302/MakeSchedule!AD302)</f>
        <v/>
      </c>
      <c r="G302" s="73" t="str">
        <f t="shared" si="13"/>
        <v/>
      </c>
      <c r="H302" s="73" t="str">
        <f t="shared" si="14"/>
        <v/>
      </c>
      <c r="I302" s="69" t="str">
        <f>IF(MakeSchedule!AF302=0,"",MakeSchedule!AF302)</f>
        <v/>
      </c>
      <c r="J302" s="69" t="str">
        <f>IF(I302="","",IF(MakeSchedule!AG302=0,0,MakeSchedule!AG302))</f>
        <v/>
      </c>
      <c r="K302" s="39"/>
      <c r="L302" s="39"/>
      <c r="M302" s="39"/>
      <c r="N302" s="39"/>
      <c r="O302" s="39"/>
      <c r="P302" s="39"/>
      <c r="Q302" s="39"/>
      <c r="R302" s="39"/>
      <c r="S302" s="39"/>
      <c r="T302" s="39"/>
      <c r="U302" s="39"/>
      <c r="V302" s="39"/>
      <c r="W302" s="39"/>
    </row>
    <row r="303" spans="1:23" x14ac:dyDescent="0.2">
      <c r="A303" s="66"/>
      <c r="B303" s="67" t="str">
        <f t="shared" si="16"/>
        <v/>
      </c>
      <c r="C303" s="68" t="str">
        <f>IF(MakeSchedule!AB303=0,"",MakeSchedule!AB303)</f>
        <v/>
      </c>
      <c r="D303" s="69" t="str">
        <f>IF(MakeSchedule!AC303=0,"",MakeSchedule!AC303)</f>
        <v/>
      </c>
      <c r="E303" s="69" t="str">
        <f>IF(MakeSchedule!AD303=0,"",MakeSchedule!AD303)</f>
        <v/>
      </c>
      <c r="F303" s="73" t="str">
        <f>IF(MakeSchedule!AD303=0,"",MakeSchedule!AC303/MakeSchedule!AD303)</f>
        <v/>
      </c>
      <c r="G303" s="73" t="str">
        <f t="shared" si="13"/>
        <v/>
      </c>
      <c r="H303" s="73" t="str">
        <f t="shared" si="14"/>
        <v/>
      </c>
      <c r="I303" s="69" t="str">
        <f>IF(MakeSchedule!AF303=0,"",MakeSchedule!AF303)</f>
        <v/>
      </c>
      <c r="J303" s="69" t="str">
        <f>IF(I303="","",IF(MakeSchedule!AG303=0,0,MakeSchedule!AG303))</f>
        <v/>
      </c>
      <c r="K303" s="39"/>
      <c r="L303" s="39"/>
      <c r="M303" s="39"/>
      <c r="N303" s="39"/>
      <c r="O303" s="39"/>
      <c r="P303" s="39"/>
      <c r="Q303" s="39"/>
      <c r="R303" s="39"/>
      <c r="S303" s="39"/>
      <c r="T303" s="39"/>
      <c r="U303" s="39"/>
      <c r="V303" s="39"/>
      <c r="W303" s="39"/>
    </row>
    <row r="304" spans="1:23" x14ac:dyDescent="0.2">
      <c r="A304" s="66"/>
      <c r="B304" s="67" t="str">
        <f t="shared" si="16"/>
        <v/>
      </c>
      <c r="C304" s="68" t="str">
        <f>IF(MakeSchedule!AB304=0,"",MakeSchedule!AB304)</f>
        <v/>
      </c>
      <c r="D304" s="69" t="str">
        <f>IF(MakeSchedule!AC304=0,"",MakeSchedule!AC304)</f>
        <v/>
      </c>
      <c r="E304" s="69" t="str">
        <f>IF(MakeSchedule!AD304=0,"",MakeSchedule!AD304)</f>
        <v/>
      </c>
      <c r="F304" s="73" t="str">
        <f>IF(MakeSchedule!AD304=0,"",MakeSchedule!AC304/MakeSchedule!AD304)</f>
        <v/>
      </c>
      <c r="G304" s="73" t="str">
        <f t="shared" si="13"/>
        <v/>
      </c>
      <c r="H304" s="73" t="str">
        <f t="shared" si="14"/>
        <v/>
      </c>
      <c r="I304" s="69" t="str">
        <f>IF(MakeSchedule!AF304=0,"",MakeSchedule!AF304)</f>
        <v/>
      </c>
      <c r="J304" s="69" t="str">
        <f>IF(I304="","",IF(MakeSchedule!AG304=0,0,MakeSchedule!AG304))</f>
        <v/>
      </c>
      <c r="K304" s="39"/>
      <c r="L304" s="39"/>
      <c r="M304" s="39"/>
      <c r="N304" s="39"/>
      <c r="O304" s="39"/>
      <c r="P304" s="39"/>
      <c r="Q304" s="39"/>
      <c r="R304" s="39"/>
      <c r="S304" s="39"/>
      <c r="T304" s="39"/>
      <c r="U304" s="39"/>
      <c r="V304" s="39"/>
      <c r="W304" s="39"/>
    </row>
    <row r="305" spans="1:23" x14ac:dyDescent="0.2">
      <c r="A305" s="66"/>
      <c r="B305" s="67" t="str">
        <f t="shared" si="16"/>
        <v/>
      </c>
      <c r="C305" s="68" t="str">
        <f>IF(MakeSchedule!AB305=0,"",MakeSchedule!AB305)</f>
        <v/>
      </c>
      <c r="D305" s="69" t="str">
        <f>IF(MakeSchedule!AC305=0,"",MakeSchedule!AC305)</f>
        <v/>
      </c>
      <c r="E305" s="69" t="str">
        <f>IF(MakeSchedule!AD305=0,"",MakeSchedule!AD305)</f>
        <v/>
      </c>
      <c r="F305" s="73" t="str">
        <f>IF(MakeSchedule!AD305=0,"",MakeSchedule!AC305/MakeSchedule!AD305)</f>
        <v/>
      </c>
      <c r="G305" s="73" t="str">
        <f t="shared" si="13"/>
        <v/>
      </c>
      <c r="H305" s="73" t="str">
        <f t="shared" si="14"/>
        <v/>
      </c>
      <c r="I305" s="69" t="str">
        <f>IF(MakeSchedule!AF305=0,"",MakeSchedule!AF305)</f>
        <v/>
      </c>
      <c r="J305" s="69" t="str">
        <f>IF(I305="","",IF(MakeSchedule!AG305=0,0,MakeSchedule!AG305))</f>
        <v/>
      </c>
      <c r="K305" s="39"/>
      <c r="L305" s="39"/>
      <c r="M305" s="39"/>
      <c r="N305" s="39"/>
      <c r="O305" s="39"/>
      <c r="P305" s="39"/>
      <c r="Q305" s="39"/>
      <c r="R305" s="39"/>
      <c r="S305" s="39"/>
      <c r="T305" s="39"/>
      <c r="U305" s="39"/>
      <c r="V305" s="39"/>
      <c r="W305" s="39"/>
    </row>
    <row r="306" spans="1:23" x14ac:dyDescent="0.2">
      <c r="A306" s="66"/>
      <c r="B306" s="67" t="str">
        <f t="shared" si="16"/>
        <v/>
      </c>
      <c r="C306" s="68" t="str">
        <f>IF(MakeSchedule!AB306=0,"",MakeSchedule!AB306)</f>
        <v/>
      </c>
      <c r="D306" s="69" t="str">
        <f>IF(MakeSchedule!AC306=0,"",MakeSchedule!AC306)</f>
        <v/>
      </c>
      <c r="E306" s="69" t="str">
        <f>IF(MakeSchedule!AD306=0,"",MakeSchedule!AD306)</f>
        <v/>
      </c>
      <c r="F306" s="73" t="str">
        <f>IF(MakeSchedule!AD306=0,"",MakeSchedule!AC306/MakeSchedule!AD306)</f>
        <v/>
      </c>
      <c r="G306" s="73" t="str">
        <f t="shared" si="13"/>
        <v/>
      </c>
      <c r="H306" s="73" t="str">
        <f t="shared" si="14"/>
        <v/>
      </c>
      <c r="I306" s="69" t="str">
        <f>IF(MakeSchedule!AF306=0,"",MakeSchedule!AF306)</f>
        <v/>
      </c>
      <c r="J306" s="69" t="str">
        <f>IF(I306="","",IF(MakeSchedule!AG306=0,0,MakeSchedule!AG306))</f>
        <v/>
      </c>
      <c r="K306" s="39"/>
      <c r="L306" s="39"/>
      <c r="M306" s="39"/>
      <c r="N306" s="39"/>
      <c r="O306" s="39"/>
      <c r="P306" s="39"/>
      <c r="Q306" s="39"/>
      <c r="R306" s="39"/>
      <c r="S306" s="39"/>
      <c r="T306" s="39"/>
      <c r="U306" s="39"/>
      <c r="V306" s="39"/>
      <c r="W306" s="39"/>
    </row>
    <row r="307" spans="1:23" x14ac:dyDescent="0.2">
      <c r="A307" s="66"/>
      <c r="B307" s="67" t="str">
        <f t="shared" si="16"/>
        <v/>
      </c>
      <c r="C307" s="68" t="str">
        <f>IF(MakeSchedule!AB307=0,"",MakeSchedule!AB307)</f>
        <v/>
      </c>
      <c r="D307" s="69" t="str">
        <f>IF(MakeSchedule!AC307=0,"",MakeSchedule!AC307)</f>
        <v/>
      </c>
      <c r="E307" s="69" t="str">
        <f>IF(MakeSchedule!AD307=0,"",MakeSchedule!AD307)</f>
        <v/>
      </c>
      <c r="F307" s="73" t="str">
        <f>IF(MakeSchedule!AD307=0,"",MakeSchedule!AC307/MakeSchedule!AD307)</f>
        <v/>
      </c>
      <c r="G307" s="73" t="str">
        <f t="shared" si="13"/>
        <v/>
      </c>
      <c r="H307" s="73" t="str">
        <f t="shared" si="14"/>
        <v/>
      </c>
      <c r="I307" s="69" t="str">
        <f>IF(MakeSchedule!AF307=0,"",MakeSchedule!AF307)</f>
        <v/>
      </c>
      <c r="J307" s="69" t="str">
        <f>IF(I307="","",IF(MakeSchedule!AG307=0,0,MakeSchedule!AG307))</f>
        <v/>
      </c>
      <c r="K307" s="39"/>
      <c r="L307" s="39"/>
      <c r="M307" s="39"/>
      <c r="N307" s="39"/>
      <c r="O307" s="39"/>
      <c r="P307" s="39"/>
      <c r="Q307" s="39"/>
      <c r="R307" s="39"/>
      <c r="S307" s="39"/>
      <c r="T307" s="39"/>
      <c r="U307" s="39"/>
      <c r="V307" s="39"/>
      <c r="W307" s="39"/>
    </row>
    <row r="308" spans="1:23" x14ac:dyDescent="0.2">
      <c r="A308" s="66"/>
      <c r="B308" s="67" t="str">
        <f t="shared" si="16"/>
        <v/>
      </c>
      <c r="C308" s="68" t="str">
        <f>IF(MakeSchedule!AB308=0,"",MakeSchedule!AB308)</f>
        <v/>
      </c>
      <c r="D308" s="69" t="str">
        <f>IF(MakeSchedule!AC308=0,"",MakeSchedule!AC308)</f>
        <v/>
      </c>
      <c r="E308" s="69" t="str">
        <f>IF(MakeSchedule!AD308=0,"",MakeSchedule!AD308)</f>
        <v/>
      </c>
      <c r="F308" s="73" t="str">
        <f>IF(MakeSchedule!AD308=0,"",MakeSchedule!AC308/MakeSchedule!AD308)</f>
        <v/>
      </c>
      <c r="G308" s="73" t="str">
        <f t="shared" si="13"/>
        <v/>
      </c>
      <c r="H308" s="73" t="str">
        <f t="shared" si="14"/>
        <v/>
      </c>
      <c r="I308" s="69" t="str">
        <f>IF(MakeSchedule!AF308=0,"",MakeSchedule!AF308)</f>
        <v/>
      </c>
      <c r="J308" s="69" t="str">
        <f>IF(I308="","",IF(MakeSchedule!AG308=0,0,MakeSchedule!AG308))</f>
        <v/>
      </c>
      <c r="K308" s="39"/>
      <c r="L308" s="39"/>
      <c r="M308" s="39"/>
      <c r="N308" s="39"/>
      <c r="O308" s="39"/>
      <c r="P308" s="39"/>
      <c r="Q308" s="39"/>
      <c r="R308" s="39"/>
      <c r="S308" s="39"/>
      <c r="T308" s="39"/>
      <c r="U308" s="39"/>
      <c r="V308" s="39"/>
      <c r="W308" s="39"/>
    </row>
    <row r="309" spans="1:23" x14ac:dyDescent="0.2">
      <c r="A309" s="66"/>
      <c r="B309" s="67" t="str">
        <f t="shared" si="16"/>
        <v/>
      </c>
      <c r="C309" s="68" t="str">
        <f>IF(MakeSchedule!AB309=0,"",MakeSchedule!AB309)</f>
        <v/>
      </c>
      <c r="D309" s="69" t="str">
        <f>IF(MakeSchedule!AC309=0,"",MakeSchedule!AC309)</f>
        <v/>
      </c>
      <c r="E309" s="69" t="str">
        <f>IF(MakeSchedule!AD309=0,"",MakeSchedule!AD309)</f>
        <v/>
      </c>
      <c r="F309" s="73" t="str">
        <f>IF(MakeSchedule!AD309=0,"",MakeSchedule!AC309/MakeSchedule!AD309)</f>
        <v/>
      </c>
      <c r="G309" s="73" t="str">
        <f t="shared" si="13"/>
        <v/>
      </c>
      <c r="H309" s="73" t="str">
        <f t="shared" si="14"/>
        <v/>
      </c>
      <c r="I309" s="69" t="str">
        <f>IF(MakeSchedule!AF309=0,"",MakeSchedule!AF309)</f>
        <v/>
      </c>
      <c r="J309" s="69" t="str">
        <f>IF(I309="","",IF(MakeSchedule!AG309=0,0,MakeSchedule!AG309))</f>
        <v/>
      </c>
      <c r="K309" s="39"/>
      <c r="L309" s="39"/>
      <c r="M309" s="39"/>
      <c r="N309" s="39"/>
      <c r="O309" s="39"/>
      <c r="P309" s="39"/>
      <c r="Q309" s="39"/>
      <c r="R309" s="39"/>
      <c r="S309" s="39"/>
      <c r="T309" s="39"/>
      <c r="U309" s="39"/>
      <c r="V309" s="39"/>
      <c r="W309" s="39"/>
    </row>
    <row r="310" spans="1:23" x14ac:dyDescent="0.2">
      <c r="A310" s="66"/>
      <c r="B310" s="67" t="str">
        <f t="shared" si="16"/>
        <v/>
      </c>
      <c r="C310" s="68" t="str">
        <f>IF(MakeSchedule!AB310=0,"",MakeSchedule!AB310)</f>
        <v/>
      </c>
      <c r="D310" s="69" t="str">
        <f>IF(MakeSchedule!AC310=0,"",MakeSchedule!AC310)</f>
        <v/>
      </c>
      <c r="E310" s="69" t="str">
        <f>IF(MakeSchedule!AD310=0,"",MakeSchedule!AD310)</f>
        <v/>
      </c>
      <c r="F310" s="73" t="str">
        <f>IF(MakeSchedule!AD310=0,"",MakeSchedule!AC310/MakeSchedule!AD310)</f>
        <v/>
      </c>
      <c r="G310" s="73" t="str">
        <f t="shared" si="13"/>
        <v/>
      </c>
      <c r="H310" s="73" t="str">
        <f t="shared" si="14"/>
        <v/>
      </c>
      <c r="I310" s="69" t="str">
        <f>IF(MakeSchedule!AF310=0,"",MakeSchedule!AF310)</f>
        <v/>
      </c>
      <c r="J310" s="69" t="str">
        <f>IF(I310="","",IF(MakeSchedule!AG310=0,0,MakeSchedule!AG310))</f>
        <v/>
      </c>
      <c r="K310" s="39"/>
      <c r="L310" s="39"/>
      <c r="M310" s="39"/>
      <c r="N310" s="39"/>
      <c r="O310" s="39"/>
      <c r="P310" s="39"/>
      <c r="Q310" s="39"/>
      <c r="R310" s="39"/>
      <c r="S310" s="39"/>
      <c r="T310" s="39"/>
      <c r="U310" s="39"/>
      <c r="V310" s="39"/>
      <c r="W310" s="39"/>
    </row>
    <row r="311" spans="1:23" x14ac:dyDescent="0.2">
      <c r="A311" s="66"/>
      <c r="B311" s="67" t="str">
        <f t="shared" si="16"/>
        <v/>
      </c>
      <c r="C311" s="68" t="str">
        <f>IF(MakeSchedule!AB311=0,"",MakeSchedule!AB311)</f>
        <v/>
      </c>
      <c r="D311" s="69" t="str">
        <f>IF(MakeSchedule!AC311=0,"",MakeSchedule!AC311)</f>
        <v/>
      </c>
      <c r="E311" s="69" t="str">
        <f>IF(MakeSchedule!AD311=0,"",MakeSchedule!AD311)</f>
        <v/>
      </c>
      <c r="F311" s="73" t="str">
        <f>IF(MakeSchedule!AD311=0,"",MakeSchedule!AC311/MakeSchedule!AD311)</f>
        <v/>
      </c>
      <c r="G311" s="73" t="str">
        <f t="shared" si="13"/>
        <v/>
      </c>
      <c r="H311" s="73" t="str">
        <f t="shared" si="14"/>
        <v/>
      </c>
      <c r="I311" s="69" t="str">
        <f>IF(MakeSchedule!AF311=0,"",MakeSchedule!AF311)</f>
        <v/>
      </c>
      <c r="J311" s="69" t="str">
        <f>IF(I311="","",IF(MakeSchedule!AG311=0,0,MakeSchedule!AG311))</f>
        <v/>
      </c>
      <c r="K311" s="39"/>
      <c r="L311" s="39"/>
      <c r="M311" s="39"/>
      <c r="N311" s="39"/>
      <c r="O311" s="39"/>
      <c r="P311" s="39"/>
      <c r="Q311" s="39"/>
      <c r="R311" s="39"/>
      <c r="S311" s="39"/>
      <c r="T311" s="39"/>
      <c r="U311" s="39"/>
      <c r="V311" s="39"/>
      <c r="W311" s="39"/>
    </row>
    <row r="312" spans="1:23" x14ac:dyDescent="0.2">
      <c r="A312" s="66"/>
      <c r="B312" s="67" t="str">
        <f t="shared" si="16"/>
        <v/>
      </c>
      <c r="C312" s="68" t="str">
        <f>IF(MakeSchedule!AB312=0,"",MakeSchedule!AB312)</f>
        <v/>
      </c>
      <c r="D312" s="69" t="str">
        <f>IF(MakeSchedule!AC312=0,"",MakeSchedule!AC312)</f>
        <v/>
      </c>
      <c r="E312" s="69" t="str">
        <f>IF(MakeSchedule!AD312=0,"",MakeSchedule!AD312)</f>
        <v/>
      </c>
      <c r="F312" s="73" t="str">
        <f>IF(MakeSchedule!AD312=0,"",MakeSchedule!AC312/MakeSchedule!AD312)</f>
        <v/>
      </c>
      <c r="G312" s="73" t="str">
        <f t="shared" si="13"/>
        <v/>
      </c>
      <c r="H312" s="73" t="str">
        <f t="shared" si="14"/>
        <v/>
      </c>
      <c r="I312" s="69" t="str">
        <f>IF(MakeSchedule!AF312=0,"",MakeSchedule!AF312)</f>
        <v/>
      </c>
      <c r="J312" s="69" t="str">
        <f>IF(I312="","",IF(MakeSchedule!AG312=0,0,MakeSchedule!AG312))</f>
        <v/>
      </c>
      <c r="K312" s="39"/>
      <c r="L312" s="39"/>
      <c r="M312" s="39"/>
      <c r="N312" s="39"/>
      <c r="O312" s="39"/>
      <c r="P312" s="39"/>
      <c r="Q312" s="39"/>
      <c r="R312" s="39"/>
      <c r="S312" s="39"/>
      <c r="T312" s="39"/>
      <c r="U312" s="39"/>
      <c r="V312" s="39"/>
      <c r="W312" s="39"/>
    </row>
    <row r="313" spans="1:23" x14ac:dyDescent="0.2">
      <c r="A313" s="66"/>
      <c r="B313" s="67" t="str">
        <f t="shared" si="16"/>
        <v/>
      </c>
      <c r="C313" s="68" t="str">
        <f>IF(MakeSchedule!AB313=0,"",MakeSchedule!AB313)</f>
        <v/>
      </c>
      <c r="D313" s="69" t="str">
        <f>IF(MakeSchedule!AC313=0,"",MakeSchedule!AC313)</f>
        <v/>
      </c>
      <c r="E313" s="69" t="str">
        <f>IF(MakeSchedule!AD313=0,"",MakeSchedule!AD313)</f>
        <v/>
      </c>
      <c r="F313" s="73" t="str">
        <f>IF(MakeSchedule!AD313=0,"",MakeSchedule!AC313/MakeSchedule!AD313)</f>
        <v/>
      </c>
      <c r="G313" s="73" t="str">
        <f t="shared" si="13"/>
        <v/>
      </c>
      <c r="H313" s="73" t="str">
        <f t="shared" si="14"/>
        <v/>
      </c>
      <c r="I313" s="69" t="str">
        <f>IF(MakeSchedule!AF313=0,"",MakeSchedule!AF313)</f>
        <v/>
      </c>
      <c r="J313" s="69" t="str">
        <f>IF(I313="","",IF(MakeSchedule!AG313=0,0,MakeSchedule!AG313))</f>
        <v/>
      </c>
      <c r="K313" s="39"/>
      <c r="L313" s="39"/>
      <c r="M313" s="39"/>
      <c r="N313" s="39"/>
      <c r="O313" s="39"/>
      <c r="P313" s="39"/>
      <c r="Q313" s="39"/>
      <c r="R313" s="39"/>
      <c r="S313" s="39"/>
      <c r="T313" s="39"/>
      <c r="U313" s="39"/>
      <c r="V313" s="39"/>
      <c r="W313" s="39"/>
    </row>
    <row r="314" spans="1:23" x14ac:dyDescent="0.2">
      <c r="A314" s="66"/>
      <c r="B314" s="67" t="str">
        <f t="shared" si="16"/>
        <v/>
      </c>
      <c r="C314" s="68" t="str">
        <f>IF(MakeSchedule!AB314=0,"",MakeSchedule!AB314)</f>
        <v/>
      </c>
      <c r="D314" s="69" t="str">
        <f>IF(MakeSchedule!AC314=0,"",MakeSchedule!AC314)</f>
        <v/>
      </c>
      <c r="E314" s="69" t="str">
        <f>IF(MakeSchedule!AD314=0,"",MakeSchedule!AD314)</f>
        <v/>
      </c>
      <c r="F314" s="73" t="str">
        <f>IF(MakeSchedule!AD314=0,"",MakeSchedule!AC314/MakeSchedule!AD314)</f>
        <v/>
      </c>
      <c r="G314" s="73" t="str">
        <f t="shared" si="13"/>
        <v/>
      </c>
      <c r="H314" s="73" t="str">
        <f t="shared" si="14"/>
        <v/>
      </c>
      <c r="I314" s="69" t="str">
        <f>IF(MakeSchedule!AF314=0,"",MakeSchedule!AF314)</f>
        <v/>
      </c>
      <c r="J314" s="69" t="str">
        <f>IF(I314="","",IF(MakeSchedule!AG314=0,0,MakeSchedule!AG314))</f>
        <v/>
      </c>
      <c r="K314" s="39"/>
      <c r="L314" s="39"/>
      <c r="M314" s="39"/>
      <c r="N314" s="39"/>
      <c r="O314" s="39"/>
      <c r="P314" s="39"/>
      <c r="Q314" s="39"/>
      <c r="R314" s="39"/>
      <c r="S314" s="39"/>
      <c r="T314" s="39"/>
      <c r="U314" s="39"/>
      <c r="V314" s="39"/>
      <c r="W314" s="39"/>
    </row>
    <row r="315" spans="1:23" x14ac:dyDescent="0.2">
      <c r="A315" s="66"/>
      <c r="B315" s="67" t="str">
        <f t="shared" si="16"/>
        <v/>
      </c>
      <c r="C315" s="68" t="str">
        <f>IF(MakeSchedule!AB315=0,"",MakeSchedule!AB315)</f>
        <v/>
      </c>
      <c r="D315" s="69" t="str">
        <f>IF(MakeSchedule!AC315=0,"",MakeSchedule!AC315)</f>
        <v/>
      </c>
      <c r="E315" s="69" t="str">
        <f>IF(MakeSchedule!AD315=0,"",MakeSchedule!AD315)</f>
        <v/>
      </c>
      <c r="F315" s="73" t="str">
        <f>IF(MakeSchedule!AD315=0,"",MakeSchedule!AC315/MakeSchedule!AD315)</f>
        <v/>
      </c>
      <c r="G315" s="73" t="str">
        <f t="shared" si="13"/>
        <v/>
      </c>
      <c r="H315" s="73" t="str">
        <f t="shared" si="14"/>
        <v/>
      </c>
      <c r="I315" s="69" t="str">
        <f>IF(MakeSchedule!AF315=0,"",MakeSchedule!AF315)</f>
        <v/>
      </c>
      <c r="J315" s="69" t="str">
        <f>IF(I315="","",IF(MakeSchedule!AG315=0,0,MakeSchedule!AG315))</f>
        <v/>
      </c>
      <c r="K315" s="39"/>
      <c r="L315" s="39"/>
      <c r="M315" s="39"/>
      <c r="N315" s="39"/>
      <c r="O315" s="39"/>
      <c r="P315" s="39"/>
      <c r="Q315" s="39"/>
      <c r="R315" s="39"/>
      <c r="S315" s="39"/>
      <c r="T315" s="39"/>
      <c r="U315" s="39"/>
      <c r="V315" s="39"/>
      <c r="W315" s="39"/>
    </row>
    <row r="316" spans="1:23" x14ac:dyDescent="0.2">
      <c r="A316" s="66"/>
      <c r="B316" s="67" t="str">
        <f t="shared" si="16"/>
        <v/>
      </c>
      <c r="C316" s="68" t="str">
        <f>IF(MakeSchedule!AB316=0,"",MakeSchedule!AB316)</f>
        <v/>
      </c>
      <c r="D316" s="69" t="str">
        <f>IF(MakeSchedule!AC316=0,"",MakeSchedule!AC316)</f>
        <v/>
      </c>
      <c r="E316" s="69" t="str">
        <f>IF(MakeSchedule!AD316=0,"",MakeSchedule!AD316)</f>
        <v/>
      </c>
      <c r="F316" s="73" t="str">
        <f>IF(MakeSchedule!AD316=0,"",MakeSchedule!AC316/MakeSchedule!AD316)</f>
        <v/>
      </c>
      <c r="G316" s="73" t="str">
        <f t="shared" si="13"/>
        <v/>
      </c>
      <c r="H316" s="73" t="str">
        <f t="shared" si="14"/>
        <v/>
      </c>
      <c r="I316" s="69" t="str">
        <f>IF(MakeSchedule!AF316=0,"",MakeSchedule!AF316)</f>
        <v/>
      </c>
      <c r="J316" s="69" t="str">
        <f>IF(I316="","",IF(MakeSchedule!AG316=0,0,MakeSchedule!AG316))</f>
        <v/>
      </c>
      <c r="K316" s="39"/>
      <c r="L316" s="39"/>
      <c r="M316" s="39"/>
      <c r="N316" s="39"/>
      <c r="O316" s="39"/>
      <c r="P316" s="39"/>
      <c r="Q316" s="39"/>
      <c r="R316" s="39"/>
      <c r="S316" s="39"/>
      <c r="T316" s="39"/>
      <c r="U316" s="39"/>
      <c r="V316" s="39"/>
      <c r="W316" s="39"/>
    </row>
    <row r="317" spans="1:23" x14ac:dyDescent="0.2">
      <c r="A317" s="66"/>
      <c r="B317" s="67" t="str">
        <f t="shared" si="16"/>
        <v/>
      </c>
      <c r="C317" s="68" t="str">
        <f>IF(MakeSchedule!AB317=0,"",MakeSchedule!AB317)</f>
        <v/>
      </c>
      <c r="D317" s="69" t="str">
        <f>IF(MakeSchedule!AC317=0,"",MakeSchedule!AC317)</f>
        <v/>
      </c>
      <c r="E317" s="69" t="str">
        <f>IF(MakeSchedule!AD317=0,"",MakeSchedule!AD317)</f>
        <v/>
      </c>
      <c r="F317" s="73" t="str">
        <f>IF(MakeSchedule!AD317=0,"",MakeSchedule!AC317/MakeSchedule!AD317)</f>
        <v/>
      </c>
      <c r="G317" s="73" t="str">
        <f t="shared" si="13"/>
        <v/>
      </c>
      <c r="H317" s="73" t="str">
        <f t="shared" si="14"/>
        <v/>
      </c>
      <c r="I317" s="69" t="str">
        <f>IF(MakeSchedule!AF317=0,"",MakeSchedule!AF317)</f>
        <v/>
      </c>
      <c r="J317" s="69" t="str">
        <f>IF(I317="","",IF(MakeSchedule!AG317=0,0,MakeSchedule!AG317))</f>
        <v/>
      </c>
      <c r="K317" s="39"/>
      <c r="L317" s="39"/>
      <c r="M317" s="39"/>
      <c r="N317" s="39"/>
      <c r="O317" s="39"/>
      <c r="P317" s="39"/>
      <c r="Q317" s="39"/>
      <c r="R317" s="39"/>
      <c r="S317" s="39"/>
      <c r="T317" s="39"/>
      <c r="U317" s="39"/>
      <c r="V317" s="39"/>
      <c r="W317" s="39"/>
    </row>
    <row r="318" spans="1:23" x14ac:dyDescent="0.2">
      <c r="A318" s="66"/>
      <c r="B318" s="67" t="str">
        <f t="shared" si="16"/>
        <v/>
      </c>
      <c r="C318" s="68" t="str">
        <f>IF(MakeSchedule!AB318=0,"",MakeSchedule!AB318)</f>
        <v/>
      </c>
      <c r="D318" s="69" t="str">
        <f>IF(MakeSchedule!AC318=0,"",MakeSchedule!AC318)</f>
        <v/>
      </c>
      <c r="E318" s="69" t="str">
        <f>IF(MakeSchedule!AD318=0,"",MakeSchedule!AD318)</f>
        <v/>
      </c>
      <c r="F318" s="73" t="str">
        <f>IF(MakeSchedule!AD318=0,"",MakeSchedule!AC318/MakeSchedule!AD318)</f>
        <v/>
      </c>
      <c r="G318" s="73" t="str">
        <f t="shared" si="13"/>
        <v/>
      </c>
      <c r="H318" s="73" t="str">
        <f t="shared" si="14"/>
        <v/>
      </c>
      <c r="I318" s="69" t="str">
        <f>IF(MakeSchedule!AF318=0,"",MakeSchedule!AF318)</f>
        <v/>
      </c>
      <c r="J318" s="69" t="str">
        <f>IF(I318="","",IF(MakeSchedule!AG318=0,0,MakeSchedule!AG318))</f>
        <v/>
      </c>
      <c r="K318" s="39"/>
      <c r="L318" s="39"/>
      <c r="M318" s="39"/>
      <c r="N318" s="39"/>
      <c r="O318" s="39"/>
      <c r="P318" s="39"/>
      <c r="Q318" s="39"/>
      <c r="R318" s="39"/>
      <c r="S318" s="39"/>
      <c r="T318" s="39"/>
      <c r="U318" s="39"/>
      <c r="V318" s="39"/>
      <c r="W318" s="39"/>
    </row>
    <row r="319" spans="1:23" x14ac:dyDescent="0.2">
      <c r="A319" s="66"/>
      <c r="B319" s="67" t="str">
        <f t="shared" si="16"/>
        <v/>
      </c>
      <c r="C319" s="68" t="str">
        <f>IF(MakeSchedule!AB319=0,"",MakeSchedule!AB319)</f>
        <v/>
      </c>
      <c r="D319" s="69" t="str">
        <f>IF(MakeSchedule!AC319=0,"",MakeSchedule!AC319)</f>
        <v/>
      </c>
      <c r="E319" s="69" t="str">
        <f>IF(MakeSchedule!AD319=0,"",MakeSchedule!AD319)</f>
        <v/>
      </c>
      <c r="F319" s="73" t="str">
        <f>IF(MakeSchedule!AD319=0,"",MakeSchedule!AC319/MakeSchedule!AD319)</f>
        <v/>
      </c>
      <c r="G319" s="73" t="str">
        <f t="shared" si="13"/>
        <v/>
      </c>
      <c r="H319" s="73" t="str">
        <f t="shared" si="14"/>
        <v/>
      </c>
      <c r="I319" s="69" t="str">
        <f>IF(MakeSchedule!AF319=0,"",MakeSchedule!AF319)</f>
        <v/>
      </c>
      <c r="J319" s="69" t="str">
        <f>IF(I319="","",IF(MakeSchedule!AG319=0,0,MakeSchedule!AG319))</f>
        <v/>
      </c>
      <c r="K319" s="39"/>
      <c r="L319" s="39"/>
      <c r="M319" s="39"/>
      <c r="N319" s="39"/>
      <c r="O319" s="39"/>
      <c r="P319" s="39"/>
      <c r="Q319" s="39"/>
      <c r="R319" s="39"/>
      <c r="S319" s="39"/>
      <c r="T319" s="39"/>
      <c r="U319" s="39"/>
      <c r="V319" s="39"/>
      <c r="W319" s="39"/>
    </row>
    <row r="320" spans="1:23" x14ac:dyDescent="0.2">
      <c r="A320" s="66"/>
      <c r="B320" s="67" t="str">
        <f t="shared" si="16"/>
        <v/>
      </c>
      <c r="C320" s="68" t="str">
        <f>IF(MakeSchedule!AB320=0,"",MakeSchedule!AB320)</f>
        <v/>
      </c>
      <c r="D320" s="69" t="str">
        <f>IF(MakeSchedule!AC320=0,"",MakeSchedule!AC320)</f>
        <v/>
      </c>
      <c r="E320" s="69" t="str">
        <f>IF(MakeSchedule!AD320=0,"",MakeSchedule!AD320)</f>
        <v/>
      </c>
      <c r="F320" s="73" t="str">
        <f>IF(MakeSchedule!AD320=0,"",MakeSchedule!AC320/MakeSchedule!AD320)</f>
        <v/>
      </c>
      <c r="G320" s="73" t="str">
        <f t="shared" si="13"/>
        <v/>
      </c>
      <c r="H320" s="73" t="str">
        <f t="shared" si="14"/>
        <v/>
      </c>
      <c r="I320" s="69" t="str">
        <f>IF(MakeSchedule!AF320=0,"",MakeSchedule!AF320)</f>
        <v/>
      </c>
      <c r="J320" s="69" t="str">
        <f>IF(I320="","",IF(MakeSchedule!AG320=0,0,MakeSchedule!AG320))</f>
        <v/>
      </c>
      <c r="K320" s="39"/>
      <c r="L320" s="39"/>
      <c r="M320" s="39"/>
      <c r="N320" s="39"/>
      <c r="O320" s="39"/>
      <c r="P320" s="39"/>
      <c r="Q320" s="39"/>
      <c r="R320" s="39"/>
      <c r="S320" s="39"/>
      <c r="T320" s="39"/>
      <c r="U320" s="39"/>
      <c r="V320" s="39"/>
      <c r="W320" s="39"/>
    </row>
    <row r="321" spans="1:23" x14ac:dyDescent="0.2">
      <c r="A321" s="66"/>
      <c r="B321" s="67" t="str">
        <f t="shared" si="16"/>
        <v/>
      </c>
      <c r="C321" s="68" t="str">
        <f>IF(MakeSchedule!AB321=0,"",MakeSchedule!AB321)</f>
        <v/>
      </c>
      <c r="D321" s="69" t="str">
        <f>IF(MakeSchedule!AC321=0,"",MakeSchedule!AC321)</f>
        <v/>
      </c>
      <c r="E321" s="69" t="str">
        <f>IF(MakeSchedule!AD321=0,"",MakeSchedule!AD321)</f>
        <v/>
      </c>
      <c r="F321" s="73" t="str">
        <f>IF(MakeSchedule!AD321=0,"",MakeSchedule!AC321/MakeSchedule!AD321)</f>
        <v/>
      </c>
      <c r="G321" s="73" t="str">
        <f t="shared" si="13"/>
        <v/>
      </c>
      <c r="H321" s="73" t="str">
        <f t="shared" si="14"/>
        <v/>
      </c>
      <c r="I321" s="69" t="str">
        <f>IF(MakeSchedule!AF321=0,"",MakeSchedule!AF321)</f>
        <v/>
      </c>
      <c r="J321" s="69" t="str">
        <f>IF(I321="","",IF(MakeSchedule!AG321=0,0,MakeSchedule!AG321))</f>
        <v/>
      </c>
      <c r="K321" s="39"/>
      <c r="L321" s="39"/>
      <c r="M321" s="39"/>
      <c r="N321" s="39"/>
      <c r="O321" s="39"/>
      <c r="P321" s="39"/>
      <c r="Q321" s="39"/>
      <c r="R321" s="39"/>
      <c r="S321" s="39"/>
      <c r="T321" s="39"/>
      <c r="U321" s="39"/>
      <c r="V321" s="39"/>
      <c r="W321" s="39"/>
    </row>
    <row r="322" spans="1:23" x14ac:dyDescent="0.2">
      <c r="A322" s="66"/>
      <c r="B322" s="67" t="str">
        <f t="shared" si="16"/>
        <v/>
      </c>
      <c r="C322" s="68" t="str">
        <f>IF(MakeSchedule!AB322=0,"",MakeSchedule!AB322)</f>
        <v/>
      </c>
      <c r="D322" s="69" t="str">
        <f>IF(MakeSchedule!AC322=0,"",MakeSchedule!AC322)</f>
        <v/>
      </c>
      <c r="E322" s="69" t="str">
        <f>IF(MakeSchedule!AD322=0,"",MakeSchedule!AD322)</f>
        <v/>
      </c>
      <c r="F322" s="73" t="str">
        <f>IF(MakeSchedule!AD322=0,"",MakeSchedule!AC322/MakeSchedule!AD322)</f>
        <v/>
      </c>
      <c r="G322" s="73" t="str">
        <f t="shared" si="13"/>
        <v/>
      </c>
      <c r="H322" s="73" t="str">
        <f t="shared" si="14"/>
        <v/>
      </c>
      <c r="I322" s="69" t="str">
        <f>IF(MakeSchedule!AF322=0,"",MakeSchedule!AF322)</f>
        <v/>
      </c>
      <c r="J322" s="69" t="str">
        <f>IF(I322="","",IF(MakeSchedule!AG322=0,0,MakeSchedule!AG322))</f>
        <v/>
      </c>
      <c r="K322" s="39"/>
      <c r="L322" s="39"/>
      <c r="M322" s="39"/>
      <c r="N322" s="39"/>
      <c r="O322" s="39"/>
      <c r="P322" s="39"/>
      <c r="Q322" s="39"/>
      <c r="R322" s="39"/>
      <c r="S322" s="39"/>
      <c r="T322" s="39"/>
      <c r="U322" s="39"/>
      <c r="V322" s="39"/>
      <c r="W322" s="39"/>
    </row>
    <row r="323" spans="1:23" x14ac:dyDescent="0.2">
      <c r="A323" s="66"/>
      <c r="B323" s="67" t="str">
        <f t="shared" si="16"/>
        <v/>
      </c>
      <c r="C323" s="68" t="str">
        <f>IF(MakeSchedule!AB323=0,"",MakeSchedule!AB323)</f>
        <v/>
      </c>
      <c r="D323" s="69" t="str">
        <f>IF(MakeSchedule!AC323=0,"",MakeSchedule!AC323)</f>
        <v/>
      </c>
      <c r="E323" s="69" t="str">
        <f>IF(MakeSchedule!AD323=0,"",MakeSchedule!AD323)</f>
        <v/>
      </c>
      <c r="F323" s="73" t="str">
        <f>IF(MakeSchedule!AD323=0,"",MakeSchedule!AC323/MakeSchedule!AD323)</f>
        <v/>
      </c>
      <c r="G323" s="73" t="str">
        <f t="shared" si="13"/>
        <v/>
      </c>
      <c r="H323" s="73" t="str">
        <f t="shared" si="14"/>
        <v/>
      </c>
      <c r="I323" s="69" t="str">
        <f>IF(MakeSchedule!AF323=0,"",MakeSchedule!AF323)</f>
        <v/>
      </c>
      <c r="J323" s="69" t="str">
        <f>IF(I323="","",IF(MakeSchedule!AG323=0,0,MakeSchedule!AG323))</f>
        <v/>
      </c>
      <c r="K323" s="39"/>
      <c r="L323" s="39"/>
      <c r="M323" s="39"/>
      <c r="N323" s="39"/>
      <c r="O323" s="39"/>
      <c r="P323" s="39"/>
      <c r="Q323" s="39"/>
      <c r="R323" s="39"/>
      <c r="S323" s="39"/>
      <c r="T323" s="39"/>
      <c r="U323" s="39"/>
      <c r="V323" s="39"/>
      <c r="W323" s="39"/>
    </row>
    <row r="324" spans="1:23" x14ac:dyDescent="0.2">
      <c r="A324" s="66"/>
      <c r="B324" s="67" t="str">
        <f t="shared" si="16"/>
        <v/>
      </c>
      <c r="C324" s="68" t="str">
        <f>IF(MakeSchedule!AB324=0,"",MakeSchedule!AB324)</f>
        <v/>
      </c>
      <c r="D324" s="69" t="str">
        <f>IF(MakeSchedule!AC324=0,"",MakeSchedule!AC324)</f>
        <v/>
      </c>
      <c r="E324" s="69" t="str">
        <f>IF(MakeSchedule!AD324=0,"",MakeSchedule!AD324)</f>
        <v/>
      </c>
      <c r="F324" s="73" t="str">
        <f>IF(MakeSchedule!AD324=0,"",MakeSchedule!AC324/MakeSchedule!AD324)</f>
        <v/>
      </c>
      <c r="G324" s="73" t="str">
        <f t="shared" si="13"/>
        <v/>
      </c>
      <c r="H324" s="73" t="str">
        <f t="shared" si="14"/>
        <v/>
      </c>
      <c r="I324" s="69" t="str">
        <f>IF(MakeSchedule!AF324=0,"",MakeSchedule!AF324)</f>
        <v/>
      </c>
      <c r="J324" s="69" t="str">
        <f>IF(I324="","",IF(MakeSchedule!AG324=0,0,MakeSchedule!AG324))</f>
        <v/>
      </c>
      <c r="K324" s="39"/>
      <c r="L324" s="39"/>
      <c r="M324" s="39"/>
      <c r="N324" s="39"/>
      <c r="O324" s="39"/>
      <c r="P324" s="39"/>
      <c r="Q324" s="39"/>
      <c r="R324" s="39"/>
      <c r="S324" s="39"/>
      <c r="T324" s="39"/>
      <c r="U324" s="39"/>
      <c r="V324" s="39"/>
      <c r="W324" s="39"/>
    </row>
    <row r="325" spans="1:23" x14ac:dyDescent="0.2">
      <c r="A325" s="66"/>
      <c r="B325" s="67" t="str">
        <f t="shared" si="16"/>
        <v/>
      </c>
      <c r="C325" s="68" t="str">
        <f>IF(MakeSchedule!AB325=0,"",MakeSchedule!AB325)</f>
        <v/>
      </c>
      <c r="D325" s="69" t="str">
        <f>IF(MakeSchedule!AC325=0,"",MakeSchedule!AC325)</f>
        <v/>
      </c>
      <c r="E325" s="69" t="str">
        <f>IF(MakeSchedule!AD325=0,"",MakeSchedule!AD325)</f>
        <v/>
      </c>
      <c r="F325" s="73" t="str">
        <f>IF(MakeSchedule!AD325=0,"",MakeSchedule!AC325/MakeSchedule!AD325)</f>
        <v/>
      </c>
      <c r="G325" s="73" t="str">
        <f t="shared" si="13"/>
        <v/>
      </c>
      <c r="H325" s="73" t="str">
        <f t="shared" si="14"/>
        <v/>
      </c>
      <c r="I325" s="69" t="str">
        <f>IF(MakeSchedule!AF325=0,"",MakeSchedule!AF325)</f>
        <v/>
      </c>
      <c r="J325" s="69" t="str">
        <f>IF(I325="","",IF(MakeSchedule!AG325=0,0,MakeSchedule!AG325))</f>
        <v/>
      </c>
      <c r="K325" s="39"/>
      <c r="L325" s="39"/>
      <c r="M325" s="39"/>
      <c r="N325" s="39"/>
      <c r="O325" s="39"/>
      <c r="P325" s="39"/>
      <c r="Q325" s="39"/>
      <c r="R325" s="39"/>
      <c r="S325" s="39"/>
      <c r="T325" s="39"/>
      <c r="U325" s="39"/>
      <c r="V325" s="39"/>
      <c r="W325" s="39"/>
    </row>
    <row r="326" spans="1:23" x14ac:dyDescent="0.2">
      <c r="A326" s="66"/>
      <c r="B326" s="67" t="str">
        <f t="shared" si="16"/>
        <v/>
      </c>
      <c r="C326" s="68" t="str">
        <f>IF(MakeSchedule!AB326=0,"",MakeSchedule!AB326)</f>
        <v/>
      </c>
      <c r="D326" s="69" t="str">
        <f>IF(MakeSchedule!AC326=0,"",MakeSchedule!AC326)</f>
        <v/>
      </c>
      <c r="E326" s="69" t="str">
        <f>IF(MakeSchedule!AD326=0,"",MakeSchedule!AD326)</f>
        <v/>
      </c>
      <c r="F326" s="73" t="str">
        <f>IF(MakeSchedule!AD326=0,"",MakeSchedule!AC326/MakeSchedule!AD326)</f>
        <v/>
      </c>
      <c r="G326" s="73" t="str">
        <f t="shared" si="13"/>
        <v/>
      </c>
      <c r="H326" s="73" t="str">
        <f t="shared" si="14"/>
        <v/>
      </c>
      <c r="I326" s="69" t="str">
        <f>IF(MakeSchedule!AF326=0,"",MakeSchedule!AF326)</f>
        <v/>
      </c>
      <c r="J326" s="69" t="str">
        <f>IF(I326="","",IF(MakeSchedule!AG326=0,0,MakeSchedule!AG326))</f>
        <v/>
      </c>
      <c r="K326" s="39"/>
      <c r="L326" s="39"/>
      <c r="M326" s="39"/>
      <c r="N326" s="39"/>
      <c r="O326" s="39"/>
      <c r="P326" s="39"/>
      <c r="Q326" s="39"/>
      <c r="R326" s="39"/>
      <c r="S326" s="39"/>
      <c r="T326" s="39"/>
      <c r="U326" s="39"/>
      <c r="V326" s="39"/>
      <c r="W326" s="39"/>
    </row>
    <row r="327" spans="1:23" x14ac:dyDescent="0.2">
      <c r="A327" s="66"/>
      <c r="B327" s="67" t="str">
        <f t="shared" si="16"/>
        <v/>
      </c>
      <c r="C327" s="68" t="str">
        <f>IF(MakeSchedule!AB327=0,"",MakeSchedule!AB327)</f>
        <v/>
      </c>
      <c r="D327" s="69" t="str">
        <f>IF(MakeSchedule!AC327=0,"",MakeSchedule!AC327)</f>
        <v/>
      </c>
      <c r="E327" s="69" t="str">
        <f>IF(MakeSchedule!AD327=0,"",MakeSchedule!AD327)</f>
        <v/>
      </c>
      <c r="F327" s="73" t="str">
        <f>IF(MakeSchedule!AD327=0,"",MakeSchedule!AC327/MakeSchedule!AD327)</f>
        <v/>
      </c>
      <c r="G327" s="73" t="str">
        <f t="shared" si="13"/>
        <v/>
      </c>
      <c r="H327" s="73" t="str">
        <f t="shared" si="14"/>
        <v/>
      </c>
      <c r="I327" s="69" t="str">
        <f>IF(MakeSchedule!AF327=0,"",MakeSchedule!AF327)</f>
        <v/>
      </c>
      <c r="J327" s="69" t="str">
        <f>IF(I327="","",IF(MakeSchedule!AG327=0,0,MakeSchedule!AG327))</f>
        <v/>
      </c>
      <c r="K327" s="39"/>
      <c r="L327" s="39"/>
      <c r="M327" s="39"/>
      <c r="N327" s="39"/>
      <c r="O327" s="39"/>
      <c r="P327" s="39"/>
      <c r="Q327" s="39"/>
      <c r="R327" s="39"/>
      <c r="S327" s="39"/>
      <c r="T327" s="39"/>
      <c r="U327" s="39"/>
      <c r="V327" s="39"/>
      <c r="W327" s="39"/>
    </row>
    <row r="328" spans="1:23" x14ac:dyDescent="0.2">
      <c r="A328" s="66"/>
      <c r="B328" s="67" t="str">
        <f t="shared" si="16"/>
        <v/>
      </c>
      <c r="C328" s="68" t="str">
        <f>IF(MakeSchedule!AB328=0,"",MakeSchedule!AB328)</f>
        <v/>
      </c>
      <c r="D328" s="69" t="str">
        <f>IF(MakeSchedule!AC328=0,"",MakeSchedule!AC328)</f>
        <v/>
      </c>
      <c r="E328" s="69" t="str">
        <f>IF(MakeSchedule!AD328=0,"",MakeSchedule!AD328)</f>
        <v/>
      </c>
      <c r="F328" s="73" t="str">
        <f>IF(MakeSchedule!AD328=0,"",MakeSchedule!AC328/MakeSchedule!AD328)</f>
        <v/>
      </c>
      <c r="G328" s="73" t="str">
        <f t="shared" si="13"/>
        <v/>
      </c>
      <c r="H328" s="73" t="str">
        <f t="shared" si="14"/>
        <v/>
      </c>
      <c r="I328" s="69" t="str">
        <f>IF(MakeSchedule!AF328=0,"",MakeSchedule!AF328)</f>
        <v/>
      </c>
      <c r="J328" s="69" t="str">
        <f>IF(I328="","",IF(MakeSchedule!AG328=0,0,MakeSchedule!AG328))</f>
        <v/>
      </c>
      <c r="K328" s="39"/>
      <c r="L328" s="39"/>
      <c r="M328" s="39"/>
      <c r="N328" s="39"/>
      <c r="O328" s="39"/>
      <c r="P328" s="39"/>
      <c r="Q328" s="39"/>
      <c r="R328" s="39"/>
      <c r="S328" s="39"/>
      <c r="T328" s="39"/>
      <c r="U328" s="39"/>
      <c r="V328" s="39"/>
      <c r="W328" s="39"/>
    </row>
    <row r="329" spans="1:23" x14ac:dyDescent="0.2">
      <c r="A329" s="66"/>
      <c r="B329" s="67" t="str">
        <f t="shared" si="16"/>
        <v/>
      </c>
      <c r="C329" s="68" t="str">
        <f>IF(MakeSchedule!AB329=0,"",MakeSchedule!AB329)</f>
        <v/>
      </c>
      <c r="D329" s="69" t="str">
        <f>IF(MakeSchedule!AC329=0,"",MakeSchedule!AC329)</f>
        <v/>
      </c>
      <c r="E329" s="69" t="str">
        <f>IF(MakeSchedule!AD329=0,"",MakeSchedule!AD329)</f>
        <v/>
      </c>
      <c r="F329" s="73" t="str">
        <f>IF(MakeSchedule!AD329=0,"",MakeSchedule!AC329/MakeSchedule!AD329)</f>
        <v/>
      </c>
      <c r="G329" s="73" t="str">
        <f t="shared" si="13"/>
        <v/>
      </c>
      <c r="H329" s="73" t="str">
        <f t="shared" si="14"/>
        <v/>
      </c>
      <c r="I329" s="69" t="str">
        <f>IF(MakeSchedule!AF329=0,"",MakeSchedule!AF329)</f>
        <v/>
      </c>
      <c r="J329" s="69" t="str">
        <f>IF(I329="","",IF(MakeSchedule!AG329=0,0,MakeSchedule!AG329))</f>
        <v/>
      </c>
      <c r="K329" s="39"/>
      <c r="L329" s="39"/>
      <c r="M329" s="39"/>
      <c r="N329" s="39"/>
      <c r="O329" s="39"/>
      <c r="P329" s="39"/>
      <c r="Q329" s="39"/>
      <c r="R329" s="39"/>
      <c r="S329" s="39"/>
      <c r="T329" s="39"/>
      <c r="U329" s="39"/>
      <c r="V329" s="39"/>
      <c r="W329" s="39"/>
    </row>
    <row r="330" spans="1:23" x14ac:dyDescent="0.2">
      <c r="A330" s="66"/>
      <c r="B330" s="67" t="str">
        <f t="shared" si="16"/>
        <v/>
      </c>
      <c r="C330" s="68" t="str">
        <f>IF(MakeSchedule!AB330=0,"",MakeSchedule!AB330)</f>
        <v/>
      </c>
      <c r="D330" s="69" t="str">
        <f>IF(MakeSchedule!AC330=0,"",MakeSchedule!AC330)</f>
        <v/>
      </c>
      <c r="E330" s="69" t="str">
        <f>IF(MakeSchedule!AD330=0,"",MakeSchedule!AD330)</f>
        <v/>
      </c>
      <c r="F330" s="73" t="str">
        <f>IF(MakeSchedule!AD330=0,"",MakeSchedule!AC330/MakeSchedule!AD330)</f>
        <v/>
      </c>
      <c r="G330" s="73" t="str">
        <f t="shared" si="13"/>
        <v/>
      </c>
      <c r="H330" s="73" t="str">
        <f t="shared" si="14"/>
        <v/>
      </c>
      <c r="I330" s="69" t="str">
        <f>IF(MakeSchedule!AF330=0,"",MakeSchedule!AF330)</f>
        <v/>
      </c>
      <c r="J330" s="69" t="str">
        <f>IF(I330="","",IF(MakeSchedule!AG330=0,0,MakeSchedule!AG330))</f>
        <v/>
      </c>
      <c r="K330" s="39"/>
      <c r="L330" s="39"/>
      <c r="M330" s="39"/>
      <c r="N330" s="39"/>
      <c r="O330" s="39"/>
      <c r="P330" s="39"/>
      <c r="Q330" s="39"/>
      <c r="R330" s="39"/>
      <c r="S330" s="39"/>
      <c r="T330" s="39"/>
      <c r="U330" s="39"/>
      <c r="V330" s="39"/>
      <c r="W330" s="39"/>
    </row>
    <row r="331" spans="1:23" x14ac:dyDescent="0.2">
      <c r="A331" s="66"/>
      <c r="B331" s="67" t="str">
        <f t="shared" si="16"/>
        <v/>
      </c>
      <c r="C331" s="68" t="str">
        <f>IF(MakeSchedule!AB331=0,"",MakeSchedule!AB331)</f>
        <v/>
      </c>
      <c r="D331" s="69" t="str">
        <f>IF(MakeSchedule!AC331=0,"",MakeSchedule!AC331)</f>
        <v/>
      </c>
      <c r="E331" s="69" t="str">
        <f>IF(MakeSchedule!AD331=0,"",MakeSchedule!AD331)</f>
        <v/>
      </c>
      <c r="F331" s="73" t="str">
        <f>IF(MakeSchedule!AD331=0,"",MakeSchedule!AC331/MakeSchedule!AD331)</f>
        <v/>
      </c>
      <c r="G331" s="73" t="str">
        <f t="shared" si="13"/>
        <v/>
      </c>
      <c r="H331" s="73" t="str">
        <f t="shared" si="14"/>
        <v/>
      </c>
      <c r="I331" s="69" t="str">
        <f>IF(MakeSchedule!AF331=0,"",MakeSchedule!AF331)</f>
        <v/>
      </c>
      <c r="J331" s="69" t="str">
        <f>IF(I331="","",IF(MakeSchedule!AG331=0,0,MakeSchedule!AG331))</f>
        <v/>
      </c>
      <c r="K331" s="39"/>
      <c r="L331" s="39"/>
      <c r="M331" s="39"/>
      <c r="N331" s="39"/>
      <c r="O331" s="39"/>
      <c r="P331" s="39"/>
      <c r="Q331" s="39"/>
      <c r="R331" s="39"/>
      <c r="S331" s="39"/>
      <c r="T331" s="39"/>
      <c r="U331" s="39"/>
      <c r="V331" s="39"/>
      <c r="W331" s="39"/>
    </row>
    <row r="332" spans="1:23" x14ac:dyDescent="0.2">
      <c r="A332" s="66"/>
      <c r="B332" s="67" t="str">
        <f t="shared" si="16"/>
        <v/>
      </c>
      <c r="C332" s="68" t="str">
        <f>IF(MakeSchedule!AB332=0,"",MakeSchedule!AB332)</f>
        <v/>
      </c>
      <c r="D332" s="69" t="str">
        <f>IF(MakeSchedule!AC332=0,"",MakeSchedule!AC332)</f>
        <v/>
      </c>
      <c r="E332" s="69" t="str">
        <f>IF(MakeSchedule!AD332=0,"",MakeSchedule!AD332)</f>
        <v/>
      </c>
      <c r="F332" s="73" t="str">
        <f>IF(MakeSchedule!AD332=0,"",MakeSchedule!AC332/MakeSchedule!AD332)</f>
        <v/>
      </c>
      <c r="G332" s="73" t="str">
        <f t="shared" si="13"/>
        <v/>
      </c>
      <c r="H332" s="73" t="str">
        <f t="shared" si="14"/>
        <v/>
      </c>
      <c r="I332" s="69" t="str">
        <f>IF(MakeSchedule!AF332=0,"",MakeSchedule!AF332)</f>
        <v/>
      </c>
      <c r="J332" s="69" t="str">
        <f>IF(I332="","",IF(MakeSchedule!AG332=0,0,MakeSchedule!AG332))</f>
        <v/>
      </c>
      <c r="K332" s="39"/>
      <c r="L332" s="39"/>
      <c r="M332" s="39"/>
      <c r="N332" s="39"/>
      <c r="O332" s="39"/>
      <c r="P332" s="39"/>
      <c r="Q332" s="39"/>
      <c r="R332" s="39"/>
      <c r="S332" s="39"/>
      <c r="T332" s="39"/>
      <c r="U332" s="39"/>
      <c r="V332" s="39"/>
      <c r="W332" s="39"/>
    </row>
    <row r="333" spans="1:23" x14ac:dyDescent="0.2">
      <c r="A333" s="66"/>
      <c r="B333" s="67" t="str">
        <f t="shared" si="16"/>
        <v/>
      </c>
      <c r="C333" s="68" t="str">
        <f>IF(MakeSchedule!AB333=0,"",MakeSchedule!AB333)</f>
        <v/>
      </c>
      <c r="D333" s="69" t="str">
        <f>IF(MakeSchedule!AC333=0,"",MakeSchedule!AC333)</f>
        <v/>
      </c>
      <c r="E333" s="69" t="str">
        <f>IF(MakeSchedule!AD333=0,"",MakeSchedule!AD333)</f>
        <v/>
      </c>
      <c r="F333" s="73" t="str">
        <f>IF(MakeSchedule!AD333=0,"",MakeSchedule!AC333/MakeSchedule!AD333)</f>
        <v/>
      </c>
      <c r="G333" s="73" t="str">
        <f t="shared" si="13"/>
        <v/>
      </c>
      <c r="H333" s="73" t="str">
        <f t="shared" si="14"/>
        <v/>
      </c>
      <c r="I333" s="69" t="str">
        <f>IF(MakeSchedule!AF333=0,"",MakeSchedule!AF333)</f>
        <v/>
      </c>
      <c r="J333" s="69" t="str">
        <f>IF(I333="","",IF(MakeSchedule!AG333=0,0,MakeSchedule!AG333))</f>
        <v/>
      </c>
      <c r="K333" s="39"/>
      <c r="L333" s="39"/>
      <c r="M333" s="39"/>
      <c r="N333" s="39"/>
      <c r="O333" s="39"/>
      <c r="P333" s="39"/>
      <c r="Q333" s="39"/>
      <c r="R333" s="39"/>
      <c r="S333" s="39"/>
      <c r="T333" s="39"/>
      <c r="U333" s="39"/>
      <c r="V333" s="39"/>
      <c r="W333" s="39"/>
    </row>
    <row r="334" spans="1:23" x14ac:dyDescent="0.2">
      <c r="A334" s="66"/>
      <c r="B334" s="67" t="str">
        <f t="shared" si="16"/>
        <v/>
      </c>
      <c r="C334" s="68" t="str">
        <f>IF(MakeSchedule!AB334=0,"",MakeSchedule!AB334)</f>
        <v/>
      </c>
      <c r="D334" s="69" t="str">
        <f>IF(MakeSchedule!AC334=0,"",MakeSchedule!AC334)</f>
        <v/>
      </c>
      <c r="E334" s="69" t="str">
        <f>IF(MakeSchedule!AD334=0,"",MakeSchedule!AD334)</f>
        <v/>
      </c>
      <c r="F334" s="73" t="str">
        <f>IF(MakeSchedule!AD334=0,"",MakeSchedule!AC334/MakeSchedule!AD334)</f>
        <v/>
      </c>
      <c r="G334" s="73" t="str">
        <f t="shared" si="13"/>
        <v/>
      </c>
      <c r="H334" s="73" t="str">
        <f t="shared" si="14"/>
        <v/>
      </c>
      <c r="I334" s="69" t="str">
        <f>IF(MakeSchedule!AF334=0,"",MakeSchedule!AF334)</f>
        <v/>
      </c>
      <c r="J334" s="69" t="str">
        <f>IF(I334="","",IF(MakeSchedule!AG334=0,0,MakeSchedule!AG334))</f>
        <v/>
      </c>
      <c r="K334" s="39"/>
      <c r="L334" s="39"/>
      <c r="M334" s="39"/>
      <c r="N334" s="39"/>
      <c r="O334" s="39"/>
      <c r="P334" s="39"/>
      <c r="Q334" s="39"/>
      <c r="R334" s="39"/>
      <c r="S334" s="39"/>
      <c r="T334" s="39"/>
      <c r="U334" s="39"/>
      <c r="V334" s="39"/>
      <c r="W334" s="39"/>
    </row>
    <row r="335" spans="1:23" x14ac:dyDescent="0.2">
      <c r="A335" s="66"/>
      <c r="B335" s="67" t="str">
        <f t="shared" si="16"/>
        <v/>
      </c>
      <c r="C335" s="68" t="str">
        <f>IF(MakeSchedule!AB335=0,"",MakeSchedule!AB335)</f>
        <v/>
      </c>
      <c r="D335" s="69" t="str">
        <f>IF(MakeSchedule!AC335=0,"",MakeSchedule!AC335)</f>
        <v/>
      </c>
      <c r="E335" s="69" t="str">
        <f>IF(MakeSchedule!AD335=0,"",MakeSchedule!AD335)</f>
        <v/>
      </c>
      <c r="F335" s="73" t="str">
        <f>IF(MakeSchedule!AD335=0,"",MakeSchedule!AC335/MakeSchedule!AD335)</f>
        <v/>
      </c>
      <c r="G335" s="73" t="str">
        <f t="shared" si="13"/>
        <v/>
      </c>
      <c r="H335" s="73" t="str">
        <f t="shared" si="14"/>
        <v/>
      </c>
      <c r="I335" s="69" t="str">
        <f>IF(MakeSchedule!AF335=0,"",MakeSchedule!AF335)</f>
        <v/>
      </c>
      <c r="J335" s="69" t="str">
        <f>IF(I335="","",IF(MakeSchedule!AG335=0,0,MakeSchedule!AG335))</f>
        <v/>
      </c>
      <c r="K335" s="39"/>
      <c r="L335" s="39"/>
      <c r="M335" s="39"/>
      <c r="N335" s="39"/>
      <c r="O335" s="39"/>
      <c r="P335" s="39"/>
      <c r="Q335" s="39"/>
      <c r="R335" s="39"/>
      <c r="S335" s="39"/>
      <c r="T335" s="39"/>
      <c r="U335" s="39"/>
      <c r="V335" s="39"/>
      <c r="W335" s="39"/>
    </row>
    <row r="336" spans="1:23" x14ac:dyDescent="0.2">
      <c r="A336" s="66"/>
      <c r="B336" s="67" t="str">
        <f t="shared" si="16"/>
        <v/>
      </c>
      <c r="C336" s="68" t="str">
        <f>IF(MakeSchedule!AB336=0,"",MakeSchedule!AB336)</f>
        <v/>
      </c>
      <c r="D336" s="69" t="str">
        <f>IF(MakeSchedule!AC336=0,"",MakeSchedule!AC336)</f>
        <v/>
      </c>
      <c r="E336" s="69" t="str">
        <f>IF(MakeSchedule!AD336=0,"",MakeSchedule!AD336)</f>
        <v/>
      </c>
      <c r="F336" s="73" t="str">
        <f>IF(MakeSchedule!AD336=0,"",MakeSchedule!AC336/MakeSchedule!AD336)</f>
        <v/>
      </c>
      <c r="G336" s="73" t="str">
        <f t="shared" si="13"/>
        <v/>
      </c>
      <c r="H336" s="73" t="str">
        <f t="shared" si="14"/>
        <v/>
      </c>
      <c r="I336" s="69" t="str">
        <f>IF(MakeSchedule!AF336=0,"",MakeSchedule!AF336)</f>
        <v/>
      </c>
      <c r="J336" s="69" t="str">
        <f>IF(I336="","",IF(MakeSchedule!AG336=0,0,MakeSchedule!AG336))</f>
        <v/>
      </c>
      <c r="K336" s="39"/>
      <c r="L336" s="39"/>
      <c r="M336" s="39"/>
      <c r="N336" s="39"/>
      <c r="O336" s="39"/>
      <c r="P336" s="39"/>
      <c r="Q336" s="39"/>
      <c r="R336" s="39"/>
      <c r="S336" s="39"/>
      <c r="T336" s="39"/>
      <c r="U336" s="39"/>
      <c r="V336" s="39"/>
      <c r="W336" s="39"/>
    </row>
    <row r="337" spans="1:23" x14ac:dyDescent="0.2">
      <c r="A337" s="66"/>
      <c r="B337" s="67" t="str">
        <f t="shared" si="16"/>
        <v/>
      </c>
      <c r="C337" s="68" t="str">
        <f>IF(MakeSchedule!AB337=0,"",MakeSchedule!AB337)</f>
        <v/>
      </c>
      <c r="D337" s="69" t="str">
        <f>IF(MakeSchedule!AC337=0,"",MakeSchedule!AC337)</f>
        <v/>
      </c>
      <c r="E337" s="69" t="str">
        <f>IF(MakeSchedule!AD337=0,"",MakeSchedule!AD337)</f>
        <v/>
      </c>
      <c r="F337" s="73" t="str">
        <f>IF(MakeSchedule!AD337=0,"",MakeSchedule!AC337/MakeSchedule!AD337)</f>
        <v/>
      </c>
      <c r="G337" s="73" t="str">
        <f t="shared" ref="G337:G380" si="17">IF(H337="","",G$12*H337)</f>
        <v/>
      </c>
      <c r="H337" s="73" t="str">
        <f t="shared" ref="H337:H380" si="18">IF(E337="","",E337/(1-G$12))</f>
        <v/>
      </c>
      <c r="I337" s="69" t="str">
        <f>IF(MakeSchedule!AF337=0,"",MakeSchedule!AF337)</f>
        <v/>
      </c>
      <c r="J337" s="69" t="str">
        <f>IF(I337="","",IF(MakeSchedule!AG337=0,0,MakeSchedule!AG337))</f>
        <v/>
      </c>
      <c r="K337" s="39"/>
      <c r="L337" s="39"/>
      <c r="M337" s="39"/>
      <c r="N337" s="39"/>
      <c r="O337" s="39"/>
      <c r="P337" s="39"/>
      <c r="Q337" s="39"/>
      <c r="R337" s="39"/>
      <c r="S337" s="39"/>
      <c r="T337" s="39"/>
      <c r="U337" s="39"/>
      <c r="V337" s="39"/>
      <c r="W337" s="39"/>
    </row>
    <row r="338" spans="1:23" x14ac:dyDescent="0.2">
      <c r="A338" s="66"/>
      <c r="B338" s="67" t="str">
        <f t="shared" si="16"/>
        <v/>
      </c>
      <c r="C338" s="68" t="str">
        <f>IF(MakeSchedule!AB338=0,"",MakeSchedule!AB338)</f>
        <v/>
      </c>
      <c r="D338" s="69" t="str">
        <f>IF(MakeSchedule!AC338=0,"",MakeSchedule!AC338)</f>
        <v/>
      </c>
      <c r="E338" s="69" t="str">
        <f>IF(MakeSchedule!AD338=0,"",MakeSchedule!AD338)</f>
        <v/>
      </c>
      <c r="F338" s="73" t="str">
        <f>IF(MakeSchedule!AD338=0,"",MakeSchedule!AC338/MakeSchedule!AD338)</f>
        <v/>
      </c>
      <c r="G338" s="73" t="str">
        <f t="shared" si="17"/>
        <v/>
      </c>
      <c r="H338" s="73" t="str">
        <f t="shared" si="18"/>
        <v/>
      </c>
      <c r="I338" s="69" t="str">
        <f>IF(MakeSchedule!AF338=0,"",MakeSchedule!AF338)</f>
        <v/>
      </c>
      <c r="J338" s="69" t="str">
        <f>IF(I338="","",IF(MakeSchedule!AG338=0,0,MakeSchedule!AG338))</f>
        <v/>
      </c>
      <c r="K338" s="39"/>
      <c r="L338" s="39"/>
      <c r="M338" s="39"/>
      <c r="N338" s="39"/>
      <c r="O338" s="39"/>
      <c r="P338" s="39"/>
      <c r="Q338" s="39"/>
      <c r="R338" s="39"/>
      <c r="S338" s="39"/>
      <c r="T338" s="39"/>
      <c r="U338" s="39"/>
      <c r="V338" s="39"/>
      <c r="W338" s="39"/>
    </row>
    <row r="339" spans="1:23" x14ac:dyDescent="0.2">
      <c r="A339" s="66"/>
      <c r="B339" s="67" t="str">
        <f t="shared" si="16"/>
        <v/>
      </c>
      <c r="C339" s="68" t="str">
        <f>IF(MakeSchedule!AB339=0,"",MakeSchedule!AB339)</f>
        <v/>
      </c>
      <c r="D339" s="69" t="str">
        <f>IF(MakeSchedule!AC339=0,"",MakeSchedule!AC339)</f>
        <v/>
      </c>
      <c r="E339" s="69" t="str">
        <f>IF(MakeSchedule!AD339=0,"",MakeSchedule!AD339)</f>
        <v/>
      </c>
      <c r="F339" s="73" t="str">
        <f>IF(MakeSchedule!AD339=0,"",MakeSchedule!AC339/MakeSchedule!AD339)</f>
        <v/>
      </c>
      <c r="G339" s="73" t="str">
        <f t="shared" si="17"/>
        <v/>
      </c>
      <c r="H339" s="73" t="str">
        <f t="shared" si="18"/>
        <v/>
      </c>
      <c r="I339" s="69" t="str">
        <f>IF(MakeSchedule!AF339=0,"",MakeSchedule!AF339)</f>
        <v/>
      </c>
      <c r="J339" s="69" t="str">
        <f>IF(I339="","",IF(MakeSchedule!AG339=0,0,MakeSchedule!AG339))</f>
        <v/>
      </c>
      <c r="K339" s="39"/>
      <c r="L339" s="39"/>
      <c r="M339" s="39"/>
      <c r="N339" s="39"/>
      <c r="O339" s="39"/>
      <c r="P339" s="39"/>
      <c r="Q339" s="39"/>
      <c r="R339" s="39"/>
      <c r="S339" s="39"/>
      <c r="T339" s="39"/>
      <c r="U339" s="39"/>
      <c r="V339" s="39"/>
      <c r="W339" s="39"/>
    </row>
    <row r="340" spans="1:23" x14ac:dyDescent="0.2">
      <c r="A340" s="66"/>
      <c r="B340" s="67" t="str">
        <f t="shared" si="16"/>
        <v/>
      </c>
      <c r="C340" s="68" t="str">
        <f>IF(MakeSchedule!AB340=0,"",MakeSchedule!AB340)</f>
        <v/>
      </c>
      <c r="D340" s="69" t="str">
        <f>IF(MakeSchedule!AC340=0,"",MakeSchedule!AC340)</f>
        <v/>
      </c>
      <c r="E340" s="69" t="str">
        <f>IF(MakeSchedule!AD340=0,"",MakeSchedule!AD340)</f>
        <v/>
      </c>
      <c r="F340" s="73" t="str">
        <f>IF(MakeSchedule!AD340=0,"",MakeSchedule!AC340/MakeSchedule!AD340)</f>
        <v/>
      </c>
      <c r="G340" s="73" t="str">
        <f t="shared" si="17"/>
        <v/>
      </c>
      <c r="H340" s="73" t="str">
        <f t="shared" si="18"/>
        <v/>
      </c>
      <c r="I340" s="69" t="str">
        <f>IF(MakeSchedule!AF340=0,"",MakeSchedule!AF340)</f>
        <v/>
      </c>
      <c r="J340" s="69" t="str">
        <f>IF(I340="","",IF(MakeSchedule!AG340=0,0,MakeSchedule!AG340))</f>
        <v/>
      </c>
      <c r="K340" s="39"/>
      <c r="L340" s="39"/>
      <c r="M340" s="39"/>
      <c r="N340" s="39"/>
      <c r="O340" s="39"/>
      <c r="P340" s="39"/>
      <c r="Q340" s="39"/>
      <c r="R340" s="39"/>
      <c r="S340" s="39"/>
      <c r="T340" s="39"/>
      <c r="U340" s="39"/>
      <c r="V340" s="39"/>
      <c r="W340" s="39"/>
    </row>
    <row r="341" spans="1:23" x14ac:dyDescent="0.2">
      <c r="A341" s="66"/>
      <c r="B341" s="67" t="str">
        <f t="shared" si="16"/>
        <v/>
      </c>
      <c r="C341" s="68" t="str">
        <f>IF(MakeSchedule!AB341=0,"",MakeSchedule!AB341)</f>
        <v/>
      </c>
      <c r="D341" s="69" t="str">
        <f>IF(MakeSchedule!AC341=0,"",MakeSchedule!AC341)</f>
        <v/>
      </c>
      <c r="E341" s="69" t="str">
        <f>IF(MakeSchedule!AD341=0,"",MakeSchedule!AD341)</f>
        <v/>
      </c>
      <c r="F341" s="73" t="str">
        <f>IF(MakeSchedule!AD341=0,"",MakeSchedule!AC341/MakeSchedule!AD341)</f>
        <v/>
      </c>
      <c r="G341" s="73" t="str">
        <f t="shared" si="17"/>
        <v/>
      </c>
      <c r="H341" s="73" t="str">
        <f t="shared" si="18"/>
        <v/>
      </c>
      <c r="I341" s="69" t="str">
        <f>IF(MakeSchedule!AF341=0,"",MakeSchedule!AF341)</f>
        <v/>
      </c>
      <c r="J341" s="69" t="str">
        <f>IF(I341="","",IF(MakeSchedule!AG341=0,0,MakeSchedule!AG341))</f>
        <v/>
      </c>
      <c r="K341" s="39"/>
      <c r="L341" s="39"/>
      <c r="M341" s="39"/>
      <c r="N341" s="39"/>
      <c r="O341" s="39"/>
      <c r="P341" s="39"/>
      <c r="Q341" s="39"/>
      <c r="R341" s="39"/>
      <c r="S341" s="39"/>
      <c r="T341" s="39"/>
      <c r="U341" s="39"/>
      <c r="V341" s="39"/>
      <c r="W341" s="39"/>
    </row>
    <row r="342" spans="1:23" x14ac:dyDescent="0.2">
      <c r="A342" s="66"/>
      <c r="B342" s="67" t="str">
        <f t="shared" si="16"/>
        <v/>
      </c>
      <c r="C342" s="68" t="str">
        <f>IF(MakeSchedule!AB342=0,"",MakeSchedule!AB342)</f>
        <v/>
      </c>
      <c r="D342" s="69" t="str">
        <f>IF(MakeSchedule!AC342=0,"",MakeSchedule!AC342)</f>
        <v/>
      </c>
      <c r="E342" s="69" t="str">
        <f>IF(MakeSchedule!AD342=0,"",MakeSchedule!AD342)</f>
        <v/>
      </c>
      <c r="F342" s="73" t="str">
        <f>IF(MakeSchedule!AD342=0,"",MakeSchedule!AC342/MakeSchedule!AD342)</f>
        <v/>
      </c>
      <c r="G342" s="73" t="str">
        <f t="shared" si="17"/>
        <v/>
      </c>
      <c r="H342" s="73" t="str">
        <f t="shared" si="18"/>
        <v/>
      </c>
      <c r="I342" s="69" t="str">
        <f>IF(MakeSchedule!AF342=0,"",MakeSchedule!AF342)</f>
        <v/>
      </c>
      <c r="J342" s="69" t="str">
        <f>IF(I342="","",IF(MakeSchedule!AG342=0,0,MakeSchedule!AG342))</f>
        <v/>
      </c>
      <c r="K342" s="39"/>
      <c r="L342" s="39"/>
      <c r="M342" s="39"/>
      <c r="N342" s="39"/>
      <c r="O342" s="39"/>
      <c r="P342" s="39"/>
      <c r="Q342" s="39"/>
      <c r="R342" s="39"/>
      <c r="S342" s="39"/>
      <c r="T342" s="39"/>
      <c r="U342" s="39"/>
      <c r="V342" s="39"/>
      <c r="W342" s="39"/>
    </row>
    <row r="343" spans="1:23" x14ac:dyDescent="0.2">
      <c r="A343" s="66"/>
      <c r="B343" s="67" t="str">
        <f t="shared" si="16"/>
        <v/>
      </c>
      <c r="C343" s="68" t="str">
        <f>IF(MakeSchedule!AB343=0,"",MakeSchedule!AB343)</f>
        <v/>
      </c>
      <c r="D343" s="69" t="str">
        <f>IF(MakeSchedule!AC343=0,"",MakeSchedule!AC343)</f>
        <v/>
      </c>
      <c r="E343" s="69" t="str">
        <f>IF(MakeSchedule!AD343=0,"",MakeSchedule!AD343)</f>
        <v/>
      </c>
      <c r="F343" s="73" t="str">
        <f>IF(MakeSchedule!AD343=0,"",MakeSchedule!AC343/MakeSchedule!AD343)</f>
        <v/>
      </c>
      <c r="G343" s="73" t="str">
        <f t="shared" si="17"/>
        <v/>
      </c>
      <c r="H343" s="73" t="str">
        <f t="shared" si="18"/>
        <v/>
      </c>
      <c r="I343" s="69" t="str">
        <f>IF(MakeSchedule!AF343=0,"",MakeSchedule!AF343)</f>
        <v/>
      </c>
      <c r="J343" s="69" t="str">
        <f>IF(I343="","",IF(MakeSchedule!AG343=0,0,MakeSchedule!AG343))</f>
        <v/>
      </c>
      <c r="K343" s="39"/>
      <c r="L343" s="39"/>
      <c r="M343" s="39"/>
      <c r="N343" s="39"/>
      <c r="O343" s="39"/>
      <c r="P343" s="39"/>
      <c r="Q343" s="39"/>
      <c r="R343" s="39"/>
      <c r="S343" s="39"/>
      <c r="T343" s="39"/>
      <c r="U343" s="39"/>
      <c r="V343" s="39"/>
      <c r="W343" s="39"/>
    </row>
    <row r="344" spans="1:23" x14ac:dyDescent="0.2">
      <c r="A344" s="66"/>
      <c r="B344" s="67" t="str">
        <f t="shared" si="16"/>
        <v/>
      </c>
      <c r="C344" s="68" t="str">
        <f>IF(MakeSchedule!AB344=0,"",MakeSchedule!AB344)</f>
        <v/>
      </c>
      <c r="D344" s="69" t="str">
        <f>IF(MakeSchedule!AC344=0,"",MakeSchedule!AC344)</f>
        <v/>
      </c>
      <c r="E344" s="69" t="str">
        <f>IF(MakeSchedule!AD344=0,"",MakeSchedule!AD344)</f>
        <v/>
      </c>
      <c r="F344" s="73" t="str">
        <f>IF(MakeSchedule!AD344=0,"",MakeSchedule!AC344/MakeSchedule!AD344)</f>
        <v/>
      </c>
      <c r="G344" s="73" t="str">
        <f t="shared" si="17"/>
        <v/>
      </c>
      <c r="H344" s="73" t="str">
        <f t="shared" si="18"/>
        <v/>
      </c>
      <c r="I344" s="69" t="str">
        <f>IF(MakeSchedule!AF344=0,"",MakeSchedule!AF344)</f>
        <v/>
      </c>
      <c r="J344" s="69" t="str">
        <f>IF(I344="","",IF(MakeSchedule!AG344=0,0,MakeSchedule!AG344))</f>
        <v/>
      </c>
      <c r="K344" s="39"/>
      <c r="L344" s="39"/>
      <c r="M344" s="39"/>
      <c r="N344" s="39"/>
      <c r="O344" s="39"/>
      <c r="P344" s="39"/>
      <c r="Q344" s="39"/>
      <c r="R344" s="39"/>
      <c r="S344" s="39"/>
      <c r="T344" s="39"/>
      <c r="U344" s="39"/>
      <c r="V344" s="39"/>
      <c r="W344" s="39"/>
    </row>
    <row r="345" spans="1:23" x14ac:dyDescent="0.2">
      <c r="A345" s="66"/>
      <c r="B345" s="67" t="str">
        <f t="shared" si="16"/>
        <v/>
      </c>
      <c r="C345" s="68" t="str">
        <f>IF(MakeSchedule!AB345=0,"",MakeSchedule!AB345)</f>
        <v/>
      </c>
      <c r="D345" s="69" t="str">
        <f>IF(MakeSchedule!AC345=0,"",MakeSchedule!AC345)</f>
        <v/>
      </c>
      <c r="E345" s="69" t="str">
        <f>IF(MakeSchedule!AD345=0,"",MakeSchedule!AD345)</f>
        <v/>
      </c>
      <c r="F345" s="73" t="str">
        <f>IF(MakeSchedule!AD345=0,"",MakeSchedule!AC345/MakeSchedule!AD345)</f>
        <v/>
      </c>
      <c r="G345" s="73" t="str">
        <f t="shared" si="17"/>
        <v/>
      </c>
      <c r="H345" s="73" t="str">
        <f t="shared" si="18"/>
        <v/>
      </c>
      <c r="I345" s="69" t="str">
        <f>IF(MakeSchedule!AF345=0,"",MakeSchedule!AF345)</f>
        <v/>
      </c>
      <c r="J345" s="69" t="str">
        <f>IF(I345="","",IF(MakeSchedule!AG345=0,0,MakeSchedule!AG345))</f>
        <v/>
      </c>
      <c r="K345" s="39"/>
      <c r="L345" s="39"/>
      <c r="M345" s="39"/>
      <c r="N345" s="39"/>
      <c r="O345" s="39"/>
      <c r="P345" s="39"/>
      <c r="Q345" s="39"/>
      <c r="R345" s="39"/>
      <c r="S345" s="39"/>
      <c r="T345" s="39"/>
      <c r="U345" s="39"/>
      <c r="V345" s="39"/>
      <c r="W345" s="39"/>
    </row>
    <row r="346" spans="1:23" x14ac:dyDescent="0.2">
      <c r="A346" s="66"/>
      <c r="B346" s="67" t="str">
        <f t="shared" si="16"/>
        <v/>
      </c>
      <c r="C346" s="68" t="str">
        <f>IF(MakeSchedule!AB346=0,"",MakeSchedule!AB346)</f>
        <v/>
      </c>
      <c r="D346" s="69" t="str">
        <f>IF(MakeSchedule!AC346=0,"",MakeSchedule!AC346)</f>
        <v/>
      </c>
      <c r="E346" s="69" t="str">
        <f>IF(MakeSchedule!AD346=0,"",MakeSchedule!AD346)</f>
        <v/>
      </c>
      <c r="F346" s="73" t="str">
        <f>IF(MakeSchedule!AD346=0,"",MakeSchedule!AC346/MakeSchedule!AD346)</f>
        <v/>
      </c>
      <c r="G346" s="73" t="str">
        <f t="shared" si="17"/>
        <v/>
      </c>
      <c r="H346" s="73" t="str">
        <f t="shared" si="18"/>
        <v/>
      </c>
      <c r="I346" s="69" t="str">
        <f>IF(MakeSchedule!AF346=0,"",MakeSchedule!AF346)</f>
        <v/>
      </c>
      <c r="J346" s="69" t="str">
        <f>IF(I346="","",IF(MakeSchedule!AG346=0,0,MakeSchedule!AG346))</f>
        <v/>
      </c>
      <c r="K346" s="39"/>
      <c r="L346" s="39"/>
      <c r="M346" s="39"/>
      <c r="N346" s="39"/>
      <c r="O346" s="39"/>
      <c r="P346" s="39"/>
      <c r="Q346" s="39"/>
      <c r="R346" s="39"/>
      <c r="S346" s="39"/>
      <c r="T346" s="39"/>
      <c r="U346" s="39"/>
      <c r="V346" s="39"/>
      <c r="W346" s="39"/>
    </row>
    <row r="347" spans="1:23" x14ac:dyDescent="0.2">
      <c r="A347" s="66"/>
      <c r="B347" s="67" t="str">
        <f t="shared" si="16"/>
        <v/>
      </c>
      <c r="C347" s="68" t="str">
        <f>IF(MakeSchedule!AB347=0,"",MakeSchedule!AB347)</f>
        <v/>
      </c>
      <c r="D347" s="69" t="str">
        <f>IF(MakeSchedule!AC347=0,"",MakeSchedule!AC347)</f>
        <v/>
      </c>
      <c r="E347" s="69" t="str">
        <f>IF(MakeSchedule!AD347=0,"",MakeSchedule!AD347)</f>
        <v/>
      </c>
      <c r="F347" s="73" t="str">
        <f>IF(MakeSchedule!AD347=0,"",MakeSchedule!AC347/MakeSchedule!AD347)</f>
        <v/>
      </c>
      <c r="G347" s="73" t="str">
        <f t="shared" si="17"/>
        <v/>
      </c>
      <c r="H347" s="73" t="str">
        <f t="shared" si="18"/>
        <v/>
      </c>
      <c r="I347" s="69" t="str">
        <f>IF(MakeSchedule!AF347=0,"",MakeSchedule!AF347)</f>
        <v/>
      </c>
      <c r="J347" s="69" t="str">
        <f>IF(I347="","",IF(MakeSchedule!AG347=0,0,MakeSchedule!AG347))</f>
        <v/>
      </c>
      <c r="K347" s="39"/>
      <c r="L347" s="39"/>
      <c r="M347" s="39"/>
      <c r="N347" s="39"/>
      <c r="O347" s="39"/>
      <c r="P347" s="39"/>
      <c r="Q347" s="39"/>
      <c r="R347" s="39"/>
      <c r="S347" s="39"/>
      <c r="T347" s="39"/>
      <c r="U347" s="39"/>
      <c r="V347" s="39"/>
      <c r="W347" s="39"/>
    </row>
    <row r="348" spans="1:23" x14ac:dyDescent="0.2">
      <c r="A348" s="66"/>
      <c r="B348" s="67" t="str">
        <f t="shared" si="16"/>
        <v/>
      </c>
      <c r="C348" s="68" t="str">
        <f>IF(MakeSchedule!AB348=0,"",MakeSchedule!AB348)</f>
        <v/>
      </c>
      <c r="D348" s="69" t="str">
        <f>IF(MakeSchedule!AC348=0,"",MakeSchedule!AC348)</f>
        <v/>
      </c>
      <c r="E348" s="69" t="str">
        <f>IF(MakeSchedule!AD348=0,"",MakeSchedule!AD348)</f>
        <v/>
      </c>
      <c r="F348" s="73" t="str">
        <f>IF(MakeSchedule!AD348=0,"",MakeSchedule!AC348/MakeSchedule!AD348)</f>
        <v/>
      </c>
      <c r="G348" s="73" t="str">
        <f t="shared" si="17"/>
        <v/>
      </c>
      <c r="H348" s="73" t="str">
        <f t="shared" si="18"/>
        <v/>
      </c>
      <c r="I348" s="69" t="str">
        <f>IF(MakeSchedule!AF348=0,"",MakeSchedule!AF348)</f>
        <v/>
      </c>
      <c r="J348" s="69" t="str">
        <f>IF(I348="","",IF(MakeSchedule!AG348=0,0,MakeSchedule!AG348))</f>
        <v/>
      </c>
      <c r="K348" s="39"/>
      <c r="L348" s="39"/>
      <c r="M348" s="39"/>
      <c r="N348" s="39"/>
      <c r="O348" s="39"/>
      <c r="P348" s="39"/>
      <c r="Q348" s="39"/>
      <c r="R348" s="39"/>
      <c r="S348" s="39"/>
      <c r="T348" s="39"/>
      <c r="U348" s="39"/>
      <c r="V348" s="39"/>
      <c r="W348" s="39"/>
    </row>
    <row r="349" spans="1:23" x14ac:dyDescent="0.2">
      <c r="A349" s="66"/>
      <c r="B349" s="67" t="str">
        <f t="shared" si="16"/>
        <v/>
      </c>
      <c r="C349" s="68" t="str">
        <f>IF(MakeSchedule!AB349=0,"",MakeSchedule!AB349)</f>
        <v/>
      </c>
      <c r="D349" s="69" t="str">
        <f>IF(MakeSchedule!AC349=0,"",MakeSchedule!AC349)</f>
        <v/>
      </c>
      <c r="E349" s="69" t="str">
        <f>IF(MakeSchedule!AD349=0,"",MakeSchedule!AD349)</f>
        <v/>
      </c>
      <c r="F349" s="73" t="str">
        <f>IF(MakeSchedule!AD349=0,"",MakeSchedule!AC349/MakeSchedule!AD349)</f>
        <v/>
      </c>
      <c r="G349" s="73" t="str">
        <f t="shared" si="17"/>
        <v/>
      </c>
      <c r="H349" s="73" t="str">
        <f t="shared" si="18"/>
        <v/>
      </c>
      <c r="I349" s="69" t="str">
        <f>IF(MakeSchedule!AF349=0,"",MakeSchedule!AF349)</f>
        <v/>
      </c>
      <c r="J349" s="69" t="str">
        <f>IF(I349="","",IF(MakeSchedule!AG349=0,0,MakeSchedule!AG349))</f>
        <v/>
      </c>
      <c r="K349" s="39"/>
      <c r="L349" s="39"/>
      <c r="M349" s="39"/>
      <c r="N349" s="39"/>
      <c r="O349" s="39"/>
      <c r="P349" s="39"/>
      <c r="Q349" s="39"/>
      <c r="R349" s="39"/>
      <c r="S349" s="39"/>
      <c r="T349" s="39"/>
      <c r="U349" s="39"/>
      <c r="V349" s="39"/>
      <c r="W349" s="39"/>
    </row>
    <row r="350" spans="1:23" x14ac:dyDescent="0.2">
      <c r="A350" s="66"/>
      <c r="B350" s="67" t="str">
        <f t="shared" si="16"/>
        <v/>
      </c>
      <c r="C350" s="68" t="str">
        <f>IF(MakeSchedule!AB350=0,"",MakeSchedule!AB350)</f>
        <v/>
      </c>
      <c r="D350" s="69" t="str">
        <f>IF(MakeSchedule!AC350=0,"",MakeSchedule!AC350)</f>
        <v/>
      </c>
      <c r="E350" s="69" t="str">
        <f>IF(MakeSchedule!AD350=0,"",MakeSchedule!AD350)</f>
        <v/>
      </c>
      <c r="F350" s="73" t="str">
        <f>IF(MakeSchedule!AD350=0,"",MakeSchedule!AC350/MakeSchedule!AD350)</f>
        <v/>
      </c>
      <c r="G350" s="73" t="str">
        <f t="shared" si="17"/>
        <v/>
      </c>
      <c r="H350" s="73" t="str">
        <f t="shared" si="18"/>
        <v/>
      </c>
      <c r="I350" s="69" t="str">
        <f>IF(MakeSchedule!AF350=0,"",MakeSchedule!AF350)</f>
        <v/>
      </c>
      <c r="J350" s="69" t="str">
        <f>IF(I350="","",IF(MakeSchedule!AG350=0,0,MakeSchedule!AG350))</f>
        <v/>
      </c>
      <c r="K350" s="39"/>
      <c r="L350" s="39"/>
      <c r="M350" s="39"/>
      <c r="N350" s="39"/>
      <c r="O350" s="39"/>
      <c r="P350" s="39"/>
      <c r="Q350" s="39"/>
      <c r="R350" s="39"/>
      <c r="S350" s="39"/>
      <c r="T350" s="39"/>
      <c r="U350" s="39"/>
      <c r="V350" s="39"/>
      <c r="W350" s="39"/>
    </row>
    <row r="351" spans="1:23" x14ac:dyDescent="0.2">
      <c r="A351" s="66"/>
      <c r="B351" s="67" t="str">
        <f t="shared" si="16"/>
        <v/>
      </c>
      <c r="C351" s="68" t="str">
        <f>IF(MakeSchedule!AB351=0,"",MakeSchedule!AB351)</f>
        <v/>
      </c>
      <c r="D351" s="69" t="str">
        <f>IF(MakeSchedule!AC351=0,"",MakeSchedule!AC351)</f>
        <v/>
      </c>
      <c r="E351" s="69" t="str">
        <f>IF(MakeSchedule!AD351=0,"",MakeSchedule!AD351)</f>
        <v/>
      </c>
      <c r="F351" s="73" t="str">
        <f>IF(MakeSchedule!AD351=0,"",MakeSchedule!AC351/MakeSchedule!AD351)</f>
        <v/>
      </c>
      <c r="G351" s="73" t="str">
        <f t="shared" si="17"/>
        <v/>
      </c>
      <c r="H351" s="73" t="str">
        <f t="shared" si="18"/>
        <v/>
      </c>
      <c r="I351" s="69" t="str">
        <f>IF(MakeSchedule!AF351=0,"",MakeSchedule!AF351)</f>
        <v/>
      </c>
      <c r="J351" s="69" t="str">
        <f>IF(I351="","",IF(MakeSchedule!AG351=0,0,MakeSchedule!AG351))</f>
        <v/>
      </c>
      <c r="K351" s="39"/>
      <c r="L351" s="39"/>
      <c r="M351" s="39"/>
      <c r="N351" s="39"/>
      <c r="O351" s="39"/>
      <c r="P351" s="39"/>
      <c r="Q351" s="39"/>
      <c r="R351" s="39"/>
      <c r="S351" s="39"/>
      <c r="T351" s="39"/>
      <c r="U351" s="39"/>
      <c r="V351" s="39"/>
      <c r="W351" s="39"/>
    </row>
    <row r="352" spans="1:23" x14ac:dyDescent="0.2">
      <c r="A352" s="66"/>
      <c r="B352" s="67" t="str">
        <f t="shared" si="16"/>
        <v/>
      </c>
      <c r="C352" s="68" t="str">
        <f>IF(MakeSchedule!AB352=0,"",MakeSchedule!AB352)</f>
        <v/>
      </c>
      <c r="D352" s="69" t="str">
        <f>IF(MakeSchedule!AC352=0,"",MakeSchedule!AC352)</f>
        <v/>
      </c>
      <c r="E352" s="69" t="str">
        <f>IF(MakeSchedule!AD352=0,"",MakeSchedule!AD352)</f>
        <v/>
      </c>
      <c r="F352" s="73" t="str">
        <f>IF(MakeSchedule!AD352=0,"",MakeSchedule!AC352/MakeSchedule!AD352)</f>
        <v/>
      </c>
      <c r="G352" s="73" t="str">
        <f t="shared" si="17"/>
        <v/>
      </c>
      <c r="H352" s="73" t="str">
        <f t="shared" si="18"/>
        <v/>
      </c>
      <c r="I352" s="69" t="str">
        <f>IF(MakeSchedule!AF352=0,"",MakeSchedule!AF352)</f>
        <v/>
      </c>
      <c r="J352" s="69" t="str">
        <f>IF(I352="","",IF(MakeSchedule!AG352=0,0,MakeSchedule!AG352))</f>
        <v/>
      </c>
      <c r="K352" s="39"/>
      <c r="L352" s="39"/>
      <c r="M352" s="39"/>
      <c r="N352" s="39"/>
      <c r="O352" s="39"/>
      <c r="P352" s="39"/>
      <c r="Q352" s="39"/>
      <c r="R352" s="39"/>
      <c r="S352" s="39"/>
      <c r="T352" s="39"/>
      <c r="U352" s="39"/>
      <c r="V352" s="39"/>
      <c r="W352" s="39"/>
    </row>
    <row r="353" spans="1:23" x14ac:dyDescent="0.2">
      <c r="A353" s="66"/>
      <c r="B353" s="67" t="str">
        <f t="shared" si="16"/>
        <v/>
      </c>
      <c r="C353" s="68" t="str">
        <f>IF(MakeSchedule!AB353=0,"",MakeSchedule!AB353)</f>
        <v/>
      </c>
      <c r="D353" s="69" t="str">
        <f>IF(MakeSchedule!AC353=0,"",MakeSchedule!AC353)</f>
        <v/>
      </c>
      <c r="E353" s="69" t="str">
        <f>IF(MakeSchedule!AD353=0,"",MakeSchedule!AD353)</f>
        <v/>
      </c>
      <c r="F353" s="73" t="str">
        <f>IF(MakeSchedule!AD353=0,"",MakeSchedule!AC353/MakeSchedule!AD353)</f>
        <v/>
      </c>
      <c r="G353" s="73" t="str">
        <f t="shared" si="17"/>
        <v/>
      </c>
      <c r="H353" s="73" t="str">
        <f t="shared" si="18"/>
        <v/>
      </c>
      <c r="I353" s="69" t="str">
        <f>IF(MakeSchedule!AF353=0,"",MakeSchedule!AF353)</f>
        <v/>
      </c>
      <c r="J353" s="69" t="str">
        <f>IF(I353="","",IF(MakeSchedule!AG353=0,0,MakeSchedule!AG353))</f>
        <v/>
      </c>
      <c r="K353" s="39"/>
      <c r="L353" s="39"/>
      <c r="M353" s="39"/>
      <c r="N353" s="39"/>
      <c r="O353" s="39"/>
      <c r="P353" s="39"/>
      <c r="Q353" s="39"/>
      <c r="R353" s="39"/>
      <c r="S353" s="39"/>
      <c r="T353" s="39"/>
      <c r="U353" s="39"/>
      <c r="V353" s="39"/>
      <c r="W353" s="39"/>
    </row>
    <row r="354" spans="1:23" x14ac:dyDescent="0.2">
      <c r="A354" s="66"/>
      <c r="B354" s="67" t="str">
        <f t="shared" si="16"/>
        <v/>
      </c>
      <c r="C354" s="68" t="str">
        <f>IF(MakeSchedule!AB354=0,"",MakeSchedule!AB354)</f>
        <v/>
      </c>
      <c r="D354" s="69" t="str">
        <f>IF(MakeSchedule!AC354=0,"",MakeSchedule!AC354)</f>
        <v/>
      </c>
      <c r="E354" s="69" t="str">
        <f>IF(MakeSchedule!AD354=0,"",MakeSchedule!AD354)</f>
        <v/>
      </c>
      <c r="F354" s="73" t="str">
        <f>IF(MakeSchedule!AD354=0,"",MakeSchedule!AC354/MakeSchedule!AD354)</f>
        <v/>
      </c>
      <c r="G354" s="73" t="str">
        <f t="shared" si="17"/>
        <v/>
      </c>
      <c r="H354" s="73" t="str">
        <f t="shared" si="18"/>
        <v/>
      </c>
      <c r="I354" s="69" t="str">
        <f>IF(MakeSchedule!AF354=0,"",MakeSchedule!AF354)</f>
        <v/>
      </c>
      <c r="J354" s="69" t="str">
        <f>IF(I354="","",IF(MakeSchedule!AG354=0,0,MakeSchedule!AG354))</f>
        <v/>
      </c>
      <c r="K354" s="39"/>
      <c r="L354" s="39"/>
      <c r="M354" s="39"/>
      <c r="N354" s="39"/>
      <c r="O354" s="39"/>
      <c r="P354" s="39"/>
      <c r="Q354" s="39"/>
      <c r="R354" s="39"/>
      <c r="S354" s="39"/>
      <c r="T354" s="39"/>
      <c r="U354" s="39"/>
      <c r="V354" s="39"/>
      <c r="W354" s="39"/>
    </row>
    <row r="355" spans="1:23" x14ac:dyDescent="0.2">
      <c r="A355" s="66"/>
      <c r="B355" s="67" t="str">
        <f t="shared" si="16"/>
        <v/>
      </c>
      <c r="C355" s="68" t="str">
        <f>IF(MakeSchedule!AB355=0,"",MakeSchedule!AB355)</f>
        <v/>
      </c>
      <c r="D355" s="69" t="str">
        <f>IF(MakeSchedule!AC355=0,"",MakeSchedule!AC355)</f>
        <v/>
      </c>
      <c r="E355" s="69" t="str">
        <f>IF(MakeSchedule!AD355=0,"",MakeSchedule!AD355)</f>
        <v/>
      </c>
      <c r="F355" s="73" t="str">
        <f>IF(MakeSchedule!AD355=0,"",MakeSchedule!AC355/MakeSchedule!AD355)</f>
        <v/>
      </c>
      <c r="G355" s="73" t="str">
        <f t="shared" si="17"/>
        <v/>
      </c>
      <c r="H355" s="73" t="str">
        <f t="shared" si="18"/>
        <v/>
      </c>
      <c r="I355" s="69" t="str">
        <f>IF(MakeSchedule!AF355=0,"",MakeSchedule!AF355)</f>
        <v/>
      </c>
      <c r="J355" s="69" t="str">
        <f>IF(I355="","",IF(MakeSchedule!AG355=0,0,MakeSchedule!AG355))</f>
        <v/>
      </c>
      <c r="K355" s="39"/>
      <c r="L355" s="39"/>
      <c r="M355" s="39"/>
      <c r="N355" s="39"/>
      <c r="O355" s="39"/>
      <c r="P355" s="39"/>
      <c r="Q355" s="39"/>
      <c r="R355" s="39"/>
      <c r="S355" s="39"/>
      <c r="T355" s="39"/>
      <c r="U355" s="39"/>
      <c r="V355" s="39"/>
      <c r="W355" s="39"/>
    </row>
    <row r="356" spans="1:23" x14ac:dyDescent="0.2">
      <c r="A356" s="66"/>
      <c r="B356" s="67" t="str">
        <f t="shared" si="16"/>
        <v/>
      </c>
      <c r="C356" s="68" t="str">
        <f>IF(MakeSchedule!AB356=0,"",MakeSchedule!AB356)</f>
        <v/>
      </c>
      <c r="D356" s="69" t="str">
        <f>IF(MakeSchedule!AC356=0,"",MakeSchedule!AC356)</f>
        <v/>
      </c>
      <c r="E356" s="69" t="str">
        <f>IF(MakeSchedule!AD356=0,"",MakeSchedule!AD356)</f>
        <v/>
      </c>
      <c r="F356" s="73" t="str">
        <f>IF(MakeSchedule!AD356=0,"",MakeSchedule!AC356/MakeSchedule!AD356)</f>
        <v/>
      </c>
      <c r="G356" s="73" t="str">
        <f t="shared" si="17"/>
        <v/>
      </c>
      <c r="H356" s="73" t="str">
        <f t="shared" si="18"/>
        <v/>
      </c>
      <c r="I356" s="69" t="str">
        <f>IF(MakeSchedule!AF356=0,"",MakeSchedule!AF356)</f>
        <v/>
      </c>
      <c r="J356" s="69" t="str">
        <f>IF(I356="","",IF(MakeSchedule!AG356=0,0,MakeSchedule!AG356))</f>
        <v/>
      </c>
      <c r="K356" s="39"/>
      <c r="L356" s="39"/>
      <c r="M356" s="39"/>
      <c r="N356" s="39"/>
      <c r="O356" s="39"/>
      <c r="P356" s="39"/>
      <c r="Q356" s="39"/>
      <c r="R356" s="39"/>
      <c r="S356" s="39"/>
      <c r="T356" s="39"/>
      <c r="U356" s="39"/>
      <c r="V356" s="39"/>
      <c r="W356" s="39"/>
    </row>
    <row r="357" spans="1:23" x14ac:dyDescent="0.2">
      <c r="A357" s="66"/>
      <c r="B357" s="67" t="str">
        <f t="shared" si="16"/>
        <v/>
      </c>
      <c r="C357" s="68" t="str">
        <f>IF(MakeSchedule!AB357=0,"",MakeSchedule!AB357)</f>
        <v/>
      </c>
      <c r="D357" s="69" t="str">
        <f>IF(MakeSchedule!AC357=0,"",MakeSchedule!AC357)</f>
        <v/>
      </c>
      <c r="E357" s="69" t="str">
        <f>IF(MakeSchedule!AD357=0,"",MakeSchedule!AD357)</f>
        <v/>
      </c>
      <c r="F357" s="73" t="str">
        <f>IF(MakeSchedule!AD357=0,"",MakeSchedule!AC357/MakeSchedule!AD357)</f>
        <v/>
      </c>
      <c r="G357" s="73" t="str">
        <f t="shared" si="17"/>
        <v/>
      </c>
      <c r="H357" s="73" t="str">
        <f t="shared" si="18"/>
        <v/>
      </c>
      <c r="I357" s="69" t="str">
        <f>IF(MakeSchedule!AF357=0,"",MakeSchedule!AF357)</f>
        <v/>
      </c>
      <c r="J357" s="69" t="str">
        <f>IF(I357="","",IF(MakeSchedule!AG357=0,0,MakeSchedule!AG357))</f>
        <v/>
      </c>
      <c r="K357" s="39"/>
      <c r="L357" s="39"/>
      <c r="M357" s="39"/>
      <c r="N357" s="39"/>
      <c r="O357" s="39"/>
      <c r="P357" s="39"/>
      <c r="Q357" s="39"/>
      <c r="R357" s="39"/>
      <c r="S357" s="39"/>
      <c r="T357" s="39"/>
      <c r="U357" s="39"/>
      <c r="V357" s="39"/>
      <c r="W357" s="39"/>
    </row>
    <row r="358" spans="1:23" x14ac:dyDescent="0.2">
      <c r="A358" s="66"/>
      <c r="B358" s="67" t="str">
        <f t="shared" si="16"/>
        <v/>
      </c>
      <c r="C358" s="68" t="str">
        <f>IF(MakeSchedule!AB358=0,"",MakeSchedule!AB358)</f>
        <v/>
      </c>
      <c r="D358" s="69" t="str">
        <f>IF(MakeSchedule!AC358=0,"",MakeSchedule!AC358)</f>
        <v/>
      </c>
      <c r="E358" s="69" t="str">
        <f>IF(MakeSchedule!AD358=0,"",MakeSchedule!AD358)</f>
        <v/>
      </c>
      <c r="F358" s="73" t="str">
        <f>IF(MakeSchedule!AD358=0,"",MakeSchedule!AC358/MakeSchedule!AD358)</f>
        <v/>
      </c>
      <c r="G358" s="73" t="str">
        <f t="shared" si="17"/>
        <v/>
      </c>
      <c r="H358" s="73" t="str">
        <f t="shared" si="18"/>
        <v/>
      </c>
      <c r="I358" s="69" t="str">
        <f>IF(MakeSchedule!AF358=0,"",MakeSchedule!AF358)</f>
        <v/>
      </c>
      <c r="J358" s="69" t="str">
        <f>IF(I358="","",IF(MakeSchedule!AG358=0,0,MakeSchedule!AG358))</f>
        <v/>
      </c>
      <c r="K358" s="39"/>
      <c r="L358" s="39"/>
      <c r="M358" s="39"/>
      <c r="N358" s="39"/>
      <c r="O358" s="39"/>
      <c r="P358" s="39"/>
      <c r="Q358" s="39"/>
      <c r="R358" s="39"/>
      <c r="S358" s="39"/>
      <c r="T358" s="39"/>
      <c r="U358" s="39"/>
      <c r="V358" s="39"/>
      <c r="W358" s="39"/>
    </row>
    <row r="359" spans="1:23" x14ac:dyDescent="0.2">
      <c r="A359" s="66"/>
      <c r="B359" s="67" t="str">
        <f t="shared" si="16"/>
        <v/>
      </c>
      <c r="C359" s="68" t="str">
        <f>IF(MakeSchedule!AB359=0,"",MakeSchedule!AB359)</f>
        <v/>
      </c>
      <c r="D359" s="69" t="str">
        <f>IF(MakeSchedule!AC359=0,"",MakeSchedule!AC359)</f>
        <v/>
      </c>
      <c r="E359" s="69" t="str">
        <f>IF(MakeSchedule!AD359=0,"",MakeSchedule!AD359)</f>
        <v/>
      </c>
      <c r="F359" s="73" t="str">
        <f>IF(MakeSchedule!AD359=0,"",MakeSchedule!AC359/MakeSchedule!AD359)</f>
        <v/>
      </c>
      <c r="G359" s="73" t="str">
        <f t="shared" si="17"/>
        <v/>
      </c>
      <c r="H359" s="73" t="str">
        <f t="shared" si="18"/>
        <v/>
      </c>
      <c r="I359" s="69" t="str">
        <f>IF(MakeSchedule!AF359=0,"",MakeSchedule!AF359)</f>
        <v/>
      </c>
      <c r="J359" s="69" t="str">
        <f>IF(I359="","",IF(MakeSchedule!AG359=0,0,MakeSchedule!AG359))</f>
        <v/>
      </c>
      <c r="K359" s="39"/>
      <c r="L359" s="39"/>
      <c r="M359" s="39"/>
      <c r="N359" s="39"/>
      <c r="O359" s="39"/>
      <c r="P359" s="39"/>
      <c r="Q359" s="39"/>
      <c r="R359" s="39"/>
      <c r="S359" s="39"/>
      <c r="T359" s="39"/>
      <c r="U359" s="39"/>
      <c r="V359" s="39"/>
      <c r="W359" s="39"/>
    </row>
    <row r="360" spans="1:23" x14ac:dyDescent="0.2">
      <c r="A360" s="66"/>
      <c r="B360" s="67" t="str">
        <f t="shared" si="16"/>
        <v/>
      </c>
      <c r="C360" s="68" t="str">
        <f>IF(MakeSchedule!AB360=0,"",MakeSchedule!AB360)</f>
        <v/>
      </c>
      <c r="D360" s="69" t="str">
        <f>IF(MakeSchedule!AC360=0,"",MakeSchedule!AC360)</f>
        <v/>
      </c>
      <c r="E360" s="69" t="str">
        <f>IF(MakeSchedule!AD360=0,"",MakeSchedule!AD360)</f>
        <v/>
      </c>
      <c r="F360" s="73" t="str">
        <f>IF(MakeSchedule!AD360=0,"",MakeSchedule!AC360/MakeSchedule!AD360)</f>
        <v/>
      </c>
      <c r="G360" s="73" t="str">
        <f t="shared" si="17"/>
        <v/>
      </c>
      <c r="H360" s="73" t="str">
        <f t="shared" si="18"/>
        <v/>
      </c>
      <c r="I360" s="69" t="str">
        <f>IF(MakeSchedule!AF360=0,"",MakeSchedule!AF360)</f>
        <v/>
      </c>
      <c r="J360" s="69" t="str">
        <f>IF(I360="","",IF(MakeSchedule!AG360=0,0,MakeSchedule!AG360))</f>
        <v/>
      </c>
      <c r="K360" s="39"/>
      <c r="L360" s="39"/>
      <c r="M360" s="39"/>
      <c r="N360" s="39"/>
      <c r="O360" s="39"/>
      <c r="P360" s="39"/>
      <c r="Q360" s="39"/>
      <c r="R360" s="39"/>
      <c r="S360" s="39"/>
      <c r="T360" s="39"/>
      <c r="U360" s="39"/>
      <c r="V360" s="39"/>
      <c r="W360" s="39"/>
    </row>
    <row r="361" spans="1:23" x14ac:dyDescent="0.2">
      <c r="A361" s="66"/>
      <c r="B361" s="67" t="str">
        <f t="shared" si="16"/>
        <v/>
      </c>
      <c r="C361" s="68" t="str">
        <f>IF(MakeSchedule!AB361=0,"",MakeSchedule!AB361)</f>
        <v/>
      </c>
      <c r="D361" s="69" t="str">
        <f>IF(MakeSchedule!AC361=0,"",MakeSchedule!AC361)</f>
        <v/>
      </c>
      <c r="E361" s="69" t="str">
        <f>IF(MakeSchedule!AD361=0,"",MakeSchedule!AD361)</f>
        <v/>
      </c>
      <c r="F361" s="73" t="str">
        <f>IF(MakeSchedule!AD361=0,"",MakeSchedule!AC361/MakeSchedule!AD361)</f>
        <v/>
      </c>
      <c r="G361" s="73" t="str">
        <f t="shared" si="17"/>
        <v/>
      </c>
      <c r="H361" s="73" t="str">
        <f t="shared" si="18"/>
        <v/>
      </c>
      <c r="I361" s="69" t="str">
        <f>IF(MakeSchedule!AF361=0,"",MakeSchedule!AF361)</f>
        <v/>
      </c>
      <c r="J361" s="69" t="str">
        <f>IF(I361="","",IF(MakeSchedule!AG361=0,0,MakeSchedule!AG361))</f>
        <v/>
      </c>
      <c r="K361" s="39"/>
      <c r="L361" s="39"/>
      <c r="M361" s="39"/>
      <c r="N361" s="39"/>
      <c r="O361" s="39"/>
      <c r="P361" s="39"/>
      <c r="Q361" s="39"/>
      <c r="R361" s="39"/>
      <c r="S361" s="39"/>
      <c r="T361" s="39"/>
      <c r="U361" s="39"/>
      <c r="V361" s="39"/>
      <c r="W361" s="39"/>
    </row>
    <row r="362" spans="1:23" x14ac:dyDescent="0.2">
      <c r="A362" s="66"/>
      <c r="B362" s="67" t="str">
        <f t="shared" si="16"/>
        <v/>
      </c>
      <c r="C362" s="68" t="str">
        <f>IF(MakeSchedule!AB362=0,"",MakeSchedule!AB362)</f>
        <v/>
      </c>
      <c r="D362" s="69" t="str">
        <f>IF(MakeSchedule!AC362=0,"",MakeSchedule!AC362)</f>
        <v/>
      </c>
      <c r="E362" s="69" t="str">
        <f>IF(MakeSchedule!AD362=0,"",MakeSchedule!AD362)</f>
        <v/>
      </c>
      <c r="F362" s="73" t="str">
        <f>IF(MakeSchedule!AD362=0,"",MakeSchedule!AC362/MakeSchedule!AD362)</f>
        <v/>
      </c>
      <c r="G362" s="73" t="str">
        <f t="shared" si="17"/>
        <v/>
      </c>
      <c r="H362" s="73" t="str">
        <f t="shared" si="18"/>
        <v/>
      </c>
      <c r="I362" s="69" t="str">
        <f>IF(MakeSchedule!AF362=0,"",MakeSchedule!AF362)</f>
        <v/>
      </c>
      <c r="J362" s="69" t="str">
        <f>IF(I362="","",IF(MakeSchedule!AG362=0,0,MakeSchedule!AG362))</f>
        <v/>
      </c>
      <c r="K362" s="39"/>
      <c r="L362" s="39"/>
      <c r="M362" s="39"/>
      <c r="N362" s="39"/>
      <c r="O362" s="39"/>
      <c r="P362" s="39"/>
      <c r="Q362" s="39"/>
      <c r="R362" s="39"/>
      <c r="S362" s="39"/>
      <c r="T362" s="39"/>
      <c r="U362" s="39"/>
      <c r="V362" s="39"/>
      <c r="W362" s="39"/>
    </row>
    <row r="363" spans="1:23" x14ac:dyDescent="0.2">
      <c r="A363" s="66"/>
      <c r="B363" s="67" t="str">
        <f t="shared" si="16"/>
        <v/>
      </c>
      <c r="C363" s="68" t="str">
        <f>IF(MakeSchedule!AB363=0,"",MakeSchedule!AB363)</f>
        <v/>
      </c>
      <c r="D363" s="69" t="str">
        <f>IF(MakeSchedule!AC363=0,"",MakeSchedule!AC363)</f>
        <v/>
      </c>
      <c r="E363" s="69" t="str">
        <f>IF(MakeSchedule!AD363=0,"",MakeSchedule!AD363)</f>
        <v/>
      </c>
      <c r="F363" s="73" t="str">
        <f>IF(MakeSchedule!AD363=0,"",MakeSchedule!AC363/MakeSchedule!AD363)</f>
        <v/>
      </c>
      <c r="G363" s="73" t="str">
        <f t="shared" si="17"/>
        <v/>
      </c>
      <c r="H363" s="73" t="str">
        <f t="shared" si="18"/>
        <v/>
      </c>
      <c r="I363" s="69" t="str">
        <f>IF(MakeSchedule!AF363=0,"",MakeSchedule!AF363)</f>
        <v/>
      </c>
      <c r="J363" s="69" t="str">
        <f>IF(I363="","",IF(MakeSchedule!AG363=0,0,MakeSchedule!AG363))</f>
        <v/>
      </c>
      <c r="K363" s="39"/>
      <c r="L363" s="39"/>
      <c r="M363" s="39"/>
      <c r="N363" s="39"/>
      <c r="O363" s="39"/>
      <c r="P363" s="39"/>
      <c r="Q363" s="39"/>
      <c r="R363" s="39"/>
      <c r="S363" s="39"/>
      <c r="T363" s="39"/>
      <c r="U363" s="39"/>
      <c r="V363" s="39"/>
      <c r="W363" s="39"/>
    </row>
    <row r="364" spans="1:23" x14ac:dyDescent="0.2">
      <c r="A364" s="66"/>
      <c r="B364" s="67" t="str">
        <f t="shared" si="16"/>
        <v/>
      </c>
      <c r="C364" s="68" t="str">
        <f>IF(MakeSchedule!AB364=0,"",MakeSchedule!AB364)</f>
        <v/>
      </c>
      <c r="D364" s="69" t="str">
        <f>IF(MakeSchedule!AC364=0,"",MakeSchedule!AC364)</f>
        <v/>
      </c>
      <c r="E364" s="69" t="str">
        <f>IF(MakeSchedule!AD364=0,"",MakeSchedule!AD364)</f>
        <v/>
      </c>
      <c r="F364" s="73" t="str">
        <f>IF(MakeSchedule!AD364=0,"",MakeSchedule!AC364/MakeSchedule!AD364)</f>
        <v/>
      </c>
      <c r="G364" s="73" t="str">
        <f t="shared" si="17"/>
        <v/>
      </c>
      <c r="H364" s="73" t="str">
        <f t="shared" si="18"/>
        <v/>
      </c>
      <c r="I364" s="69" t="str">
        <f>IF(MakeSchedule!AF364=0,"",MakeSchedule!AF364)</f>
        <v/>
      </c>
      <c r="J364" s="69" t="str">
        <f>IF(I364="","",IF(MakeSchedule!AG364=0,0,MakeSchedule!AG364))</f>
        <v/>
      </c>
      <c r="K364" s="39"/>
      <c r="L364" s="39"/>
      <c r="M364" s="39"/>
      <c r="N364" s="39"/>
      <c r="O364" s="39"/>
      <c r="P364" s="39"/>
      <c r="Q364" s="39"/>
      <c r="R364" s="39"/>
      <c r="S364" s="39"/>
      <c r="T364" s="39"/>
      <c r="U364" s="39"/>
      <c r="V364" s="39"/>
      <c r="W364" s="39"/>
    </row>
    <row r="365" spans="1:23" x14ac:dyDescent="0.2">
      <c r="A365" s="66"/>
      <c r="B365" s="67" t="str">
        <f t="shared" ref="B365:B380" si="19">IF(C365="","",B364+1)</f>
        <v/>
      </c>
      <c r="C365" s="68" t="str">
        <f>IF(MakeSchedule!AB365=0,"",MakeSchedule!AB365)</f>
        <v/>
      </c>
      <c r="D365" s="69" t="str">
        <f>IF(MakeSchedule!AC365=0,"",MakeSchedule!AC365)</f>
        <v/>
      </c>
      <c r="E365" s="69" t="str">
        <f>IF(MakeSchedule!AD365=0,"",MakeSchedule!AD365)</f>
        <v/>
      </c>
      <c r="F365" s="73" t="str">
        <f>IF(MakeSchedule!AD365=0,"",MakeSchedule!AC365/MakeSchedule!AD365)</f>
        <v/>
      </c>
      <c r="G365" s="73" t="str">
        <f t="shared" si="17"/>
        <v/>
      </c>
      <c r="H365" s="73" t="str">
        <f t="shared" si="18"/>
        <v/>
      </c>
      <c r="I365" s="69" t="str">
        <f>IF(MakeSchedule!AF365=0,"",MakeSchedule!AF365)</f>
        <v/>
      </c>
      <c r="J365" s="69" t="str">
        <f>IF(I365="","",IF(MakeSchedule!AG365=0,0,MakeSchedule!AG365))</f>
        <v/>
      </c>
      <c r="K365" s="39"/>
      <c r="L365" s="39"/>
      <c r="M365" s="39"/>
      <c r="N365" s="39"/>
      <c r="O365" s="39"/>
      <c r="P365" s="39"/>
      <c r="Q365" s="39"/>
      <c r="R365" s="39"/>
      <c r="S365" s="39"/>
      <c r="T365" s="39"/>
      <c r="U365" s="39"/>
      <c r="V365" s="39"/>
      <c r="W365" s="39"/>
    </row>
    <row r="366" spans="1:23" x14ac:dyDescent="0.2">
      <c r="A366" s="66"/>
      <c r="B366" s="67" t="str">
        <f t="shared" si="19"/>
        <v/>
      </c>
      <c r="C366" s="68" t="str">
        <f>IF(MakeSchedule!AB366=0,"",MakeSchedule!AB366)</f>
        <v/>
      </c>
      <c r="D366" s="69" t="str">
        <f>IF(MakeSchedule!AC366=0,"",MakeSchedule!AC366)</f>
        <v/>
      </c>
      <c r="E366" s="69" t="str">
        <f>IF(MakeSchedule!AD366=0,"",MakeSchedule!AD366)</f>
        <v/>
      </c>
      <c r="F366" s="73" t="str">
        <f>IF(MakeSchedule!AD366=0,"",MakeSchedule!AC366/MakeSchedule!AD366)</f>
        <v/>
      </c>
      <c r="G366" s="73" t="str">
        <f t="shared" si="17"/>
        <v/>
      </c>
      <c r="H366" s="73" t="str">
        <f t="shared" si="18"/>
        <v/>
      </c>
      <c r="I366" s="69" t="str">
        <f>IF(MakeSchedule!AF366=0,"",MakeSchedule!AF366)</f>
        <v/>
      </c>
      <c r="J366" s="69" t="str">
        <f>IF(I366="","",IF(MakeSchedule!AG366=0,0,MakeSchedule!AG366))</f>
        <v/>
      </c>
      <c r="K366" s="39"/>
      <c r="L366" s="39"/>
      <c r="M366" s="39"/>
      <c r="N366" s="39"/>
      <c r="O366" s="39"/>
      <c r="P366" s="39"/>
      <c r="Q366" s="39"/>
      <c r="R366" s="39"/>
      <c r="S366" s="39"/>
      <c r="T366" s="39"/>
      <c r="U366" s="39"/>
      <c r="V366" s="39"/>
      <c r="W366" s="39"/>
    </row>
    <row r="367" spans="1:23" x14ac:dyDescent="0.2">
      <c r="A367" s="66"/>
      <c r="B367" s="67" t="str">
        <f t="shared" si="19"/>
        <v/>
      </c>
      <c r="C367" s="68" t="str">
        <f>IF(MakeSchedule!AB367=0,"",MakeSchedule!AB367)</f>
        <v/>
      </c>
      <c r="D367" s="69" t="str">
        <f>IF(MakeSchedule!AC367=0,"",MakeSchedule!AC367)</f>
        <v/>
      </c>
      <c r="E367" s="69" t="str">
        <f>IF(MakeSchedule!AD367=0,"",MakeSchedule!AD367)</f>
        <v/>
      </c>
      <c r="F367" s="73" t="str">
        <f>IF(MakeSchedule!AD367=0,"",MakeSchedule!AC367/MakeSchedule!AD367)</f>
        <v/>
      </c>
      <c r="G367" s="73" t="str">
        <f t="shared" si="17"/>
        <v/>
      </c>
      <c r="H367" s="73" t="str">
        <f t="shared" si="18"/>
        <v/>
      </c>
      <c r="I367" s="69" t="str">
        <f>IF(MakeSchedule!AF367=0,"",MakeSchedule!AF367)</f>
        <v/>
      </c>
      <c r="J367" s="69" t="str">
        <f>IF(I367="","",IF(MakeSchedule!AG367=0,0,MakeSchedule!AG367))</f>
        <v/>
      </c>
      <c r="K367" s="39"/>
      <c r="L367" s="39"/>
      <c r="M367" s="39"/>
      <c r="N367" s="39"/>
      <c r="O367" s="39"/>
      <c r="P367" s="39"/>
      <c r="Q367" s="39"/>
      <c r="R367" s="39"/>
      <c r="S367" s="39"/>
      <c r="T367" s="39"/>
      <c r="U367" s="39"/>
      <c r="V367" s="39"/>
      <c r="W367" s="39"/>
    </row>
    <row r="368" spans="1:23" x14ac:dyDescent="0.2">
      <c r="A368" s="66"/>
      <c r="B368" s="67" t="str">
        <f t="shared" si="19"/>
        <v/>
      </c>
      <c r="C368" s="68" t="str">
        <f>IF(MakeSchedule!AB368=0,"",MakeSchedule!AB368)</f>
        <v/>
      </c>
      <c r="D368" s="69" t="str">
        <f>IF(MakeSchedule!AC368=0,"",MakeSchedule!AC368)</f>
        <v/>
      </c>
      <c r="E368" s="69" t="str">
        <f>IF(MakeSchedule!AD368=0,"",MakeSchedule!AD368)</f>
        <v/>
      </c>
      <c r="F368" s="73" t="str">
        <f>IF(MakeSchedule!AD368=0,"",MakeSchedule!AC368/MakeSchedule!AD368)</f>
        <v/>
      </c>
      <c r="G368" s="73" t="str">
        <f t="shared" si="17"/>
        <v/>
      </c>
      <c r="H368" s="73" t="str">
        <f t="shared" si="18"/>
        <v/>
      </c>
      <c r="I368" s="69" t="str">
        <f>IF(MakeSchedule!AF368=0,"",MakeSchedule!AF368)</f>
        <v/>
      </c>
      <c r="J368" s="69" t="str">
        <f>IF(I368="","",IF(MakeSchedule!AG368=0,0,MakeSchedule!AG368))</f>
        <v/>
      </c>
      <c r="K368" s="39"/>
      <c r="L368" s="39"/>
      <c r="M368" s="39"/>
      <c r="N368" s="39"/>
      <c r="O368" s="39"/>
      <c r="P368" s="39"/>
      <c r="Q368" s="39"/>
      <c r="R368" s="39"/>
      <c r="S368" s="39"/>
      <c r="T368" s="39"/>
      <c r="U368" s="39"/>
      <c r="V368" s="39"/>
      <c r="W368" s="39"/>
    </row>
    <row r="369" spans="1:23" x14ac:dyDescent="0.2">
      <c r="A369" s="66"/>
      <c r="B369" s="67" t="str">
        <f t="shared" si="19"/>
        <v/>
      </c>
      <c r="C369" s="68" t="str">
        <f>IF(MakeSchedule!AB369=0,"",MakeSchedule!AB369)</f>
        <v/>
      </c>
      <c r="D369" s="69" t="str">
        <f>IF(MakeSchedule!AC369=0,"",MakeSchedule!AC369)</f>
        <v/>
      </c>
      <c r="E369" s="69" t="str">
        <f>IF(MakeSchedule!AD369=0,"",MakeSchedule!AD369)</f>
        <v/>
      </c>
      <c r="F369" s="73" t="str">
        <f>IF(MakeSchedule!AD369=0,"",MakeSchedule!AC369/MakeSchedule!AD369)</f>
        <v/>
      </c>
      <c r="G369" s="73" t="str">
        <f t="shared" si="17"/>
        <v/>
      </c>
      <c r="H369" s="73" t="str">
        <f t="shared" si="18"/>
        <v/>
      </c>
      <c r="I369" s="69" t="str">
        <f>IF(MakeSchedule!AF369=0,"",MakeSchedule!AF369)</f>
        <v/>
      </c>
      <c r="J369" s="69" t="str">
        <f>IF(I369="","",IF(MakeSchedule!AG369=0,0,MakeSchedule!AG369))</f>
        <v/>
      </c>
      <c r="K369" s="39"/>
      <c r="L369" s="39"/>
      <c r="M369" s="39"/>
      <c r="N369" s="39"/>
      <c r="O369" s="39"/>
      <c r="P369" s="39"/>
      <c r="Q369" s="39"/>
      <c r="R369" s="39"/>
      <c r="S369" s="39"/>
      <c r="T369" s="39"/>
      <c r="U369" s="39"/>
      <c r="V369" s="39"/>
      <c r="W369" s="39"/>
    </row>
    <row r="370" spans="1:23" x14ac:dyDescent="0.2">
      <c r="A370" s="66"/>
      <c r="B370" s="67" t="str">
        <f t="shared" si="19"/>
        <v/>
      </c>
      <c r="C370" s="68" t="str">
        <f>IF(MakeSchedule!AB370=0,"",MakeSchedule!AB370)</f>
        <v/>
      </c>
      <c r="D370" s="69" t="str">
        <f>IF(MakeSchedule!AC370=0,"",MakeSchedule!AC370)</f>
        <v/>
      </c>
      <c r="E370" s="69" t="str">
        <f>IF(MakeSchedule!AD370=0,"",MakeSchedule!AD370)</f>
        <v/>
      </c>
      <c r="F370" s="73" t="str">
        <f>IF(MakeSchedule!AD370=0,"",MakeSchedule!AC370/MakeSchedule!AD370)</f>
        <v/>
      </c>
      <c r="G370" s="73" t="str">
        <f t="shared" si="17"/>
        <v/>
      </c>
      <c r="H370" s="73" t="str">
        <f t="shared" si="18"/>
        <v/>
      </c>
      <c r="I370" s="69" t="str">
        <f>IF(MakeSchedule!AF370=0,"",MakeSchedule!AF370)</f>
        <v/>
      </c>
      <c r="J370" s="69" t="str">
        <f>IF(I370="","",IF(MakeSchedule!AG370=0,0,MakeSchedule!AG370))</f>
        <v/>
      </c>
      <c r="K370" s="39"/>
      <c r="L370" s="39"/>
      <c r="M370" s="39"/>
      <c r="N370" s="39"/>
      <c r="O370" s="39"/>
      <c r="P370" s="39"/>
      <c r="Q370" s="39"/>
      <c r="R370" s="39"/>
      <c r="S370" s="39"/>
      <c r="T370" s="39"/>
      <c r="U370" s="39"/>
      <c r="V370" s="39"/>
      <c r="W370" s="39"/>
    </row>
    <row r="371" spans="1:23" x14ac:dyDescent="0.2">
      <c r="A371" s="66"/>
      <c r="B371" s="67" t="str">
        <f t="shared" si="19"/>
        <v/>
      </c>
      <c r="C371" s="68" t="str">
        <f>IF(MakeSchedule!AB371=0,"",MakeSchedule!AB371)</f>
        <v/>
      </c>
      <c r="D371" s="69" t="str">
        <f>IF(MakeSchedule!AC371=0,"",MakeSchedule!AC371)</f>
        <v/>
      </c>
      <c r="E371" s="69" t="str">
        <f>IF(MakeSchedule!AD371=0,"",MakeSchedule!AD371)</f>
        <v/>
      </c>
      <c r="F371" s="73" t="str">
        <f>IF(MakeSchedule!AD371=0,"",MakeSchedule!AC371/MakeSchedule!AD371)</f>
        <v/>
      </c>
      <c r="G371" s="73" t="str">
        <f t="shared" si="17"/>
        <v/>
      </c>
      <c r="H371" s="73" t="str">
        <f t="shared" si="18"/>
        <v/>
      </c>
      <c r="I371" s="69" t="str">
        <f>IF(MakeSchedule!AF371=0,"",MakeSchedule!AF371)</f>
        <v/>
      </c>
      <c r="J371" s="69" t="str">
        <f>IF(I371="","",IF(MakeSchedule!AG371=0,0,MakeSchedule!AG371))</f>
        <v/>
      </c>
      <c r="K371" s="39"/>
      <c r="L371" s="39"/>
      <c r="M371" s="39"/>
      <c r="N371" s="39"/>
      <c r="O371" s="39"/>
      <c r="P371" s="39"/>
      <c r="Q371" s="39"/>
      <c r="R371" s="39"/>
      <c r="S371" s="39"/>
      <c r="T371" s="39"/>
      <c r="U371" s="39"/>
      <c r="V371" s="39"/>
      <c r="W371" s="39"/>
    </row>
    <row r="372" spans="1:23" x14ac:dyDescent="0.2">
      <c r="A372" s="66"/>
      <c r="B372" s="67" t="str">
        <f t="shared" si="19"/>
        <v/>
      </c>
      <c r="C372" s="68" t="str">
        <f>IF(MakeSchedule!AB372=0,"",MakeSchedule!AB372)</f>
        <v/>
      </c>
      <c r="D372" s="69" t="str">
        <f>IF(MakeSchedule!AC372=0,"",MakeSchedule!AC372)</f>
        <v/>
      </c>
      <c r="E372" s="69" t="str">
        <f>IF(MakeSchedule!AD372=0,"",MakeSchedule!AD372)</f>
        <v/>
      </c>
      <c r="F372" s="73" t="str">
        <f>IF(MakeSchedule!AD372=0,"",MakeSchedule!AC372/MakeSchedule!AD372)</f>
        <v/>
      </c>
      <c r="G372" s="73" t="str">
        <f t="shared" si="17"/>
        <v/>
      </c>
      <c r="H372" s="73" t="str">
        <f t="shared" si="18"/>
        <v/>
      </c>
      <c r="I372" s="69" t="str">
        <f>IF(MakeSchedule!AF372=0,"",MakeSchedule!AF372)</f>
        <v/>
      </c>
      <c r="J372" s="69" t="str">
        <f>IF(I372="","",IF(MakeSchedule!AG372=0,0,MakeSchedule!AG372))</f>
        <v/>
      </c>
      <c r="K372" s="39"/>
      <c r="L372" s="39"/>
      <c r="M372" s="39"/>
      <c r="N372" s="39"/>
      <c r="O372" s="39"/>
      <c r="P372" s="39"/>
      <c r="Q372" s="39"/>
      <c r="R372" s="39"/>
      <c r="S372" s="39"/>
      <c r="T372" s="39"/>
      <c r="U372" s="39"/>
      <c r="V372" s="39"/>
      <c r="W372" s="39"/>
    </row>
    <row r="373" spans="1:23" x14ac:dyDescent="0.2">
      <c r="A373" s="66"/>
      <c r="B373" s="67" t="str">
        <f t="shared" si="19"/>
        <v/>
      </c>
      <c r="C373" s="68" t="str">
        <f>IF(MakeSchedule!AB373=0,"",MakeSchedule!AB373)</f>
        <v/>
      </c>
      <c r="D373" s="69" t="str">
        <f>IF(MakeSchedule!AC373=0,"",MakeSchedule!AC373)</f>
        <v/>
      </c>
      <c r="E373" s="69" t="str">
        <f>IF(MakeSchedule!AD373=0,"",MakeSchedule!AD373)</f>
        <v/>
      </c>
      <c r="F373" s="73" t="str">
        <f>IF(MakeSchedule!AD373=0,"",MakeSchedule!AC373/MakeSchedule!AD373)</f>
        <v/>
      </c>
      <c r="G373" s="73" t="str">
        <f t="shared" si="17"/>
        <v/>
      </c>
      <c r="H373" s="73" t="str">
        <f t="shared" si="18"/>
        <v/>
      </c>
      <c r="I373" s="69" t="str">
        <f>IF(MakeSchedule!AF373=0,"",MakeSchedule!AF373)</f>
        <v/>
      </c>
      <c r="J373" s="69" t="str">
        <f>IF(I373="","",IF(MakeSchedule!AG373=0,0,MakeSchedule!AG373))</f>
        <v/>
      </c>
      <c r="K373" s="39"/>
      <c r="L373" s="39"/>
      <c r="M373" s="39"/>
      <c r="N373" s="39"/>
      <c r="O373" s="39"/>
      <c r="P373" s="39"/>
      <c r="Q373" s="39"/>
      <c r="R373" s="39"/>
      <c r="S373" s="39"/>
      <c r="T373" s="39"/>
      <c r="U373" s="39"/>
      <c r="V373" s="39"/>
      <c r="W373" s="39"/>
    </row>
    <row r="374" spans="1:23" x14ac:dyDescent="0.2">
      <c r="A374" s="66"/>
      <c r="B374" s="67" t="str">
        <f t="shared" si="19"/>
        <v/>
      </c>
      <c r="C374" s="68" t="str">
        <f>IF(MakeSchedule!AB374=0,"",MakeSchedule!AB374)</f>
        <v/>
      </c>
      <c r="D374" s="69" t="str">
        <f>IF(MakeSchedule!AC374=0,"",MakeSchedule!AC374)</f>
        <v/>
      </c>
      <c r="E374" s="69" t="str">
        <f>IF(MakeSchedule!AD374=0,"",MakeSchedule!AD374)</f>
        <v/>
      </c>
      <c r="F374" s="73" t="str">
        <f>IF(MakeSchedule!AD374=0,"",MakeSchedule!AC374/MakeSchedule!AD374)</f>
        <v/>
      </c>
      <c r="G374" s="73" t="str">
        <f t="shared" si="17"/>
        <v/>
      </c>
      <c r="H374" s="73" t="str">
        <f t="shared" si="18"/>
        <v/>
      </c>
      <c r="I374" s="69" t="str">
        <f>IF(MakeSchedule!AF374=0,"",MakeSchedule!AF374)</f>
        <v/>
      </c>
      <c r="J374" s="69" t="str">
        <f>IF(I374="","",IF(MakeSchedule!AG374=0,0,MakeSchedule!AG374))</f>
        <v/>
      </c>
      <c r="K374" s="39"/>
      <c r="L374" s="39"/>
      <c r="M374" s="39"/>
      <c r="N374" s="39"/>
      <c r="O374" s="39"/>
      <c r="P374" s="39"/>
      <c r="Q374" s="39"/>
      <c r="R374" s="39"/>
      <c r="S374" s="39"/>
      <c r="T374" s="39"/>
      <c r="U374" s="39"/>
      <c r="V374" s="39"/>
      <c r="W374" s="39"/>
    </row>
    <row r="375" spans="1:23" x14ac:dyDescent="0.2">
      <c r="A375" s="66"/>
      <c r="B375" s="67" t="str">
        <f t="shared" si="19"/>
        <v/>
      </c>
      <c r="C375" s="68" t="str">
        <f>IF(MakeSchedule!AB375=0,"",MakeSchedule!AB375)</f>
        <v/>
      </c>
      <c r="D375" s="69" t="str">
        <f>IF(MakeSchedule!AC375=0,"",MakeSchedule!AC375)</f>
        <v/>
      </c>
      <c r="E375" s="69" t="str">
        <f>IF(MakeSchedule!AD375=0,"",MakeSchedule!AD375)</f>
        <v/>
      </c>
      <c r="F375" s="73" t="str">
        <f>IF(MakeSchedule!AD375=0,"",MakeSchedule!AC375/MakeSchedule!AD375)</f>
        <v/>
      </c>
      <c r="G375" s="73" t="str">
        <f t="shared" si="17"/>
        <v/>
      </c>
      <c r="H375" s="73" t="str">
        <f t="shared" si="18"/>
        <v/>
      </c>
      <c r="I375" s="69" t="str">
        <f>IF(MakeSchedule!AF375=0,"",MakeSchedule!AF375)</f>
        <v/>
      </c>
      <c r="J375" s="69" t="str">
        <f>IF(I375="","",IF(MakeSchedule!AG375=0,0,MakeSchedule!AG375))</f>
        <v/>
      </c>
      <c r="K375" s="39"/>
      <c r="L375" s="39"/>
      <c r="M375" s="39"/>
      <c r="N375" s="39"/>
      <c r="O375" s="39"/>
      <c r="P375" s="39"/>
      <c r="Q375" s="39"/>
      <c r="R375" s="39"/>
      <c r="S375" s="39"/>
      <c r="T375" s="39"/>
      <c r="U375" s="39"/>
      <c r="V375" s="39"/>
      <c r="W375" s="39"/>
    </row>
    <row r="376" spans="1:23" x14ac:dyDescent="0.2">
      <c r="A376" s="66"/>
      <c r="B376" s="67" t="str">
        <f t="shared" si="19"/>
        <v/>
      </c>
      <c r="C376" s="68" t="str">
        <f>IF(MakeSchedule!AB376=0,"",MakeSchedule!AB376)</f>
        <v/>
      </c>
      <c r="D376" s="69" t="str">
        <f>IF(MakeSchedule!AC376=0,"",MakeSchedule!AC376)</f>
        <v/>
      </c>
      <c r="E376" s="69" t="str">
        <f>IF(MakeSchedule!AD376=0,"",MakeSchedule!AD376)</f>
        <v/>
      </c>
      <c r="F376" s="73" t="str">
        <f>IF(MakeSchedule!AD376=0,"",MakeSchedule!AC376/MakeSchedule!AD376)</f>
        <v/>
      </c>
      <c r="G376" s="73" t="str">
        <f t="shared" si="17"/>
        <v/>
      </c>
      <c r="H376" s="73" t="str">
        <f t="shared" si="18"/>
        <v/>
      </c>
      <c r="I376" s="69" t="str">
        <f>IF(MakeSchedule!AF376=0,"",MakeSchedule!AF376)</f>
        <v/>
      </c>
      <c r="J376" s="69" t="str">
        <f>IF(I376="","",IF(MakeSchedule!AG376=0,0,MakeSchedule!AG376))</f>
        <v/>
      </c>
      <c r="K376" s="39"/>
      <c r="L376" s="39"/>
      <c r="M376" s="39"/>
      <c r="N376" s="39"/>
      <c r="O376" s="39"/>
      <c r="P376" s="39"/>
      <c r="Q376" s="39"/>
      <c r="R376" s="39"/>
      <c r="S376" s="39"/>
      <c r="T376" s="39"/>
      <c r="U376" s="39"/>
      <c r="V376" s="39"/>
      <c r="W376" s="39"/>
    </row>
    <row r="377" spans="1:23" x14ac:dyDescent="0.2">
      <c r="A377" s="66"/>
      <c r="B377" s="67" t="str">
        <f t="shared" si="19"/>
        <v/>
      </c>
      <c r="C377" s="68" t="str">
        <f>IF(MakeSchedule!AB377=0,"",MakeSchedule!AB377)</f>
        <v/>
      </c>
      <c r="D377" s="69" t="str">
        <f>IF(MakeSchedule!AC377=0,"",MakeSchedule!AC377)</f>
        <v/>
      </c>
      <c r="E377" s="69" t="str">
        <f>IF(MakeSchedule!AD377=0,"",MakeSchedule!AD377)</f>
        <v/>
      </c>
      <c r="F377" s="73" t="str">
        <f>IF(MakeSchedule!AD377=0,"",MakeSchedule!AC377/MakeSchedule!AD377)</f>
        <v/>
      </c>
      <c r="G377" s="73" t="str">
        <f t="shared" si="17"/>
        <v/>
      </c>
      <c r="H377" s="73" t="str">
        <f t="shared" si="18"/>
        <v/>
      </c>
      <c r="I377" s="69" t="str">
        <f>IF(MakeSchedule!AF377=0,"",MakeSchedule!AF377)</f>
        <v/>
      </c>
      <c r="J377" s="69" t="str">
        <f>IF(I377="","",IF(MakeSchedule!AG377=0,0,MakeSchedule!AG377))</f>
        <v/>
      </c>
      <c r="K377" s="39"/>
      <c r="L377" s="39"/>
      <c r="M377" s="39"/>
      <c r="N377" s="39"/>
      <c r="O377" s="39"/>
      <c r="P377" s="39"/>
      <c r="Q377" s="39"/>
      <c r="R377" s="39"/>
      <c r="S377" s="39"/>
      <c r="T377" s="39"/>
      <c r="U377" s="39"/>
      <c r="V377" s="39"/>
      <c r="W377" s="39"/>
    </row>
    <row r="378" spans="1:23" x14ac:dyDescent="0.2">
      <c r="A378" s="66"/>
      <c r="B378" s="67" t="str">
        <f t="shared" si="19"/>
        <v/>
      </c>
      <c r="C378" s="68" t="str">
        <f>IF(MakeSchedule!AB378=0,"",MakeSchedule!AB378)</f>
        <v/>
      </c>
      <c r="D378" s="69" t="str">
        <f>IF(MakeSchedule!AC378=0,"",MakeSchedule!AC378)</f>
        <v/>
      </c>
      <c r="E378" s="69" t="str">
        <f>IF(MakeSchedule!AD378=0,"",MakeSchedule!AD378)</f>
        <v/>
      </c>
      <c r="F378" s="73" t="str">
        <f>IF(MakeSchedule!AD378=0,"",MakeSchedule!AC378/MakeSchedule!AD378)</f>
        <v/>
      </c>
      <c r="G378" s="73" t="str">
        <f t="shared" si="17"/>
        <v/>
      </c>
      <c r="H378" s="73" t="str">
        <f t="shared" si="18"/>
        <v/>
      </c>
      <c r="I378" s="69" t="str">
        <f>IF(MakeSchedule!AF378=0,"",MakeSchedule!AF378)</f>
        <v/>
      </c>
      <c r="J378" s="69" t="str">
        <f>IF(I378="","",IF(MakeSchedule!AG378=0,0,MakeSchedule!AG378))</f>
        <v/>
      </c>
      <c r="K378" s="39"/>
      <c r="L378" s="39"/>
      <c r="M378" s="39"/>
      <c r="N378" s="39"/>
      <c r="O378" s="39"/>
      <c r="P378" s="39"/>
      <c r="Q378" s="39"/>
      <c r="R378" s="39"/>
      <c r="S378" s="39"/>
      <c r="T378" s="39"/>
      <c r="U378" s="39"/>
      <c r="V378" s="39"/>
      <c r="W378" s="39"/>
    </row>
    <row r="379" spans="1:23" x14ac:dyDescent="0.2">
      <c r="A379" s="66"/>
      <c r="B379" s="67" t="str">
        <f t="shared" si="19"/>
        <v/>
      </c>
      <c r="C379" s="68" t="str">
        <f>IF(MakeSchedule!AB379=0,"",MakeSchedule!AB379)</f>
        <v/>
      </c>
      <c r="D379" s="69" t="str">
        <f>IF(MakeSchedule!AC379=0,"",MakeSchedule!AC379)</f>
        <v/>
      </c>
      <c r="E379" s="69" t="str">
        <f>IF(MakeSchedule!AD379=0,"",MakeSchedule!AD379)</f>
        <v/>
      </c>
      <c r="F379" s="73" t="str">
        <f>IF(MakeSchedule!AD379=0,"",MakeSchedule!AC379/MakeSchedule!AD379)</f>
        <v/>
      </c>
      <c r="G379" s="73" t="str">
        <f t="shared" si="17"/>
        <v/>
      </c>
      <c r="H379" s="73" t="str">
        <f t="shared" si="18"/>
        <v/>
      </c>
      <c r="I379" s="69" t="str">
        <f>IF(MakeSchedule!AF379=0,"",MakeSchedule!AF379)</f>
        <v/>
      </c>
      <c r="J379" s="69" t="str">
        <f>IF(I379="","",IF(MakeSchedule!AG379=0,0,MakeSchedule!AG379))</f>
        <v/>
      </c>
      <c r="K379" s="39"/>
      <c r="L379" s="39"/>
      <c r="M379" s="39"/>
      <c r="N379" s="39"/>
      <c r="O379" s="39"/>
      <c r="P379" s="39"/>
      <c r="Q379" s="39"/>
      <c r="R379" s="39"/>
      <c r="S379" s="39"/>
      <c r="T379" s="39"/>
      <c r="U379" s="39"/>
      <c r="V379" s="39"/>
      <c r="W379" s="39"/>
    </row>
    <row r="380" spans="1:23" x14ac:dyDescent="0.2">
      <c r="A380" s="71"/>
      <c r="B380" s="67" t="str">
        <f t="shared" si="19"/>
        <v/>
      </c>
      <c r="C380" s="68" t="str">
        <f>IF(MakeSchedule!AB380=0,"",MakeSchedule!AB380)</f>
        <v/>
      </c>
      <c r="D380" s="69" t="str">
        <f>IF(MakeSchedule!AC380=0,"",MakeSchedule!AC380)</f>
        <v/>
      </c>
      <c r="E380" s="69" t="str">
        <f>IF(MakeSchedule!AD380=0,"",MakeSchedule!AD380)</f>
        <v/>
      </c>
      <c r="F380" s="73" t="str">
        <f>IF(MakeSchedule!AD380=0,"",MakeSchedule!AC380/MakeSchedule!AD380)</f>
        <v/>
      </c>
      <c r="G380" s="73" t="str">
        <f t="shared" si="17"/>
        <v/>
      </c>
      <c r="H380" s="73" t="str">
        <f t="shared" si="18"/>
        <v/>
      </c>
      <c r="I380" s="69" t="str">
        <f>IF(MakeSchedule!AF380=0,"",MakeSchedule!AF380)</f>
        <v/>
      </c>
      <c r="J380" s="69" t="str">
        <f>IF(I380="","",IF(MakeSchedule!AG380=0,0,MakeSchedule!AG380))</f>
        <v/>
      </c>
      <c r="K380" s="72"/>
      <c r="L380" s="39"/>
      <c r="M380" s="39"/>
      <c r="N380" s="39"/>
      <c r="O380" s="39"/>
      <c r="P380" s="39"/>
      <c r="Q380" s="39"/>
      <c r="R380" s="39"/>
      <c r="S380" s="39"/>
      <c r="T380" s="39"/>
      <c r="U380" s="39"/>
      <c r="V380" s="39"/>
      <c r="W380" s="39"/>
    </row>
    <row r="381" spans="1:23" x14ac:dyDescent="0.2">
      <c r="A381" s="70"/>
      <c r="B381" s="35" t="s">
        <v>75</v>
      </c>
      <c r="C381" s="35" t="s">
        <v>75</v>
      </c>
      <c r="D381" s="35" t="s">
        <v>75</v>
      </c>
      <c r="E381" s="35" t="s">
        <v>75</v>
      </c>
      <c r="F381" s="35" t="s">
        <v>75</v>
      </c>
      <c r="G381" s="35" t="s">
        <v>75</v>
      </c>
      <c r="H381" s="35" t="s">
        <v>75</v>
      </c>
      <c r="I381" s="35" t="s">
        <v>75</v>
      </c>
      <c r="J381" s="35" t="s">
        <v>75</v>
      </c>
      <c r="K381" s="39"/>
      <c r="L381" s="39"/>
      <c r="M381" s="39"/>
      <c r="N381" s="39"/>
      <c r="O381" s="39"/>
      <c r="P381" s="39"/>
      <c r="Q381" s="39"/>
      <c r="R381" s="39"/>
      <c r="S381" s="39"/>
      <c r="T381" s="39"/>
      <c r="U381" s="39"/>
      <c r="V381" s="39"/>
      <c r="W381" s="39"/>
    </row>
    <row r="382" spans="1:23" x14ac:dyDescent="0.2">
      <c r="A382" s="66"/>
      <c r="B382" s="39"/>
      <c r="C382" s="39"/>
      <c r="D382" s="39"/>
      <c r="E382" s="39"/>
      <c r="F382" s="39"/>
      <c r="G382" s="39"/>
      <c r="H382" s="39"/>
      <c r="I382" s="39"/>
      <c r="J382" s="39"/>
      <c r="K382" s="39"/>
      <c r="L382" s="39"/>
      <c r="M382" s="39"/>
      <c r="N382" s="39"/>
      <c r="O382" s="39"/>
      <c r="P382" s="39"/>
      <c r="Q382" s="39"/>
      <c r="R382" s="39"/>
      <c r="S382" s="39"/>
      <c r="T382" s="39"/>
      <c r="U382" s="39"/>
      <c r="V382" s="39"/>
      <c r="W382" s="39"/>
    </row>
    <row r="383" spans="1:23" x14ac:dyDescent="0.2">
      <c r="A383" s="66"/>
      <c r="B383" s="39"/>
      <c r="C383" s="39"/>
      <c r="D383" s="39"/>
      <c r="E383" s="39"/>
      <c r="F383" s="39"/>
      <c r="G383" s="39"/>
      <c r="H383" s="39"/>
      <c r="I383" s="39"/>
      <c r="J383" s="39"/>
      <c r="K383" s="39"/>
      <c r="L383" s="39"/>
      <c r="M383" s="39"/>
      <c r="N383" s="39"/>
      <c r="O383" s="39"/>
      <c r="P383" s="39"/>
      <c r="Q383" s="39"/>
      <c r="R383" s="39"/>
      <c r="S383" s="39"/>
      <c r="T383" s="39"/>
      <c r="U383" s="39"/>
      <c r="V383" s="39"/>
      <c r="W383" s="39"/>
    </row>
    <row r="384" spans="1:23" x14ac:dyDescent="0.2">
      <c r="A384" s="66"/>
      <c r="B384" s="39"/>
      <c r="C384" s="39"/>
      <c r="D384" s="39"/>
      <c r="E384" s="39"/>
      <c r="F384" s="39"/>
      <c r="G384" s="39"/>
      <c r="H384" s="39"/>
      <c r="I384" s="39"/>
      <c r="J384" s="39"/>
      <c r="K384" s="39"/>
      <c r="L384" s="39"/>
      <c r="M384" s="39"/>
      <c r="N384" s="39"/>
      <c r="O384" s="39"/>
      <c r="P384" s="39"/>
      <c r="Q384" s="39"/>
      <c r="R384" s="39"/>
      <c r="S384" s="39"/>
      <c r="T384" s="39"/>
      <c r="U384" s="39"/>
      <c r="V384" s="39"/>
      <c r="W384" s="39"/>
    </row>
    <row r="385" spans="1:23" x14ac:dyDescent="0.2">
      <c r="A385" s="66"/>
      <c r="B385" s="39"/>
      <c r="C385" s="39"/>
      <c r="D385" s="39"/>
      <c r="E385" s="39"/>
      <c r="F385" s="39"/>
      <c r="G385" s="39"/>
      <c r="H385" s="39"/>
      <c r="I385" s="39"/>
      <c r="J385" s="39"/>
      <c r="K385" s="39"/>
      <c r="L385" s="39"/>
      <c r="M385" s="39"/>
      <c r="N385" s="39"/>
      <c r="O385" s="39"/>
      <c r="P385" s="39"/>
      <c r="Q385" s="39"/>
      <c r="R385" s="39"/>
      <c r="S385" s="39"/>
      <c r="T385" s="39"/>
      <c r="U385" s="39"/>
      <c r="V385" s="39"/>
      <c r="W385" s="39"/>
    </row>
    <row r="386" spans="1:23" x14ac:dyDescent="0.2">
      <c r="A386" s="66"/>
      <c r="B386" s="39"/>
      <c r="C386" s="39"/>
      <c r="D386" s="39"/>
      <c r="E386" s="39"/>
      <c r="F386" s="39"/>
      <c r="G386" s="39"/>
      <c r="H386" s="39"/>
      <c r="I386" s="39"/>
      <c r="J386" s="39"/>
      <c r="K386" s="39"/>
      <c r="L386" s="39"/>
      <c r="M386" s="39"/>
      <c r="N386" s="39"/>
      <c r="O386" s="39"/>
      <c r="P386" s="39"/>
      <c r="Q386" s="39"/>
      <c r="R386" s="39"/>
      <c r="S386" s="39"/>
      <c r="T386" s="39"/>
      <c r="U386" s="39"/>
      <c r="V386" s="39"/>
      <c r="W386" s="39"/>
    </row>
    <row r="387" spans="1:23" x14ac:dyDescent="0.2">
      <c r="A387" s="66"/>
      <c r="B387" s="39"/>
      <c r="C387" s="39"/>
      <c r="D387" s="39"/>
      <c r="E387" s="39"/>
      <c r="F387" s="39"/>
      <c r="G387" s="39"/>
      <c r="H387" s="39"/>
      <c r="I387" s="39"/>
      <c r="J387" s="39"/>
      <c r="K387" s="39"/>
      <c r="L387" s="39"/>
      <c r="M387" s="39"/>
      <c r="N387" s="39"/>
      <c r="O387" s="39"/>
      <c r="P387" s="39"/>
      <c r="Q387" s="39"/>
      <c r="R387" s="39"/>
      <c r="S387" s="39"/>
      <c r="T387" s="39"/>
      <c r="U387" s="39"/>
      <c r="V387" s="39"/>
      <c r="W387" s="39"/>
    </row>
    <row r="388" spans="1:23" x14ac:dyDescent="0.2">
      <c r="A388" s="66"/>
      <c r="B388" s="39"/>
      <c r="C388" s="39"/>
      <c r="D388" s="39"/>
      <c r="E388" s="39"/>
      <c r="F388" s="39"/>
      <c r="G388" s="39"/>
      <c r="H388" s="39"/>
      <c r="I388" s="39"/>
      <c r="J388" s="39"/>
      <c r="K388" s="39"/>
      <c r="L388" s="39"/>
      <c r="M388" s="39"/>
      <c r="N388" s="39"/>
      <c r="O388" s="39"/>
      <c r="P388" s="39"/>
      <c r="Q388" s="39"/>
      <c r="R388" s="39"/>
      <c r="S388" s="39"/>
      <c r="T388" s="39"/>
      <c r="U388" s="39"/>
      <c r="V388" s="39"/>
      <c r="W388" s="39"/>
    </row>
    <row r="389" spans="1:23" x14ac:dyDescent="0.2">
      <c r="A389" s="66"/>
      <c r="B389" s="39"/>
      <c r="C389" s="39"/>
      <c r="D389" s="39"/>
      <c r="E389" s="39"/>
      <c r="F389" s="39"/>
      <c r="G389" s="39"/>
      <c r="H389" s="39"/>
      <c r="I389" s="39"/>
      <c r="J389" s="39"/>
      <c r="K389" s="39"/>
      <c r="L389" s="39"/>
      <c r="M389" s="39"/>
      <c r="N389" s="39"/>
      <c r="O389" s="39"/>
      <c r="P389" s="39"/>
      <c r="Q389" s="39"/>
      <c r="R389" s="39"/>
      <c r="S389" s="39"/>
      <c r="T389" s="39"/>
      <c r="U389" s="39"/>
      <c r="V389" s="39"/>
      <c r="W389" s="39"/>
    </row>
    <row r="390" spans="1:23" x14ac:dyDescent="0.2">
      <c r="A390" s="66"/>
      <c r="B390" s="39"/>
      <c r="C390" s="39"/>
      <c r="D390" s="39"/>
      <c r="E390" s="39"/>
      <c r="F390" s="39"/>
      <c r="G390" s="39"/>
      <c r="H390" s="39"/>
      <c r="I390" s="39"/>
      <c r="J390" s="39"/>
      <c r="K390" s="39"/>
      <c r="L390" s="39"/>
      <c r="M390" s="39"/>
      <c r="N390" s="39"/>
      <c r="O390" s="39"/>
      <c r="P390" s="39"/>
      <c r="Q390" s="39"/>
      <c r="R390" s="39"/>
      <c r="S390" s="39"/>
      <c r="T390" s="39"/>
      <c r="U390" s="39"/>
      <c r="V390" s="39"/>
      <c r="W390" s="39"/>
    </row>
    <row r="391" spans="1:23" x14ac:dyDescent="0.2">
      <c r="A391" s="66"/>
      <c r="B391" s="39"/>
      <c r="C391" s="39"/>
      <c r="D391" s="39"/>
      <c r="E391" s="39"/>
      <c r="F391" s="39"/>
      <c r="G391" s="39"/>
      <c r="H391" s="39"/>
      <c r="I391" s="39"/>
      <c r="J391" s="39"/>
      <c r="K391" s="39"/>
      <c r="L391" s="39"/>
      <c r="M391" s="39"/>
      <c r="N391" s="39"/>
      <c r="O391" s="39"/>
      <c r="P391" s="39"/>
      <c r="Q391" s="39"/>
      <c r="R391" s="39"/>
      <c r="S391" s="39"/>
      <c r="T391" s="39"/>
      <c r="U391" s="39"/>
      <c r="V391" s="39"/>
      <c r="W391" s="39"/>
    </row>
    <row r="392" spans="1:23" x14ac:dyDescent="0.2">
      <c r="A392" s="66"/>
      <c r="B392" s="39"/>
      <c r="C392" s="39"/>
      <c r="D392" s="39"/>
      <c r="E392" s="39"/>
      <c r="F392" s="39"/>
      <c r="G392" s="39"/>
      <c r="H392" s="39"/>
      <c r="I392" s="39"/>
      <c r="J392" s="39"/>
      <c r="K392" s="39"/>
      <c r="L392" s="39"/>
      <c r="M392" s="39"/>
      <c r="N392" s="39"/>
      <c r="O392" s="39"/>
      <c r="P392" s="39"/>
      <c r="Q392" s="39"/>
      <c r="R392" s="39"/>
      <c r="S392" s="39"/>
      <c r="T392" s="39"/>
      <c r="U392" s="39"/>
      <c r="V392" s="39"/>
      <c r="W392" s="39"/>
    </row>
    <row r="393" spans="1:23" x14ac:dyDescent="0.2">
      <c r="A393" s="66"/>
      <c r="B393" s="39"/>
      <c r="C393" s="39"/>
      <c r="D393" s="39"/>
      <c r="E393" s="39"/>
      <c r="F393" s="39"/>
      <c r="G393" s="39"/>
      <c r="H393" s="39"/>
      <c r="I393" s="39"/>
      <c r="J393" s="39"/>
      <c r="K393" s="39"/>
      <c r="L393" s="39"/>
      <c r="M393" s="39"/>
      <c r="N393" s="39"/>
      <c r="O393" s="39"/>
      <c r="P393" s="39"/>
      <c r="Q393" s="39"/>
      <c r="R393" s="39"/>
      <c r="S393" s="39"/>
      <c r="T393" s="39"/>
      <c r="U393" s="39"/>
      <c r="V393" s="39"/>
      <c r="W393" s="39"/>
    </row>
    <row r="394" spans="1:23" x14ac:dyDescent="0.2">
      <c r="A394" s="66"/>
      <c r="B394" s="39"/>
      <c r="C394" s="39"/>
      <c r="D394" s="39"/>
      <c r="E394" s="39"/>
      <c r="F394" s="39"/>
      <c r="G394" s="39"/>
      <c r="H394" s="39"/>
      <c r="I394" s="39"/>
      <c r="J394" s="39"/>
      <c r="K394" s="39"/>
      <c r="L394" s="39"/>
      <c r="M394" s="39"/>
      <c r="N394" s="39"/>
      <c r="O394" s="39"/>
      <c r="P394" s="39"/>
      <c r="Q394" s="39"/>
      <c r="R394" s="39"/>
      <c r="S394" s="39"/>
      <c r="T394" s="39"/>
      <c r="U394" s="39"/>
      <c r="V394" s="39"/>
      <c r="W394" s="39"/>
    </row>
    <row r="395" spans="1:23" x14ac:dyDescent="0.2">
      <c r="A395" s="66"/>
      <c r="B395" s="39"/>
      <c r="C395" s="39"/>
      <c r="D395" s="39"/>
      <c r="E395" s="39"/>
      <c r="F395" s="39"/>
      <c r="G395" s="39"/>
      <c r="H395" s="39"/>
      <c r="I395" s="39"/>
      <c r="J395" s="39"/>
      <c r="K395" s="39"/>
      <c r="L395" s="39"/>
      <c r="M395" s="39"/>
      <c r="N395" s="39"/>
      <c r="O395" s="39"/>
      <c r="P395" s="39"/>
      <c r="Q395" s="39"/>
      <c r="R395" s="39"/>
      <c r="S395" s="39"/>
      <c r="T395" s="39"/>
      <c r="U395" s="39"/>
      <c r="V395" s="39"/>
      <c r="W395" s="39"/>
    </row>
    <row r="396" spans="1:23" x14ac:dyDescent="0.2">
      <c r="A396" s="66"/>
      <c r="B396" s="39"/>
      <c r="C396" s="39"/>
      <c r="D396" s="39"/>
      <c r="E396" s="39"/>
      <c r="F396" s="39"/>
      <c r="G396" s="39"/>
      <c r="H396" s="39"/>
      <c r="I396" s="39"/>
      <c r="J396" s="39"/>
      <c r="K396" s="39"/>
      <c r="L396" s="39"/>
      <c r="M396" s="39"/>
      <c r="N396" s="39"/>
      <c r="O396" s="39"/>
      <c r="P396" s="39"/>
      <c r="Q396" s="39"/>
      <c r="R396" s="39"/>
      <c r="S396" s="39"/>
      <c r="T396" s="39"/>
      <c r="U396" s="39"/>
      <c r="V396" s="39"/>
      <c r="W396" s="39"/>
    </row>
    <row r="397" spans="1:23" x14ac:dyDescent="0.2">
      <c r="A397" s="66"/>
      <c r="B397" s="39"/>
      <c r="C397" s="39"/>
      <c r="D397" s="39"/>
      <c r="E397" s="39"/>
      <c r="F397" s="39"/>
      <c r="G397" s="39"/>
      <c r="H397" s="39"/>
      <c r="I397" s="39"/>
      <c r="J397" s="39"/>
      <c r="K397" s="39"/>
      <c r="L397" s="39"/>
      <c r="M397" s="39"/>
      <c r="N397" s="39"/>
      <c r="O397" s="39"/>
      <c r="P397" s="39"/>
      <c r="Q397" s="39"/>
      <c r="R397" s="39"/>
      <c r="S397" s="39"/>
      <c r="T397" s="39"/>
      <c r="U397" s="39"/>
      <c r="V397" s="39"/>
      <c r="W397" s="39"/>
    </row>
    <row r="398" spans="1:23" x14ac:dyDescent="0.2">
      <c r="A398" s="66"/>
      <c r="B398" s="39"/>
      <c r="C398" s="39"/>
      <c r="D398" s="39"/>
      <c r="E398" s="39"/>
      <c r="F398" s="39"/>
      <c r="G398" s="39"/>
      <c r="H398" s="39"/>
      <c r="I398" s="39"/>
      <c r="J398" s="39"/>
      <c r="K398" s="39"/>
      <c r="L398" s="39"/>
      <c r="M398" s="39"/>
      <c r="N398" s="39"/>
      <c r="O398" s="39"/>
      <c r="P398" s="39"/>
      <c r="Q398" s="39"/>
      <c r="R398" s="39"/>
      <c r="S398" s="39"/>
      <c r="T398" s="39"/>
      <c r="U398" s="39"/>
      <c r="V398" s="39"/>
      <c r="W398" s="39"/>
    </row>
    <row r="399" spans="1:23" x14ac:dyDescent="0.2">
      <c r="A399" s="66"/>
      <c r="B399" s="39"/>
      <c r="C399" s="39"/>
      <c r="D399" s="39"/>
      <c r="E399" s="39"/>
      <c r="F399" s="39"/>
      <c r="G399" s="39"/>
      <c r="H399" s="39"/>
      <c r="I399" s="39"/>
      <c r="J399" s="39"/>
      <c r="K399" s="39"/>
      <c r="L399" s="39"/>
      <c r="M399" s="39"/>
      <c r="N399" s="39"/>
      <c r="O399" s="39"/>
      <c r="P399" s="39"/>
      <c r="Q399" s="39"/>
      <c r="R399" s="39"/>
      <c r="S399" s="39"/>
      <c r="T399" s="39"/>
      <c r="U399" s="39"/>
      <c r="V399" s="39"/>
      <c r="W399" s="39"/>
    </row>
    <row r="400" spans="1:23" x14ac:dyDescent="0.2">
      <c r="A400" s="66"/>
      <c r="B400" s="39"/>
      <c r="C400" s="39"/>
      <c r="D400" s="39"/>
      <c r="E400" s="39"/>
      <c r="F400" s="39"/>
      <c r="G400" s="39"/>
      <c r="H400" s="39"/>
      <c r="I400" s="39"/>
      <c r="J400" s="39"/>
      <c r="K400" s="39"/>
      <c r="L400" s="39"/>
      <c r="M400" s="39"/>
      <c r="N400" s="39"/>
      <c r="O400" s="39"/>
      <c r="P400" s="39"/>
      <c r="Q400" s="39"/>
      <c r="R400" s="39"/>
      <c r="S400" s="39"/>
      <c r="T400" s="39"/>
      <c r="U400" s="39"/>
      <c r="V400" s="39"/>
      <c r="W400" s="39"/>
    </row>
  </sheetData>
  <sheetProtection password="CC31" sheet="1" objects="1" scenarios="1"/>
  <phoneticPr fontId="0"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honeticPr fontId="0" type="noConversion"/>
  <pageMargins left="0.75" right="0.75" top="1" bottom="1" header="0.5" footer="0.5"/>
  <pageSetup orientation="portrait" horizontalDpi="360" verticalDpi="36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M70"/>
  <sheetViews>
    <sheetView topLeftCell="A3" zoomScale="120" workbookViewId="0">
      <pane xSplit="2" ySplit="2" topLeftCell="C5" activePane="bottomRight" state="frozen"/>
      <selection activeCell="A3" sqref="A3"/>
      <selection pane="topRight" activeCell="C3" sqref="C3"/>
      <selection pane="bottomLeft" activeCell="A5" sqref="A5"/>
      <selection pane="bottomRight" activeCell="H62" sqref="H62"/>
    </sheetView>
  </sheetViews>
  <sheetFormatPr defaultRowHeight="12.75" x14ac:dyDescent="0.2"/>
  <cols>
    <col min="2" max="2" width="18.5703125" customWidth="1"/>
  </cols>
  <sheetData>
    <row r="1" spans="1:13" ht="13.5" thickBot="1" x14ac:dyDescent="0.25">
      <c r="A1" s="20">
        <v>7425</v>
      </c>
      <c r="B1" s="20"/>
      <c r="C1" s="20"/>
      <c r="D1" s="20"/>
      <c r="E1" s="20"/>
      <c r="F1" s="25"/>
      <c r="G1" s="25"/>
      <c r="H1" s="25"/>
      <c r="I1" s="25"/>
      <c r="J1" s="20"/>
      <c r="K1" s="20"/>
      <c r="L1" s="20"/>
      <c r="M1" s="20"/>
    </row>
    <row r="2" spans="1:13" ht="17.25" thickTop="1" thickBot="1" x14ac:dyDescent="0.3">
      <c r="A2" s="383" t="s">
        <v>142</v>
      </c>
      <c r="B2" s="384"/>
      <c r="C2" s="384"/>
      <c r="D2" s="384"/>
      <c r="E2" s="384"/>
      <c r="F2" s="384"/>
      <c r="G2" s="384"/>
      <c r="H2" s="384"/>
      <c r="I2" s="384"/>
      <c r="J2" s="384"/>
      <c r="K2" s="384"/>
      <c r="L2" s="384"/>
      <c r="M2" s="384"/>
    </row>
    <row r="3" spans="1:13" ht="15.75" thickTop="1" x14ac:dyDescent="0.25">
      <c r="A3" s="21" t="s">
        <v>76</v>
      </c>
      <c r="B3" s="22" t="s">
        <v>76</v>
      </c>
      <c r="C3" s="22" t="s">
        <v>77</v>
      </c>
      <c r="D3" s="22" t="s">
        <v>77</v>
      </c>
      <c r="E3" s="22" t="s">
        <v>77</v>
      </c>
      <c r="F3" s="22"/>
      <c r="G3" s="22"/>
      <c r="H3" s="22"/>
      <c r="I3" s="22"/>
      <c r="J3" s="22" t="s">
        <v>78</v>
      </c>
      <c r="K3" s="22" t="s">
        <v>78</v>
      </c>
      <c r="L3" s="22" t="s">
        <v>79</v>
      </c>
      <c r="M3" s="22" t="s">
        <v>79</v>
      </c>
    </row>
    <row r="4" spans="1:13" ht="15.75" thickBot="1" x14ac:dyDescent="0.3">
      <c r="A4" s="23" t="s">
        <v>80</v>
      </c>
      <c r="B4" s="24" t="s">
        <v>81</v>
      </c>
      <c r="C4" s="24" t="s">
        <v>17</v>
      </c>
      <c r="D4" s="24" t="s">
        <v>69</v>
      </c>
      <c r="E4" s="24" t="s">
        <v>4</v>
      </c>
      <c r="F4" s="22" t="s">
        <v>56</v>
      </c>
      <c r="G4" s="22" t="s">
        <v>57</v>
      </c>
      <c r="H4" s="22" t="s">
        <v>60</v>
      </c>
      <c r="I4" s="22" t="s">
        <v>58</v>
      </c>
      <c r="J4" s="24" t="s">
        <v>0</v>
      </c>
      <c r="K4" s="24" t="s">
        <v>34</v>
      </c>
      <c r="L4" s="24" t="s">
        <v>0</v>
      </c>
      <c r="M4" s="24" t="s">
        <v>34</v>
      </c>
    </row>
    <row r="5" spans="1:13" ht="13.5" thickTop="1" x14ac:dyDescent="0.2">
      <c r="A5" s="191">
        <v>1.01</v>
      </c>
      <c r="B5" s="192" t="s">
        <v>83</v>
      </c>
      <c r="C5" s="193">
        <v>7</v>
      </c>
      <c r="D5" s="193">
        <v>30</v>
      </c>
      <c r="E5" s="193">
        <v>100</v>
      </c>
      <c r="F5" s="194">
        <v>0.4</v>
      </c>
      <c r="G5" s="194">
        <v>1.1499999999999999</v>
      </c>
      <c r="H5" s="194">
        <v>1.1499999999999999</v>
      </c>
      <c r="I5" s="194">
        <v>0.4</v>
      </c>
      <c r="J5" s="192">
        <v>6</v>
      </c>
      <c r="K5" s="192">
        <v>20</v>
      </c>
      <c r="L5" s="192">
        <v>7</v>
      </c>
      <c r="M5" s="192">
        <v>20</v>
      </c>
    </row>
    <row r="6" spans="1:13" x14ac:dyDescent="0.2">
      <c r="A6" s="195">
        <v>1.02</v>
      </c>
      <c r="B6" s="196" t="s">
        <v>84</v>
      </c>
      <c r="C6" s="197">
        <v>6</v>
      </c>
      <c r="D6" s="197">
        <v>19</v>
      </c>
      <c r="E6" s="197">
        <v>90</v>
      </c>
      <c r="F6" s="198">
        <v>0.65</v>
      </c>
      <c r="G6" s="198">
        <v>0.65</v>
      </c>
      <c r="H6" s="198">
        <v>0.65</v>
      </c>
      <c r="I6" s="198">
        <v>0.65</v>
      </c>
      <c r="J6" s="196">
        <v>7</v>
      </c>
      <c r="K6" s="196">
        <v>1</v>
      </c>
      <c r="L6" s="196">
        <v>5</v>
      </c>
      <c r="M6" s="196">
        <v>1</v>
      </c>
    </row>
    <row r="7" spans="1:13" x14ac:dyDescent="0.2">
      <c r="A7" s="195">
        <v>1.03</v>
      </c>
      <c r="B7" s="196" t="s">
        <v>85</v>
      </c>
      <c r="C7" s="197">
        <v>12</v>
      </c>
      <c r="D7" s="197">
        <v>25</v>
      </c>
      <c r="E7" s="197">
        <v>95</v>
      </c>
      <c r="F7" s="198">
        <v>0.25</v>
      </c>
      <c r="G7" s="198">
        <v>1</v>
      </c>
      <c r="H7" s="198">
        <v>1</v>
      </c>
      <c r="I7" s="198">
        <v>0.25</v>
      </c>
      <c r="J7" s="196">
        <v>1</v>
      </c>
      <c r="K7" s="196">
        <v>1</v>
      </c>
      <c r="L7" s="196">
        <v>12</v>
      </c>
      <c r="M7" s="196">
        <v>31</v>
      </c>
    </row>
    <row r="8" spans="1:13" x14ac:dyDescent="0.2">
      <c r="A8" s="195">
        <v>1.04</v>
      </c>
      <c r="B8" s="196" t="s">
        <v>86</v>
      </c>
      <c r="C8" s="197">
        <v>20</v>
      </c>
      <c r="D8" s="197">
        <v>45</v>
      </c>
      <c r="E8" s="197">
        <v>75</v>
      </c>
      <c r="F8" s="198">
        <v>0.7</v>
      </c>
      <c r="G8" s="198">
        <v>1.1000000000000001</v>
      </c>
      <c r="H8" s="198">
        <v>1.1000000000000001</v>
      </c>
      <c r="I8" s="198">
        <v>0.15</v>
      </c>
      <c r="J8" s="196">
        <v>11</v>
      </c>
      <c r="K8" s="196">
        <v>1</v>
      </c>
      <c r="L8" s="196">
        <v>5</v>
      </c>
      <c r="M8" s="196">
        <v>31</v>
      </c>
    </row>
    <row r="9" spans="1:13" x14ac:dyDescent="0.2">
      <c r="A9" s="195">
        <v>1.05</v>
      </c>
      <c r="B9" s="196" t="s">
        <v>87</v>
      </c>
      <c r="C9" s="197">
        <v>24</v>
      </c>
      <c r="D9" s="197">
        <v>40</v>
      </c>
      <c r="E9" s="197">
        <v>91</v>
      </c>
      <c r="F9" s="198">
        <v>0.2</v>
      </c>
      <c r="G9" s="198">
        <v>0.9</v>
      </c>
      <c r="H9" s="198">
        <v>0.9</v>
      </c>
      <c r="I9" s="198">
        <v>0.1</v>
      </c>
      <c r="J9" s="196">
        <v>6</v>
      </c>
      <c r="K9" s="196">
        <v>15</v>
      </c>
      <c r="L9" s="196">
        <v>9</v>
      </c>
      <c r="M9" s="196">
        <v>30</v>
      </c>
    </row>
    <row r="10" spans="1:13" x14ac:dyDescent="0.2">
      <c r="A10" s="195">
        <v>1.06</v>
      </c>
      <c r="B10" s="196" t="s">
        <v>88</v>
      </c>
      <c r="C10" s="197">
        <v>24</v>
      </c>
      <c r="D10" s="197">
        <v>40</v>
      </c>
      <c r="E10" s="197">
        <v>91</v>
      </c>
      <c r="F10" s="198">
        <v>0.2</v>
      </c>
      <c r="G10" s="198">
        <v>1</v>
      </c>
      <c r="H10" s="198">
        <v>1</v>
      </c>
      <c r="I10" s="198">
        <v>0.1</v>
      </c>
      <c r="J10" s="196">
        <v>6</v>
      </c>
      <c r="K10" s="196">
        <v>15</v>
      </c>
      <c r="L10" s="196">
        <v>9</v>
      </c>
      <c r="M10" s="196">
        <v>30</v>
      </c>
    </row>
    <row r="11" spans="1:13" x14ac:dyDescent="0.2">
      <c r="A11" s="195">
        <v>1.07</v>
      </c>
      <c r="B11" s="196" t="s">
        <v>89</v>
      </c>
      <c r="C11" s="197">
        <v>22</v>
      </c>
      <c r="D11" s="197">
        <v>56</v>
      </c>
      <c r="E11" s="197">
        <v>89</v>
      </c>
      <c r="F11" s="198">
        <v>0.8</v>
      </c>
      <c r="G11" s="198">
        <v>1</v>
      </c>
      <c r="H11" s="198">
        <v>1</v>
      </c>
      <c r="I11" s="198">
        <v>0.85</v>
      </c>
      <c r="J11" s="196">
        <v>3</v>
      </c>
      <c r="K11" s="196">
        <v>1</v>
      </c>
      <c r="L11" s="196">
        <v>5</v>
      </c>
      <c r="M11" s="196">
        <v>31</v>
      </c>
    </row>
    <row r="12" spans="1:13" x14ac:dyDescent="0.2">
      <c r="A12" s="195">
        <v>1.08</v>
      </c>
      <c r="B12" s="196" t="s">
        <v>90</v>
      </c>
      <c r="C12" s="197">
        <v>25</v>
      </c>
      <c r="D12" s="197">
        <v>60</v>
      </c>
      <c r="E12" s="197">
        <v>90</v>
      </c>
      <c r="F12" s="198">
        <v>0.3</v>
      </c>
      <c r="G12" s="198">
        <v>0.9</v>
      </c>
      <c r="H12" s="198">
        <v>0.9</v>
      </c>
      <c r="I12" s="198">
        <v>0.9</v>
      </c>
      <c r="J12" s="196">
        <v>4</v>
      </c>
      <c r="K12" s="196">
        <v>1</v>
      </c>
      <c r="L12" s="196">
        <v>6</v>
      </c>
      <c r="M12" s="196">
        <v>20</v>
      </c>
    </row>
    <row r="13" spans="1:13" x14ac:dyDescent="0.2">
      <c r="A13" s="195">
        <v>1.0900000000000001</v>
      </c>
      <c r="B13" s="196" t="s">
        <v>91</v>
      </c>
      <c r="C13" s="197">
        <v>20</v>
      </c>
      <c r="D13" s="197">
        <v>50</v>
      </c>
      <c r="E13" s="197">
        <v>83</v>
      </c>
      <c r="F13" s="198">
        <v>0.3</v>
      </c>
      <c r="G13" s="198">
        <v>1</v>
      </c>
      <c r="H13" s="198">
        <v>1</v>
      </c>
      <c r="I13" s="198">
        <v>0.8</v>
      </c>
      <c r="J13" s="196">
        <v>3</v>
      </c>
      <c r="K13" s="196">
        <v>15</v>
      </c>
      <c r="L13" s="196">
        <v>7</v>
      </c>
      <c r="M13" s="196">
        <v>1</v>
      </c>
    </row>
    <row r="14" spans="1:13" x14ac:dyDescent="0.2">
      <c r="A14" s="199">
        <v>1.1000000000000001</v>
      </c>
      <c r="B14" s="200" t="s">
        <v>92</v>
      </c>
      <c r="C14" s="201">
        <v>25</v>
      </c>
      <c r="D14" s="201">
        <v>63</v>
      </c>
      <c r="E14" s="201">
        <v>88</v>
      </c>
      <c r="F14" s="202">
        <v>0.3</v>
      </c>
      <c r="G14" s="202">
        <v>1</v>
      </c>
      <c r="H14" s="202">
        <v>1</v>
      </c>
      <c r="I14" s="202">
        <v>0.85</v>
      </c>
      <c r="J14" s="200">
        <v>8</v>
      </c>
      <c r="K14" s="200">
        <v>1</v>
      </c>
      <c r="L14" s="200">
        <v>11</v>
      </c>
      <c r="M14" s="200">
        <v>15</v>
      </c>
    </row>
    <row r="15" spans="1:13" x14ac:dyDescent="0.2">
      <c r="A15" s="195">
        <v>1.1100000000000001</v>
      </c>
      <c r="B15" s="196" t="s">
        <v>93</v>
      </c>
      <c r="C15" s="197">
        <v>20</v>
      </c>
      <c r="D15" s="197">
        <v>50</v>
      </c>
      <c r="E15" s="197">
        <v>83</v>
      </c>
      <c r="F15" s="198">
        <v>0.85</v>
      </c>
      <c r="G15" s="198">
        <v>0.95</v>
      </c>
      <c r="H15" s="198">
        <v>0.95</v>
      </c>
      <c r="I15" s="198">
        <v>0.8</v>
      </c>
      <c r="J15" s="196">
        <v>1</v>
      </c>
      <c r="K15" s="196">
        <v>15</v>
      </c>
      <c r="L15" s="196">
        <v>5</v>
      </c>
      <c r="M15" s="196">
        <v>15</v>
      </c>
    </row>
    <row r="16" spans="1:13" x14ac:dyDescent="0.2">
      <c r="A16" s="195">
        <v>1.1200000000000001</v>
      </c>
      <c r="B16" s="196" t="s">
        <v>94</v>
      </c>
      <c r="C16" s="197">
        <v>15</v>
      </c>
      <c r="D16" s="197">
        <v>40</v>
      </c>
      <c r="E16" s="197">
        <v>90</v>
      </c>
      <c r="F16" s="198">
        <v>0.8</v>
      </c>
      <c r="G16" s="198">
        <v>0.95</v>
      </c>
      <c r="H16" s="198">
        <v>0.95</v>
      </c>
      <c r="I16" s="198">
        <v>0.95</v>
      </c>
      <c r="J16" s="196">
        <v>9</v>
      </c>
      <c r="K16" s="196">
        <v>15</v>
      </c>
      <c r="L16" s="196">
        <v>1</v>
      </c>
      <c r="M16" s="196">
        <v>15</v>
      </c>
    </row>
    <row r="17" spans="1:13" x14ac:dyDescent="0.2">
      <c r="A17" s="195">
        <v>1.1299999999999999</v>
      </c>
      <c r="B17" s="196" t="s">
        <v>95</v>
      </c>
      <c r="C17" s="197">
        <v>20</v>
      </c>
      <c r="D17" s="197">
        <v>45</v>
      </c>
      <c r="E17" s="197">
        <v>75</v>
      </c>
      <c r="F17" s="198">
        <v>0.2</v>
      </c>
      <c r="G17" s="198">
        <v>1.05</v>
      </c>
      <c r="H17" s="198">
        <v>1.05</v>
      </c>
      <c r="I17" s="198">
        <v>0.6</v>
      </c>
      <c r="J17" s="196">
        <v>5</v>
      </c>
      <c r="K17" s="196">
        <v>1</v>
      </c>
      <c r="L17" s="196">
        <v>9</v>
      </c>
      <c r="M17" s="196">
        <v>30</v>
      </c>
    </row>
    <row r="18" spans="1:13" x14ac:dyDescent="0.2">
      <c r="A18" s="195">
        <v>1.1399999999999999</v>
      </c>
      <c r="B18" s="196" t="s">
        <v>96</v>
      </c>
      <c r="C18" s="197">
        <v>20</v>
      </c>
      <c r="D18" s="197">
        <v>45</v>
      </c>
      <c r="E18" s="197">
        <v>100</v>
      </c>
      <c r="F18" s="198">
        <v>0.2</v>
      </c>
      <c r="G18" s="198">
        <v>1</v>
      </c>
      <c r="H18" s="198">
        <v>1</v>
      </c>
      <c r="I18" s="198">
        <v>1</v>
      </c>
      <c r="J18" s="196">
        <v>5</v>
      </c>
      <c r="K18" s="196">
        <v>1</v>
      </c>
      <c r="L18" s="196">
        <v>8</v>
      </c>
      <c r="M18" s="196">
        <v>15</v>
      </c>
    </row>
    <row r="19" spans="1:13" x14ac:dyDescent="0.2">
      <c r="A19" s="195">
        <v>1.1499999999999999</v>
      </c>
      <c r="B19" s="196" t="s">
        <v>97</v>
      </c>
      <c r="C19" s="197">
        <v>15</v>
      </c>
      <c r="D19" s="197">
        <v>25</v>
      </c>
      <c r="E19" s="197">
        <v>85</v>
      </c>
      <c r="F19" s="198">
        <v>0.35</v>
      </c>
      <c r="G19" s="198">
        <v>0.95</v>
      </c>
      <c r="H19" s="198">
        <v>0.95</v>
      </c>
      <c r="I19" s="198">
        <v>0.5</v>
      </c>
      <c r="J19" s="196">
        <v>5</v>
      </c>
      <c r="K19" s="196">
        <v>15</v>
      </c>
      <c r="L19" s="196">
        <v>10</v>
      </c>
      <c r="M19" s="196">
        <v>15</v>
      </c>
    </row>
    <row r="20" spans="1:13" x14ac:dyDescent="0.2">
      <c r="A20" s="195">
        <v>1.1599999999999999</v>
      </c>
      <c r="B20" s="196" t="s">
        <v>98</v>
      </c>
      <c r="C20" s="197">
        <v>19</v>
      </c>
      <c r="D20" s="197">
        <v>47</v>
      </c>
      <c r="E20" s="197">
        <v>85</v>
      </c>
      <c r="F20" s="198">
        <v>0.8</v>
      </c>
      <c r="G20" s="198">
        <v>0.85</v>
      </c>
      <c r="H20" s="198">
        <v>0.85</v>
      </c>
      <c r="I20" s="198">
        <v>0.85</v>
      </c>
      <c r="J20" s="196">
        <v>3</v>
      </c>
      <c r="K20" s="196">
        <v>15</v>
      </c>
      <c r="L20" s="196">
        <v>6</v>
      </c>
      <c r="M20" s="196">
        <v>15</v>
      </c>
    </row>
    <row r="21" spans="1:13" x14ac:dyDescent="0.2">
      <c r="A21" s="195">
        <v>1.17</v>
      </c>
      <c r="B21" s="196" t="s">
        <v>99</v>
      </c>
      <c r="C21" s="197">
        <v>23</v>
      </c>
      <c r="D21" s="197">
        <v>54</v>
      </c>
      <c r="E21" s="197">
        <v>85</v>
      </c>
      <c r="F21" s="198">
        <v>0.8</v>
      </c>
      <c r="G21" s="198">
        <v>0.9</v>
      </c>
      <c r="H21" s="198">
        <v>0.9</v>
      </c>
      <c r="I21" s="198">
        <v>0.85</v>
      </c>
      <c r="J21" s="196">
        <v>4</v>
      </c>
      <c r="K21" s="196">
        <v>1</v>
      </c>
      <c r="L21" s="196">
        <v>11</v>
      </c>
      <c r="M21" s="196">
        <v>15</v>
      </c>
    </row>
    <row r="22" spans="1:13" x14ac:dyDescent="0.2">
      <c r="A22" s="195">
        <v>1.18</v>
      </c>
      <c r="B22" s="196" t="s">
        <v>100</v>
      </c>
      <c r="C22" s="197">
        <v>17</v>
      </c>
      <c r="D22" s="197">
        <v>45</v>
      </c>
      <c r="E22" s="197">
        <v>80</v>
      </c>
      <c r="F22" s="198">
        <v>0.2</v>
      </c>
      <c r="G22" s="198">
        <v>1.1000000000000001</v>
      </c>
      <c r="H22" s="198">
        <v>1.1000000000000001</v>
      </c>
      <c r="I22" s="198">
        <v>0.25</v>
      </c>
      <c r="J22" s="196">
        <v>4</v>
      </c>
      <c r="K22" s="196">
        <v>1</v>
      </c>
      <c r="L22" s="196">
        <v>7</v>
      </c>
      <c r="M22" s="196">
        <v>31</v>
      </c>
    </row>
    <row r="23" spans="1:13" x14ac:dyDescent="0.2">
      <c r="A23" s="195">
        <v>1.19</v>
      </c>
      <c r="B23" s="196" t="s">
        <v>101</v>
      </c>
      <c r="C23" s="197">
        <v>20</v>
      </c>
      <c r="D23" s="197">
        <v>45</v>
      </c>
      <c r="E23" s="197">
        <v>75</v>
      </c>
      <c r="F23" s="198">
        <v>0.33</v>
      </c>
      <c r="G23" s="198">
        <v>1.1000000000000001</v>
      </c>
      <c r="H23" s="198">
        <v>1.1000000000000001</v>
      </c>
      <c r="I23" s="198">
        <v>0.15</v>
      </c>
      <c r="J23" s="196">
        <v>11</v>
      </c>
      <c r="K23" s="196">
        <v>1</v>
      </c>
      <c r="L23" s="196">
        <v>5</v>
      </c>
      <c r="M23" s="196">
        <v>31</v>
      </c>
    </row>
    <row r="24" spans="1:13" x14ac:dyDescent="0.2">
      <c r="A24" s="199">
        <v>1.2</v>
      </c>
      <c r="B24" s="200" t="s">
        <v>102</v>
      </c>
      <c r="C24" s="201">
        <v>20</v>
      </c>
      <c r="D24" s="201">
        <v>45</v>
      </c>
      <c r="E24" s="201">
        <v>75</v>
      </c>
      <c r="F24" s="202">
        <v>0.33</v>
      </c>
      <c r="G24" s="202">
        <v>1.05</v>
      </c>
      <c r="H24" s="202">
        <v>1.05</v>
      </c>
      <c r="I24" s="202">
        <v>0.15</v>
      </c>
      <c r="J24" s="200">
        <v>11</v>
      </c>
      <c r="K24" s="200">
        <v>1</v>
      </c>
      <c r="L24" s="200">
        <v>5</v>
      </c>
      <c r="M24" s="200">
        <v>31</v>
      </c>
    </row>
    <row r="25" spans="1:13" x14ac:dyDescent="0.2">
      <c r="A25" s="195">
        <v>1.21</v>
      </c>
      <c r="B25" s="196" t="s">
        <v>103</v>
      </c>
      <c r="C25" s="197">
        <v>24</v>
      </c>
      <c r="D25" s="197">
        <v>40</v>
      </c>
      <c r="E25" s="197">
        <v>91</v>
      </c>
      <c r="F25" s="198">
        <v>0.2</v>
      </c>
      <c r="G25" s="198">
        <v>1</v>
      </c>
      <c r="H25" s="198">
        <v>1</v>
      </c>
      <c r="I25" s="198">
        <v>0.1</v>
      </c>
      <c r="J25" s="196">
        <v>6</v>
      </c>
      <c r="K25" s="196">
        <v>15</v>
      </c>
      <c r="L25" s="196">
        <v>9</v>
      </c>
      <c r="M25" s="196">
        <v>30</v>
      </c>
    </row>
    <row r="26" spans="1:13" x14ac:dyDescent="0.2">
      <c r="A26" s="195">
        <v>1.22</v>
      </c>
      <c r="B26" s="196" t="s">
        <v>104</v>
      </c>
      <c r="C26" s="197">
        <v>25</v>
      </c>
      <c r="D26" s="197">
        <v>65</v>
      </c>
      <c r="E26" s="197">
        <v>90</v>
      </c>
      <c r="F26" s="198">
        <v>0.8</v>
      </c>
      <c r="G26" s="198">
        <v>0.8</v>
      </c>
      <c r="H26" s="198">
        <v>0.8</v>
      </c>
      <c r="I26" s="198">
        <v>0.8</v>
      </c>
      <c r="J26" s="196">
        <v>3</v>
      </c>
      <c r="K26" s="196">
        <v>15</v>
      </c>
      <c r="L26" s="196">
        <v>7</v>
      </c>
      <c r="M26" s="196">
        <v>15</v>
      </c>
    </row>
    <row r="27" spans="1:13" x14ac:dyDescent="0.2">
      <c r="A27" s="195">
        <v>1.23</v>
      </c>
      <c r="B27" s="196" t="s">
        <v>105</v>
      </c>
      <c r="C27" s="197">
        <v>21</v>
      </c>
      <c r="D27" s="197">
        <v>50</v>
      </c>
      <c r="E27" s="197">
        <v>83</v>
      </c>
      <c r="F27" s="198">
        <v>0.8</v>
      </c>
      <c r="G27" s="198">
        <v>0.95</v>
      </c>
      <c r="H27" s="198">
        <v>0.95</v>
      </c>
      <c r="I27" s="198">
        <v>0.75</v>
      </c>
      <c r="J27" s="196">
        <v>4</v>
      </c>
      <c r="K27" s="196">
        <v>1</v>
      </c>
      <c r="L27" s="196">
        <v>11</v>
      </c>
      <c r="M27" s="196">
        <v>15</v>
      </c>
    </row>
    <row r="28" spans="1:13" x14ac:dyDescent="0.2">
      <c r="A28" s="195">
        <v>1.24</v>
      </c>
      <c r="B28" s="196" t="s">
        <v>106</v>
      </c>
      <c r="C28" s="197">
        <v>14</v>
      </c>
      <c r="D28" s="197">
        <v>36</v>
      </c>
      <c r="E28" s="197">
        <v>75</v>
      </c>
      <c r="F28" s="198">
        <v>0.3</v>
      </c>
      <c r="G28" s="198">
        <v>1</v>
      </c>
      <c r="H28" s="198">
        <v>1</v>
      </c>
      <c r="I28" s="198">
        <v>0.3</v>
      </c>
      <c r="J28" s="196">
        <v>11</v>
      </c>
      <c r="K28" s="196">
        <v>1</v>
      </c>
      <c r="L28" s="196">
        <v>5</v>
      </c>
      <c r="M28" s="196">
        <v>31</v>
      </c>
    </row>
    <row r="29" spans="1:13" x14ac:dyDescent="0.2">
      <c r="A29" s="195">
        <v>1.25</v>
      </c>
      <c r="B29" s="196" t="s">
        <v>107</v>
      </c>
      <c r="C29" s="197">
        <v>25</v>
      </c>
      <c r="D29" s="197">
        <v>63</v>
      </c>
      <c r="E29" s="197">
        <v>88</v>
      </c>
      <c r="F29" s="198">
        <v>0.3</v>
      </c>
      <c r="G29" s="198">
        <v>1</v>
      </c>
      <c r="H29" s="198">
        <v>1</v>
      </c>
      <c r="I29" s="198">
        <v>0.85</v>
      </c>
      <c r="J29" s="196">
        <v>8</v>
      </c>
      <c r="K29" s="196">
        <v>1</v>
      </c>
      <c r="L29" s="196">
        <v>11</v>
      </c>
      <c r="M29" s="196">
        <v>15</v>
      </c>
    </row>
    <row r="30" spans="1:13" x14ac:dyDescent="0.2">
      <c r="A30" s="195">
        <v>1.26</v>
      </c>
      <c r="B30" s="196" t="s">
        <v>108</v>
      </c>
      <c r="C30" s="197">
        <v>20</v>
      </c>
      <c r="D30" s="197">
        <v>45</v>
      </c>
      <c r="E30" s="197">
        <v>75</v>
      </c>
      <c r="F30" s="198">
        <v>0.33</v>
      </c>
      <c r="G30" s="198">
        <v>1.1000000000000001</v>
      </c>
      <c r="H30" s="198">
        <v>1.1000000000000001</v>
      </c>
      <c r="I30" s="198">
        <v>0.15</v>
      </c>
      <c r="J30" s="196">
        <v>11</v>
      </c>
      <c r="K30" s="196">
        <v>1</v>
      </c>
      <c r="L30" s="196">
        <v>5</v>
      </c>
      <c r="M30" s="196">
        <v>31</v>
      </c>
    </row>
    <row r="31" spans="1:13" x14ac:dyDescent="0.2">
      <c r="A31" s="195">
        <v>1.27</v>
      </c>
      <c r="B31" s="196" t="s">
        <v>109</v>
      </c>
      <c r="C31" s="197">
        <v>10</v>
      </c>
      <c r="D31" s="197">
        <v>26</v>
      </c>
      <c r="E31" s="197">
        <v>75</v>
      </c>
      <c r="F31" s="198">
        <v>0.55000000000000004</v>
      </c>
      <c r="G31" s="198">
        <v>1.2</v>
      </c>
      <c r="H31" s="198">
        <v>1.2</v>
      </c>
      <c r="I31" s="198">
        <v>0.55000000000000004</v>
      </c>
      <c r="J31" s="196">
        <v>3</v>
      </c>
      <c r="K31" s="196">
        <v>1</v>
      </c>
      <c r="L31" s="196">
        <v>10</v>
      </c>
      <c r="M31" s="196">
        <v>1</v>
      </c>
    </row>
    <row r="32" spans="1:13" x14ac:dyDescent="0.2">
      <c r="A32" s="195">
        <v>1.28</v>
      </c>
      <c r="B32" s="196" t="s">
        <v>110</v>
      </c>
      <c r="C32" s="203">
        <v>25</v>
      </c>
      <c r="D32" s="203">
        <v>70</v>
      </c>
      <c r="E32" s="203">
        <v>90</v>
      </c>
      <c r="F32" s="198">
        <v>0.55000000000000004</v>
      </c>
      <c r="G32" s="198">
        <v>1.2</v>
      </c>
      <c r="H32" s="198">
        <v>1.2</v>
      </c>
      <c r="I32" s="198">
        <v>0.55000000000000004</v>
      </c>
      <c r="J32" s="196">
        <v>3</v>
      </c>
      <c r="K32" s="196">
        <v>1</v>
      </c>
      <c r="L32" s="196">
        <v>8</v>
      </c>
      <c r="M32" s="196">
        <v>1</v>
      </c>
    </row>
    <row r="33" spans="1:13" x14ac:dyDescent="0.2">
      <c r="A33" s="195">
        <v>1.29</v>
      </c>
      <c r="B33" s="196" t="s">
        <v>111</v>
      </c>
      <c r="C33" s="203">
        <v>20</v>
      </c>
      <c r="D33" s="203">
        <v>47</v>
      </c>
      <c r="E33" s="203">
        <v>83</v>
      </c>
      <c r="F33" s="198">
        <v>0.2</v>
      </c>
      <c r="G33" s="198">
        <v>1</v>
      </c>
      <c r="H33" s="198">
        <v>1</v>
      </c>
      <c r="I33" s="198">
        <v>1</v>
      </c>
      <c r="J33" s="196">
        <v>3</v>
      </c>
      <c r="K33" s="196">
        <v>1</v>
      </c>
      <c r="L33" s="196">
        <v>5</v>
      </c>
      <c r="M33" s="196">
        <v>31</v>
      </c>
    </row>
    <row r="34" spans="1:13" x14ac:dyDescent="0.2">
      <c r="A34" s="199">
        <v>1.3</v>
      </c>
      <c r="B34" s="200" t="s">
        <v>112</v>
      </c>
      <c r="C34" s="204">
        <v>20</v>
      </c>
      <c r="D34" s="204">
        <v>45</v>
      </c>
      <c r="E34" s="204">
        <v>85</v>
      </c>
      <c r="F34" s="202">
        <v>0.8</v>
      </c>
      <c r="G34" s="202">
        <v>1</v>
      </c>
      <c r="H34" s="202">
        <v>1</v>
      </c>
      <c r="I34" s="202">
        <v>0.85</v>
      </c>
      <c r="J34" s="200">
        <v>3</v>
      </c>
      <c r="K34" s="200">
        <v>1</v>
      </c>
      <c r="L34" s="200">
        <v>8</v>
      </c>
      <c r="M34" s="200">
        <v>31</v>
      </c>
    </row>
    <row r="35" spans="1:13" x14ac:dyDescent="0.2">
      <c r="A35" s="195">
        <v>1.31</v>
      </c>
      <c r="B35" s="196" t="s">
        <v>113</v>
      </c>
      <c r="C35" s="203">
        <v>20</v>
      </c>
      <c r="D35" s="203">
        <v>45</v>
      </c>
      <c r="E35" s="203">
        <v>78</v>
      </c>
      <c r="F35" s="198">
        <v>0.8</v>
      </c>
      <c r="G35" s="198">
        <v>1.1000000000000001</v>
      </c>
      <c r="H35" s="198">
        <v>1.1000000000000001</v>
      </c>
      <c r="I35" s="198">
        <v>0.7</v>
      </c>
      <c r="J35" s="196">
        <v>4</v>
      </c>
      <c r="K35" s="196">
        <v>15</v>
      </c>
      <c r="L35" s="196">
        <v>8</v>
      </c>
      <c r="M35" s="196">
        <v>15</v>
      </c>
    </row>
    <row r="36" spans="1:13" x14ac:dyDescent="0.2">
      <c r="A36" s="195">
        <v>1.32</v>
      </c>
      <c r="B36" s="196" t="s">
        <v>114</v>
      </c>
      <c r="C36" s="203">
        <v>20</v>
      </c>
      <c r="D36" s="203">
        <v>45</v>
      </c>
      <c r="E36" s="203">
        <v>85</v>
      </c>
      <c r="F36" s="198">
        <v>0.8</v>
      </c>
      <c r="G36" s="198">
        <v>0.85</v>
      </c>
      <c r="H36" s="198">
        <v>0.85</v>
      </c>
      <c r="I36" s="198">
        <v>0.75</v>
      </c>
      <c r="J36" s="196">
        <v>4</v>
      </c>
      <c r="K36" s="196">
        <v>1</v>
      </c>
      <c r="L36" s="196">
        <v>5</v>
      </c>
      <c r="M36" s="196">
        <v>1</v>
      </c>
    </row>
    <row r="37" spans="1:13" x14ac:dyDescent="0.2">
      <c r="A37" s="213">
        <v>1.33</v>
      </c>
      <c r="B37" s="214" t="s">
        <v>115</v>
      </c>
      <c r="C37" s="221">
        <v>18</v>
      </c>
      <c r="D37" s="221">
        <v>24</v>
      </c>
      <c r="E37" s="221">
        <v>78</v>
      </c>
      <c r="F37" s="216">
        <v>1.1000000000000001</v>
      </c>
      <c r="G37" s="216">
        <v>1</v>
      </c>
      <c r="H37" s="216">
        <v>1</v>
      </c>
      <c r="I37" s="216">
        <v>0.6</v>
      </c>
      <c r="J37" s="214">
        <v>5</v>
      </c>
      <c r="K37" s="214">
        <v>1</v>
      </c>
      <c r="L37" s="214">
        <v>9</v>
      </c>
      <c r="M37" s="214">
        <v>27</v>
      </c>
    </row>
    <row r="38" spans="1:13" x14ac:dyDescent="0.2">
      <c r="A38" s="195">
        <v>1.34</v>
      </c>
      <c r="B38" s="196" t="s">
        <v>116</v>
      </c>
      <c r="C38" s="203">
        <v>17</v>
      </c>
      <c r="D38" s="203">
        <v>45</v>
      </c>
      <c r="E38" s="203">
        <v>80</v>
      </c>
      <c r="F38" s="198">
        <v>0.2</v>
      </c>
      <c r="G38" s="198">
        <v>1.05</v>
      </c>
      <c r="H38" s="198">
        <v>1.05</v>
      </c>
      <c r="I38" s="198">
        <v>0.25</v>
      </c>
      <c r="J38" s="196">
        <v>4</v>
      </c>
      <c r="K38" s="196">
        <v>1</v>
      </c>
      <c r="L38" s="196">
        <v>7</v>
      </c>
      <c r="M38" s="196">
        <v>31</v>
      </c>
    </row>
    <row r="39" spans="1:13" x14ac:dyDescent="0.2">
      <c r="A39" s="195">
        <v>1.35</v>
      </c>
      <c r="B39" s="196" t="s">
        <v>117</v>
      </c>
      <c r="C39" s="203">
        <v>17</v>
      </c>
      <c r="D39" s="203">
        <v>45</v>
      </c>
      <c r="E39" s="203">
        <v>80</v>
      </c>
      <c r="F39" s="198">
        <v>0.2</v>
      </c>
      <c r="G39" s="198">
        <v>1.05</v>
      </c>
      <c r="H39" s="198">
        <v>1.05</v>
      </c>
      <c r="I39" s="198">
        <v>0.25</v>
      </c>
      <c r="J39" s="196">
        <v>4</v>
      </c>
      <c r="K39" s="196">
        <v>1</v>
      </c>
      <c r="L39" s="196">
        <v>7</v>
      </c>
      <c r="M39" s="196">
        <v>31</v>
      </c>
    </row>
    <row r="40" spans="1:13" x14ac:dyDescent="0.2">
      <c r="A40" s="195">
        <v>1.36</v>
      </c>
      <c r="B40" s="196" t="s">
        <v>118</v>
      </c>
      <c r="C40" s="203">
        <v>16</v>
      </c>
      <c r="D40" s="203">
        <v>42</v>
      </c>
      <c r="E40" s="203">
        <v>75</v>
      </c>
      <c r="F40" s="198">
        <v>0.2</v>
      </c>
      <c r="G40" s="198">
        <v>1.05</v>
      </c>
      <c r="H40" s="198">
        <v>1.05</v>
      </c>
      <c r="I40" s="198">
        <v>0.5</v>
      </c>
      <c r="J40" s="196">
        <v>4</v>
      </c>
      <c r="K40" s="196">
        <v>1</v>
      </c>
      <c r="L40" s="196">
        <v>11</v>
      </c>
      <c r="M40" s="196">
        <v>15</v>
      </c>
    </row>
    <row r="41" spans="1:13" x14ac:dyDescent="0.2">
      <c r="A41" s="195">
        <v>1.37</v>
      </c>
      <c r="B41" s="196" t="s">
        <v>119</v>
      </c>
      <c r="C41" s="203">
        <v>33</v>
      </c>
      <c r="D41" s="203">
        <v>67</v>
      </c>
      <c r="E41" s="203">
        <v>92</v>
      </c>
      <c r="F41" s="198">
        <v>0.8</v>
      </c>
      <c r="G41" s="198">
        <v>0.95</v>
      </c>
      <c r="H41" s="198">
        <v>0.95</v>
      </c>
      <c r="I41" s="198">
        <v>0.9</v>
      </c>
      <c r="J41" s="196">
        <v>11</v>
      </c>
      <c r="K41" s="196">
        <v>15</v>
      </c>
      <c r="L41" s="196">
        <v>1</v>
      </c>
      <c r="M41" s="196">
        <v>31</v>
      </c>
    </row>
    <row r="42" spans="1:13" x14ac:dyDescent="0.2">
      <c r="A42" s="195">
        <v>1.38</v>
      </c>
      <c r="B42" s="196" t="s">
        <v>120</v>
      </c>
      <c r="C42" s="203">
        <v>20</v>
      </c>
      <c r="D42" s="203">
        <v>50</v>
      </c>
      <c r="E42" s="203">
        <v>80</v>
      </c>
      <c r="F42" s="198">
        <v>0.52</v>
      </c>
      <c r="G42" s="198">
        <v>0.9</v>
      </c>
      <c r="H42" s="198">
        <v>0.9</v>
      </c>
      <c r="I42" s="198">
        <v>0.7</v>
      </c>
      <c r="J42" s="196">
        <v>1</v>
      </c>
      <c r="K42" s="196">
        <v>15</v>
      </c>
      <c r="L42" s="196">
        <v>4</v>
      </c>
      <c r="M42" s="196">
        <v>15</v>
      </c>
    </row>
    <row r="43" spans="1:13" x14ac:dyDescent="0.2">
      <c r="A43" s="195">
        <v>1.39</v>
      </c>
      <c r="B43" s="196" t="s">
        <v>121</v>
      </c>
      <c r="C43" s="203">
        <v>15</v>
      </c>
      <c r="D43" s="203">
        <v>45</v>
      </c>
      <c r="E43" s="203">
        <v>80</v>
      </c>
      <c r="F43" s="198">
        <v>0.2</v>
      </c>
      <c r="G43" s="198">
        <v>0.7</v>
      </c>
      <c r="H43" s="198">
        <v>0.7</v>
      </c>
      <c r="I43" s="198">
        <v>0.7</v>
      </c>
      <c r="J43" s="196">
        <v>5</v>
      </c>
      <c r="K43" s="196">
        <v>1</v>
      </c>
      <c r="L43" s="196">
        <v>9</v>
      </c>
      <c r="M43" s="196">
        <v>30</v>
      </c>
    </row>
    <row r="44" spans="1:13" x14ac:dyDescent="0.2">
      <c r="A44" s="199">
        <v>1.4</v>
      </c>
      <c r="B44" s="200" t="s">
        <v>122</v>
      </c>
      <c r="C44" s="204">
        <v>15</v>
      </c>
      <c r="D44" s="204">
        <v>45</v>
      </c>
      <c r="E44" s="204">
        <v>80</v>
      </c>
      <c r="F44" s="202">
        <v>0.2</v>
      </c>
      <c r="G44" s="202">
        <v>1.1499999999999999</v>
      </c>
      <c r="H44" s="202">
        <v>1.1499999999999999</v>
      </c>
      <c r="I44" s="202">
        <v>0.95</v>
      </c>
      <c r="J44" s="200">
        <v>3</v>
      </c>
      <c r="K44" s="200">
        <v>15</v>
      </c>
      <c r="L44" s="200">
        <v>9</v>
      </c>
      <c r="M44" s="200">
        <v>30</v>
      </c>
    </row>
    <row r="45" spans="1:13" x14ac:dyDescent="0.2">
      <c r="A45" s="195">
        <v>1.41</v>
      </c>
      <c r="B45" s="196" t="s">
        <v>123</v>
      </c>
      <c r="C45" s="203">
        <v>20</v>
      </c>
      <c r="D45" s="203">
        <v>45</v>
      </c>
      <c r="E45" s="203">
        <v>80</v>
      </c>
      <c r="F45" s="198">
        <v>0.2</v>
      </c>
      <c r="G45" s="198">
        <v>1.1000000000000001</v>
      </c>
      <c r="H45" s="198">
        <v>1.1000000000000001</v>
      </c>
      <c r="I45" s="198">
        <v>0.4</v>
      </c>
      <c r="J45" s="196">
        <v>5</v>
      </c>
      <c r="K45" s="196">
        <v>1</v>
      </c>
      <c r="L45" s="196">
        <v>9</v>
      </c>
      <c r="M45" s="196">
        <v>10</v>
      </c>
    </row>
    <row r="46" spans="1:13" x14ac:dyDescent="0.2">
      <c r="A46" s="195">
        <v>1.42</v>
      </c>
      <c r="B46" s="196" t="s">
        <v>124</v>
      </c>
      <c r="C46" s="203">
        <v>20</v>
      </c>
      <c r="D46" s="203">
        <v>45</v>
      </c>
      <c r="E46" s="203">
        <v>78</v>
      </c>
      <c r="F46" s="198">
        <v>0.8</v>
      </c>
      <c r="G46" s="198">
        <v>1.1000000000000001</v>
      </c>
      <c r="H46" s="198">
        <v>1.1000000000000001</v>
      </c>
      <c r="I46" s="198">
        <v>0.7</v>
      </c>
      <c r="J46" s="196">
        <v>4</v>
      </c>
      <c r="K46" s="196">
        <v>15</v>
      </c>
      <c r="L46" s="196">
        <v>8</v>
      </c>
      <c r="M46" s="196">
        <v>15</v>
      </c>
    </row>
    <row r="47" spans="1:13" x14ac:dyDescent="0.2">
      <c r="A47" s="195">
        <v>1.43</v>
      </c>
      <c r="B47" s="196" t="s">
        <v>125</v>
      </c>
      <c r="C47" s="203">
        <v>25</v>
      </c>
      <c r="D47" s="203">
        <v>50</v>
      </c>
      <c r="E47" s="203">
        <v>80</v>
      </c>
      <c r="F47" s="198">
        <v>0.3</v>
      </c>
      <c r="G47" s="198">
        <v>1.1000000000000001</v>
      </c>
      <c r="H47" s="198">
        <v>1.1000000000000001</v>
      </c>
      <c r="I47" s="198">
        <v>0.65</v>
      </c>
      <c r="J47" s="196">
        <v>4</v>
      </c>
      <c r="K47" s="196">
        <v>1</v>
      </c>
      <c r="L47" s="196">
        <v>8</v>
      </c>
      <c r="M47" s="196">
        <v>31</v>
      </c>
    </row>
    <row r="48" spans="1:13" x14ac:dyDescent="0.2">
      <c r="A48" s="195">
        <v>1.44</v>
      </c>
      <c r="B48" s="196" t="s">
        <v>126</v>
      </c>
      <c r="C48" s="203">
        <v>33</v>
      </c>
      <c r="D48" s="203">
        <v>67</v>
      </c>
      <c r="E48" s="203">
        <v>92</v>
      </c>
      <c r="F48" s="198">
        <v>0.8</v>
      </c>
      <c r="G48" s="198">
        <v>0.9</v>
      </c>
      <c r="H48" s="198">
        <v>0.9</v>
      </c>
      <c r="I48" s="198">
        <v>0.9</v>
      </c>
      <c r="J48" s="196">
        <v>3</v>
      </c>
      <c r="K48" s="196">
        <v>1</v>
      </c>
      <c r="L48" s="196">
        <v>8</v>
      </c>
      <c r="M48" s="196">
        <v>31</v>
      </c>
    </row>
    <row r="49" spans="1:13" x14ac:dyDescent="0.2">
      <c r="A49" s="195">
        <v>1.45</v>
      </c>
      <c r="B49" s="196" t="s">
        <v>127</v>
      </c>
      <c r="C49" s="203">
        <v>20</v>
      </c>
      <c r="D49" s="203">
        <v>45</v>
      </c>
      <c r="E49" s="203">
        <v>75</v>
      </c>
      <c r="F49" s="198">
        <v>0.33</v>
      </c>
      <c r="G49" s="198">
        <v>1.1000000000000001</v>
      </c>
      <c r="H49" s="198">
        <v>1.1000000000000001</v>
      </c>
      <c r="I49" s="198">
        <v>0.15</v>
      </c>
      <c r="J49" s="196">
        <v>11</v>
      </c>
      <c r="K49" s="196">
        <v>1</v>
      </c>
      <c r="L49" s="196">
        <v>5</v>
      </c>
      <c r="M49" s="196">
        <v>31</v>
      </c>
    </row>
    <row r="50" spans="1:13" x14ac:dyDescent="0.2">
      <c r="A50" s="195">
        <v>1.46</v>
      </c>
      <c r="B50" s="196" t="s">
        <v>128</v>
      </c>
      <c r="C50" s="203">
        <v>20</v>
      </c>
      <c r="D50" s="203">
        <v>50</v>
      </c>
      <c r="E50" s="203">
        <v>75</v>
      </c>
      <c r="F50" s="198">
        <v>0.8</v>
      </c>
      <c r="G50" s="198">
        <v>1</v>
      </c>
      <c r="H50" s="198">
        <v>1</v>
      </c>
      <c r="I50" s="198">
        <v>0.75</v>
      </c>
      <c r="J50" s="196">
        <v>4</v>
      </c>
      <c r="K50" s="196">
        <v>1</v>
      </c>
      <c r="L50" s="196">
        <v>11</v>
      </c>
      <c r="M50" s="196">
        <v>15</v>
      </c>
    </row>
    <row r="51" spans="1:13" x14ac:dyDescent="0.2">
      <c r="A51" s="199">
        <v>2.0099999999999998</v>
      </c>
      <c r="B51" s="200" t="s">
        <v>129</v>
      </c>
      <c r="C51" s="204">
        <v>25</v>
      </c>
      <c r="D51" s="204">
        <v>50</v>
      </c>
      <c r="E51" s="204">
        <v>75</v>
      </c>
      <c r="F51" s="202">
        <v>1</v>
      </c>
      <c r="G51" s="202">
        <v>1</v>
      </c>
      <c r="H51" s="202">
        <v>1</v>
      </c>
      <c r="I51" s="202">
        <v>1</v>
      </c>
      <c r="J51" s="200">
        <v>1</v>
      </c>
      <c r="K51" s="200">
        <v>1</v>
      </c>
      <c r="L51" s="200">
        <v>12</v>
      </c>
      <c r="M51" s="200">
        <v>31</v>
      </c>
    </row>
    <row r="52" spans="1:13" x14ac:dyDescent="0.2">
      <c r="A52" s="195">
        <v>2.02</v>
      </c>
      <c r="B52" s="196" t="s">
        <v>130</v>
      </c>
      <c r="C52" s="203">
        <v>25</v>
      </c>
      <c r="D52" s="203">
        <v>50</v>
      </c>
      <c r="E52" s="203">
        <v>75</v>
      </c>
      <c r="F52" s="198">
        <v>0.95</v>
      </c>
      <c r="G52" s="198">
        <v>0.95</v>
      </c>
      <c r="H52" s="198">
        <v>0.95</v>
      </c>
      <c r="I52" s="198">
        <v>0.95</v>
      </c>
      <c r="J52" s="196">
        <v>1</v>
      </c>
      <c r="K52" s="196">
        <v>1</v>
      </c>
      <c r="L52" s="196">
        <v>12</v>
      </c>
      <c r="M52" s="196">
        <v>31</v>
      </c>
    </row>
    <row r="53" spans="1:13" x14ac:dyDescent="0.2">
      <c r="A53" s="195">
        <v>2.0299999999999998</v>
      </c>
      <c r="B53" s="196" t="s">
        <v>131</v>
      </c>
      <c r="C53" s="203">
        <v>25</v>
      </c>
      <c r="D53" s="203">
        <v>50</v>
      </c>
      <c r="E53" s="203">
        <v>75</v>
      </c>
      <c r="F53" s="198">
        <v>0.8</v>
      </c>
      <c r="G53" s="198">
        <v>0.8</v>
      </c>
      <c r="H53" s="198">
        <v>0.8</v>
      </c>
      <c r="I53" s="198">
        <v>0.8</v>
      </c>
      <c r="J53" s="196">
        <v>1</v>
      </c>
      <c r="K53" s="196">
        <v>1</v>
      </c>
      <c r="L53" s="196">
        <v>12</v>
      </c>
      <c r="M53" s="196">
        <v>31</v>
      </c>
    </row>
    <row r="54" spans="1:13" x14ac:dyDescent="0.2">
      <c r="A54" s="195">
        <v>2.04</v>
      </c>
      <c r="B54" s="196" t="s">
        <v>132</v>
      </c>
      <c r="C54" s="203">
        <v>25</v>
      </c>
      <c r="D54" s="203">
        <v>50</v>
      </c>
      <c r="E54" s="203">
        <v>75</v>
      </c>
      <c r="F54" s="198">
        <v>0.6</v>
      </c>
      <c r="G54" s="198">
        <v>0.6</v>
      </c>
      <c r="H54" s="198">
        <v>0.6</v>
      </c>
      <c r="I54" s="198">
        <v>0.6</v>
      </c>
      <c r="J54" s="196">
        <v>1</v>
      </c>
      <c r="K54" s="196">
        <v>1</v>
      </c>
      <c r="L54" s="196">
        <v>12</v>
      </c>
      <c r="M54" s="196">
        <v>31</v>
      </c>
    </row>
    <row r="55" spans="1:13" x14ac:dyDescent="0.2">
      <c r="A55" s="205">
        <v>3.01</v>
      </c>
      <c r="B55" s="206" t="s">
        <v>133</v>
      </c>
      <c r="C55" s="204">
        <v>0</v>
      </c>
      <c r="D55" s="204">
        <v>50</v>
      </c>
      <c r="E55" s="204">
        <v>90</v>
      </c>
      <c r="F55" s="202">
        <v>0.55000000000000004</v>
      </c>
      <c r="G55" s="202">
        <v>1.1499999999999999</v>
      </c>
      <c r="H55" s="202">
        <v>1.1499999999999999</v>
      </c>
      <c r="I55" s="202">
        <v>0.65</v>
      </c>
      <c r="J55" s="200">
        <v>3</v>
      </c>
      <c r="K55" s="200">
        <v>1</v>
      </c>
      <c r="L55" s="200">
        <v>10</v>
      </c>
      <c r="M55" s="200">
        <v>15</v>
      </c>
    </row>
    <row r="56" spans="1:13" x14ac:dyDescent="0.2">
      <c r="A56" s="195">
        <v>3.02</v>
      </c>
      <c r="B56" s="207" t="s">
        <v>134</v>
      </c>
      <c r="C56" s="203">
        <v>0</v>
      </c>
      <c r="D56" s="203">
        <v>50</v>
      </c>
      <c r="E56" s="203">
        <v>75</v>
      </c>
      <c r="F56" s="198">
        <v>0.55000000000000004</v>
      </c>
      <c r="G56" s="198">
        <v>1.05</v>
      </c>
      <c r="H56" s="198">
        <v>1.05</v>
      </c>
      <c r="I56" s="198">
        <v>0.8</v>
      </c>
      <c r="J56" s="196">
        <v>4</v>
      </c>
      <c r="K56" s="196">
        <v>1</v>
      </c>
      <c r="L56" s="196">
        <v>11</v>
      </c>
      <c r="M56" s="196">
        <v>15</v>
      </c>
    </row>
    <row r="57" spans="1:13" x14ac:dyDescent="0.2">
      <c r="A57" s="195">
        <v>3.03</v>
      </c>
      <c r="B57" s="207" t="s">
        <v>353</v>
      </c>
      <c r="C57" s="203">
        <v>0</v>
      </c>
      <c r="D57" s="203">
        <v>25</v>
      </c>
      <c r="E57" s="203">
        <v>75</v>
      </c>
      <c r="F57" s="198">
        <v>0.45</v>
      </c>
      <c r="G57" s="198">
        <v>0.8</v>
      </c>
      <c r="H57" s="198">
        <v>0.8</v>
      </c>
      <c r="I57" s="198">
        <v>0.35</v>
      </c>
      <c r="J57" s="196">
        <v>4</v>
      </c>
      <c r="K57" s="196">
        <v>1</v>
      </c>
      <c r="L57" s="196">
        <v>10</v>
      </c>
      <c r="M57" s="196">
        <v>1</v>
      </c>
    </row>
    <row r="58" spans="1:13" x14ac:dyDescent="0.2">
      <c r="A58" s="195">
        <v>3.04</v>
      </c>
      <c r="B58" s="207" t="s">
        <v>354</v>
      </c>
      <c r="C58" s="203">
        <v>0</v>
      </c>
      <c r="D58" s="203">
        <v>25</v>
      </c>
      <c r="E58" s="203">
        <v>75</v>
      </c>
      <c r="F58" s="198">
        <v>0.45</v>
      </c>
      <c r="G58" s="198">
        <v>1.1000000000000001</v>
      </c>
      <c r="H58" s="198">
        <v>1.1000000000000001</v>
      </c>
      <c r="I58" s="198">
        <v>0.35</v>
      </c>
      <c r="J58" s="196">
        <v>3</v>
      </c>
      <c r="K58" s="196">
        <v>15</v>
      </c>
      <c r="L58" s="196">
        <v>9</v>
      </c>
      <c r="M58" s="196">
        <v>10</v>
      </c>
    </row>
    <row r="59" spans="1:13" x14ac:dyDescent="0.2">
      <c r="A59" s="195">
        <v>3.05</v>
      </c>
      <c r="B59" s="207" t="s">
        <v>355</v>
      </c>
      <c r="C59" s="203">
        <v>0</v>
      </c>
      <c r="D59" s="203">
        <v>25</v>
      </c>
      <c r="E59" s="203">
        <v>75</v>
      </c>
      <c r="F59" s="198">
        <v>0.45</v>
      </c>
      <c r="G59" s="198">
        <v>1.1000000000000001</v>
      </c>
      <c r="H59" s="198">
        <v>1.1000000000000001</v>
      </c>
      <c r="I59" s="198">
        <v>0.35</v>
      </c>
      <c r="J59" s="196">
        <v>3</v>
      </c>
      <c r="K59" s="196">
        <v>15</v>
      </c>
      <c r="L59" s="196">
        <v>9</v>
      </c>
      <c r="M59" s="196">
        <v>10</v>
      </c>
    </row>
    <row r="60" spans="1:13" x14ac:dyDescent="0.2">
      <c r="A60" s="195">
        <v>3.06</v>
      </c>
      <c r="B60" s="207" t="s">
        <v>135</v>
      </c>
      <c r="C60" s="203">
        <v>0</v>
      </c>
      <c r="D60" s="203">
        <v>22</v>
      </c>
      <c r="E60" s="203">
        <v>67</v>
      </c>
      <c r="F60" s="198">
        <v>0.3</v>
      </c>
      <c r="G60" s="198">
        <v>1.05</v>
      </c>
      <c r="H60" s="198">
        <v>1.05</v>
      </c>
      <c r="I60" s="198">
        <v>1</v>
      </c>
      <c r="J60" s="196">
        <v>5</v>
      </c>
      <c r="K60" s="196">
        <v>1</v>
      </c>
      <c r="L60" s="196">
        <v>10</v>
      </c>
      <c r="M60" s="196">
        <v>31</v>
      </c>
    </row>
    <row r="61" spans="1:13" x14ac:dyDescent="0.2">
      <c r="A61" s="195">
        <v>3.07</v>
      </c>
      <c r="B61" s="207" t="s">
        <v>136</v>
      </c>
      <c r="C61" s="203">
        <v>0</v>
      </c>
      <c r="D61" s="203">
        <v>50</v>
      </c>
      <c r="E61" s="203">
        <v>90</v>
      </c>
      <c r="F61" s="198">
        <v>0.55000000000000004</v>
      </c>
      <c r="G61" s="198">
        <v>1.1499999999999999</v>
      </c>
      <c r="H61" s="198">
        <v>1.1499999999999999</v>
      </c>
      <c r="I61" s="198">
        <v>0.65</v>
      </c>
      <c r="J61" s="196">
        <v>3</v>
      </c>
      <c r="K61" s="196">
        <v>1</v>
      </c>
      <c r="L61" s="196">
        <v>10</v>
      </c>
      <c r="M61" s="196">
        <v>15</v>
      </c>
    </row>
    <row r="62" spans="1:13" x14ac:dyDescent="0.2">
      <c r="A62" s="195">
        <v>3.08</v>
      </c>
      <c r="B62" s="207" t="s">
        <v>137</v>
      </c>
      <c r="C62" s="203">
        <v>0</v>
      </c>
      <c r="D62" s="203">
        <v>50</v>
      </c>
      <c r="E62" s="203">
        <v>75</v>
      </c>
      <c r="F62" s="198">
        <v>0.55000000000000004</v>
      </c>
      <c r="G62" s="198">
        <v>1.1499999999999999</v>
      </c>
      <c r="H62" s="198">
        <v>1.1499999999999999</v>
      </c>
      <c r="I62" s="198">
        <v>0.8</v>
      </c>
      <c r="J62" s="196">
        <v>4</v>
      </c>
      <c r="K62" s="196">
        <v>1</v>
      </c>
      <c r="L62" s="196">
        <v>11</v>
      </c>
      <c r="M62" s="196">
        <v>15</v>
      </c>
    </row>
    <row r="63" spans="1:13" x14ac:dyDescent="0.2">
      <c r="A63" s="205">
        <v>4.01</v>
      </c>
      <c r="B63" s="200" t="s">
        <v>138</v>
      </c>
      <c r="C63" s="204">
        <v>0</v>
      </c>
      <c r="D63" s="204">
        <v>33</v>
      </c>
      <c r="E63" s="204">
        <v>67</v>
      </c>
      <c r="F63" s="202">
        <v>0.7</v>
      </c>
      <c r="G63" s="202">
        <v>0.7</v>
      </c>
      <c r="H63" s="202">
        <v>0.7</v>
      </c>
      <c r="I63" s="202">
        <v>0.7</v>
      </c>
      <c r="J63" s="200">
        <v>1</v>
      </c>
      <c r="K63" s="200">
        <v>1</v>
      </c>
      <c r="L63" s="200">
        <v>12</v>
      </c>
      <c r="M63" s="200">
        <v>31</v>
      </c>
    </row>
    <row r="64" spans="1:13" x14ac:dyDescent="0.2">
      <c r="A64" s="195">
        <v>4.0199999999999996</v>
      </c>
      <c r="B64" s="196" t="s">
        <v>356</v>
      </c>
      <c r="C64" s="203">
        <v>0</v>
      </c>
      <c r="D64" s="203">
        <v>33</v>
      </c>
      <c r="E64" s="203">
        <v>67</v>
      </c>
      <c r="F64" s="198">
        <v>1</v>
      </c>
      <c r="G64" s="198">
        <v>1</v>
      </c>
      <c r="H64" s="198">
        <v>1</v>
      </c>
      <c r="I64" s="198">
        <v>1</v>
      </c>
      <c r="J64" s="196">
        <v>1</v>
      </c>
      <c r="K64" s="196">
        <v>1</v>
      </c>
      <c r="L64" s="196">
        <v>12</v>
      </c>
      <c r="M64" s="196">
        <v>31</v>
      </c>
    </row>
    <row r="65" spans="1:13" x14ac:dyDescent="0.2">
      <c r="A65" s="195">
        <v>4.03</v>
      </c>
      <c r="B65" s="196" t="s">
        <v>357</v>
      </c>
      <c r="C65" s="203">
        <v>0</v>
      </c>
      <c r="D65" s="203">
        <v>33</v>
      </c>
      <c r="E65" s="203">
        <v>67</v>
      </c>
      <c r="F65" s="216">
        <v>0.7</v>
      </c>
      <c r="G65" s="216">
        <v>0.7</v>
      </c>
      <c r="H65" s="216">
        <v>0.7</v>
      </c>
      <c r="I65" s="216">
        <v>0.7</v>
      </c>
      <c r="J65" s="196">
        <v>1</v>
      </c>
      <c r="K65" s="196">
        <v>1</v>
      </c>
      <c r="L65" s="196">
        <v>12</v>
      </c>
      <c r="M65" s="196">
        <v>31</v>
      </c>
    </row>
    <row r="66" spans="1:13" x14ac:dyDescent="0.2">
      <c r="A66" s="195">
        <v>4.04</v>
      </c>
      <c r="B66" s="196" t="s">
        <v>139</v>
      </c>
      <c r="C66" s="203">
        <v>0</v>
      </c>
      <c r="D66" s="203">
        <v>33</v>
      </c>
      <c r="E66" s="203">
        <v>67</v>
      </c>
      <c r="F66" s="216">
        <v>0.95</v>
      </c>
      <c r="G66" s="216">
        <v>0.95</v>
      </c>
      <c r="H66" s="216">
        <v>0.95</v>
      </c>
      <c r="I66" s="216">
        <v>0.95</v>
      </c>
      <c r="J66" s="196">
        <v>1</v>
      </c>
      <c r="K66" s="196">
        <v>1</v>
      </c>
      <c r="L66" s="196">
        <v>12</v>
      </c>
      <c r="M66" s="196">
        <v>31</v>
      </c>
    </row>
    <row r="67" spans="1:13" x14ac:dyDescent="0.2">
      <c r="A67" s="195">
        <v>4.05</v>
      </c>
      <c r="B67" s="196" t="s">
        <v>140</v>
      </c>
      <c r="C67" s="203">
        <v>0</v>
      </c>
      <c r="D67" s="203">
        <v>33</v>
      </c>
      <c r="E67" s="203">
        <v>67</v>
      </c>
      <c r="F67" s="216">
        <v>1.1499999999999999</v>
      </c>
      <c r="G67" s="216">
        <v>1.1499999999999999</v>
      </c>
      <c r="H67" s="216">
        <v>1.1499999999999999</v>
      </c>
      <c r="I67" s="216">
        <v>1.1499999999999999</v>
      </c>
      <c r="J67" s="196">
        <v>1</v>
      </c>
      <c r="K67" s="196">
        <v>1</v>
      </c>
      <c r="L67" s="196">
        <v>12</v>
      </c>
      <c r="M67" s="196">
        <v>31</v>
      </c>
    </row>
    <row r="68" spans="1:13" x14ac:dyDescent="0.2">
      <c r="A68" s="195">
        <v>4.0599999999999996</v>
      </c>
      <c r="B68" s="196" t="s">
        <v>141</v>
      </c>
      <c r="C68" s="203">
        <v>0</v>
      </c>
      <c r="D68" s="203">
        <v>33</v>
      </c>
      <c r="E68" s="203">
        <v>67</v>
      </c>
      <c r="F68" s="216">
        <v>0.7</v>
      </c>
      <c r="G68" s="216">
        <v>0.55000000000000004</v>
      </c>
      <c r="H68" s="216">
        <v>0.55000000000000004</v>
      </c>
      <c r="I68" s="216">
        <v>0.7</v>
      </c>
      <c r="J68" s="196">
        <v>1</v>
      </c>
      <c r="K68" s="196">
        <v>1</v>
      </c>
      <c r="L68" s="196">
        <v>12</v>
      </c>
      <c r="M68" s="196">
        <v>31</v>
      </c>
    </row>
    <row r="69" spans="1:13" x14ac:dyDescent="0.2">
      <c r="A69" s="217">
        <v>1.47</v>
      </c>
      <c r="B69" s="218" t="s">
        <v>349</v>
      </c>
      <c r="C69" s="222">
        <v>33</v>
      </c>
      <c r="D69" s="222">
        <v>67</v>
      </c>
      <c r="E69" s="222">
        <f>15/75*100+67</f>
        <v>87</v>
      </c>
      <c r="F69" s="220">
        <v>0.5</v>
      </c>
      <c r="G69" s="220">
        <v>1.1499999999999999</v>
      </c>
      <c r="H69" s="220">
        <v>1.1499999999999999</v>
      </c>
      <c r="I69" s="220">
        <v>1.1000000000000001</v>
      </c>
      <c r="J69" s="218">
        <v>7</v>
      </c>
      <c r="K69" s="218">
        <v>18</v>
      </c>
      <c r="L69" s="218">
        <v>9</v>
      </c>
      <c r="M69" s="218">
        <v>30</v>
      </c>
    </row>
    <row r="70" spans="1:13" x14ac:dyDescent="0.2">
      <c r="A70" s="213">
        <v>3.48</v>
      </c>
      <c r="B70" s="214" t="s">
        <v>350</v>
      </c>
      <c r="C70" s="221">
        <v>0</v>
      </c>
      <c r="D70" s="221">
        <v>17</v>
      </c>
      <c r="E70" s="221">
        <v>68</v>
      </c>
      <c r="F70" s="216">
        <v>0.4</v>
      </c>
      <c r="G70" s="216">
        <v>1.25</v>
      </c>
      <c r="H70" s="216">
        <v>1.25</v>
      </c>
      <c r="I70" s="216">
        <v>0.75</v>
      </c>
      <c r="J70" s="214">
        <v>5</v>
      </c>
      <c r="K70" s="214">
        <v>15</v>
      </c>
      <c r="L70" s="214">
        <v>5</v>
      </c>
      <c r="M70" s="214">
        <v>14</v>
      </c>
    </row>
  </sheetData>
  <sheetProtection password="CC31" sheet="1" objects="1" scenarios="1"/>
  <mergeCells count="1">
    <mergeCell ref="A2:M2"/>
  </mergeCells>
  <phoneticPr fontId="0"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AW60"/>
  <sheetViews>
    <sheetView zoomScale="160" zoomScaleNormal="160" workbookViewId="0">
      <pane xSplit="10" ySplit="10" topLeftCell="P13" activePane="bottomRight" state="frozen"/>
      <selection pane="topRight" activeCell="K1" sqref="K1"/>
      <selection pane="bottomLeft" activeCell="A11" sqref="A11"/>
      <selection pane="bottomRight" activeCell="O25" sqref="O25"/>
    </sheetView>
  </sheetViews>
  <sheetFormatPr defaultColWidth="8.7109375" defaultRowHeight="15.75" x14ac:dyDescent="0.25"/>
  <cols>
    <col min="1" max="1" width="8.7109375" style="226"/>
    <col min="2" max="2" width="9.28515625" style="226" customWidth="1"/>
    <col min="3" max="3" width="15.85546875" style="226" customWidth="1"/>
    <col min="4" max="4" width="20.7109375" style="226" customWidth="1"/>
    <col min="5" max="5" width="12.5703125" style="226" customWidth="1"/>
    <col min="6" max="6" width="8.7109375" style="226"/>
    <col min="7" max="7" width="8.7109375" style="226" customWidth="1"/>
    <col min="8" max="8" width="16.7109375" style="226" customWidth="1"/>
    <col min="9" max="9" width="19.140625" style="226" bestFit="1" customWidth="1"/>
    <col min="10" max="10" width="11" style="226" customWidth="1"/>
    <col min="11" max="16384" width="8.7109375" style="226"/>
  </cols>
  <sheetData>
    <row r="1" spans="1:49" x14ac:dyDescent="0.25">
      <c r="A1" s="225"/>
      <c r="B1" s="225"/>
      <c r="C1" s="225"/>
      <c r="D1" s="225"/>
      <c r="E1" s="225"/>
      <c r="F1" s="225"/>
      <c r="G1" s="225"/>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row>
    <row r="2" spans="1:49" x14ac:dyDescent="0.25">
      <c r="A2" s="225"/>
      <c r="B2" s="227" t="s">
        <v>358</v>
      </c>
      <c r="C2" s="225"/>
      <c r="D2" s="225"/>
      <c r="E2" s="225"/>
      <c r="F2" s="225"/>
      <c r="G2" s="227" t="s">
        <v>358</v>
      </c>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row>
    <row r="3" spans="1:49" x14ac:dyDescent="0.25">
      <c r="A3" s="225"/>
      <c r="B3" s="227" t="s">
        <v>373</v>
      </c>
      <c r="C3" s="225"/>
      <c r="D3" s="225"/>
      <c r="E3" s="225"/>
      <c r="F3" s="225"/>
      <c r="G3" s="227" t="s">
        <v>359</v>
      </c>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row>
    <row r="4" spans="1:49" ht="16.5" thickBot="1" x14ac:dyDescent="0.3">
      <c r="A4" s="225"/>
      <c r="B4" s="225"/>
      <c r="C4" s="225"/>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row>
    <row r="5" spans="1:49" ht="18.75" thickBot="1" x14ac:dyDescent="0.3">
      <c r="A5" s="225"/>
      <c r="B5" s="230" t="s">
        <v>360</v>
      </c>
      <c r="C5" s="230" t="s">
        <v>361</v>
      </c>
      <c r="D5" s="231" t="s">
        <v>364</v>
      </c>
      <c r="E5" s="231" t="s">
        <v>365</v>
      </c>
      <c r="F5" s="225"/>
      <c r="G5" s="228" t="s">
        <v>360</v>
      </c>
      <c r="H5" s="228" t="s">
        <v>361</v>
      </c>
      <c r="I5" s="229" t="s">
        <v>362</v>
      </c>
      <c r="J5" s="229" t="s">
        <v>363</v>
      </c>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row>
    <row r="6" spans="1:49" ht="16.5" thickBot="1" x14ac:dyDescent="0.3">
      <c r="A6" s="225"/>
      <c r="B6" s="236" t="s">
        <v>212</v>
      </c>
      <c r="C6" s="237" t="s">
        <v>366</v>
      </c>
      <c r="D6" s="238">
        <v>11.2</v>
      </c>
      <c r="E6" s="239">
        <v>0.75</v>
      </c>
      <c r="F6" s="225"/>
      <c r="G6" s="232" t="s">
        <v>212</v>
      </c>
      <c r="H6" s="233" t="s">
        <v>366</v>
      </c>
      <c r="I6" s="234">
        <v>0.44094488188976377</v>
      </c>
      <c r="J6" s="235">
        <v>0.75</v>
      </c>
      <c r="K6" s="225"/>
      <c r="L6" s="225"/>
      <c r="M6" s="225"/>
      <c r="N6" s="225"/>
      <c r="O6" s="225"/>
      <c r="P6" s="225"/>
      <c r="Q6" s="225"/>
      <c r="R6" s="225"/>
      <c r="S6" s="225"/>
      <c r="T6" s="225"/>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row>
    <row r="7" spans="1:49" ht="16.5" thickBot="1" x14ac:dyDescent="0.3">
      <c r="A7" s="225"/>
      <c r="B7" s="236" t="s">
        <v>4</v>
      </c>
      <c r="C7" s="237" t="s">
        <v>367</v>
      </c>
      <c r="D7" s="238">
        <v>0.7</v>
      </c>
      <c r="E7" s="239">
        <v>0.85</v>
      </c>
      <c r="F7" s="225"/>
      <c r="G7" s="232" t="s">
        <v>4</v>
      </c>
      <c r="H7" s="233" t="s">
        <v>367</v>
      </c>
      <c r="I7" s="234">
        <v>2.7559055118110236E-2</v>
      </c>
      <c r="J7" s="235">
        <v>0.85</v>
      </c>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row>
    <row r="8" spans="1:49" ht="16.5" thickBot="1" x14ac:dyDescent="0.3">
      <c r="A8" s="225"/>
      <c r="B8" s="236" t="s">
        <v>368</v>
      </c>
      <c r="C8" s="237" t="s">
        <v>369</v>
      </c>
      <c r="D8" s="238">
        <v>1.3</v>
      </c>
      <c r="E8" s="239">
        <v>0.8</v>
      </c>
      <c r="F8" s="225"/>
      <c r="G8" s="232" t="s">
        <v>368</v>
      </c>
      <c r="H8" s="233" t="s">
        <v>369</v>
      </c>
      <c r="I8" s="234">
        <v>5.1181102362204731E-2</v>
      </c>
      <c r="J8" s="235">
        <v>0.8</v>
      </c>
      <c r="K8" s="225"/>
      <c r="L8" s="225"/>
      <c r="M8" s="225"/>
      <c r="N8" s="225"/>
      <c r="O8" s="225"/>
      <c r="P8" s="225"/>
      <c r="Q8" s="225"/>
      <c r="R8" s="225"/>
      <c r="S8" s="225"/>
      <c r="T8" s="225"/>
      <c r="U8" s="225"/>
      <c r="V8" s="225"/>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row>
    <row r="9" spans="1:49" ht="16.5" thickBot="1" x14ac:dyDescent="0.3">
      <c r="A9" s="225"/>
      <c r="B9" s="236" t="s">
        <v>370</v>
      </c>
      <c r="C9" s="237" t="s">
        <v>371</v>
      </c>
      <c r="D9" s="238">
        <v>3.2</v>
      </c>
      <c r="E9" s="239">
        <v>0.75</v>
      </c>
      <c r="F9" s="225"/>
      <c r="G9" s="232" t="s">
        <v>370</v>
      </c>
      <c r="H9" s="233" t="s">
        <v>371</v>
      </c>
      <c r="I9" s="234">
        <v>0.12598425196850396</v>
      </c>
      <c r="J9" s="235">
        <v>0.75</v>
      </c>
      <c r="K9" s="225"/>
      <c r="L9" s="225"/>
      <c r="M9" s="225"/>
      <c r="N9" s="225"/>
      <c r="O9" s="225"/>
      <c r="P9" s="225"/>
      <c r="Q9" s="225"/>
      <c r="R9" s="225"/>
      <c r="S9" s="225"/>
      <c r="T9" s="225"/>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row>
    <row r="10" spans="1:49" ht="16.5" thickBot="1" x14ac:dyDescent="0.3">
      <c r="A10" s="225"/>
      <c r="B10" s="236" t="s">
        <v>215</v>
      </c>
      <c r="C10" s="237" t="s">
        <v>372</v>
      </c>
      <c r="D10" s="240">
        <v>0</v>
      </c>
      <c r="E10" s="239">
        <v>100</v>
      </c>
      <c r="F10" s="225"/>
      <c r="G10" s="232" t="s">
        <v>215</v>
      </c>
      <c r="H10" s="233" t="s">
        <v>372</v>
      </c>
      <c r="I10" s="234">
        <v>0</v>
      </c>
      <c r="J10" s="235">
        <v>1</v>
      </c>
      <c r="K10" s="225"/>
      <c r="L10" s="225"/>
      <c r="M10" s="225"/>
      <c r="N10" s="225"/>
      <c r="O10" s="225"/>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row>
    <row r="11" spans="1:49" x14ac:dyDescent="0.25">
      <c r="A11" s="225"/>
      <c r="B11" s="225"/>
      <c r="C11" s="225"/>
      <c r="D11" s="225"/>
      <c r="E11" s="225"/>
      <c r="F11" s="225"/>
      <c r="G11" s="225"/>
      <c r="H11" s="225"/>
      <c r="I11" s="225"/>
      <c r="J11" s="225"/>
      <c r="K11" s="225"/>
      <c r="L11" s="225"/>
      <c r="M11" s="225"/>
      <c r="N11" s="225"/>
      <c r="O11" s="225"/>
      <c r="P11" s="225"/>
      <c r="Q11" s="225"/>
      <c r="R11" s="225"/>
      <c r="S11" s="225"/>
      <c r="T11" s="225"/>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row>
    <row r="12" spans="1:49" x14ac:dyDescent="0.25">
      <c r="A12" s="225"/>
      <c r="B12" s="225"/>
      <c r="C12" s="225"/>
      <c r="D12" s="225"/>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row>
    <row r="13" spans="1:49" x14ac:dyDescent="0.25">
      <c r="A13" s="225"/>
      <c r="B13" s="225"/>
      <c r="C13" s="225"/>
      <c r="D13" s="225"/>
      <c r="E13" s="225"/>
      <c r="F13" s="225"/>
      <c r="G13" s="225"/>
      <c r="H13" s="225"/>
      <c r="I13" s="225"/>
      <c r="J13" s="225"/>
      <c r="K13" s="225"/>
      <c r="L13" s="225"/>
      <c r="M13" s="225"/>
      <c r="N13" s="225"/>
      <c r="O13" s="225"/>
      <c r="P13" s="225"/>
      <c r="Q13" s="225"/>
      <c r="R13" s="225"/>
      <c r="S13" s="225"/>
      <c r="T13" s="225"/>
      <c r="U13" s="225"/>
      <c r="V13" s="225"/>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row>
    <row r="14" spans="1:49" x14ac:dyDescent="0.25">
      <c r="A14" s="225"/>
      <c r="B14" s="225"/>
      <c r="C14" s="225"/>
      <c r="D14" s="225"/>
      <c r="E14" s="225"/>
      <c r="F14" s="225"/>
      <c r="G14" s="225"/>
      <c r="H14" s="225"/>
      <c r="I14" s="225"/>
      <c r="J14" s="225"/>
      <c r="K14" s="225"/>
      <c r="L14" s="225"/>
      <c r="M14" s="225"/>
      <c r="N14" s="225"/>
      <c r="O14" s="225"/>
      <c r="P14" s="225"/>
      <c r="Q14" s="225"/>
      <c r="R14" s="225"/>
      <c r="S14" s="225"/>
      <c r="T14" s="225"/>
      <c r="U14" s="225"/>
      <c r="V14" s="225"/>
      <c r="W14" s="225"/>
      <c r="X14" s="225"/>
      <c r="Y14" s="225"/>
      <c r="Z14" s="225"/>
      <c r="AA14" s="225"/>
      <c r="AB14" s="225"/>
      <c r="AC14" s="225"/>
      <c r="AD14" s="225"/>
      <c r="AE14" s="225"/>
      <c r="AF14" s="225"/>
      <c r="AG14" s="225"/>
      <c r="AH14" s="225"/>
      <c r="AI14" s="225"/>
      <c r="AJ14" s="225"/>
      <c r="AK14" s="225"/>
      <c r="AL14" s="225"/>
      <c r="AM14" s="225"/>
      <c r="AN14" s="225"/>
      <c r="AO14" s="225"/>
      <c r="AP14" s="225"/>
      <c r="AQ14" s="225"/>
      <c r="AR14" s="225"/>
      <c r="AS14" s="225"/>
      <c r="AT14" s="225"/>
      <c r="AU14" s="225"/>
      <c r="AV14" s="225"/>
      <c r="AW14" s="225"/>
    </row>
    <row r="15" spans="1:49" x14ac:dyDescent="0.25">
      <c r="A15" s="225"/>
      <c r="B15" s="225"/>
      <c r="C15" s="225"/>
      <c r="D15" s="225"/>
      <c r="E15" s="225"/>
      <c r="F15" s="225"/>
      <c r="G15" s="225"/>
      <c r="H15" s="225"/>
      <c r="I15" s="225"/>
      <c r="J15" s="225"/>
      <c r="K15" s="225"/>
      <c r="L15" s="225"/>
      <c r="M15" s="225"/>
      <c r="N15" s="225"/>
      <c r="O15" s="225"/>
      <c r="P15" s="225"/>
      <c r="Q15" s="225"/>
      <c r="R15" s="225"/>
      <c r="S15" s="225"/>
      <c r="T15" s="225"/>
      <c r="U15" s="225"/>
      <c r="V15" s="225"/>
      <c r="W15" s="225"/>
      <c r="X15" s="225"/>
      <c r="Y15" s="225"/>
      <c r="Z15" s="225"/>
      <c r="AA15" s="225"/>
      <c r="AB15" s="225"/>
      <c r="AC15" s="225"/>
      <c r="AD15" s="225"/>
      <c r="AE15" s="225"/>
      <c r="AF15" s="225"/>
      <c r="AG15" s="225"/>
      <c r="AH15" s="225"/>
      <c r="AI15" s="225"/>
      <c r="AJ15" s="225"/>
      <c r="AK15" s="225"/>
      <c r="AL15" s="225"/>
      <c r="AM15" s="225"/>
      <c r="AN15" s="225"/>
      <c r="AO15" s="225"/>
      <c r="AP15" s="225"/>
      <c r="AQ15" s="225"/>
      <c r="AR15" s="225"/>
      <c r="AS15" s="225"/>
      <c r="AT15" s="225"/>
      <c r="AU15" s="225"/>
      <c r="AV15" s="225"/>
      <c r="AW15" s="225"/>
    </row>
    <row r="16" spans="1:49" x14ac:dyDescent="0.25">
      <c r="A16" s="225"/>
      <c r="B16" s="225"/>
      <c r="C16" s="225"/>
      <c r="D16" s="225"/>
      <c r="E16" s="225"/>
      <c r="F16" s="225"/>
      <c r="G16" s="225"/>
      <c r="H16" s="225"/>
      <c r="I16" s="225"/>
      <c r="J16" s="225"/>
      <c r="K16" s="225"/>
      <c r="L16" s="225"/>
      <c r="M16" s="225"/>
      <c r="N16" s="225"/>
      <c r="O16" s="225"/>
      <c r="P16" s="225"/>
      <c r="Q16" s="225"/>
      <c r="R16" s="225"/>
      <c r="S16" s="225"/>
      <c r="T16" s="225"/>
      <c r="U16" s="225"/>
      <c r="V16" s="225"/>
      <c r="W16" s="225"/>
      <c r="X16" s="225"/>
      <c r="Y16" s="225"/>
      <c r="Z16" s="225"/>
      <c r="AA16" s="225"/>
      <c r="AB16" s="225"/>
      <c r="AC16" s="225"/>
      <c r="AD16" s="225"/>
      <c r="AE16" s="225"/>
      <c r="AF16" s="225"/>
      <c r="AG16" s="225"/>
      <c r="AH16" s="225"/>
      <c r="AI16" s="225"/>
      <c r="AJ16" s="225"/>
      <c r="AK16" s="225"/>
      <c r="AL16" s="225"/>
      <c r="AM16" s="225"/>
      <c r="AN16" s="225"/>
      <c r="AO16" s="225"/>
      <c r="AP16" s="225"/>
      <c r="AQ16" s="225"/>
      <c r="AR16" s="225"/>
      <c r="AS16" s="225"/>
      <c r="AT16" s="225"/>
      <c r="AU16" s="225"/>
      <c r="AV16" s="225"/>
      <c r="AW16" s="225"/>
    </row>
    <row r="17" spans="1:49" x14ac:dyDescent="0.25">
      <c r="A17" s="225"/>
      <c r="B17" s="225"/>
      <c r="C17" s="225"/>
      <c r="D17" s="225"/>
      <c r="E17" s="225"/>
      <c r="F17" s="225"/>
      <c r="G17" s="225"/>
      <c r="H17" s="225"/>
      <c r="I17" s="225"/>
      <c r="J17" s="225"/>
      <c r="K17" s="225"/>
      <c r="L17" s="225"/>
      <c r="M17" s="225"/>
      <c r="N17" s="225"/>
      <c r="O17" s="225"/>
      <c r="P17" s="225"/>
      <c r="Q17" s="225"/>
      <c r="R17" s="225"/>
      <c r="S17" s="225"/>
      <c r="T17" s="225"/>
      <c r="U17" s="225"/>
      <c r="V17" s="225"/>
      <c r="W17" s="225"/>
      <c r="X17" s="225"/>
      <c r="Y17" s="225"/>
      <c r="Z17" s="225"/>
      <c r="AA17" s="225"/>
      <c r="AB17" s="225"/>
      <c r="AC17" s="225"/>
      <c r="AD17" s="225"/>
      <c r="AE17" s="225"/>
      <c r="AF17" s="225"/>
      <c r="AG17" s="225"/>
      <c r="AH17" s="225"/>
      <c r="AI17" s="225"/>
      <c r="AJ17" s="225"/>
      <c r="AK17" s="225"/>
      <c r="AL17" s="225"/>
      <c r="AM17" s="225"/>
      <c r="AN17" s="225"/>
      <c r="AO17" s="225"/>
      <c r="AP17" s="225"/>
      <c r="AQ17" s="225"/>
      <c r="AR17" s="225"/>
      <c r="AS17" s="225"/>
      <c r="AT17" s="225"/>
      <c r="AU17" s="225"/>
      <c r="AV17" s="225"/>
      <c r="AW17" s="225"/>
    </row>
    <row r="18" spans="1:49" x14ac:dyDescent="0.25">
      <c r="A18" s="225"/>
      <c r="B18" s="225"/>
      <c r="C18" s="225"/>
      <c r="D18" s="225"/>
      <c r="E18" s="225"/>
      <c r="F18" s="225"/>
      <c r="G18" s="225"/>
      <c r="H18" s="225"/>
      <c r="I18" s="225"/>
      <c r="J18" s="225"/>
      <c r="K18" s="225"/>
      <c r="L18" s="225"/>
      <c r="M18" s="225"/>
      <c r="N18" s="225"/>
      <c r="O18" s="225"/>
      <c r="P18" s="225"/>
      <c r="Q18" s="225"/>
      <c r="R18" s="225"/>
      <c r="S18" s="225"/>
      <c r="T18" s="225"/>
      <c r="U18" s="225"/>
      <c r="V18" s="225"/>
      <c r="W18" s="225"/>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row>
    <row r="19" spans="1:49" x14ac:dyDescent="0.25">
      <c r="A19" s="225"/>
      <c r="B19" s="225"/>
      <c r="C19" s="225"/>
      <c r="D19" s="225"/>
      <c r="E19" s="225"/>
      <c r="F19" s="225"/>
      <c r="G19" s="225"/>
      <c r="H19" s="225"/>
      <c r="I19" s="225"/>
      <c r="J19" s="225"/>
      <c r="K19" s="225"/>
      <c r="L19" s="225"/>
      <c r="M19" s="225"/>
      <c r="N19" s="225"/>
      <c r="O19" s="225"/>
      <c r="P19" s="225"/>
      <c r="Q19" s="225"/>
      <c r="R19" s="225"/>
      <c r="S19" s="225"/>
      <c r="T19" s="225"/>
      <c r="U19" s="225"/>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row>
    <row r="20" spans="1:49" x14ac:dyDescent="0.25">
      <c r="A20" s="225"/>
      <c r="B20" s="225"/>
      <c r="C20" s="225"/>
      <c r="D20" s="225"/>
      <c r="E20" s="225"/>
      <c r="F20" s="225"/>
      <c r="G20" s="225"/>
      <c r="H20" s="225"/>
      <c r="I20" s="225"/>
      <c r="J20" s="225"/>
      <c r="K20" s="225"/>
      <c r="L20" s="225"/>
      <c r="M20" s="225"/>
      <c r="N20" s="225"/>
      <c r="O20" s="225"/>
      <c r="P20" s="225"/>
      <c r="Q20" s="225"/>
      <c r="R20" s="225"/>
      <c r="S20" s="225"/>
      <c r="T20" s="225"/>
      <c r="U20" s="225"/>
      <c r="V20" s="225"/>
      <c r="W20" s="225"/>
      <c r="X20" s="225"/>
      <c r="Y20" s="225"/>
      <c r="Z20" s="225"/>
      <c r="AA20" s="225"/>
      <c r="AB20" s="225"/>
      <c r="AC20" s="225"/>
      <c r="AD20" s="225"/>
      <c r="AE20" s="225"/>
      <c r="AF20" s="225"/>
      <c r="AG20" s="225"/>
      <c r="AH20" s="225"/>
      <c r="AI20" s="225"/>
      <c r="AJ20" s="225"/>
      <c r="AK20" s="225"/>
      <c r="AL20" s="225"/>
      <c r="AM20" s="225"/>
      <c r="AN20" s="225"/>
      <c r="AO20" s="225"/>
      <c r="AP20" s="225"/>
      <c r="AQ20" s="225"/>
      <c r="AR20" s="225"/>
      <c r="AS20" s="225"/>
      <c r="AT20" s="225"/>
      <c r="AU20" s="225"/>
      <c r="AV20" s="225"/>
      <c r="AW20" s="225"/>
    </row>
    <row r="21" spans="1:49" x14ac:dyDescent="0.25">
      <c r="A21" s="225"/>
      <c r="B21" s="225"/>
      <c r="C21" s="225"/>
      <c r="D21" s="225"/>
      <c r="E21" s="225"/>
      <c r="F21" s="225"/>
      <c r="G21" s="225"/>
      <c r="H21" s="225"/>
      <c r="I21" s="225"/>
      <c r="J21" s="225"/>
      <c r="K21" s="225"/>
      <c r="L21" s="225"/>
      <c r="M21" s="225"/>
      <c r="N21" s="225"/>
      <c r="O21" s="225"/>
      <c r="P21" s="225"/>
      <c r="Q21" s="225"/>
      <c r="R21" s="225"/>
      <c r="S21" s="225"/>
      <c r="T21" s="225"/>
      <c r="U21" s="225"/>
      <c r="V21" s="225"/>
      <c r="W21" s="225"/>
      <c r="X21" s="225"/>
      <c r="Y21" s="225"/>
      <c r="Z21" s="225"/>
      <c r="AA21" s="225"/>
      <c r="AB21" s="225"/>
      <c r="AC21" s="225"/>
      <c r="AD21" s="225"/>
      <c r="AE21" s="225"/>
      <c r="AF21" s="225"/>
      <c r="AG21" s="225"/>
      <c r="AH21" s="225"/>
      <c r="AI21" s="225"/>
      <c r="AJ21" s="225"/>
      <c r="AK21" s="225"/>
      <c r="AL21" s="225"/>
      <c r="AM21" s="225"/>
      <c r="AN21" s="225"/>
      <c r="AO21" s="225"/>
      <c r="AP21" s="225"/>
      <c r="AQ21" s="225"/>
      <c r="AR21" s="225"/>
      <c r="AS21" s="225"/>
      <c r="AT21" s="225"/>
      <c r="AU21" s="225"/>
      <c r="AV21" s="225"/>
      <c r="AW21" s="225"/>
    </row>
    <row r="22" spans="1:49" x14ac:dyDescent="0.25">
      <c r="A22" s="225"/>
      <c r="B22" s="225"/>
      <c r="C22" s="225"/>
      <c r="D22" s="225"/>
      <c r="E22" s="225"/>
      <c r="F22" s="225"/>
      <c r="G22" s="225"/>
      <c r="H22" s="225"/>
      <c r="I22" s="225"/>
      <c r="J22" s="225"/>
      <c r="K22" s="225"/>
      <c r="L22" s="225"/>
      <c r="M22" s="225"/>
      <c r="N22" s="225"/>
      <c r="O22" s="225"/>
      <c r="P22" s="225"/>
      <c r="Q22" s="225"/>
      <c r="R22" s="225"/>
      <c r="S22" s="225"/>
      <c r="T22" s="225"/>
      <c r="U22" s="225"/>
      <c r="V22" s="225"/>
      <c r="W22" s="225"/>
      <c r="X22" s="225"/>
      <c r="Y22" s="225"/>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row>
    <row r="23" spans="1:49" x14ac:dyDescent="0.25">
      <c r="A23" s="225"/>
      <c r="B23" s="225"/>
      <c r="C23" s="225"/>
      <c r="D23" s="225"/>
      <c r="E23" s="225"/>
      <c r="F23" s="225"/>
      <c r="G23" s="225"/>
      <c r="H23" s="225"/>
      <c r="I23" s="225"/>
      <c r="J23" s="225"/>
      <c r="K23" s="225"/>
      <c r="L23" s="225"/>
      <c r="M23" s="225"/>
      <c r="N23" s="225"/>
      <c r="O23" s="225"/>
      <c r="P23" s="225"/>
      <c r="Q23" s="225"/>
      <c r="R23" s="225"/>
      <c r="S23" s="225"/>
      <c r="T23" s="225"/>
      <c r="U23" s="225"/>
      <c r="V23" s="225"/>
      <c r="W23" s="225"/>
      <c r="X23" s="225"/>
      <c r="Y23" s="225"/>
      <c r="Z23" s="225"/>
      <c r="AA23" s="225"/>
      <c r="AB23" s="225"/>
      <c r="AC23" s="225"/>
      <c r="AD23" s="225"/>
      <c r="AE23" s="225"/>
      <c r="AF23" s="225"/>
      <c r="AG23" s="225"/>
      <c r="AH23" s="225"/>
      <c r="AI23" s="225"/>
      <c r="AJ23" s="225"/>
      <c r="AK23" s="225"/>
      <c r="AL23" s="225"/>
      <c r="AM23" s="225"/>
      <c r="AN23" s="225"/>
      <c r="AO23" s="225"/>
      <c r="AP23" s="225"/>
      <c r="AQ23" s="225"/>
      <c r="AR23" s="225"/>
      <c r="AS23" s="225"/>
      <c r="AT23" s="225"/>
      <c r="AU23" s="225"/>
      <c r="AV23" s="225"/>
      <c r="AW23" s="225"/>
    </row>
    <row r="24" spans="1:49" x14ac:dyDescent="0.25">
      <c r="A24" s="225"/>
      <c r="B24" s="225"/>
      <c r="C24" s="225"/>
      <c r="D24" s="225"/>
      <c r="E24" s="225"/>
      <c r="F24" s="225"/>
      <c r="G24" s="225"/>
      <c r="H24" s="225"/>
      <c r="I24" s="225"/>
      <c r="J24" s="225"/>
      <c r="K24" s="225"/>
      <c r="L24" s="225"/>
      <c r="M24" s="225"/>
      <c r="N24" s="225"/>
      <c r="O24" s="225"/>
      <c r="P24" s="225"/>
      <c r="Q24" s="225"/>
      <c r="R24" s="225"/>
      <c r="S24" s="225"/>
      <c r="T24" s="225"/>
      <c r="U24" s="225"/>
      <c r="V24" s="225"/>
      <c r="W24" s="225"/>
      <c r="X24" s="225"/>
      <c r="Y24" s="225"/>
      <c r="Z24" s="225"/>
      <c r="AA24" s="225"/>
      <c r="AB24" s="225"/>
      <c r="AC24" s="225"/>
      <c r="AD24" s="225"/>
      <c r="AE24" s="225"/>
      <c r="AF24" s="225"/>
      <c r="AG24" s="225"/>
      <c r="AH24" s="225"/>
      <c r="AI24" s="225"/>
      <c r="AJ24" s="225"/>
      <c r="AK24" s="225"/>
      <c r="AL24" s="225"/>
      <c r="AM24" s="225"/>
      <c r="AN24" s="225"/>
      <c r="AO24" s="225"/>
      <c r="AP24" s="225"/>
      <c r="AQ24" s="225"/>
      <c r="AR24" s="225"/>
      <c r="AS24" s="225"/>
      <c r="AT24" s="225"/>
      <c r="AU24" s="225"/>
      <c r="AV24" s="225"/>
      <c r="AW24" s="225"/>
    </row>
    <row r="25" spans="1:49" x14ac:dyDescent="0.25">
      <c r="A25" s="225"/>
      <c r="B25" s="225"/>
      <c r="C25" s="225"/>
      <c r="D25" s="225"/>
      <c r="E25" s="225"/>
      <c r="F25" s="225"/>
      <c r="G25" s="225"/>
      <c r="H25" s="225"/>
      <c r="I25" s="225"/>
      <c r="J25" s="225"/>
      <c r="K25" s="225"/>
      <c r="L25" s="225"/>
      <c r="M25" s="225"/>
      <c r="N25" s="225"/>
      <c r="O25" s="225"/>
      <c r="P25" s="225"/>
      <c r="Q25" s="225"/>
      <c r="R25" s="225"/>
      <c r="S25" s="225"/>
      <c r="T25" s="225"/>
      <c r="U25" s="225"/>
      <c r="V25" s="225"/>
      <c r="W25" s="225"/>
      <c r="X25" s="225"/>
      <c r="Y25" s="225"/>
      <c r="Z25" s="225"/>
      <c r="AA25" s="225"/>
      <c r="AB25" s="225"/>
      <c r="AC25" s="225"/>
      <c r="AD25" s="225"/>
      <c r="AE25" s="225"/>
      <c r="AF25" s="225"/>
      <c r="AG25" s="225"/>
      <c r="AH25" s="225"/>
      <c r="AI25" s="225"/>
      <c r="AJ25" s="225"/>
      <c r="AK25" s="225"/>
      <c r="AL25" s="225"/>
      <c r="AM25" s="225"/>
      <c r="AN25" s="225"/>
      <c r="AO25" s="225"/>
      <c r="AP25" s="225"/>
      <c r="AQ25" s="225"/>
      <c r="AR25" s="225"/>
      <c r="AS25" s="225"/>
      <c r="AT25" s="225"/>
      <c r="AU25" s="225"/>
      <c r="AV25" s="225"/>
      <c r="AW25" s="225"/>
    </row>
    <row r="26" spans="1:49" x14ac:dyDescent="0.25">
      <c r="A26" s="225"/>
      <c r="B26" s="225"/>
      <c r="C26" s="225"/>
      <c r="D26" s="225"/>
      <c r="E26" s="225"/>
      <c r="F26" s="225"/>
      <c r="G26" s="225"/>
      <c r="H26" s="225"/>
      <c r="I26" s="225"/>
      <c r="J26" s="225"/>
      <c r="K26" s="225"/>
      <c r="L26" s="225"/>
      <c r="M26" s="225"/>
      <c r="N26" s="225"/>
      <c r="O26" s="225"/>
      <c r="P26" s="225"/>
      <c r="Q26" s="225"/>
      <c r="R26" s="225"/>
      <c r="S26" s="225"/>
      <c r="T26" s="225"/>
      <c r="U26" s="225"/>
      <c r="V26" s="225"/>
      <c r="W26" s="225"/>
      <c r="X26" s="225"/>
      <c r="Y26" s="225"/>
      <c r="Z26" s="225"/>
      <c r="AA26" s="225"/>
      <c r="AB26" s="225"/>
      <c r="AC26" s="225"/>
      <c r="AD26" s="225"/>
      <c r="AE26" s="225"/>
      <c r="AF26" s="225"/>
      <c r="AG26" s="225"/>
      <c r="AH26" s="225"/>
      <c r="AI26" s="225"/>
      <c r="AJ26" s="225"/>
      <c r="AK26" s="225"/>
      <c r="AL26" s="225"/>
      <c r="AM26" s="225"/>
      <c r="AN26" s="225"/>
      <c r="AO26" s="225"/>
      <c r="AP26" s="225"/>
      <c r="AQ26" s="225"/>
      <c r="AR26" s="225"/>
      <c r="AS26" s="225"/>
      <c r="AT26" s="225"/>
      <c r="AU26" s="225"/>
      <c r="AV26" s="225"/>
      <c r="AW26" s="225"/>
    </row>
    <row r="27" spans="1:49" x14ac:dyDescent="0.25">
      <c r="A27" s="225"/>
      <c r="B27" s="225"/>
      <c r="C27" s="225"/>
      <c r="D27" s="225"/>
      <c r="E27" s="225"/>
      <c r="F27" s="225"/>
      <c r="G27" s="225"/>
      <c r="H27" s="225"/>
      <c r="I27" s="225"/>
      <c r="J27" s="225"/>
      <c r="K27" s="225"/>
      <c r="L27" s="225"/>
      <c r="M27" s="225"/>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row>
    <row r="28" spans="1:49" x14ac:dyDescent="0.25">
      <c r="A28" s="225"/>
      <c r="B28" s="225"/>
      <c r="C28" s="225"/>
      <c r="D28" s="225"/>
      <c r="E28" s="225"/>
      <c r="F28" s="225"/>
      <c r="G28" s="225"/>
      <c r="H28" s="225"/>
      <c r="I28" s="225"/>
      <c r="J28" s="225"/>
      <c r="K28" s="225"/>
      <c r="L28" s="225"/>
      <c r="M28" s="225"/>
      <c r="N28" s="225"/>
      <c r="O28" s="225"/>
      <c r="P28" s="225"/>
      <c r="Q28" s="225"/>
      <c r="R28" s="225"/>
      <c r="S28" s="225"/>
      <c r="T28" s="225"/>
      <c r="U28" s="225"/>
      <c r="V28" s="225"/>
      <c r="W28" s="225"/>
      <c r="X28" s="225"/>
      <c r="Y28" s="225"/>
      <c r="Z28" s="225"/>
      <c r="AA28" s="225"/>
      <c r="AB28" s="225"/>
      <c r="AC28" s="225"/>
      <c r="AD28" s="225"/>
      <c r="AE28" s="225"/>
      <c r="AF28" s="225"/>
      <c r="AG28" s="225"/>
      <c r="AH28" s="225"/>
      <c r="AI28" s="225"/>
      <c r="AJ28" s="225"/>
      <c r="AK28" s="225"/>
      <c r="AL28" s="225"/>
      <c r="AM28" s="225"/>
      <c r="AN28" s="225"/>
      <c r="AO28" s="225"/>
      <c r="AP28" s="225"/>
      <c r="AQ28" s="225"/>
      <c r="AR28" s="225"/>
      <c r="AS28" s="225"/>
      <c r="AT28" s="225"/>
      <c r="AU28" s="225"/>
      <c r="AV28" s="225"/>
      <c r="AW28" s="225"/>
    </row>
    <row r="29" spans="1:49" x14ac:dyDescent="0.25">
      <c r="A29" s="225"/>
      <c r="B29" s="225"/>
      <c r="C29" s="225"/>
      <c r="D29" s="225"/>
      <c r="E29" s="225"/>
      <c r="F29" s="225"/>
      <c r="G29" s="225"/>
      <c r="H29" s="225"/>
      <c r="I29" s="225"/>
      <c r="J29" s="225"/>
      <c r="K29" s="225"/>
      <c r="L29" s="225"/>
      <c r="M29" s="225"/>
      <c r="N29" s="225"/>
      <c r="O29" s="225"/>
      <c r="P29" s="225"/>
      <c r="Q29" s="225"/>
      <c r="R29" s="225"/>
      <c r="S29" s="225"/>
      <c r="T29" s="225"/>
      <c r="U29" s="225"/>
      <c r="V29" s="225"/>
      <c r="W29" s="225"/>
      <c r="X29" s="225"/>
      <c r="Y29" s="225"/>
      <c r="Z29" s="225"/>
      <c r="AA29" s="225"/>
      <c r="AB29" s="225"/>
      <c r="AC29" s="225"/>
      <c r="AD29" s="225"/>
      <c r="AE29" s="225"/>
      <c r="AF29" s="225"/>
      <c r="AG29" s="225"/>
      <c r="AH29" s="225"/>
      <c r="AI29" s="225"/>
      <c r="AJ29" s="225"/>
      <c r="AK29" s="225"/>
      <c r="AL29" s="225"/>
      <c r="AM29" s="225"/>
      <c r="AN29" s="225"/>
      <c r="AO29" s="225"/>
      <c r="AP29" s="225"/>
      <c r="AQ29" s="225"/>
      <c r="AR29" s="225"/>
      <c r="AS29" s="225"/>
      <c r="AT29" s="225"/>
      <c r="AU29" s="225"/>
      <c r="AV29" s="225"/>
      <c r="AW29" s="225"/>
    </row>
    <row r="30" spans="1:49" x14ac:dyDescent="0.25">
      <c r="A30" s="225"/>
      <c r="B30" s="225"/>
      <c r="C30" s="225"/>
      <c r="D30" s="225"/>
      <c r="E30" s="225"/>
      <c r="F30" s="225"/>
      <c r="G30" s="225"/>
      <c r="H30" s="225"/>
      <c r="I30" s="225"/>
      <c r="J30" s="225"/>
      <c r="K30" s="225"/>
      <c r="L30" s="225"/>
      <c r="M30" s="225"/>
      <c r="N30" s="225"/>
      <c r="O30" s="225"/>
      <c r="P30" s="225"/>
      <c r="Q30" s="225"/>
      <c r="R30" s="225"/>
      <c r="S30" s="225"/>
      <c r="T30" s="225"/>
      <c r="U30" s="225"/>
      <c r="V30" s="225"/>
      <c r="W30" s="225"/>
      <c r="X30" s="225"/>
      <c r="Y30" s="225"/>
      <c r="Z30" s="225"/>
      <c r="AA30" s="225"/>
      <c r="AB30" s="225"/>
      <c r="AC30" s="225"/>
      <c r="AD30" s="225"/>
      <c r="AE30" s="225"/>
      <c r="AF30" s="225"/>
      <c r="AG30" s="225"/>
      <c r="AH30" s="225"/>
      <c r="AI30" s="225"/>
      <c r="AJ30" s="225"/>
      <c r="AK30" s="225"/>
      <c r="AL30" s="225"/>
      <c r="AM30" s="225"/>
      <c r="AN30" s="225"/>
      <c r="AO30" s="225"/>
      <c r="AP30" s="225"/>
      <c r="AQ30" s="225"/>
      <c r="AR30" s="225"/>
      <c r="AS30" s="225"/>
      <c r="AT30" s="225"/>
      <c r="AU30" s="225"/>
      <c r="AV30" s="225"/>
      <c r="AW30" s="225"/>
    </row>
    <row r="31" spans="1:49" x14ac:dyDescent="0.25">
      <c r="A31" s="225"/>
      <c r="B31" s="225"/>
      <c r="C31" s="225"/>
      <c r="D31" s="225"/>
      <c r="E31" s="225"/>
      <c r="F31" s="225"/>
      <c r="G31" s="225"/>
      <c r="H31" s="225"/>
      <c r="I31" s="225"/>
      <c r="J31" s="225"/>
      <c r="K31" s="225"/>
      <c r="L31" s="225"/>
      <c r="M31" s="225"/>
      <c r="N31" s="225"/>
      <c r="O31" s="225"/>
      <c r="P31" s="225"/>
      <c r="Q31" s="225"/>
      <c r="R31" s="225"/>
      <c r="S31" s="225"/>
      <c r="T31" s="225"/>
      <c r="U31" s="225"/>
      <c r="V31" s="225"/>
      <c r="W31" s="225"/>
      <c r="X31" s="225"/>
      <c r="Y31" s="225"/>
      <c r="Z31" s="225"/>
      <c r="AA31" s="225"/>
      <c r="AB31" s="225"/>
      <c r="AC31" s="225"/>
      <c r="AD31" s="225"/>
      <c r="AE31" s="225"/>
      <c r="AF31" s="225"/>
      <c r="AG31" s="225"/>
      <c r="AH31" s="225"/>
      <c r="AI31" s="225"/>
      <c r="AJ31" s="225"/>
      <c r="AK31" s="225"/>
      <c r="AL31" s="225"/>
      <c r="AM31" s="225"/>
      <c r="AN31" s="225"/>
      <c r="AO31" s="225"/>
      <c r="AP31" s="225"/>
      <c r="AQ31" s="225"/>
      <c r="AR31" s="225"/>
      <c r="AS31" s="225"/>
      <c r="AT31" s="225"/>
      <c r="AU31" s="225"/>
      <c r="AV31" s="225"/>
      <c r="AW31" s="225"/>
    </row>
    <row r="32" spans="1:49" x14ac:dyDescent="0.25">
      <c r="A32" s="225"/>
      <c r="B32" s="225"/>
      <c r="C32" s="225"/>
      <c r="D32" s="225"/>
      <c r="E32" s="225"/>
      <c r="F32" s="225"/>
      <c r="G32" s="225"/>
      <c r="H32" s="225"/>
      <c r="I32" s="225"/>
      <c r="J32" s="225"/>
      <c r="K32" s="225"/>
      <c r="L32" s="225"/>
      <c r="M32" s="225"/>
      <c r="N32" s="225"/>
      <c r="O32" s="225"/>
      <c r="P32" s="225"/>
      <c r="Q32" s="225"/>
      <c r="R32" s="225"/>
      <c r="S32" s="225"/>
      <c r="T32" s="225"/>
      <c r="U32" s="225"/>
      <c r="V32" s="225"/>
      <c r="W32" s="225"/>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row>
    <row r="33" spans="1:49" x14ac:dyDescent="0.25">
      <c r="A33" s="225"/>
      <c r="B33" s="225"/>
      <c r="C33" s="225"/>
      <c r="D33" s="225"/>
      <c r="E33" s="225"/>
      <c r="F33" s="225"/>
      <c r="G33" s="225"/>
      <c r="H33" s="225"/>
      <c r="I33" s="225"/>
      <c r="J33" s="225"/>
      <c r="K33" s="225"/>
      <c r="L33" s="225"/>
      <c r="M33" s="225"/>
      <c r="N33" s="225"/>
      <c r="O33" s="225"/>
      <c r="P33" s="225"/>
      <c r="Q33" s="225"/>
      <c r="R33" s="225"/>
      <c r="S33" s="225"/>
      <c r="T33" s="225"/>
      <c r="U33" s="225"/>
      <c r="V33" s="225"/>
      <c r="W33" s="225"/>
      <c r="X33" s="225"/>
      <c r="AQ33" s="225"/>
      <c r="AR33" s="225"/>
      <c r="AS33" s="225"/>
      <c r="AT33" s="225"/>
      <c r="AU33" s="225"/>
      <c r="AV33" s="225"/>
      <c r="AW33" s="225"/>
    </row>
    <row r="34" spans="1:49" x14ac:dyDescent="0.25">
      <c r="A34" s="225"/>
      <c r="B34" s="225"/>
      <c r="C34" s="225"/>
      <c r="D34" s="225"/>
      <c r="E34" s="225"/>
      <c r="F34" s="225"/>
      <c r="G34" s="225"/>
      <c r="H34" s="225"/>
      <c r="I34" s="225"/>
      <c r="J34" s="225"/>
      <c r="K34" s="225"/>
      <c r="L34" s="225"/>
      <c r="M34" s="225"/>
      <c r="N34" s="225"/>
      <c r="O34" s="225"/>
      <c r="P34" s="225"/>
      <c r="Q34" s="225"/>
      <c r="R34" s="225"/>
      <c r="S34" s="225"/>
      <c r="T34" s="225"/>
      <c r="U34" s="225"/>
      <c r="V34" s="225"/>
      <c r="W34" s="225"/>
      <c r="X34" s="225"/>
      <c r="AQ34" s="225"/>
      <c r="AR34" s="225"/>
      <c r="AS34" s="225"/>
      <c r="AT34" s="225"/>
      <c r="AU34" s="225"/>
      <c r="AV34" s="225"/>
      <c r="AW34" s="225"/>
    </row>
    <row r="35" spans="1:49" x14ac:dyDescent="0.25">
      <c r="A35" s="225"/>
      <c r="B35" s="225"/>
      <c r="C35" s="225"/>
      <c r="D35" s="225"/>
      <c r="E35" s="225"/>
      <c r="F35" s="225"/>
      <c r="G35" s="225"/>
      <c r="H35" s="225"/>
      <c r="I35" s="225"/>
      <c r="J35" s="225"/>
      <c r="K35" s="225"/>
      <c r="L35" s="225"/>
      <c r="M35" s="225"/>
      <c r="N35" s="225"/>
      <c r="O35" s="225"/>
      <c r="P35" s="225"/>
      <c r="Q35" s="225"/>
      <c r="R35" s="225"/>
      <c r="S35" s="225"/>
      <c r="T35" s="225"/>
      <c r="U35" s="225"/>
      <c r="V35" s="225"/>
      <c r="W35" s="225"/>
      <c r="X35" s="225"/>
      <c r="AQ35" s="225"/>
      <c r="AR35" s="225"/>
      <c r="AS35" s="225"/>
      <c r="AT35" s="225"/>
      <c r="AU35" s="225"/>
      <c r="AV35" s="225"/>
      <c r="AW35" s="225"/>
    </row>
    <row r="36" spans="1:49" x14ac:dyDescent="0.25">
      <c r="A36" s="225"/>
      <c r="B36" s="225"/>
      <c r="C36" s="225"/>
      <c r="D36" s="225"/>
      <c r="E36" s="225"/>
      <c r="F36" s="225"/>
      <c r="G36" s="225"/>
      <c r="H36" s="225"/>
      <c r="I36" s="225"/>
      <c r="J36" s="225"/>
      <c r="K36" s="225"/>
      <c r="L36" s="225"/>
      <c r="M36" s="225"/>
      <c r="N36" s="225"/>
      <c r="O36" s="225"/>
      <c r="P36" s="225"/>
      <c r="Q36" s="225"/>
      <c r="R36" s="225"/>
      <c r="S36" s="225"/>
      <c r="T36" s="225"/>
      <c r="U36" s="225"/>
      <c r="V36" s="225"/>
      <c r="W36" s="225"/>
      <c r="X36" s="225"/>
      <c r="AQ36" s="225"/>
      <c r="AR36" s="225"/>
      <c r="AS36" s="225"/>
      <c r="AT36" s="225"/>
      <c r="AU36" s="225"/>
      <c r="AV36" s="225"/>
      <c r="AW36" s="225"/>
    </row>
    <row r="37" spans="1:49" x14ac:dyDescent="0.25">
      <c r="A37" s="225"/>
      <c r="B37" s="225"/>
      <c r="C37" s="225"/>
      <c r="D37" s="225"/>
      <c r="E37" s="225"/>
      <c r="F37" s="225"/>
      <c r="G37" s="225"/>
      <c r="H37" s="225"/>
      <c r="I37" s="225"/>
      <c r="J37" s="225"/>
      <c r="K37" s="225"/>
      <c r="L37" s="225"/>
      <c r="M37" s="225"/>
      <c r="N37" s="225"/>
      <c r="O37" s="225"/>
      <c r="P37" s="225"/>
      <c r="Q37" s="225"/>
      <c r="R37" s="225"/>
      <c r="S37" s="225"/>
      <c r="T37" s="225"/>
      <c r="U37" s="225"/>
      <c r="V37" s="225"/>
      <c r="W37" s="225"/>
      <c r="X37" s="225"/>
      <c r="AQ37" s="225"/>
      <c r="AR37" s="225"/>
      <c r="AS37" s="225"/>
      <c r="AT37" s="225"/>
      <c r="AU37" s="225"/>
      <c r="AV37" s="225"/>
      <c r="AW37" s="225"/>
    </row>
    <row r="38" spans="1:49" x14ac:dyDescent="0.25">
      <c r="A38" s="225"/>
      <c r="B38" s="225"/>
      <c r="C38" s="225"/>
      <c r="D38" s="225"/>
      <c r="E38" s="225"/>
      <c r="F38" s="225"/>
      <c r="G38" s="225"/>
      <c r="H38" s="225"/>
      <c r="I38" s="225"/>
      <c r="J38" s="225"/>
      <c r="K38" s="225"/>
      <c r="L38" s="225"/>
      <c r="M38" s="225"/>
      <c r="N38" s="225"/>
      <c r="O38" s="225"/>
      <c r="P38" s="225"/>
      <c r="Q38" s="225"/>
      <c r="R38" s="225"/>
      <c r="S38" s="225"/>
      <c r="T38" s="225"/>
      <c r="U38" s="225"/>
      <c r="V38" s="225"/>
      <c r="W38" s="225"/>
      <c r="X38" s="225"/>
      <c r="AQ38" s="225"/>
      <c r="AR38" s="225"/>
      <c r="AS38" s="225"/>
      <c r="AT38" s="225"/>
      <c r="AU38" s="225"/>
      <c r="AV38" s="225"/>
      <c r="AW38" s="225"/>
    </row>
    <row r="39" spans="1:49" x14ac:dyDescent="0.25">
      <c r="A39" s="225"/>
      <c r="B39" s="225"/>
      <c r="C39" s="225"/>
      <c r="D39" s="225"/>
      <c r="E39" s="225"/>
      <c r="F39" s="225"/>
      <c r="G39" s="225"/>
      <c r="H39" s="225"/>
      <c r="I39" s="225"/>
      <c r="J39" s="225"/>
      <c r="K39" s="225"/>
      <c r="L39" s="225"/>
      <c r="M39" s="225"/>
      <c r="N39" s="225"/>
      <c r="O39" s="225"/>
      <c r="P39" s="225"/>
      <c r="Q39" s="225"/>
      <c r="R39" s="225"/>
      <c r="S39" s="225"/>
      <c r="T39" s="225"/>
      <c r="U39" s="225"/>
      <c r="V39" s="225"/>
      <c r="W39" s="225"/>
      <c r="X39" s="225"/>
      <c r="AQ39" s="225"/>
      <c r="AR39" s="225"/>
      <c r="AS39" s="225"/>
      <c r="AT39" s="225"/>
      <c r="AU39" s="225"/>
      <c r="AV39" s="225"/>
      <c r="AW39" s="225"/>
    </row>
    <row r="40" spans="1:49" x14ac:dyDescent="0.25">
      <c r="A40" s="225"/>
      <c r="B40" s="225"/>
      <c r="C40" s="225"/>
      <c r="D40" s="225"/>
      <c r="E40" s="225"/>
      <c r="F40" s="225"/>
      <c r="G40" s="225"/>
      <c r="H40" s="225"/>
      <c r="I40" s="225"/>
      <c r="J40" s="225"/>
      <c r="K40" s="225"/>
      <c r="L40" s="225"/>
      <c r="M40" s="225"/>
      <c r="N40" s="225"/>
      <c r="O40" s="225"/>
      <c r="P40" s="225"/>
      <c r="Q40" s="225"/>
      <c r="R40" s="225"/>
      <c r="S40" s="225"/>
      <c r="T40" s="225"/>
      <c r="U40" s="225"/>
      <c r="V40" s="225"/>
      <c r="W40" s="225"/>
      <c r="X40" s="225"/>
      <c r="AQ40" s="225"/>
      <c r="AR40" s="225"/>
      <c r="AS40" s="225"/>
      <c r="AT40" s="225"/>
      <c r="AU40" s="225"/>
      <c r="AV40" s="225"/>
      <c r="AW40" s="225"/>
    </row>
    <row r="41" spans="1:49" x14ac:dyDescent="0.25">
      <c r="A41" s="225"/>
      <c r="B41" s="225"/>
      <c r="C41" s="225"/>
      <c r="D41" s="225"/>
      <c r="E41" s="225"/>
      <c r="F41" s="225"/>
      <c r="G41" s="225"/>
      <c r="H41" s="225"/>
      <c r="I41" s="225"/>
      <c r="J41" s="225"/>
      <c r="K41" s="225"/>
      <c r="L41" s="225"/>
      <c r="M41" s="225"/>
      <c r="N41" s="225"/>
      <c r="O41" s="225"/>
      <c r="P41" s="225"/>
      <c r="Q41" s="225"/>
      <c r="R41" s="225"/>
      <c r="S41" s="225"/>
      <c r="T41" s="225"/>
      <c r="U41" s="225"/>
      <c r="V41" s="225"/>
      <c r="W41" s="225"/>
      <c r="X41" s="225"/>
      <c r="AQ41" s="225"/>
      <c r="AR41" s="225"/>
      <c r="AS41" s="225"/>
      <c r="AT41" s="225"/>
      <c r="AU41" s="225"/>
      <c r="AV41" s="225"/>
      <c r="AW41" s="225"/>
    </row>
    <row r="42" spans="1:49" x14ac:dyDescent="0.25">
      <c r="A42" s="225"/>
      <c r="B42" s="225"/>
      <c r="C42" s="225"/>
      <c r="D42" s="225"/>
      <c r="E42" s="225"/>
      <c r="F42" s="225"/>
      <c r="G42" s="225"/>
      <c r="H42" s="225"/>
      <c r="I42" s="225"/>
      <c r="J42" s="225"/>
      <c r="K42" s="225"/>
      <c r="L42" s="225"/>
      <c r="M42" s="225"/>
      <c r="N42" s="225"/>
      <c r="O42" s="225"/>
      <c r="P42" s="225"/>
      <c r="Q42" s="225"/>
      <c r="R42" s="225"/>
      <c r="S42" s="225"/>
      <c r="T42" s="225"/>
      <c r="U42" s="225"/>
      <c r="V42" s="225"/>
      <c r="W42" s="225"/>
      <c r="X42" s="225"/>
      <c r="AQ42" s="225"/>
      <c r="AR42" s="225"/>
      <c r="AS42" s="225"/>
      <c r="AT42" s="225"/>
      <c r="AU42" s="225"/>
      <c r="AV42" s="225"/>
      <c r="AW42" s="225"/>
    </row>
    <row r="43" spans="1:49" x14ac:dyDescent="0.25">
      <c r="A43" s="225"/>
      <c r="B43" s="225"/>
      <c r="C43" s="225"/>
      <c r="D43" s="225"/>
      <c r="E43" s="225"/>
      <c r="F43" s="225"/>
      <c r="G43" s="225"/>
      <c r="H43" s="225"/>
      <c r="I43" s="225"/>
      <c r="J43" s="225"/>
      <c r="K43" s="225"/>
      <c r="L43" s="225"/>
      <c r="M43" s="225"/>
      <c r="N43" s="225"/>
      <c r="O43" s="225"/>
      <c r="P43" s="225"/>
      <c r="Q43" s="225"/>
      <c r="R43" s="225"/>
      <c r="S43" s="225"/>
      <c r="T43" s="225"/>
      <c r="U43" s="225"/>
      <c r="V43" s="225"/>
      <c r="W43" s="225"/>
      <c r="X43" s="225"/>
      <c r="AQ43" s="225"/>
      <c r="AR43" s="225"/>
      <c r="AS43" s="225"/>
      <c r="AT43" s="225"/>
      <c r="AU43" s="225"/>
      <c r="AV43" s="225"/>
      <c r="AW43" s="225"/>
    </row>
    <row r="44" spans="1:49" x14ac:dyDescent="0.25">
      <c r="A44" s="225"/>
      <c r="B44" s="225"/>
      <c r="C44" s="225"/>
      <c r="D44" s="225"/>
      <c r="E44" s="225"/>
      <c r="F44" s="225"/>
      <c r="G44" s="225"/>
      <c r="H44" s="225"/>
      <c r="I44" s="225"/>
      <c r="J44" s="225"/>
      <c r="K44" s="225"/>
      <c r="L44" s="225"/>
      <c r="M44" s="225"/>
      <c r="N44" s="225"/>
      <c r="O44" s="225"/>
      <c r="P44" s="225"/>
      <c r="Q44" s="225"/>
      <c r="R44" s="225"/>
      <c r="S44" s="225"/>
      <c r="T44" s="225"/>
      <c r="U44" s="225"/>
      <c r="V44" s="225"/>
      <c r="W44" s="225"/>
      <c r="X44" s="225"/>
      <c r="AQ44" s="225"/>
      <c r="AR44" s="225"/>
      <c r="AS44" s="225"/>
      <c r="AT44" s="225"/>
      <c r="AU44" s="225"/>
      <c r="AV44" s="225"/>
      <c r="AW44" s="225"/>
    </row>
    <row r="45" spans="1:49" x14ac:dyDescent="0.25">
      <c r="A45" s="225"/>
      <c r="B45" s="225"/>
      <c r="C45" s="225"/>
      <c r="D45" s="225"/>
      <c r="E45" s="225"/>
      <c r="F45" s="225"/>
      <c r="G45" s="225"/>
      <c r="H45" s="225"/>
      <c r="I45" s="225"/>
      <c r="J45" s="225"/>
      <c r="K45" s="225"/>
      <c r="L45" s="225"/>
      <c r="M45" s="225"/>
      <c r="N45" s="225"/>
      <c r="O45" s="225"/>
      <c r="P45" s="225"/>
      <c r="Q45" s="225"/>
      <c r="R45" s="225"/>
      <c r="S45" s="225"/>
      <c r="T45" s="225"/>
      <c r="U45" s="225"/>
      <c r="V45" s="225"/>
      <c r="W45" s="225"/>
      <c r="X45" s="225"/>
      <c r="AQ45" s="225"/>
      <c r="AR45" s="225"/>
      <c r="AS45" s="225"/>
      <c r="AT45" s="225"/>
      <c r="AU45" s="225"/>
      <c r="AV45" s="225"/>
      <c r="AW45" s="225"/>
    </row>
    <row r="46" spans="1:49" x14ac:dyDescent="0.25">
      <c r="A46" s="225"/>
      <c r="B46" s="225"/>
      <c r="C46" s="225"/>
      <c r="D46" s="225"/>
      <c r="E46" s="225"/>
      <c r="F46" s="225"/>
      <c r="G46" s="225"/>
      <c r="H46" s="225"/>
      <c r="I46" s="225"/>
      <c r="J46" s="225"/>
      <c r="K46" s="225"/>
      <c r="L46" s="225"/>
      <c r="M46" s="225"/>
      <c r="N46" s="225"/>
      <c r="O46" s="225"/>
      <c r="P46" s="225"/>
      <c r="Q46" s="225"/>
      <c r="R46" s="225"/>
      <c r="S46" s="225"/>
      <c r="T46" s="225"/>
      <c r="U46" s="225"/>
      <c r="V46" s="225"/>
      <c r="W46" s="225"/>
      <c r="X46" s="225"/>
      <c r="AQ46" s="225"/>
      <c r="AR46" s="225"/>
      <c r="AS46" s="225"/>
      <c r="AT46" s="225"/>
      <c r="AU46" s="225"/>
      <c r="AV46" s="225"/>
      <c r="AW46" s="225"/>
    </row>
    <row r="47" spans="1:49" x14ac:dyDescent="0.25">
      <c r="A47" s="225"/>
      <c r="B47" s="225"/>
      <c r="C47" s="225"/>
      <c r="D47" s="225"/>
      <c r="E47" s="225"/>
      <c r="F47" s="225"/>
      <c r="G47" s="225"/>
      <c r="H47" s="225"/>
      <c r="I47" s="225"/>
      <c r="J47" s="225"/>
      <c r="K47" s="225"/>
      <c r="L47" s="225"/>
      <c r="M47" s="225"/>
      <c r="N47" s="225"/>
      <c r="O47" s="225"/>
      <c r="P47" s="225"/>
      <c r="Q47" s="225"/>
      <c r="R47" s="225"/>
      <c r="S47" s="225"/>
      <c r="T47" s="225"/>
      <c r="U47" s="225"/>
      <c r="V47" s="225"/>
      <c r="W47" s="225"/>
      <c r="X47" s="225"/>
      <c r="AQ47" s="225"/>
      <c r="AR47" s="225"/>
      <c r="AS47" s="225"/>
      <c r="AT47" s="225"/>
      <c r="AU47" s="225"/>
      <c r="AV47" s="225"/>
      <c r="AW47" s="225"/>
    </row>
    <row r="48" spans="1:49" x14ac:dyDescent="0.25">
      <c r="A48" s="225"/>
      <c r="B48" s="225"/>
      <c r="C48" s="225"/>
      <c r="D48" s="225"/>
      <c r="E48" s="225"/>
      <c r="F48" s="225"/>
      <c r="G48" s="225"/>
      <c r="H48" s="225"/>
      <c r="I48" s="225"/>
      <c r="J48" s="225"/>
      <c r="K48" s="225"/>
      <c r="L48" s="225"/>
      <c r="M48" s="225"/>
      <c r="N48" s="225"/>
      <c r="O48" s="225"/>
      <c r="P48" s="225"/>
      <c r="Q48" s="225"/>
      <c r="R48" s="225"/>
      <c r="S48" s="225"/>
      <c r="T48" s="225"/>
      <c r="U48" s="225"/>
      <c r="V48" s="225"/>
      <c r="W48" s="225"/>
      <c r="X48" s="225"/>
      <c r="AQ48" s="225"/>
      <c r="AR48" s="225"/>
      <c r="AS48" s="225"/>
      <c r="AT48" s="225"/>
      <c r="AU48" s="225"/>
      <c r="AV48" s="225"/>
      <c r="AW48" s="225"/>
    </row>
    <row r="49" spans="1:49" x14ac:dyDescent="0.25">
      <c r="A49" s="225"/>
      <c r="B49" s="225"/>
      <c r="C49" s="225"/>
      <c r="D49" s="225"/>
      <c r="E49" s="225"/>
      <c r="F49" s="225"/>
      <c r="G49" s="225"/>
      <c r="H49" s="225"/>
      <c r="I49" s="225"/>
      <c r="J49" s="225"/>
      <c r="K49" s="225"/>
      <c r="L49" s="225"/>
      <c r="M49" s="225"/>
      <c r="N49" s="225"/>
      <c r="O49" s="225"/>
      <c r="P49" s="225"/>
      <c r="Q49" s="225"/>
      <c r="R49" s="225"/>
      <c r="S49" s="225"/>
      <c r="T49" s="225"/>
      <c r="U49" s="225"/>
      <c r="V49" s="225"/>
      <c r="W49" s="225"/>
      <c r="X49" s="225"/>
      <c r="AQ49" s="225"/>
      <c r="AR49" s="225"/>
      <c r="AS49" s="225"/>
      <c r="AT49" s="225"/>
      <c r="AU49" s="225"/>
      <c r="AV49" s="225"/>
      <c r="AW49" s="225"/>
    </row>
    <row r="50" spans="1:49" x14ac:dyDescent="0.25">
      <c r="A50" s="225"/>
      <c r="B50" s="225"/>
      <c r="C50" s="225"/>
      <c r="D50" s="225"/>
      <c r="E50" s="225"/>
      <c r="F50" s="225"/>
      <c r="G50" s="225"/>
      <c r="H50" s="225"/>
      <c r="I50" s="225"/>
      <c r="J50" s="225"/>
      <c r="K50" s="225"/>
      <c r="L50" s="225"/>
      <c r="M50" s="225"/>
      <c r="N50" s="225"/>
      <c r="O50" s="225"/>
      <c r="P50" s="225"/>
      <c r="Q50" s="225"/>
      <c r="R50" s="225"/>
      <c r="S50" s="225"/>
      <c r="T50" s="225"/>
      <c r="U50" s="225"/>
      <c r="V50" s="225"/>
      <c r="W50" s="225"/>
      <c r="X50" s="225"/>
      <c r="AQ50" s="225"/>
      <c r="AR50" s="225"/>
      <c r="AS50" s="225"/>
      <c r="AT50" s="225"/>
      <c r="AU50" s="225"/>
      <c r="AV50" s="225"/>
      <c r="AW50" s="225"/>
    </row>
    <row r="51" spans="1:49" x14ac:dyDescent="0.25">
      <c r="A51" s="225"/>
      <c r="B51" s="225"/>
      <c r="C51" s="225"/>
      <c r="D51" s="225"/>
      <c r="E51" s="225"/>
      <c r="F51" s="225"/>
      <c r="G51" s="225"/>
      <c r="H51" s="225"/>
      <c r="I51" s="225"/>
      <c r="J51" s="225"/>
      <c r="K51" s="225"/>
      <c r="L51" s="225"/>
      <c r="M51" s="225"/>
      <c r="N51" s="225"/>
      <c r="O51" s="225"/>
      <c r="P51" s="225"/>
      <c r="Q51" s="225"/>
      <c r="R51" s="225"/>
      <c r="S51" s="225"/>
      <c r="T51" s="225"/>
      <c r="U51" s="225"/>
      <c r="V51" s="225"/>
      <c r="W51" s="225"/>
      <c r="X51" s="225"/>
      <c r="AQ51" s="225"/>
      <c r="AR51" s="225"/>
      <c r="AS51" s="225"/>
      <c r="AT51" s="225"/>
      <c r="AU51" s="225"/>
      <c r="AV51" s="225"/>
      <c r="AW51" s="225"/>
    </row>
    <row r="52" spans="1:49" x14ac:dyDescent="0.25">
      <c r="A52" s="225"/>
      <c r="B52" s="225"/>
      <c r="C52" s="225"/>
      <c r="D52" s="225"/>
      <c r="E52" s="225"/>
      <c r="F52" s="225"/>
      <c r="G52" s="225"/>
      <c r="H52" s="225"/>
      <c r="I52" s="225"/>
      <c r="J52" s="225"/>
      <c r="K52" s="225"/>
      <c r="L52" s="225"/>
      <c r="M52" s="225"/>
      <c r="N52" s="225"/>
      <c r="O52" s="225"/>
      <c r="P52" s="225"/>
      <c r="Q52" s="225"/>
      <c r="R52" s="225"/>
      <c r="S52" s="225"/>
      <c r="T52" s="225"/>
      <c r="U52" s="225"/>
      <c r="V52" s="225"/>
      <c r="W52" s="225"/>
      <c r="X52" s="225"/>
      <c r="AQ52" s="225"/>
      <c r="AR52" s="225"/>
      <c r="AS52" s="225"/>
      <c r="AT52" s="225"/>
      <c r="AU52" s="225"/>
      <c r="AV52" s="225"/>
      <c r="AW52" s="225"/>
    </row>
    <row r="53" spans="1:49" x14ac:dyDescent="0.25">
      <c r="A53" s="225"/>
      <c r="B53" s="225"/>
      <c r="C53" s="225"/>
      <c r="D53" s="225"/>
      <c r="E53" s="225"/>
      <c r="F53" s="225"/>
      <c r="G53" s="225"/>
      <c r="H53" s="225"/>
      <c r="I53" s="225"/>
      <c r="J53" s="225"/>
      <c r="K53" s="225"/>
      <c r="L53" s="225"/>
      <c r="M53" s="225"/>
      <c r="N53" s="225"/>
      <c r="O53" s="225"/>
      <c r="P53" s="225"/>
      <c r="Q53" s="225"/>
      <c r="R53" s="225"/>
      <c r="S53" s="225"/>
      <c r="T53" s="225"/>
      <c r="U53" s="225"/>
      <c r="V53" s="225"/>
      <c r="W53" s="225"/>
      <c r="X53" s="225"/>
      <c r="AQ53" s="225"/>
      <c r="AR53" s="225"/>
      <c r="AS53" s="225"/>
      <c r="AT53" s="225"/>
      <c r="AU53" s="225"/>
      <c r="AV53" s="225"/>
      <c r="AW53" s="225"/>
    </row>
    <row r="54" spans="1:49" x14ac:dyDescent="0.25">
      <c r="A54" s="225"/>
      <c r="B54" s="225"/>
      <c r="C54" s="225"/>
      <c r="D54" s="225"/>
      <c r="E54" s="225"/>
      <c r="F54" s="225"/>
      <c r="G54" s="225"/>
      <c r="H54" s="225"/>
      <c r="I54" s="225"/>
      <c r="J54" s="225"/>
      <c r="K54" s="225"/>
      <c r="L54" s="225"/>
      <c r="M54" s="225"/>
      <c r="N54" s="225"/>
      <c r="O54" s="225"/>
      <c r="P54" s="225"/>
      <c r="Q54" s="225"/>
      <c r="R54" s="225"/>
      <c r="S54" s="225"/>
      <c r="T54" s="225"/>
      <c r="U54" s="225"/>
      <c r="V54" s="225"/>
      <c r="W54" s="225"/>
      <c r="X54" s="225"/>
      <c r="AQ54" s="225"/>
      <c r="AR54" s="225"/>
      <c r="AS54" s="225"/>
      <c r="AT54" s="225"/>
      <c r="AU54" s="225"/>
      <c r="AV54" s="225"/>
      <c r="AW54" s="225"/>
    </row>
    <row r="55" spans="1:49" x14ac:dyDescent="0.25">
      <c r="A55" s="225"/>
      <c r="B55" s="225"/>
      <c r="C55" s="225"/>
      <c r="D55" s="225"/>
      <c r="E55" s="225"/>
      <c r="F55" s="225"/>
      <c r="G55" s="225"/>
      <c r="H55" s="225"/>
      <c r="I55" s="225"/>
      <c r="J55" s="225"/>
      <c r="K55" s="225"/>
      <c r="L55" s="225"/>
      <c r="M55" s="225"/>
      <c r="N55" s="225"/>
      <c r="O55" s="225"/>
      <c r="P55" s="225"/>
      <c r="Q55" s="225"/>
      <c r="R55" s="225"/>
      <c r="S55" s="225"/>
      <c r="T55" s="225"/>
      <c r="U55" s="225"/>
      <c r="V55" s="225"/>
      <c r="W55" s="225"/>
      <c r="X55" s="225"/>
      <c r="AQ55" s="225"/>
      <c r="AR55" s="225"/>
      <c r="AS55" s="225"/>
      <c r="AT55" s="225"/>
      <c r="AU55" s="225"/>
      <c r="AV55" s="225"/>
      <c r="AW55" s="225"/>
    </row>
    <row r="56" spans="1:49" x14ac:dyDescent="0.25">
      <c r="A56" s="225"/>
      <c r="B56" s="225"/>
      <c r="C56" s="225"/>
      <c r="D56" s="225"/>
      <c r="E56" s="225"/>
      <c r="F56" s="225"/>
      <c r="G56" s="225"/>
      <c r="H56" s="225"/>
      <c r="I56" s="225"/>
      <c r="J56" s="225"/>
      <c r="K56" s="225"/>
      <c r="L56" s="225"/>
      <c r="M56" s="225"/>
      <c r="N56" s="225"/>
      <c r="O56" s="225"/>
      <c r="P56" s="225"/>
      <c r="Q56" s="225"/>
      <c r="R56" s="225"/>
      <c r="S56" s="225"/>
      <c r="T56" s="225"/>
      <c r="U56" s="225"/>
      <c r="V56" s="225"/>
      <c r="W56" s="225"/>
      <c r="X56" s="225"/>
      <c r="AQ56" s="225"/>
      <c r="AR56" s="225"/>
      <c r="AS56" s="225"/>
      <c r="AT56" s="225"/>
      <c r="AU56" s="225"/>
      <c r="AV56" s="225"/>
      <c r="AW56" s="225"/>
    </row>
    <row r="57" spans="1:49" x14ac:dyDescent="0.25">
      <c r="A57" s="225"/>
      <c r="B57" s="225"/>
      <c r="C57" s="225"/>
      <c r="D57" s="225"/>
      <c r="E57" s="225"/>
      <c r="F57" s="225"/>
      <c r="G57" s="225"/>
      <c r="H57" s="225"/>
      <c r="I57" s="225"/>
      <c r="J57" s="225"/>
      <c r="K57" s="225"/>
      <c r="L57" s="225"/>
      <c r="M57" s="225"/>
      <c r="N57" s="225"/>
      <c r="O57" s="225"/>
      <c r="P57" s="225"/>
      <c r="Q57" s="225"/>
      <c r="R57" s="225"/>
      <c r="S57" s="225"/>
      <c r="T57" s="225"/>
      <c r="U57" s="225"/>
      <c r="V57" s="225"/>
      <c r="W57" s="225"/>
      <c r="X57" s="225"/>
      <c r="AQ57" s="225"/>
      <c r="AR57" s="225"/>
      <c r="AS57" s="225"/>
      <c r="AT57" s="225"/>
      <c r="AU57" s="225"/>
      <c r="AV57" s="225"/>
      <c r="AW57" s="225"/>
    </row>
    <row r="58" spans="1:49" x14ac:dyDescent="0.25">
      <c r="A58" s="225"/>
      <c r="B58" s="225"/>
      <c r="C58" s="225"/>
      <c r="D58" s="225"/>
      <c r="E58" s="225"/>
      <c r="F58" s="225"/>
      <c r="G58" s="225"/>
      <c r="H58" s="225"/>
      <c r="I58" s="225"/>
      <c r="J58" s="225"/>
      <c r="K58" s="225"/>
      <c r="L58" s="225"/>
      <c r="M58" s="225"/>
      <c r="N58" s="225"/>
      <c r="O58" s="225"/>
      <c r="P58" s="225"/>
      <c r="Q58" s="225"/>
      <c r="R58" s="225"/>
      <c r="S58" s="225"/>
      <c r="T58" s="225"/>
      <c r="U58" s="225"/>
      <c r="V58" s="225"/>
      <c r="W58" s="225"/>
      <c r="X58" s="225"/>
      <c r="AQ58" s="225"/>
      <c r="AR58" s="225"/>
      <c r="AS58" s="225"/>
      <c r="AT58" s="225"/>
      <c r="AU58" s="225"/>
      <c r="AV58" s="225"/>
      <c r="AW58" s="225"/>
    </row>
    <row r="59" spans="1:49" x14ac:dyDescent="0.25">
      <c r="A59" s="225"/>
      <c r="B59" s="225"/>
      <c r="C59" s="225"/>
      <c r="D59" s="225"/>
      <c r="E59" s="225"/>
      <c r="F59" s="225"/>
      <c r="G59" s="225"/>
      <c r="H59" s="225"/>
      <c r="I59" s="225"/>
      <c r="J59" s="225"/>
      <c r="K59" s="225"/>
      <c r="L59" s="225"/>
      <c r="M59" s="225"/>
      <c r="N59" s="225"/>
      <c r="O59" s="225"/>
      <c r="P59" s="225"/>
      <c r="Q59" s="225"/>
      <c r="R59" s="225"/>
      <c r="S59" s="225"/>
      <c r="T59" s="225"/>
      <c r="U59" s="225"/>
      <c r="V59" s="225"/>
      <c r="W59" s="225"/>
      <c r="X59" s="225"/>
    </row>
    <row r="60" spans="1:49" x14ac:dyDescent="0.25">
      <c r="A60" s="225"/>
      <c r="B60" s="225"/>
      <c r="C60" s="225"/>
      <c r="D60" s="225"/>
      <c r="E60" s="225"/>
      <c r="F60" s="225"/>
      <c r="G60" s="225"/>
      <c r="H60" s="225"/>
      <c r="I60" s="225"/>
      <c r="J60" s="225"/>
      <c r="K60" s="225"/>
      <c r="L60" s="225"/>
      <c r="M60" s="225"/>
      <c r="N60" s="225"/>
      <c r="O60" s="225"/>
      <c r="P60" s="225"/>
      <c r="Q60" s="225"/>
      <c r="R60" s="225"/>
      <c r="S60" s="225"/>
      <c r="T60" s="225"/>
      <c r="U60" s="225"/>
      <c r="V60" s="225"/>
      <c r="W60" s="225"/>
      <c r="X60" s="225"/>
    </row>
  </sheetData>
  <sheetProtection password="CC31"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FF"/>
  </sheetPr>
  <dimension ref="A1:AI69"/>
  <sheetViews>
    <sheetView zoomScale="136" zoomScaleNormal="136" workbookViewId="0">
      <pane xSplit="18" ySplit="13" topLeftCell="S14" activePane="bottomRight" state="frozen"/>
      <selection pane="topRight" activeCell="S1" sqref="S1"/>
      <selection pane="bottomLeft" activeCell="A14" sqref="A14"/>
      <selection pane="bottomRight" activeCell="M28" sqref="M28"/>
    </sheetView>
  </sheetViews>
  <sheetFormatPr defaultColWidth="8.7109375" defaultRowHeight="12.75" x14ac:dyDescent="0.2"/>
  <cols>
    <col min="1" max="1" width="8.7109375" style="243"/>
    <col min="2" max="2" width="4.42578125" style="243" customWidth="1"/>
    <col min="3" max="3" width="16.140625" style="243" bestFit="1" customWidth="1"/>
    <col min="4" max="4" width="1.5703125" style="243" customWidth="1"/>
    <col min="5" max="5" width="3.5703125" style="243" customWidth="1"/>
    <col min="6" max="6" width="2.7109375" style="243" customWidth="1"/>
    <col min="7" max="7" width="13.28515625" style="243" bestFit="1" customWidth="1"/>
    <col min="8" max="8" width="1.85546875" style="243" customWidth="1"/>
    <col min="9" max="9" width="5.140625" style="243" customWidth="1"/>
    <col min="10" max="10" width="11.42578125" style="243" bestFit="1" customWidth="1"/>
    <col min="11" max="11" width="2.5703125" style="243" customWidth="1"/>
    <col min="12" max="12" width="3.5703125" style="243" customWidth="1"/>
    <col min="13" max="13" width="11.85546875" style="243" bestFit="1" customWidth="1"/>
    <col min="14" max="14" width="3.85546875" style="243" customWidth="1"/>
    <col min="15" max="15" width="12.140625" style="243" customWidth="1"/>
    <col min="16" max="16" width="4.42578125" style="243" customWidth="1"/>
    <col min="17" max="17" width="10.42578125" style="243" bestFit="1" customWidth="1"/>
    <col min="18" max="18" width="4.42578125" style="243" customWidth="1"/>
    <col min="19" max="16384" width="8.7109375" style="243"/>
  </cols>
  <sheetData>
    <row r="1" spans="1:35" x14ac:dyDescent="0.2">
      <c r="A1" s="242"/>
      <c r="B1" s="242"/>
      <c r="C1" s="242"/>
      <c r="D1" s="242"/>
      <c r="E1" s="242"/>
      <c r="F1" s="242"/>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c r="AF1" s="242"/>
      <c r="AG1" s="242"/>
      <c r="AH1" s="242"/>
      <c r="AI1" s="242"/>
    </row>
    <row r="2" spans="1:35" ht="17.45" customHeight="1" x14ac:dyDescent="0.4">
      <c r="A2" s="242"/>
      <c r="B2" s="244"/>
      <c r="C2" s="387"/>
      <c r="D2" s="387"/>
      <c r="E2" s="387"/>
      <c r="F2" s="387"/>
      <c r="G2" s="387"/>
      <c r="H2" s="387"/>
      <c r="I2" s="387"/>
      <c r="J2" s="387"/>
      <c r="K2" s="387"/>
      <c r="L2" s="387"/>
      <c r="M2" s="387"/>
      <c r="N2" s="387"/>
      <c r="O2" s="387"/>
      <c r="P2" s="387"/>
      <c r="Q2" s="387"/>
      <c r="R2" s="387"/>
      <c r="S2" s="242"/>
      <c r="T2" s="242"/>
      <c r="U2" s="242"/>
      <c r="V2" s="242"/>
      <c r="W2" s="242"/>
      <c r="X2" s="242"/>
      <c r="Y2" s="242"/>
      <c r="Z2" s="242"/>
      <c r="AA2" s="242"/>
      <c r="AB2" s="242"/>
      <c r="AC2" s="242"/>
      <c r="AD2" s="242"/>
      <c r="AE2" s="242"/>
      <c r="AF2" s="242"/>
      <c r="AG2" s="242"/>
      <c r="AH2" s="242"/>
      <c r="AI2" s="242"/>
    </row>
    <row r="3" spans="1:35" ht="12.75" customHeight="1" x14ac:dyDescent="0.25">
      <c r="A3" s="242"/>
      <c r="B3" s="244"/>
      <c r="C3" s="385" t="s">
        <v>339</v>
      </c>
      <c r="D3" s="245"/>
      <c r="E3" s="389" t="s">
        <v>9</v>
      </c>
      <c r="F3" s="245"/>
      <c r="G3" s="385" t="s">
        <v>340</v>
      </c>
      <c r="H3" s="245"/>
      <c r="I3" s="245"/>
      <c r="J3" s="385" t="s">
        <v>336</v>
      </c>
      <c r="K3" s="246"/>
      <c r="L3" s="245"/>
      <c r="M3" s="245"/>
      <c r="N3" s="245"/>
      <c r="O3" s="385" t="s">
        <v>337</v>
      </c>
      <c r="P3" s="245"/>
      <c r="Q3" s="385" t="s">
        <v>338</v>
      </c>
      <c r="R3" s="247"/>
      <c r="S3" s="242"/>
      <c r="T3" s="242"/>
      <c r="U3" s="242"/>
      <c r="V3" s="242"/>
      <c r="W3" s="242"/>
      <c r="X3" s="242"/>
      <c r="Y3" s="242"/>
      <c r="Z3" s="242"/>
      <c r="AA3" s="242"/>
      <c r="AB3" s="242"/>
      <c r="AC3" s="242"/>
      <c r="AD3" s="242"/>
      <c r="AE3" s="242"/>
      <c r="AF3" s="242"/>
      <c r="AG3" s="242"/>
      <c r="AH3" s="242"/>
      <c r="AI3" s="242"/>
    </row>
    <row r="4" spans="1:35" ht="21.75" x14ac:dyDescent="0.25">
      <c r="A4" s="242"/>
      <c r="B4" s="244"/>
      <c r="C4" s="388"/>
      <c r="D4" s="245"/>
      <c r="E4" s="390"/>
      <c r="F4" s="248"/>
      <c r="G4" s="391"/>
      <c r="H4" s="245"/>
      <c r="I4" s="249" t="s">
        <v>341</v>
      </c>
      <c r="J4" s="386"/>
      <c r="K4" s="246"/>
      <c r="L4" s="250"/>
      <c r="M4" s="250"/>
      <c r="N4" s="251" t="s">
        <v>342</v>
      </c>
      <c r="O4" s="386"/>
      <c r="P4" s="252" t="s">
        <v>342</v>
      </c>
      <c r="Q4" s="386"/>
      <c r="R4" s="247"/>
      <c r="S4" s="242"/>
      <c r="T4" s="242"/>
      <c r="U4" s="242"/>
      <c r="V4" s="242"/>
      <c r="W4" s="242"/>
      <c r="X4" s="242"/>
      <c r="Y4" s="242"/>
      <c r="Z4" s="242"/>
      <c r="AA4" s="242"/>
      <c r="AB4" s="242"/>
      <c r="AC4" s="242"/>
      <c r="AD4" s="242"/>
      <c r="AE4" s="242"/>
      <c r="AF4" s="242"/>
      <c r="AG4" s="242"/>
      <c r="AH4" s="242"/>
      <c r="AI4" s="242"/>
    </row>
    <row r="5" spans="1:35" ht="21.75" x14ac:dyDescent="0.35">
      <c r="A5" s="242"/>
      <c r="B5" s="244"/>
      <c r="C5" s="253">
        <v>222</v>
      </c>
      <c r="D5" s="245"/>
      <c r="E5" s="254" t="s">
        <v>9</v>
      </c>
      <c r="F5" s="245"/>
      <c r="G5" s="255">
        <v>57</v>
      </c>
      <c r="H5" s="245"/>
      <c r="I5" s="256" t="s">
        <v>341</v>
      </c>
      <c r="J5" s="257">
        <v>60</v>
      </c>
      <c r="K5" s="246"/>
      <c r="L5" s="250"/>
      <c r="M5" s="250"/>
      <c r="N5" s="257" t="s">
        <v>342</v>
      </c>
      <c r="O5" s="258">
        <f>C5*G5/J5</f>
        <v>210.9</v>
      </c>
      <c r="P5" s="250" t="s">
        <v>342</v>
      </c>
      <c r="Q5" s="259">
        <f>O5*60/10^4</f>
        <v>1.2654000000000001</v>
      </c>
      <c r="R5" s="247"/>
      <c r="S5" s="242"/>
      <c r="T5" s="242"/>
      <c r="U5" s="242"/>
      <c r="V5" s="242"/>
      <c r="W5" s="242"/>
      <c r="X5" s="242"/>
      <c r="Y5" s="242"/>
      <c r="Z5" s="242"/>
      <c r="AA5" s="242"/>
      <c r="AB5" s="242"/>
      <c r="AC5" s="242"/>
      <c r="AD5" s="242"/>
      <c r="AE5" s="242"/>
      <c r="AF5" s="242"/>
      <c r="AG5" s="242"/>
      <c r="AH5" s="242"/>
      <c r="AI5" s="242"/>
    </row>
    <row r="6" spans="1:35" x14ac:dyDescent="0.2">
      <c r="A6" s="242"/>
      <c r="B6" s="244"/>
      <c r="C6" s="244"/>
      <c r="D6" s="244"/>
      <c r="E6" s="244"/>
      <c r="F6" s="244"/>
      <c r="G6" s="244"/>
      <c r="H6" s="244"/>
      <c r="I6" s="244"/>
      <c r="J6" s="244"/>
      <c r="K6" s="244"/>
      <c r="L6" s="244"/>
      <c r="M6" s="244"/>
      <c r="N6" s="244"/>
      <c r="O6" s="244"/>
      <c r="P6" s="244"/>
      <c r="Q6" s="244"/>
      <c r="R6" s="247"/>
      <c r="S6" s="242"/>
      <c r="T6" s="242"/>
      <c r="U6" s="242"/>
      <c r="V6" s="242"/>
      <c r="W6" s="242"/>
      <c r="X6" s="242"/>
      <c r="Y6" s="242"/>
      <c r="Z6" s="242"/>
      <c r="AA6" s="242"/>
      <c r="AB6" s="242"/>
      <c r="AC6" s="242"/>
      <c r="AD6" s="242"/>
      <c r="AE6" s="242"/>
      <c r="AF6" s="242"/>
      <c r="AG6" s="242"/>
      <c r="AH6" s="242"/>
      <c r="AI6" s="242"/>
    </row>
    <row r="7" spans="1:35" ht="54" x14ac:dyDescent="0.25">
      <c r="A7" s="242"/>
      <c r="B7" s="244"/>
      <c r="C7" s="260" t="s">
        <v>343</v>
      </c>
      <c r="D7" s="261"/>
      <c r="E7" s="262" t="s">
        <v>341</v>
      </c>
      <c r="F7" s="263"/>
      <c r="G7" s="260" t="s">
        <v>344</v>
      </c>
      <c r="H7" s="263"/>
      <c r="I7" s="261"/>
      <c r="J7" s="261"/>
      <c r="K7" s="261"/>
      <c r="L7" s="264"/>
      <c r="M7" s="264"/>
      <c r="N7" s="265" t="s">
        <v>342</v>
      </c>
      <c r="O7" s="260" t="s">
        <v>337</v>
      </c>
      <c r="P7" s="266" t="s">
        <v>342</v>
      </c>
      <c r="Q7" s="260" t="s">
        <v>338</v>
      </c>
      <c r="R7" s="247"/>
      <c r="S7" s="242"/>
      <c r="T7" s="242"/>
      <c r="U7" s="242"/>
      <c r="V7" s="242"/>
      <c r="W7" s="242"/>
      <c r="X7" s="242"/>
      <c r="Y7" s="242"/>
      <c r="Z7" s="242"/>
      <c r="AA7" s="242"/>
      <c r="AB7" s="242"/>
      <c r="AC7" s="242"/>
      <c r="AD7" s="242"/>
      <c r="AE7" s="242"/>
      <c r="AF7" s="242"/>
      <c r="AG7" s="242"/>
      <c r="AH7" s="242"/>
      <c r="AI7" s="242"/>
    </row>
    <row r="8" spans="1:35" ht="21.75" x14ac:dyDescent="0.35">
      <c r="A8" s="242"/>
      <c r="B8" s="244"/>
      <c r="C8" s="267">
        <v>5300</v>
      </c>
      <c r="D8" s="268"/>
      <c r="E8" s="269" t="s">
        <v>341</v>
      </c>
      <c r="F8" s="268"/>
      <c r="G8" s="255">
        <v>25</v>
      </c>
      <c r="H8" s="261"/>
      <c r="I8" s="261"/>
      <c r="J8" s="261"/>
      <c r="K8" s="261"/>
      <c r="L8" s="264"/>
      <c r="M8" s="264"/>
      <c r="N8" s="265" t="s">
        <v>342</v>
      </c>
      <c r="O8" s="270">
        <f>C8/G8</f>
        <v>212</v>
      </c>
      <c r="P8" s="266" t="s">
        <v>342</v>
      </c>
      <c r="Q8" s="259">
        <f>O8*60/10^4</f>
        <v>1.272</v>
      </c>
      <c r="R8" s="247"/>
      <c r="S8" s="242"/>
      <c r="T8" s="242"/>
      <c r="U8" s="242"/>
      <c r="V8" s="242"/>
      <c r="W8" s="242"/>
      <c r="X8" s="242"/>
      <c r="Y8" s="242"/>
      <c r="Z8" s="242"/>
      <c r="AA8" s="242"/>
      <c r="AB8" s="242"/>
      <c r="AC8" s="242"/>
      <c r="AD8" s="242"/>
      <c r="AE8" s="242"/>
      <c r="AF8" s="242"/>
      <c r="AG8" s="242"/>
      <c r="AH8" s="242"/>
      <c r="AI8" s="242"/>
    </row>
    <row r="9" spans="1:35" ht="12" customHeight="1" x14ac:dyDescent="0.25">
      <c r="A9" s="242"/>
      <c r="B9" s="244"/>
      <c r="C9" s="271"/>
      <c r="D9" s="272"/>
      <c r="E9" s="272"/>
      <c r="F9" s="272"/>
      <c r="G9" s="271"/>
      <c r="H9" s="271"/>
      <c r="I9" s="271"/>
      <c r="J9" s="271"/>
      <c r="K9" s="271"/>
      <c r="L9" s="271"/>
      <c r="M9" s="271"/>
      <c r="N9" s="271"/>
      <c r="O9" s="271"/>
      <c r="P9" s="271"/>
      <c r="Q9" s="271"/>
      <c r="R9" s="247"/>
      <c r="S9" s="242"/>
      <c r="T9" s="242"/>
      <c r="U9" s="242"/>
      <c r="V9" s="242"/>
      <c r="W9" s="242"/>
      <c r="X9" s="242"/>
      <c r="Y9" s="242"/>
      <c r="Z9" s="242"/>
      <c r="AA9" s="242"/>
      <c r="AB9" s="242"/>
      <c r="AC9" s="242"/>
      <c r="AD9" s="242"/>
      <c r="AE9" s="242"/>
      <c r="AF9" s="242"/>
      <c r="AG9" s="242"/>
      <c r="AH9" s="242"/>
      <c r="AI9" s="242"/>
    </row>
    <row r="10" spans="1:35" s="277" customFormat="1" ht="17.45" customHeight="1" x14ac:dyDescent="0.2">
      <c r="A10" s="242"/>
      <c r="B10" s="244"/>
      <c r="C10" s="385" t="s">
        <v>345</v>
      </c>
      <c r="D10" s="273"/>
      <c r="E10" s="274"/>
      <c r="F10" s="275"/>
      <c r="G10" s="385" t="s">
        <v>340</v>
      </c>
      <c r="H10" s="273"/>
      <c r="I10" s="274"/>
      <c r="J10" s="385" t="s">
        <v>336</v>
      </c>
      <c r="K10" s="275"/>
      <c r="L10" s="252"/>
      <c r="M10" s="385" t="s">
        <v>346</v>
      </c>
      <c r="N10" s="252"/>
      <c r="O10" s="385" t="s">
        <v>337</v>
      </c>
      <c r="P10" s="252"/>
      <c r="Q10" s="385" t="s">
        <v>338</v>
      </c>
      <c r="R10" s="247"/>
      <c r="S10" s="276"/>
      <c r="T10" s="242"/>
      <c r="U10" s="242"/>
      <c r="V10" s="242"/>
      <c r="W10" s="276"/>
      <c r="X10" s="276"/>
      <c r="Y10" s="276"/>
      <c r="Z10" s="276"/>
      <c r="AA10" s="276"/>
      <c r="AB10" s="276"/>
      <c r="AC10" s="276"/>
      <c r="AD10" s="276"/>
      <c r="AE10" s="276"/>
      <c r="AF10" s="276"/>
      <c r="AG10" s="276"/>
      <c r="AH10" s="276"/>
      <c r="AI10" s="276"/>
    </row>
    <row r="11" spans="1:35" ht="17.45" customHeight="1" x14ac:dyDescent="0.25">
      <c r="A11" s="242"/>
      <c r="B11" s="244"/>
      <c r="C11" s="388"/>
      <c r="D11" s="245"/>
      <c r="E11" s="274" t="s">
        <v>9</v>
      </c>
      <c r="F11" s="245"/>
      <c r="G11" s="388"/>
      <c r="H11" s="245"/>
      <c r="I11" s="249" t="s">
        <v>341</v>
      </c>
      <c r="J11" s="392"/>
      <c r="K11" s="245"/>
      <c r="L11" s="274" t="s">
        <v>9</v>
      </c>
      <c r="M11" s="391"/>
      <c r="N11" s="251" t="s">
        <v>342</v>
      </c>
      <c r="O11" s="392"/>
      <c r="P11" s="251" t="s">
        <v>342</v>
      </c>
      <c r="Q11" s="386"/>
      <c r="R11" s="247"/>
      <c r="S11" s="242"/>
      <c r="T11" s="242"/>
      <c r="U11" s="242"/>
      <c r="V11" s="242"/>
      <c r="W11" s="242"/>
      <c r="X11" s="242"/>
      <c r="Y11" s="242"/>
      <c r="Z11" s="242"/>
      <c r="AA11" s="242"/>
      <c r="AB11" s="242"/>
      <c r="AC11" s="242"/>
      <c r="AD11" s="242"/>
      <c r="AE11" s="242"/>
      <c r="AF11" s="242"/>
      <c r="AG11" s="242"/>
      <c r="AH11" s="242"/>
      <c r="AI11" s="242"/>
    </row>
    <row r="12" spans="1:35" ht="18" x14ac:dyDescent="0.25">
      <c r="A12" s="242"/>
      <c r="B12" s="244"/>
      <c r="C12" s="267">
        <v>1</v>
      </c>
      <c r="D12" s="245"/>
      <c r="E12" s="274" t="s">
        <v>9</v>
      </c>
      <c r="F12" s="245"/>
      <c r="G12" s="255">
        <v>57</v>
      </c>
      <c r="H12" s="245"/>
      <c r="I12" s="278" t="s">
        <v>341</v>
      </c>
      <c r="J12" s="248">
        <v>60</v>
      </c>
      <c r="K12" s="246"/>
      <c r="L12" s="274" t="s">
        <v>9</v>
      </c>
      <c r="M12" s="279">
        <v>222</v>
      </c>
      <c r="N12" s="251" t="s">
        <v>342</v>
      </c>
      <c r="O12" s="258">
        <f>C12*G12/J12*M12</f>
        <v>210.89999999999998</v>
      </c>
      <c r="P12" s="251" t="s">
        <v>342</v>
      </c>
      <c r="Q12" s="259">
        <f>O12*60/10^4</f>
        <v>1.2653999999999999</v>
      </c>
      <c r="R12" s="247"/>
      <c r="S12" s="242"/>
      <c r="T12" s="242"/>
      <c r="U12" s="242"/>
      <c r="V12" s="242"/>
      <c r="W12" s="242"/>
      <c r="X12" s="242"/>
      <c r="Y12" s="242"/>
      <c r="Z12" s="242"/>
      <c r="AA12" s="242"/>
      <c r="AB12" s="242"/>
      <c r="AC12" s="242"/>
      <c r="AD12" s="242"/>
      <c r="AE12" s="242"/>
      <c r="AF12" s="242"/>
      <c r="AG12" s="242"/>
      <c r="AH12" s="242"/>
      <c r="AI12" s="242"/>
    </row>
    <row r="13" spans="1:35" x14ac:dyDescent="0.2">
      <c r="A13" s="242"/>
      <c r="B13" s="244"/>
      <c r="C13" s="247"/>
      <c r="D13" s="247"/>
      <c r="E13" s="247"/>
      <c r="F13" s="247"/>
      <c r="G13" s="247"/>
      <c r="H13" s="247"/>
      <c r="I13" s="247"/>
      <c r="J13" s="247"/>
      <c r="K13" s="247"/>
      <c r="L13" s="247"/>
      <c r="M13" s="247"/>
      <c r="N13" s="247"/>
      <c r="O13" s="247"/>
      <c r="P13" s="247"/>
      <c r="Q13" s="247"/>
      <c r="R13" s="247"/>
      <c r="S13" s="242"/>
      <c r="T13" s="242"/>
      <c r="U13" s="242"/>
      <c r="V13" s="242"/>
      <c r="W13" s="242"/>
      <c r="X13" s="242"/>
      <c r="Y13" s="242"/>
      <c r="Z13" s="242"/>
      <c r="AA13" s="242"/>
      <c r="AB13" s="242"/>
      <c r="AC13" s="242"/>
      <c r="AD13" s="242"/>
      <c r="AE13" s="242"/>
      <c r="AF13" s="242"/>
      <c r="AG13" s="242"/>
      <c r="AH13" s="242"/>
      <c r="AI13" s="242"/>
    </row>
    <row r="14" spans="1:35" x14ac:dyDescent="0.2">
      <c r="A14" s="242"/>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row>
    <row r="15" spans="1:35" x14ac:dyDescent="0.2">
      <c r="A15" s="242"/>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s="242"/>
      <c r="AG15" s="242"/>
      <c r="AH15" s="242"/>
      <c r="AI15" s="242"/>
    </row>
    <row r="16" spans="1:35" x14ac:dyDescent="0.2">
      <c r="A16" s="242"/>
      <c r="B16" s="242"/>
      <c r="C16" s="242"/>
      <c r="D16" s="242"/>
      <c r="E16" s="242"/>
      <c r="F16" s="242"/>
      <c r="G16" s="242"/>
      <c r="H16" s="242"/>
      <c r="I16" s="242"/>
      <c r="J16" s="242"/>
      <c r="K16" s="242"/>
      <c r="L16" s="242"/>
      <c r="M16" s="242"/>
      <c r="N16" s="242"/>
      <c r="O16" s="242"/>
      <c r="P16" s="242"/>
      <c r="Q16" s="242"/>
      <c r="R16" s="242"/>
      <c r="S16" s="242"/>
      <c r="T16" s="242"/>
      <c r="U16" s="242"/>
      <c r="V16" s="242"/>
      <c r="W16" s="242"/>
      <c r="X16" s="242"/>
      <c r="Y16" s="242"/>
      <c r="Z16" s="242"/>
      <c r="AA16" s="242"/>
      <c r="AB16" s="242"/>
      <c r="AC16" s="242"/>
      <c r="AD16" s="242"/>
      <c r="AE16" s="242"/>
      <c r="AF16" s="242"/>
      <c r="AG16" s="242"/>
      <c r="AH16" s="242"/>
      <c r="AI16" s="242"/>
    </row>
    <row r="17" spans="1:35" ht="17.45" customHeight="1" x14ac:dyDescent="0.3">
      <c r="A17" s="242"/>
      <c r="B17" s="242"/>
      <c r="C17" s="353" t="s">
        <v>401</v>
      </c>
      <c r="D17" s="30"/>
      <c r="E17" s="30"/>
      <c r="F17" s="353"/>
      <c r="G17" s="353"/>
      <c r="H17" s="242"/>
      <c r="I17" s="242"/>
      <c r="J17" s="353" t="s">
        <v>402</v>
      </c>
      <c r="K17" s="242"/>
      <c r="L17" s="242"/>
      <c r="M17" s="242"/>
      <c r="N17" s="242"/>
      <c r="O17" s="242"/>
      <c r="P17" s="242"/>
      <c r="Q17" s="242"/>
      <c r="R17" s="242"/>
      <c r="S17" s="242"/>
      <c r="T17" s="242"/>
      <c r="U17" s="242"/>
      <c r="V17" s="242"/>
      <c r="W17" s="242"/>
      <c r="X17" s="242"/>
      <c r="Y17" s="242"/>
      <c r="Z17" s="242"/>
      <c r="AA17" s="242"/>
      <c r="AB17" s="242"/>
      <c r="AC17" s="242"/>
      <c r="AD17" s="242"/>
      <c r="AE17" s="242"/>
      <c r="AF17" s="242"/>
      <c r="AG17" s="242"/>
      <c r="AH17" s="242"/>
      <c r="AI17" s="242"/>
    </row>
    <row r="18" spans="1:35" x14ac:dyDescent="0.2">
      <c r="A18" s="242"/>
      <c r="B18" s="242"/>
      <c r="C18" s="242"/>
      <c r="D18" s="242"/>
      <c r="E18" s="242"/>
      <c r="F18" s="242"/>
      <c r="G18" s="242"/>
      <c r="H18" s="242"/>
      <c r="I18" s="242"/>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2"/>
      <c r="AG18" s="242"/>
      <c r="AH18" s="242"/>
      <c r="AI18" s="242"/>
    </row>
    <row r="19" spans="1:35" x14ac:dyDescent="0.2">
      <c r="A19" s="242"/>
      <c r="B19" s="242"/>
      <c r="C19" s="242"/>
      <c r="D19" s="242"/>
      <c r="E19" s="242"/>
      <c r="F19" s="242"/>
      <c r="G19" s="242"/>
      <c r="H19" s="242"/>
      <c r="I19" s="242"/>
      <c r="J19" s="242"/>
      <c r="K19" s="242"/>
      <c r="L19" s="242"/>
      <c r="M19" s="242"/>
      <c r="N19" s="242"/>
      <c r="O19" s="242"/>
      <c r="P19" s="242"/>
      <c r="Q19" s="242"/>
      <c r="R19" s="242"/>
      <c r="S19" s="242"/>
      <c r="T19" s="242"/>
      <c r="U19" s="242"/>
      <c r="V19" s="242"/>
      <c r="W19" s="242"/>
      <c r="X19" s="242"/>
      <c r="Y19" s="242"/>
      <c r="Z19" s="242"/>
      <c r="AA19" s="242"/>
      <c r="AB19" s="242"/>
      <c r="AC19" s="242"/>
      <c r="AD19" s="242"/>
      <c r="AE19" s="242"/>
      <c r="AF19" s="242"/>
      <c r="AG19" s="242"/>
      <c r="AH19" s="242"/>
      <c r="AI19" s="242"/>
    </row>
    <row r="20" spans="1:35" x14ac:dyDescent="0.2">
      <c r="A20" s="242"/>
      <c r="B20" s="242"/>
      <c r="C20" s="242"/>
      <c r="D20" s="242"/>
      <c r="E20" s="242"/>
      <c r="F20" s="242"/>
      <c r="G20" s="242"/>
      <c r="H20" s="242"/>
      <c r="I20" s="242"/>
      <c r="J20" s="242"/>
      <c r="K20" s="242"/>
      <c r="L20" s="242"/>
      <c r="M20" s="242"/>
      <c r="N20" s="242"/>
      <c r="O20" s="242"/>
      <c r="P20" s="242"/>
      <c r="Q20" s="242"/>
      <c r="R20" s="242"/>
      <c r="S20" s="242"/>
      <c r="T20" s="242"/>
      <c r="U20" s="242"/>
      <c r="V20" s="242"/>
      <c r="W20" s="242"/>
      <c r="X20" s="242"/>
      <c r="Y20" s="242"/>
      <c r="Z20" s="242"/>
      <c r="AA20" s="242"/>
      <c r="AB20" s="242"/>
      <c r="AC20" s="242"/>
      <c r="AD20" s="242"/>
      <c r="AE20" s="242"/>
      <c r="AF20" s="242"/>
      <c r="AG20" s="242"/>
      <c r="AH20" s="242"/>
      <c r="AI20" s="242"/>
    </row>
    <row r="21" spans="1:35" x14ac:dyDescent="0.2">
      <c r="A21" s="242"/>
      <c r="B21" s="242"/>
      <c r="C21" s="242"/>
      <c r="D21" s="242"/>
      <c r="E21" s="242"/>
      <c r="F21" s="242"/>
      <c r="G21" s="242"/>
      <c r="H21" s="242"/>
      <c r="I21" s="242"/>
      <c r="J21" s="242"/>
      <c r="K21" s="242"/>
      <c r="L21" s="242"/>
      <c r="M21" s="242"/>
      <c r="N21" s="242"/>
      <c r="O21" s="242"/>
      <c r="P21" s="242"/>
      <c r="Q21" s="242"/>
      <c r="R21" s="242"/>
      <c r="S21" s="242"/>
      <c r="T21" s="242"/>
      <c r="U21" s="242"/>
      <c r="V21" s="242"/>
      <c r="W21" s="242"/>
      <c r="X21" s="242"/>
      <c r="Y21" s="242"/>
      <c r="Z21" s="242"/>
      <c r="AA21" s="242"/>
      <c r="AB21" s="242"/>
      <c r="AC21" s="242"/>
      <c r="AD21" s="242"/>
      <c r="AE21" s="242"/>
      <c r="AF21" s="242"/>
      <c r="AG21" s="242"/>
      <c r="AH21" s="242"/>
      <c r="AI21" s="242"/>
    </row>
    <row r="22" spans="1:35" x14ac:dyDescent="0.2">
      <c r="A22" s="242"/>
      <c r="B22" s="242"/>
      <c r="C22" s="242"/>
      <c r="D22" s="242"/>
      <c r="E22" s="242"/>
      <c r="F22" s="242"/>
      <c r="G22" s="242"/>
      <c r="H22" s="242"/>
      <c r="I22" s="242"/>
      <c r="J22" s="242"/>
      <c r="K22" s="242"/>
      <c r="L22" s="242"/>
      <c r="M22" s="242"/>
      <c r="N22" s="242"/>
      <c r="O22" s="242"/>
      <c r="P22" s="242"/>
      <c r="Q22" s="242"/>
      <c r="R22" s="242"/>
      <c r="S22" s="242"/>
      <c r="T22" s="242"/>
      <c r="U22" s="242"/>
      <c r="V22" s="242"/>
      <c r="W22" s="242"/>
      <c r="X22" s="242"/>
      <c r="Y22" s="242"/>
      <c r="Z22" s="242"/>
      <c r="AA22" s="242"/>
      <c r="AB22" s="242"/>
      <c r="AC22" s="242"/>
      <c r="AD22" s="242"/>
      <c r="AE22" s="242"/>
      <c r="AF22" s="242"/>
      <c r="AG22" s="242"/>
      <c r="AH22" s="242"/>
      <c r="AI22" s="242"/>
    </row>
    <row r="23" spans="1:35" x14ac:dyDescent="0.2">
      <c r="A23" s="242"/>
      <c r="B23" s="242"/>
      <c r="C23" s="242"/>
      <c r="D23" s="242"/>
      <c r="E23" s="242"/>
      <c r="F23" s="242"/>
      <c r="G23" s="242"/>
      <c r="H23" s="242"/>
      <c r="I23" s="242"/>
      <c r="J23" s="242"/>
      <c r="K23" s="242"/>
      <c r="L23" s="242"/>
      <c r="M23" s="242"/>
      <c r="N23" s="242"/>
      <c r="O23" s="242"/>
      <c r="P23" s="242"/>
      <c r="Q23" s="242"/>
      <c r="R23" s="242"/>
      <c r="S23" s="242"/>
      <c r="T23" s="242"/>
      <c r="U23" s="242"/>
      <c r="V23" s="242"/>
      <c r="W23" s="242"/>
      <c r="X23" s="242"/>
      <c r="Y23" s="242"/>
      <c r="Z23" s="242"/>
      <c r="AA23" s="242"/>
      <c r="AB23" s="242"/>
      <c r="AC23" s="242"/>
      <c r="AD23" s="242"/>
      <c r="AE23" s="242"/>
      <c r="AF23" s="242"/>
      <c r="AG23" s="242"/>
      <c r="AH23" s="242"/>
      <c r="AI23" s="242"/>
    </row>
    <row r="24" spans="1:35" ht="18" customHeight="1" x14ac:dyDescent="0.2">
      <c r="A24" s="242"/>
      <c r="B24" s="242"/>
      <c r="C24" s="242"/>
      <c r="D24" s="242"/>
      <c r="E24" s="242"/>
      <c r="F24" s="242"/>
      <c r="G24" s="242"/>
      <c r="H24" s="242"/>
      <c r="I24" s="242"/>
      <c r="J24" s="242"/>
      <c r="K24" s="242"/>
      <c r="L24" s="242"/>
      <c r="M24" s="242"/>
      <c r="N24" s="242"/>
      <c r="O24" s="242"/>
      <c r="P24" s="242"/>
      <c r="Q24" s="242"/>
      <c r="R24" s="242"/>
      <c r="S24" s="242"/>
      <c r="T24" s="242"/>
      <c r="U24" s="242"/>
      <c r="V24" s="242"/>
      <c r="W24" s="242"/>
      <c r="X24" s="242"/>
      <c r="Y24" s="242"/>
      <c r="Z24" s="242"/>
      <c r="AA24" s="242"/>
      <c r="AB24" s="242"/>
      <c r="AC24" s="242"/>
      <c r="AD24" s="242"/>
      <c r="AE24" s="242"/>
      <c r="AF24" s="242"/>
      <c r="AG24" s="242"/>
      <c r="AH24" s="242"/>
      <c r="AI24" s="242"/>
    </row>
    <row r="25" spans="1:35" x14ac:dyDescent="0.2">
      <c r="A25" s="242"/>
      <c r="B25" s="242"/>
      <c r="C25" s="242"/>
      <c r="D25" s="242"/>
      <c r="E25" s="242"/>
      <c r="F25" s="242"/>
      <c r="G25" s="242"/>
      <c r="H25" s="242"/>
      <c r="I25" s="242"/>
      <c r="J25" s="242"/>
      <c r="K25" s="242"/>
      <c r="L25" s="242"/>
      <c r="M25" s="242"/>
      <c r="N25" s="242"/>
      <c r="O25" s="242"/>
      <c r="P25" s="242"/>
      <c r="Q25" s="242"/>
      <c r="R25" s="242"/>
      <c r="S25" s="242"/>
      <c r="T25" s="242"/>
      <c r="U25" s="242"/>
      <c r="V25" s="242"/>
      <c r="W25" s="242"/>
      <c r="X25" s="242"/>
      <c r="Y25" s="242"/>
      <c r="Z25" s="242"/>
      <c r="AA25" s="242"/>
      <c r="AB25" s="242"/>
      <c r="AC25" s="242"/>
      <c r="AD25" s="242"/>
      <c r="AE25" s="242"/>
      <c r="AF25" s="242"/>
      <c r="AG25" s="242"/>
      <c r="AH25" s="242"/>
      <c r="AI25" s="242"/>
    </row>
    <row r="26" spans="1:35" x14ac:dyDescent="0.2">
      <c r="A26" s="242"/>
      <c r="B26" s="242"/>
      <c r="C26" s="242"/>
      <c r="D26" s="242"/>
      <c r="E26" s="242"/>
      <c r="F26" s="242"/>
      <c r="G26" s="242"/>
      <c r="H26" s="242"/>
      <c r="I26" s="242"/>
      <c r="J26" s="242"/>
      <c r="K26" s="242"/>
      <c r="L26" s="242"/>
      <c r="M26" s="242"/>
      <c r="N26" s="242"/>
      <c r="O26" s="242"/>
      <c r="P26" s="242"/>
      <c r="Q26" s="242"/>
      <c r="R26" s="242"/>
      <c r="S26" s="242"/>
      <c r="T26" s="242"/>
      <c r="U26" s="242"/>
      <c r="V26" s="242"/>
      <c r="W26" s="242"/>
      <c r="X26" s="242"/>
      <c r="Y26" s="242"/>
      <c r="Z26" s="242"/>
      <c r="AA26" s="242"/>
      <c r="AB26" s="242"/>
      <c r="AC26" s="242"/>
      <c r="AD26" s="242"/>
      <c r="AE26" s="242"/>
      <c r="AF26" s="242"/>
      <c r="AG26" s="242"/>
      <c r="AH26" s="242"/>
      <c r="AI26" s="242"/>
    </row>
    <row r="27" spans="1:35" x14ac:dyDescent="0.2">
      <c r="A27" s="242"/>
      <c r="B27" s="242"/>
      <c r="C27" s="242"/>
      <c r="D27" s="242"/>
      <c r="E27" s="242"/>
      <c r="F27" s="242"/>
      <c r="G27" s="242"/>
      <c r="H27" s="242"/>
      <c r="I27" s="242"/>
      <c r="J27" s="242"/>
      <c r="K27" s="242"/>
      <c r="L27" s="242"/>
      <c r="M27" s="242"/>
      <c r="N27" s="242"/>
      <c r="O27" s="242"/>
      <c r="P27" s="242"/>
      <c r="Q27" s="242"/>
      <c r="R27" s="242"/>
      <c r="S27" s="242"/>
      <c r="T27" s="242"/>
      <c r="U27" s="242"/>
      <c r="V27" s="242"/>
      <c r="W27" s="242"/>
      <c r="X27" s="242"/>
      <c r="Y27" s="242"/>
      <c r="Z27" s="242"/>
      <c r="AA27" s="242"/>
      <c r="AB27" s="242"/>
      <c r="AC27" s="242"/>
      <c r="AD27" s="242"/>
      <c r="AE27" s="242"/>
      <c r="AF27" s="242"/>
      <c r="AG27" s="242"/>
      <c r="AH27" s="242"/>
      <c r="AI27" s="242"/>
    </row>
    <row r="28" spans="1:35" x14ac:dyDescent="0.2">
      <c r="A28" s="242"/>
      <c r="B28" s="242"/>
      <c r="C28" s="242"/>
      <c r="D28" s="242"/>
      <c r="E28" s="242"/>
      <c r="F28" s="242"/>
      <c r="G28" s="242"/>
      <c r="H28" s="242"/>
      <c r="I28" s="242"/>
      <c r="J28" s="242"/>
      <c r="K28" s="242"/>
      <c r="L28" s="242"/>
      <c r="M28" s="242"/>
      <c r="N28" s="242"/>
      <c r="O28" s="242"/>
      <c r="P28" s="242"/>
      <c r="Q28" s="242"/>
      <c r="R28" s="242"/>
      <c r="S28" s="242"/>
      <c r="T28" s="242"/>
      <c r="U28" s="242"/>
      <c r="V28" s="242"/>
      <c r="W28" s="242"/>
      <c r="X28" s="242"/>
      <c r="Y28" s="242"/>
      <c r="Z28" s="242"/>
      <c r="AA28" s="242"/>
      <c r="AB28" s="242"/>
      <c r="AC28" s="242"/>
      <c r="AD28" s="242"/>
      <c r="AE28" s="242"/>
      <c r="AF28" s="242"/>
      <c r="AG28" s="242"/>
      <c r="AH28" s="242"/>
      <c r="AI28" s="242"/>
    </row>
    <row r="29" spans="1:35" x14ac:dyDescent="0.2">
      <c r="A29" s="242"/>
      <c r="B29" s="242"/>
      <c r="C29" s="242"/>
      <c r="D29" s="242"/>
      <c r="E29" s="242"/>
      <c r="F29" s="242"/>
      <c r="G29" s="242"/>
      <c r="H29" s="242"/>
      <c r="I29" s="242"/>
      <c r="J29" s="242"/>
      <c r="K29" s="242"/>
      <c r="L29" s="242"/>
      <c r="M29" s="242"/>
      <c r="N29" s="242"/>
      <c r="O29" s="242"/>
      <c r="P29" s="242"/>
      <c r="Q29" s="242"/>
      <c r="R29" s="242"/>
      <c r="S29" s="242"/>
      <c r="T29" s="242"/>
      <c r="U29" s="242"/>
      <c r="V29" s="242"/>
      <c r="W29" s="242"/>
      <c r="X29" s="242"/>
      <c r="Y29" s="242"/>
      <c r="Z29" s="242"/>
      <c r="AA29" s="242"/>
      <c r="AB29" s="242"/>
      <c r="AC29" s="242"/>
      <c r="AD29" s="242"/>
      <c r="AE29" s="242"/>
      <c r="AF29" s="242"/>
      <c r="AG29" s="242"/>
      <c r="AH29" s="242"/>
      <c r="AI29" s="242"/>
    </row>
    <row r="30" spans="1:35" x14ac:dyDescent="0.2">
      <c r="A30" s="242"/>
      <c r="B30" s="242"/>
      <c r="C30" s="242"/>
      <c r="D30" s="242"/>
      <c r="E30" s="242"/>
      <c r="F30" s="242"/>
      <c r="G30" s="242"/>
      <c r="H30" s="242"/>
      <c r="I30" s="242"/>
      <c r="J30" s="242"/>
      <c r="K30" s="242"/>
      <c r="L30" s="242"/>
      <c r="M30" s="242"/>
      <c r="N30" s="242"/>
      <c r="O30" s="242"/>
      <c r="P30" s="242"/>
      <c r="Q30" s="242"/>
      <c r="R30" s="242"/>
      <c r="S30" s="242"/>
      <c r="T30" s="242"/>
      <c r="U30" s="242"/>
      <c r="V30" s="242"/>
      <c r="W30" s="242"/>
      <c r="X30" s="242"/>
      <c r="Y30" s="242"/>
      <c r="Z30" s="242"/>
      <c r="AA30" s="242"/>
      <c r="AB30" s="242"/>
      <c r="AC30" s="242"/>
      <c r="AD30" s="242"/>
      <c r="AE30" s="242"/>
      <c r="AF30" s="242"/>
      <c r="AG30" s="242"/>
      <c r="AH30" s="242"/>
      <c r="AI30" s="242"/>
    </row>
    <row r="31" spans="1:35" x14ac:dyDescent="0.2">
      <c r="A31" s="242"/>
      <c r="B31" s="242"/>
      <c r="C31" s="242"/>
      <c r="D31" s="242"/>
      <c r="E31" s="242"/>
      <c r="F31" s="242"/>
      <c r="G31" s="242"/>
      <c r="H31" s="242"/>
      <c r="I31" s="242"/>
      <c r="J31" s="242"/>
      <c r="K31" s="242"/>
      <c r="L31" s="242"/>
      <c r="M31" s="242"/>
      <c r="N31" s="242"/>
      <c r="O31" s="242"/>
      <c r="P31" s="242"/>
      <c r="Q31" s="242"/>
      <c r="R31" s="242"/>
      <c r="S31" s="242"/>
      <c r="T31" s="242"/>
      <c r="U31" s="242"/>
      <c r="V31" s="242"/>
      <c r="W31" s="242"/>
      <c r="X31" s="242"/>
      <c r="Y31" s="242"/>
      <c r="Z31" s="242"/>
      <c r="AA31" s="242"/>
      <c r="AB31" s="242"/>
      <c r="AC31" s="242"/>
      <c r="AD31" s="242"/>
      <c r="AE31" s="242"/>
      <c r="AF31" s="242"/>
      <c r="AG31" s="242"/>
      <c r="AH31" s="242"/>
      <c r="AI31" s="242"/>
    </row>
    <row r="32" spans="1:35" x14ac:dyDescent="0.2">
      <c r="A32" s="242"/>
      <c r="B32" s="242"/>
      <c r="C32" s="242"/>
      <c r="D32" s="242"/>
      <c r="E32" s="242"/>
      <c r="F32" s="242"/>
      <c r="G32" s="242"/>
      <c r="H32" s="242"/>
      <c r="I32" s="242"/>
      <c r="J32" s="242"/>
      <c r="K32" s="242"/>
      <c r="L32" s="242"/>
      <c r="M32" s="242"/>
      <c r="N32" s="242"/>
      <c r="O32" s="242"/>
      <c r="P32" s="242"/>
      <c r="Q32" s="242"/>
      <c r="R32" s="242"/>
      <c r="S32" s="242"/>
      <c r="T32" s="242"/>
      <c r="U32" s="242"/>
      <c r="V32" s="242"/>
      <c r="W32" s="242"/>
      <c r="X32" s="242"/>
      <c r="Y32" s="242"/>
      <c r="Z32" s="242"/>
      <c r="AA32" s="242"/>
      <c r="AB32" s="242"/>
      <c r="AC32" s="242"/>
      <c r="AD32" s="242"/>
      <c r="AE32" s="242"/>
      <c r="AF32" s="242"/>
      <c r="AG32" s="242"/>
      <c r="AH32" s="242"/>
      <c r="AI32" s="242"/>
    </row>
    <row r="33" spans="1:35" x14ac:dyDescent="0.2">
      <c r="A33" s="242"/>
      <c r="B33" s="242"/>
      <c r="C33" s="242"/>
      <c r="D33" s="242"/>
      <c r="E33" s="242"/>
      <c r="F33" s="242"/>
      <c r="G33" s="242"/>
      <c r="H33" s="242"/>
      <c r="I33" s="242"/>
      <c r="J33" s="242"/>
      <c r="K33" s="242"/>
      <c r="L33" s="242"/>
      <c r="M33" s="242"/>
      <c r="N33" s="242"/>
      <c r="O33" s="242"/>
      <c r="P33" s="242"/>
      <c r="Q33" s="242"/>
      <c r="R33" s="242"/>
      <c r="S33" s="242"/>
      <c r="T33" s="242"/>
      <c r="U33" s="242"/>
      <c r="V33" s="242"/>
      <c r="W33" s="242"/>
      <c r="X33" s="242"/>
      <c r="Y33" s="242"/>
      <c r="Z33" s="242"/>
      <c r="AA33" s="242"/>
      <c r="AB33" s="242"/>
      <c r="AC33" s="242"/>
      <c r="AD33" s="242"/>
      <c r="AE33" s="242"/>
      <c r="AF33" s="242"/>
      <c r="AG33" s="242"/>
      <c r="AH33" s="242"/>
      <c r="AI33" s="242"/>
    </row>
    <row r="34" spans="1:35" x14ac:dyDescent="0.2">
      <c r="A34" s="242"/>
      <c r="B34" s="242"/>
      <c r="C34" s="242"/>
      <c r="D34" s="242"/>
      <c r="E34" s="242"/>
      <c r="F34" s="242"/>
      <c r="G34" s="242"/>
      <c r="H34" s="242"/>
      <c r="I34" s="242"/>
      <c r="J34" s="242"/>
      <c r="K34" s="242"/>
      <c r="L34" s="242"/>
      <c r="M34" s="242"/>
      <c r="N34" s="242"/>
      <c r="O34" s="242"/>
      <c r="P34" s="242"/>
      <c r="Q34" s="242"/>
      <c r="R34" s="242"/>
      <c r="S34" s="242"/>
      <c r="T34" s="242"/>
      <c r="U34" s="242"/>
      <c r="V34" s="242"/>
      <c r="W34" s="242"/>
      <c r="X34" s="242"/>
      <c r="Y34" s="242"/>
      <c r="Z34" s="242"/>
      <c r="AA34" s="242"/>
      <c r="AB34" s="242"/>
      <c r="AC34" s="242"/>
      <c r="AD34" s="242"/>
      <c r="AE34" s="242"/>
      <c r="AF34" s="242"/>
      <c r="AG34" s="242"/>
      <c r="AH34" s="242"/>
      <c r="AI34" s="242"/>
    </row>
    <row r="35" spans="1:35" x14ac:dyDescent="0.2">
      <c r="A35" s="242"/>
      <c r="B35" s="242"/>
      <c r="C35" s="242"/>
      <c r="D35" s="242"/>
      <c r="E35" s="242"/>
      <c r="F35" s="242"/>
      <c r="G35" s="242"/>
      <c r="H35" s="242"/>
      <c r="I35" s="242"/>
      <c r="J35" s="242"/>
      <c r="K35" s="242"/>
      <c r="L35" s="242"/>
      <c r="M35" s="242"/>
      <c r="N35" s="242"/>
      <c r="O35" s="242"/>
      <c r="P35" s="242"/>
      <c r="Q35" s="242"/>
      <c r="R35" s="242"/>
      <c r="S35" s="242"/>
      <c r="T35" s="242"/>
      <c r="U35" s="242"/>
      <c r="V35" s="242"/>
      <c r="W35" s="242"/>
      <c r="X35" s="242"/>
      <c r="Y35" s="242"/>
      <c r="Z35" s="242"/>
      <c r="AA35" s="242"/>
      <c r="AB35" s="242"/>
      <c r="AC35" s="242"/>
      <c r="AD35" s="242"/>
      <c r="AE35" s="242"/>
      <c r="AF35" s="242"/>
      <c r="AG35" s="242"/>
      <c r="AH35" s="242"/>
      <c r="AI35" s="242"/>
    </row>
    <row r="36" spans="1:35" x14ac:dyDescent="0.2">
      <c r="A36" s="242"/>
      <c r="B36" s="242"/>
      <c r="C36" s="242"/>
      <c r="D36" s="242"/>
      <c r="E36" s="242"/>
      <c r="F36" s="242"/>
      <c r="G36" s="242"/>
      <c r="H36" s="242"/>
      <c r="I36" s="242"/>
      <c r="J36" s="242"/>
      <c r="K36" s="242"/>
      <c r="L36" s="242"/>
      <c r="M36" s="242"/>
      <c r="N36" s="242"/>
      <c r="O36" s="242"/>
      <c r="P36" s="242"/>
      <c r="Q36" s="242"/>
      <c r="R36" s="242"/>
      <c r="S36" s="242"/>
      <c r="T36" s="242"/>
      <c r="U36" s="242"/>
      <c r="V36" s="242"/>
      <c r="W36" s="242"/>
      <c r="X36" s="242"/>
      <c r="Y36" s="242"/>
      <c r="Z36" s="242"/>
      <c r="AA36" s="242"/>
      <c r="AB36" s="242"/>
      <c r="AC36" s="242"/>
      <c r="AD36" s="242"/>
      <c r="AE36" s="242"/>
      <c r="AF36" s="242"/>
      <c r="AG36" s="242"/>
      <c r="AH36" s="242"/>
      <c r="AI36" s="242"/>
    </row>
    <row r="37" spans="1:35" x14ac:dyDescent="0.2">
      <c r="A37" s="242"/>
      <c r="B37" s="242"/>
      <c r="C37" s="242"/>
      <c r="D37" s="242"/>
      <c r="E37" s="242"/>
      <c r="F37" s="242"/>
      <c r="G37" s="242"/>
      <c r="H37" s="242"/>
      <c r="I37" s="242"/>
      <c r="J37" s="242"/>
      <c r="K37" s="242"/>
      <c r="L37" s="242"/>
      <c r="M37" s="242"/>
      <c r="N37" s="242"/>
      <c r="O37" s="242"/>
      <c r="P37" s="242"/>
      <c r="Q37" s="242"/>
      <c r="R37" s="242"/>
      <c r="S37" s="242"/>
      <c r="T37" s="242"/>
      <c r="U37" s="242"/>
      <c r="V37" s="242"/>
      <c r="W37" s="242"/>
      <c r="X37" s="242"/>
      <c r="Y37" s="242"/>
      <c r="Z37" s="242"/>
      <c r="AA37" s="242"/>
      <c r="AB37" s="242"/>
      <c r="AC37" s="242"/>
      <c r="AD37" s="242"/>
      <c r="AE37" s="242"/>
      <c r="AF37" s="242"/>
      <c r="AG37" s="242"/>
      <c r="AH37" s="242"/>
      <c r="AI37" s="242"/>
    </row>
    <row r="38" spans="1:35" x14ac:dyDescent="0.2">
      <c r="A38" s="242"/>
      <c r="B38" s="242"/>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42"/>
      <c r="AC38" s="242"/>
      <c r="AD38" s="242"/>
      <c r="AE38" s="242"/>
      <c r="AF38" s="242"/>
      <c r="AG38" s="242"/>
      <c r="AH38" s="242"/>
      <c r="AI38" s="242"/>
    </row>
    <row r="39" spans="1:35" x14ac:dyDescent="0.2">
      <c r="A39" s="242"/>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42"/>
      <c r="AC39" s="242"/>
      <c r="AD39" s="242"/>
      <c r="AE39" s="242"/>
      <c r="AF39" s="242"/>
      <c r="AG39" s="242"/>
      <c r="AH39" s="242"/>
      <c r="AI39" s="242"/>
    </row>
    <row r="40" spans="1:35" x14ac:dyDescent="0.2">
      <c r="A40" s="242"/>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c r="AB40" s="242"/>
      <c r="AC40" s="242"/>
      <c r="AD40" s="242"/>
      <c r="AE40" s="242"/>
      <c r="AF40" s="242"/>
      <c r="AG40" s="242"/>
      <c r="AH40" s="242"/>
      <c r="AI40" s="242"/>
    </row>
    <row r="41" spans="1:35" x14ac:dyDescent="0.2">
      <c r="A41" s="242"/>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42"/>
      <c r="AC41" s="242"/>
      <c r="AD41" s="242"/>
      <c r="AE41" s="242"/>
      <c r="AF41" s="242"/>
      <c r="AG41" s="242"/>
      <c r="AH41" s="242"/>
      <c r="AI41" s="242"/>
    </row>
    <row r="42" spans="1:35" x14ac:dyDescent="0.2">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42"/>
      <c r="AC42" s="242"/>
      <c r="AD42" s="242"/>
      <c r="AE42" s="242"/>
      <c r="AF42" s="242"/>
      <c r="AG42" s="242"/>
      <c r="AH42" s="242"/>
      <c r="AI42" s="242"/>
    </row>
    <row r="43" spans="1:35" x14ac:dyDescent="0.2">
      <c r="A43" s="242"/>
      <c r="B43" s="242"/>
      <c r="C43" s="242"/>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242"/>
      <c r="AB43" s="242"/>
      <c r="AC43" s="242"/>
      <c r="AD43" s="242"/>
      <c r="AE43" s="242"/>
      <c r="AF43" s="242"/>
      <c r="AG43" s="242"/>
      <c r="AH43" s="242"/>
      <c r="AI43" s="242"/>
    </row>
    <row r="44" spans="1:35" x14ac:dyDescent="0.2">
      <c r="A44" s="242"/>
      <c r="B44" s="242"/>
      <c r="C44" s="242"/>
      <c r="D44" s="242"/>
      <c r="E44" s="242"/>
      <c r="F44" s="242"/>
      <c r="G44" s="242"/>
      <c r="H44" s="242"/>
      <c r="I44" s="242"/>
      <c r="J44" s="242"/>
      <c r="K44" s="242"/>
      <c r="L44" s="242"/>
      <c r="M44" s="242"/>
      <c r="N44" s="242"/>
      <c r="O44" s="242"/>
      <c r="P44" s="242"/>
      <c r="Q44" s="242"/>
      <c r="R44" s="242"/>
      <c r="S44" s="242"/>
      <c r="T44" s="242"/>
      <c r="U44" s="242"/>
      <c r="V44" s="242"/>
      <c r="W44" s="242"/>
      <c r="X44" s="242"/>
      <c r="Y44" s="242"/>
      <c r="Z44" s="242"/>
      <c r="AA44" s="242"/>
      <c r="AB44" s="242"/>
      <c r="AC44" s="242"/>
      <c r="AD44" s="242"/>
      <c r="AE44" s="242"/>
      <c r="AF44" s="242"/>
      <c r="AG44" s="242"/>
      <c r="AH44" s="242"/>
      <c r="AI44" s="242"/>
    </row>
    <row r="45" spans="1:35" x14ac:dyDescent="0.2">
      <c r="A45" s="242"/>
      <c r="B45" s="242"/>
      <c r="C45" s="242"/>
      <c r="D45" s="242"/>
      <c r="E45" s="242"/>
      <c r="F45" s="242"/>
      <c r="G45" s="242"/>
      <c r="H45" s="242"/>
      <c r="I45" s="242"/>
      <c r="J45" s="242"/>
      <c r="K45" s="242"/>
      <c r="L45" s="242"/>
      <c r="M45" s="242"/>
      <c r="N45" s="242"/>
      <c r="O45" s="242"/>
      <c r="P45" s="242"/>
      <c r="Q45" s="242"/>
      <c r="R45" s="242"/>
      <c r="S45" s="242"/>
      <c r="T45" s="242"/>
      <c r="U45" s="242"/>
      <c r="V45" s="242"/>
      <c r="W45" s="242"/>
      <c r="X45" s="242"/>
      <c r="Y45" s="242"/>
      <c r="Z45" s="242"/>
      <c r="AA45" s="242"/>
      <c r="AB45" s="242"/>
      <c r="AC45" s="242"/>
      <c r="AD45" s="242"/>
      <c r="AE45" s="242"/>
      <c r="AF45" s="242"/>
      <c r="AG45" s="242"/>
      <c r="AH45" s="242"/>
      <c r="AI45" s="242"/>
    </row>
    <row r="46" spans="1:35" x14ac:dyDescent="0.2">
      <c r="A46" s="242"/>
      <c r="B46" s="242"/>
      <c r="C46" s="242"/>
      <c r="D46" s="242"/>
      <c r="E46" s="242"/>
      <c r="F46" s="242"/>
      <c r="G46" s="242"/>
      <c r="H46" s="242"/>
      <c r="I46" s="242"/>
      <c r="J46" s="242"/>
      <c r="K46" s="242"/>
      <c r="L46" s="242"/>
      <c r="M46" s="242"/>
      <c r="N46" s="242"/>
      <c r="O46" s="242"/>
      <c r="P46" s="242"/>
      <c r="Q46" s="242"/>
      <c r="R46" s="242"/>
      <c r="S46" s="242"/>
      <c r="T46" s="242"/>
      <c r="U46" s="242"/>
      <c r="V46" s="242"/>
      <c r="W46" s="242"/>
      <c r="X46" s="242"/>
      <c r="Y46" s="242"/>
      <c r="Z46" s="242"/>
      <c r="AA46" s="242"/>
      <c r="AB46" s="242"/>
      <c r="AC46" s="242"/>
      <c r="AD46" s="242"/>
      <c r="AE46" s="242"/>
      <c r="AF46" s="242"/>
      <c r="AG46" s="242"/>
      <c r="AH46" s="242"/>
      <c r="AI46" s="242"/>
    </row>
    <row r="47" spans="1:35" x14ac:dyDescent="0.2">
      <c r="A47" s="242"/>
      <c r="B47" s="242"/>
      <c r="C47" s="242"/>
      <c r="D47" s="242"/>
      <c r="E47" s="242"/>
      <c r="F47" s="242"/>
      <c r="G47" s="242"/>
      <c r="H47" s="242"/>
      <c r="I47" s="242"/>
      <c r="J47" s="242"/>
      <c r="K47" s="242"/>
      <c r="L47" s="242"/>
      <c r="M47" s="242"/>
      <c r="N47" s="242"/>
      <c r="O47" s="242"/>
      <c r="P47" s="242"/>
      <c r="Q47" s="242"/>
      <c r="R47" s="242"/>
      <c r="S47" s="242"/>
      <c r="T47" s="242"/>
      <c r="U47" s="242"/>
      <c r="V47" s="242"/>
      <c r="W47" s="242"/>
      <c r="X47" s="242"/>
      <c r="Y47" s="242"/>
      <c r="Z47" s="242"/>
      <c r="AA47" s="242"/>
      <c r="AB47" s="242"/>
      <c r="AC47" s="242"/>
      <c r="AD47" s="242"/>
      <c r="AE47" s="242"/>
      <c r="AF47" s="242"/>
      <c r="AG47" s="242"/>
      <c r="AH47" s="242"/>
      <c r="AI47" s="242"/>
    </row>
    <row r="48" spans="1:35" x14ac:dyDescent="0.2">
      <c r="A48" s="242"/>
      <c r="B48" s="242"/>
      <c r="C48" s="242"/>
      <c r="D48" s="242"/>
      <c r="E48" s="242"/>
      <c r="F48" s="242"/>
      <c r="G48" s="242"/>
      <c r="H48" s="242"/>
      <c r="I48" s="242"/>
      <c r="J48" s="242"/>
      <c r="K48" s="242"/>
      <c r="L48" s="242"/>
      <c r="M48" s="242"/>
      <c r="N48" s="242"/>
      <c r="O48" s="242"/>
      <c r="P48" s="242"/>
      <c r="Q48" s="242"/>
      <c r="R48" s="242"/>
      <c r="S48" s="242"/>
      <c r="T48" s="242"/>
      <c r="U48" s="242"/>
      <c r="V48" s="242"/>
      <c r="W48" s="242"/>
      <c r="X48" s="242"/>
      <c r="Y48" s="242"/>
      <c r="Z48" s="242"/>
      <c r="AA48" s="242"/>
      <c r="AB48" s="242"/>
      <c r="AC48" s="242"/>
      <c r="AD48" s="242"/>
      <c r="AE48" s="242"/>
      <c r="AF48" s="242"/>
      <c r="AG48" s="242"/>
      <c r="AH48" s="242"/>
      <c r="AI48" s="242"/>
    </row>
    <row r="49" spans="1:35" x14ac:dyDescent="0.2">
      <c r="A49" s="242"/>
      <c r="B49" s="242"/>
      <c r="C49" s="242"/>
      <c r="D49" s="242"/>
      <c r="E49" s="242"/>
      <c r="F49" s="242"/>
      <c r="G49" s="242"/>
      <c r="H49" s="242"/>
      <c r="I49" s="242"/>
      <c r="J49" s="242"/>
      <c r="K49" s="242"/>
      <c r="L49" s="242"/>
      <c r="M49" s="242"/>
      <c r="N49" s="242"/>
      <c r="O49" s="242"/>
      <c r="P49" s="242"/>
      <c r="Q49" s="242"/>
      <c r="R49" s="242"/>
      <c r="S49" s="242"/>
      <c r="T49" s="242"/>
      <c r="U49" s="242"/>
      <c r="V49" s="242"/>
      <c r="W49" s="242"/>
      <c r="X49" s="242"/>
      <c r="Y49" s="242"/>
      <c r="Z49" s="242"/>
      <c r="AA49" s="242"/>
      <c r="AB49" s="242"/>
      <c r="AC49" s="242"/>
      <c r="AD49" s="242"/>
      <c r="AE49" s="242"/>
      <c r="AF49" s="242"/>
      <c r="AG49" s="242"/>
      <c r="AH49" s="242"/>
      <c r="AI49" s="242"/>
    </row>
    <row r="50" spans="1:35" x14ac:dyDescent="0.2">
      <c r="A50" s="242"/>
      <c r="B50" s="242"/>
      <c r="C50" s="242"/>
      <c r="D50" s="242"/>
      <c r="E50" s="242"/>
      <c r="F50" s="242"/>
      <c r="G50" s="242"/>
      <c r="H50" s="242"/>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2"/>
      <c r="AG50" s="242"/>
      <c r="AH50" s="242"/>
      <c r="AI50" s="242"/>
    </row>
    <row r="51" spans="1:35" x14ac:dyDescent="0.2">
      <c r="A51" s="242"/>
      <c r="B51" s="242"/>
      <c r="C51" s="242"/>
      <c r="D51" s="242"/>
      <c r="E51" s="242"/>
      <c r="F51" s="242"/>
      <c r="G51" s="242"/>
      <c r="H51" s="242"/>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2"/>
      <c r="AG51" s="242"/>
      <c r="AH51" s="242"/>
      <c r="AI51" s="242"/>
    </row>
    <row r="52" spans="1:35" x14ac:dyDescent="0.2">
      <c r="A52" s="242"/>
      <c r="B52" s="242"/>
      <c r="C52" s="242"/>
      <c r="D52" s="242"/>
      <c r="E52" s="242"/>
      <c r="F52" s="242"/>
      <c r="G52" s="242"/>
      <c r="H52" s="242"/>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2"/>
      <c r="AG52" s="242"/>
      <c r="AH52" s="242"/>
      <c r="AI52" s="242"/>
    </row>
    <row r="53" spans="1:35" x14ac:dyDescent="0.2">
      <c r="A53" s="242"/>
      <c r="B53" s="242"/>
      <c r="C53" s="242"/>
      <c r="D53" s="242"/>
      <c r="E53" s="242"/>
      <c r="F53" s="242"/>
      <c r="G53" s="242"/>
      <c r="H53" s="242"/>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2"/>
      <c r="AG53" s="242"/>
      <c r="AH53" s="242"/>
      <c r="AI53" s="242"/>
    </row>
    <row r="54" spans="1:35" x14ac:dyDescent="0.2">
      <c r="A54" s="242"/>
      <c r="B54" s="242"/>
      <c r="C54" s="242"/>
      <c r="D54" s="242"/>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row>
    <row r="55" spans="1:35" x14ac:dyDescent="0.2">
      <c r="A55" s="242"/>
      <c r="B55" s="242"/>
      <c r="C55" s="242"/>
      <c r="D55" s="242"/>
      <c r="E55" s="242"/>
      <c r="F55" s="242"/>
      <c r="G55" s="242"/>
      <c r="H55" s="242"/>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2"/>
      <c r="AG55" s="242"/>
      <c r="AH55" s="242"/>
      <c r="AI55" s="242"/>
    </row>
    <row r="56" spans="1:35" x14ac:dyDescent="0.2">
      <c r="A56" s="242"/>
      <c r="B56" s="242"/>
      <c r="C56" s="242"/>
      <c r="D56" s="242"/>
      <c r="E56" s="242"/>
      <c r="F56" s="242"/>
      <c r="G56" s="242"/>
      <c r="H56" s="242"/>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2"/>
      <c r="AG56" s="242"/>
      <c r="AH56" s="242"/>
      <c r="AI56" s="242"/>
    </row>
    <row r="57" spans="1:35" x14ac:dyDescent="0.2">
      <c r="A57" s="242"/>
      <c r="B57" s="242"/>
      <c r="C57" s="242"/>
      <c r="D57" s="242"/>
      <c r="E57" s="242"/>
      <c r="F57" s="242"/>
      <c r="G57" s="242"/>
      <c r="H57" s="242"/>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2"/>
      <c r="AG57" s="242"/>
      <c r="AH57" s="242"/>
      <c r="AI57" s="242"/>
    </row>
    <row r="58" spans="1:35" x14ac:dyDescent="0.2">
      <c r="A58" s="242"/>
      <c r="B58" s="242"/>
      <c r="C58" s="242"/>
      <c r="D58" s="242"/>
      <c r="E58" s="242"/>
      <c r="F58" s="242"/>
      <c r="G58" s="242"/>
      <c r="H58" s="242"/>
      <c r="I58" s="242"/>
      <c r="J58" s="242"/>
      <c r="K58" s="242"/>
      <c r="L58" s="242"/>
      <c r="M58" s="242"/>
      <c r="N58" s="242"/>
      <c r="O58" s="242"/>
      <c r="P58" s="242"/>
      <c r="Q58" s="242"/>
      <c r="R58" s="242"/>
      <c r="S58" s="242"/>
      <c r="T58" s="242"/>
      <c r="U58" s="242"/>
      <c r="V58" s="242"/>
      <c r="W58" s="242"/>
      <c r="X58" s="242"/>
      <c r="Y58" s="242"/>
      <c r="Z58" s="242"/>
      <c r="AA58" s="242"/>
      <c r="AB58" s="242"/>
      <c r="AC58" s="242"/>
      <c r="AD58" s="242"/>
      <c r="AE58" s="242"/>
      <c r="AF58" s="242"/>
      <c r="AG58" s="242"/>
      <c r="AH58" s="242"/>
      <c r="AI58" s="242"/>
    </row>
    <row r="59" spans="1:35" x14ac:dyDescent="0.2">
      <c r="A59" s="242"/>
      <c r="B59" s="242"/>
      <c r="C59" s="242"/>
      <c r="D59" s="242"/>
      <c r="E59" s="242"/>
      <c r="F59" s="242"/>
      <c r="G59" s="242"/>
      <c r="H59" s="242"/>
      <c r="I59" s="242"/>
      <c r="J59" s="242"/>
      <c r="K59" s="242"/>
      <c r="L59" s="242"/>
      <c r="M59" s="242"/>
      <c r="N59" s="242"/>
      <c r="O59" s="242"/>
      <c r="P59" s="242"/>
      <c r="Q59" s="242"/>
      <c r="R59" s="242"/>
      <c r="S59" s="242"/>
      <c r="T59" s="242"/>
      <c r="U59" s="242"/>
      <c r="V59" s="242"/>
      <c r="W59" s="242"/>
      <c r="X59" s="242"/>
      <c r="Y59" s="242"/>
      <c r="Z59" s="242"/>
      <c r="AA59" s="242"/>
      <c r="AB59" s="242"/>
      <c r="AC59" s="242"/>
      <c r="AD59" s="242"/>
      <c r="AE59" s="242"/>
      <c r="AF59" s="242"/>
      <c r="AG59" s="242"/>
      <c r="AH59" s="242"/>
      <c r="AI59" s="242"/>
    </row>
    <row r="60" spans="1:35" x14ac:dyDescent="0.2">
      <c r="A60" s="242"/>
      <c r="B60" s="242"/>
      <c r="C60" s="242"/>
      <c r="D60" s="242"/>
      <c r="E60" s="242"/>
      <c r="F60" s="242"/>
      <c r="G60" s="242"/>
      <c r="H60" s="242"/>
      <c r="I60" s="242"/>
      <c r="J60" s="242"/>
      <c r="K60" s="242"/>
      <c r="L60" s="242"/>
      <c r="M60" s="242"/>
      <c r="N60" s="242"/>
      <c r="O60" s="242"/>
      <c r="P60" s="242"/>
      <c r="Q60" s="242"/>
      <c r="R60" s="242"/>
      <c r="S60" s="242"/>
      <c r="T60" s="242"/>
      <c r="U60" s="242"/>
      <c r="V60" s="242"/>
      <c r="W60" s="242"/>
      <c r="X60" s="242"/>
      <c r="Y60" s="242"/>
      <c r="Z60" s="242"/>
      <c r="AA60" s="242"/>
      <c r="AB60" s="242"/>
      <c r="AC60" s="242"/>
      <c r="AD60" s="242"/>
      <c r="AE60" s="242"/>
      <c r="AF60" s="242"/>
      <c r="AG60" s="242"/>
      <c r="AH60" s="242"/>
      <c r="AI60" s="242"/>
    </row>
    <row r="61" spans="1:35" x14ac:dyDescent="0.2">
      <c r="A61" s="242"/>
      <c r="B61" s="242"/>
      <c r="C61" s="242"/>
      <c r="D61" s="242"/>
      <c r="E61" s="242"/>
      <c r="F61" s="242"/>
      <c r="G61" s="242"/>
      <c r="H61" s="242"/>
      <c r="I61" s="242"/>
      <c r="J61" s="242"/>
      <c r="K61" s="242"/>
      <c r="L61" s="242"/>
      <c r="M61" s="242"/>
      <c r="N61" s="242"/>
      <c r="O61" s="242"/>
      <c r="P61" s="242"/>
      <c r="Q61" s="242"/>
      <c r="R61" s="242"/>
      <c r="S61" s="242"/>
      <c r="T61" s="242"/>
      <c r="U61" s="242"/>
      <c r="V61" s="242"/>
      <c r="W61" s="242"/>
      <c r="X61" s="242"/>
      <c r="Y61" s="242"/>
      <c r="Z61" s="242"/>
      <c r="AA61" s="242"/>
      <c r="AB61" s="242"/>
      <c r="AC61" s="242"/>
      <c r="AD61" s="242"/>
      <c r="AE61" s="242"/>
      <c r="AF61" s="242"/>
      <c r="AG61" s="242"/>
      <c r="AH61" s="242"/>
      <c r="AI61" s="242"/>
    </row>
    <row r="62" spans="1:35" x14ac:dyDescent="0.2">
      <c r="A62" s="242"/>
      <c r="B62" s="242"/>
      <c r="C62" s="242"/>
      <c r="D62" s="242"/>
      <c r="E62" s="242"/>
      <c r="F62" s="242"/>
      <c r="G62" s="242"/>
      <c r="H62" s="242"/>
      <c r="I62" s="242"/>
      <c r="J62" s="242"/>
      <c r="K62" s="242"/>
      <c r="L62" s="242"/>
      <c r="M62" s="242"/>
      <c r="N62" s="242"/>
      <c r="O62" s="242"/>
      <c r="P62" s="242"/>
      <c r="Q62" s="242"/>
      <c r="R62" s="242"/>
      <c r="S62" s="242"/>
      <c r="T62" s="242"/>
      <c r="U62" s="242"/>
      <c r="V62" s="242"/>
      <c r="W62" s="242"/>
      <c r="X62" s="242"/>
      <c r="Y62" s="242"/>
      <c r="Z62" s="242"/>
      <c r="AA62" s="242"/>
      <c r="AB62" s="242"/>
      <c r="AC62" s="242"/>
      <c r="AD62" s="242"/>
      <c r="AE62" s="242"/>
      <c r="AF62" s="242"/>
      <c r="AG62" s="242"/>
      <c r="AH62" s="242"/>
      <c r="AI62" s="242"/>
    </row>
    <row r="63" spans="1:35" x14ac:dyDescent="0.2">
      <c r="A63" s="242"/>
      <c r="B63" s="242"/>
      <c r="C63" s="242"/>
      <c r="D63" s="242"/>
      <c r="E63" s="242"/>
      <c r="F63" s="242"/>
      <c r="G63" s="242"/>
      <c r="H63" s="242"/>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2"/>
      <c r="AG63" s="242"/>
      <c r="AH63" s="242"/>
      <c r="AI63" s="242"/>
    </row>
    <row r="64" spans="1:35" x14ac:dyDescent="0.2">
      <c r="A64" s="242"/>
      <c r="B64" s="242"/>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row>
    <row r="65" spans="1:35" x14ac:dyDescent="0.2">
      <c r="A65" s="242"/>
      <c r="B65" s="242"/>
      <c r="C65" s="242"/>
      <c r="D65" s="242"/>
      <c r="E65" s="242"/>
      <c r="F65" s="242"/>
      <c r="G65" s="242"/>
      <c r="H65" s="242"/>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2"/>
      <c r="AG65" s="242"/>
      <c r="AH65" s="242"/>
      <c r="AI65" s="242"/>
    </row>
    <row r="66" spans="1:35" x14ac:dyDescent="0.2">
      <c r="A66" s="242"/>
      <c r="B66" s="242"/>
      <c r="C66" s="242"/>
      <c r="D66" s="242"/>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row>
    <row r="67" spans="1:35" x14ac:dyDescent="0.2">
      <c r="A67" s="242"/>
      <c r="B67" s="242"/>
      <c r="C67" s="242"/>
      <c r="D67" s="242"/>
      <c r="E67" s="242"/>
      <c r="F67" s="242"/>
      <c r="G67" s="242"/>
      <c r="H67" s="242"/>
      <c r="I67" s="242"/>
      <c r="J67" s="242"/>
      <c r="K67" s="242"/>
      <c r="L67" s="242"/>
      <c r="M67" s="242"/>
      <c r="N67" s="242"/>
      <c r="O67" s="242"/>
      <c r="P67" s="242"/>
      <c r="Q67" s="242"/>
      <c r="R67" s="242"/>
      <c r="S67" s="242"/>
      <c r="T67" s="242"/>
      <c r="U67" s="242"/>
      <c r="V67" s="242"/>
      <c r="W67" s="242"/>
      <c r="X67" s="242"/>
      <c r="Y67" s="242"/>
      <c r="Z67" s="242"/>
      <c r="AA67" s="242"/>
      <c r="AB67" s="242"/>
      <c r="AC67" s="242"/>
      <c r="AD67" s="242"/>
      <c r="AE67" s="242"/>
      <c r="AF67" s="242"/>
      <c r="AG67" s="242"/>
      <c r="AH67" s="242"/>
      <c r="AI67" s="242"/>
    </row>
    <row r="68" spans="1:35" x14ac:dyDescent="0.2">
      <c r="A68" s="242"/>
      <c r="B68" s="242"/>
      <c r="C68" s="242"/>
      <c r="D68" s="242"/>
      <c r="E68" s="242"/>
      <c r="F68" s="242"/>
      <c r="G68" s="242"/>
      <c r="H68" s="242"/>
      <c r="I68" s="242"/>
      <c r="J68" s="242"/>
      <c r="K68" s="242"/>
      <c r="L68" s="242"/>
      <c r="M68" s="242"/>
      <c r="N68" s="242"/>
      <c r="O68" s="242"/>
      <c r="P68" s="242"/>
      <c r="Q68" s="242"/>
      <c r="R68" s="242"/>
      <c r="S68" s="242"/>
      <c r="T68" s="242"/>
      <c r="U68" s="242"/>
      <c r="V68" s="242"/>
      <c r="W68" s="242"/>
      <c r="X68" s="242"/>
      <c r="Y68" s="242"/>
      <c r="Z68" s="242"/>
      <c r="AA68" s="242"/>
      <c r="AB68" s="242"/>
      <c r="AC68" s="242"/>
      <c r="AD68" s="242"/>
      <c r="AE68" s="242"/>
      <c r="AF68" s="242"/>
      <c r="AG68" s="242"/>
      <c r="AH68" s="242"/>
      <c r="AI68" s="242"/>
    </row>
    <row r="69" spans="1:35" x14ac:dyDescent="0.2">
      <c r="A69" s="242"/>
      <c r="B69" s="242"/>
      <c r="C69" s="242"/>
      <c r="D69" s="242"/>
      <c r="E69" s="242"/>
      <c r="F69" s="242"/>
      <c r="G69" s="242"/>
      <c r="H69" s="242"/>
      <c r="I69" s="242"/>
      <c r="J69" s="242"/>
      <c r="K69" s="242"/>
      <c r="L69" s="242"/>
      <c r="M69" s="242"/>
      <c r="N69" s="242"/>
      <c r="O69" s="242"/>
      <c r="P69" s="242"/>
      <c r="Q69" s="242"/>
      <c r="R69" s="242"/>
      <c r="S69" s="242"/>
      <c r="T69" s="242"/>
      <c r="U69" s="242"/>
      <c r="V69" s="242"/>
      <c r="W69" s="242"/>
      <c r="X69" s="242"/>
      <c r="Y69" s="242"/>
      <c r="Z69" s="242"/>
      <c r="AA69" s="242"/>
      <c r="AB69" s="242"/>
      <c r="AC69" s="242"/>
      <c r="AD69" s="242"/>
      <c r="AE69" s="242"/>
      <c r="AF69" s="242"/>
      <c r="AG69" s="242"/>
      <c r="AH69" s="242"/>
      <c r="AI69" s="242"/>
    </row>
  </sheetData>
  <sheetProtection password="CC31" sheet="1" objects="1" scenarios="1"/>
  <mergeCells count="13">
    <mergeCell ref="J10:J11"/>
    <mergeCell ref="M10:M11"/>
    <mergeCell ref="O10:O11"/>
    <mergeCell ref="Q10:Q11"/>
    <mergeCell ref="C2:R2"/>
    <mergeCell ref="C3:C4"/>
    <mergeCell ref="E3:E4"/>
    <mergeCell ref="G3:G4"/>
    <mergeCell ref="J3:J4"/>
    <mergeCell ref="O3:O4"/>
    <mergeCell ref="Q3:Q4"/>
    <mergeCell ref="C10:C11"/>
    <mergeCell ref="G10:G11"/>
  </mergeCells>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461"/>
  <sheetViews>
    <sheetView topLeftCell="A2" workbookViewId="0">
      <selection activeCell="N50" sqref="N50"/>
    </sheetView>
  </sheetViews>
  <sheetFormatPr defaultRowHeight="12.75" x14ac:dyDescent="0.2"/>
  <cols>
    <col min="18" max="18" width="11.28515625" bestFit="1" customWidth="1"/>
  </cols>
  <sheetData>
    <row r="2" spans="1:17" x14ac:dyDescent="0.2">
      <c r="O2" t="s">
        <v>6</v>
      </c>
      <c r="P2" t="s">
        <v>7</v>
      </c>
    </row>
    <row r="3" spans="1:17" x14ac:dyDescent="0.2">
      <c r="A3" t="s">
        <v>8</v>
      </c>
      <c r="B3" t="s">
        <v>9</v>
      </c>
      <c r="C3" t="s">
        <v>10</v>
      </c>
      <c r="D3" t="s">
        <v>11</v>
      </c>
      <c r="E3" t="s">
        <v>12</v>
      </c>
      <c r="F3" t="s">
        <v>13</v>
      </c>
      <c r="G3" t="s">
        <v>14</v>
      </c>
      <c r="H3" t="s">
        <v>15</v>
      </c>
      <c r="I3" t="s">
        <v>16</v>
      </c>
      <c r="J3" t="s">
        <v>5</v>
      </c>
      <c r="K3" t="s">
        <v>17</v>
      </c>
      <c r="L3" t="s">
        <v>18</v>
      </c>
      <c r="M3" t="s">
        <v>6</v>
      </c>
      <c r="N3" t="s">
        <v>7</v>
      </c>
      <c r="O3" t="s">
        <v>19</v>
      </c>
      <c r="P3" t="s">
        <v>19</v>
      </c>
      <c r="Q3" t="s">
        <v>7</v>
      </c>
    </row>
    <row r="4" spans="1:17" x14ac:dyDescent="0.2">
      <c r="A4">
        <v>1</v>
      </c>
      <c r="B4">
        <v>1</v>
      </c>
      <c r="C4">
        <f t="shared" ref="C4:C67" si="0">E4-D4</f>
        <v>31</v>
      </c>
      <c r="D4">
        <v>1</v>
      </c>
      <c r="E4">
        <v>32</v>
      </c>
      <c r="F4">
        <f>PMSPLINE!F$4</f>
        <v>2.0987687517840574</v>
      </c>
      <c r="G4">
        <f>PMSPLINE!F$5</f>
        <v>1.144113017729536</v>
      </c>
      <c r="H4" s="8">
        <f>PMSPLINE!K$4</f>
        <v>-3.4781873817351892E-3</v>
      </c>
      <c r="I4" s="8">
        <f>PMSPLINE!K$5</f>
        <v>1.9919703295898129E-3</v>
      </c>
      <c r="J4">
        <f t="shared" ref="J4:J67" si="1">(E4-B4)/C4</f>
        <v>1</v>
      </c>
      <c r="K4">
        <f t="shared" ref="K4:K67" si="2">(B4-D4)/C4</f>
        <v>0</v>
      </c>
      <c r="L4">
        <f t="shared" ref="L4:L22" si="3">B4-46</f>
        <v>-45</v>
      </c>
      <c r="M4" s="8">
        <f t="shared" ref="M4:M67" si="4">J4*F4+K4*G4</f>
        <v>2.0987687517840574</v>
      </c>
      <c r="N4" s="8">
        <f t="shared" ref="N4:N49" si="5">M4+(((J4^3-J4)*H4+(K4^3-K4)*I4))*(C4^2)/6</f>
        <v>2.0987687517840574</v>
      </c>
      <c r="O4" s="8">
        <f>M4</f>
        <v>2.0987687517840574</v>
      </c>
      <c r="P4" s="8">
        <f>N4</f>
        <v>2.0987687517840574</v>
      </c>
      <c r="Q4" s="8">
        <f>M4+(((J4^3-J4)*H4+(K4^3-K4)*I4))*(C4^2)/6</f>
        <v>2.0987687517840574</v>
      </c>
    </row>
    <row r="5" spans="1:17" x14ac:dyDescent="0.2">
      <c r="B5">
        <f t="shared" ref="B5:B68" si="6">B4+1</f>
        <v>2</v>
      </c>
      <c r="C5">
        <f t="shared" si="0"/>
        <v>31</v>
      </c>
      <c r="D5">
        <v>1</v>
      </c>
      <c r="E5">
        <v>32</v>
      </c>
      <c r="F5">
        <f>PMSPLINE!F$4</f>
        <v>2.0987687517840574</v>
      </c>
      <c r="G5">
        <f>PMSPLINE!F$5</f>
        <v>1.144113017729536</v>
      </c>
      <c r="H5" s="8">
        <f>PMSPLINE!K$4</f>
        <v>-3.4781873817351892E-3</v>
      </c>
      <c r="I5" s="8">
        <f>PMSPLINE!K$5</f>
        <v>1.9919703295898129E-3</v>
      </c>
      <c r="J5">
        <f t="shared" si="1"/>
        <v>0.967741935483871</v>
      </c>
      <c r="K5">
        <f t="shared" si="2"/>
        <v>3.2258064516129031E-2</v>
      </c>
      <c r="L5">
        <f t="shared" si="3"/>
        <v>-44</v>
      </c>
      <c r="M5" s="8">
        <f t="shared" si="4"/>
        <v>2.067973405524234</v>
      </c>
      <c r="N5" s="8">
        <f t="shared" si="5"/>
        <v>2.0919131441918104</v>
      </c>
      <c r="O5" s="8">
        <f>O4+M5</f>
        <v>4.1667421573082919</v>
      </c>
      <c r="P5" s="8">
        <f>P4+N5</f>
        <v>4.1906818959758674</v>
      </c>
      <c r="Q5" s="8">
        <f t="shared" ref="Q5:Q68" si="7">M5+(((J5^3-J5)*H5+(K5^3-K5)*I5))*(C5^2)/6</f>
        <v>2.0919131441918104</v>
      </c>
    </row>
    <row r="6" spans="1:17" x14ac:dyDescent="0.2">
      <c r="B6">
        <f t="shared" si="6"/>
        <v>3</v>
      </c>
      <c r="C6">
        <f t="shared" si="0"/>
        <v>31</v>
      </c>
      <c r="D6">
        <v>1</v>
      </c>
      <c r="E6">
        <v>32</v>
      </c>
      <c r="F6">
        <f>PMSPLINE!F$4</f>
        <v>2.0987687517840574</v>
      </c>
      <c r="G6">
        <f>PMSPLINE!F$5</f>
        <v>1.144113017729536</v>
      </c>
      <c r="H6" s="8">
        <f>PMSPLINE!K$4</f>
        <v>-3.4781873817351892E-3</v>
      </c>
      <c r="I6" s="8">
        <f>PMSPLINE!K$5</f>
        <v>1.9919703295898129E-3</v>
      </c>
      <c r="J6">
        <f t="shared" si="1"/>
        <v>0.93548387096774188</v>
      </c>
      <c r="K6">
        <f t="shared" si="2"/>
        <v>6.4516129032258063E-2</v>
      </c>
      <c r="L6">
        <f t="shared" si="3"/>
        <v>-43</v>
      </c>
      <c r="M6" s="8">
        <f t="shared" si="4"/>
        <v>2.0371780592644106</v>
      </c>
      <c r="N6" s="8">
        <f t="shared" si="5"/>
        <v>2.0817558059181933</v>
      </c>
      <c r="O6" s="8">
        <f t="shared" ref="O6:O69" si="8">O5+M6</f>
        <v>6.203920216572703</v>
      </c>
      <c r="P6" s="8">
        <f t="shared" ref="P6:P69" si="9">P5+N6</f>
        <v>6.2724377018940611</v>
      </c>
      <c r="Q6" s="8">
        <f t="shared" si="7"/>
        <v>2.0817558059181933</v>
      </c>
    </row>
    <row r="7" spans="1:17" x14ac:dyDescent="0.2">
      <c r="B7">
        <f t="shared" si="6"/>
        <v>4</v>
      </c>
      <c r="C7">
        <f t="shared" si="0"/>
        <v>31</v>
      </c>
      <c r="D7">
        <v>1</v>
      </c>
      <c r="E7">
        <v>32</v>
      </c>
      <c r="F7">
        <f>PMSPLINE!F$4</f>
        <v>2.0987687517840574</v>
      </c>
      <c r="G7">
        <f>PMSPLINE!F$5</f>
        <v>1.144113017729536</v>
      </c>
      <c r="H7" s="8">
        <f>PMSPLINE!K$4</f>
        <v>-3.4781873817351892E-3</v>
      </c>
      <c r="I7" s="8">
        <f>PMSPLINE!K$5</f>
        <v>1.9919703295898129E-3</v>
      </c>
      <c r="J7">
        <f t="shared" si="1"/>
        <v>0.90322580645161288</v>
      </c>
      <c r="K7">
        <f t="shared" si="2"/>
        <v>9.6774193548387094E-2</v>
      </c>
      <c r="L7">
        <f t="shared" si="3"/>
        <v>-42</v>
      </c>
      <c r="M7" s="8">
        <f t="shared" si="4"/>
        <v>2.0063827130045877</v>
      </c>
      <c r="N7" s="8">
        <f t="shared" si="5"/>
        <v>2.0684731936635723</v>
      </c>
      <c r="O7" s="8">
        <f t="shared" si="8"/>
        <v>8.2103029295772902</v>
      </c>
      <c r="P7" s="8">
        <f t="shared" si="9"/>
        <v>8.3409108955576343</v>
      </c>
      <c r="Q7" s="8">
        <f t="shared" si="7"/>
        <v>2.0684731936635723</v>
      </c>
    </row>
    <row r="8" spans="1:17" x14ac:dyDescent="0.2">
      <c r="B8">
        <f t="shared" si="6"/>
        <v>5</v>
      </c>
      <c r="C8">
        <f t="shared" si="0"/>
        <v>31</v>
      </c>
      <c r="D8">
        <v>1</v>
      </c>
      <c r="E8">
        <v>32</v>
      </c>
      <c r="F8">
        <f>PMSPLINE!F$4</f>
        <v>2.0987687517840574</v>
      </c>
      <c r="G8">
        <f>PMSPLINE!F$5</f>
        <v>1.144113017729536</v>
      </c>
      <c r="H8" s="8">
        <f>PMSPLINE!K$4</f>
        <v>-3.4781873817351892E-3</v>
      </c>
      <c r="I8" s="8">
        <f>PMSPLINE!K$5</f>
        <v>1.9919703295898129E-3</v>
      </c>
      <c r="J8">
        <f t="shared" si="1"/>
        <v>0.87096774193548387</v>
      </c>
      <c r="K8">
        <f t="shared" si="2"/>
        <v>0.12903225806451613</v>
      </c>
      <c r="L8">
        <f t="shared" si="3"/>
        <v>-41</v>
      </c>
      <c r="M8" s="8">
        <f t="shared" si="4"/>
        <v>1.9755873667447643</v>
      </c>
      <c r="N8" s="8">
        <f t="shared" si="5"/>
        <v>2.0522417641283113</v>
      </c>
      <c r="O8" s="8">
        <f t="shared" si="8"/>
        <v>10.185890296322054</v>
      </c>
      <c r="P8" s="8">
        <f t="shared" si="9"/>
        <v>10.393152659685946</v>
      </c>
      <c r="Q8" s="8">
        <f t="shared" si="7"/>
        <v>2.0522417641283113</v>
      </c>
    </row>
    <row r="9" spans="1:17" x14ac:dyDescent="0.2">
      <c r="B9">
        <f t="shared" si="6"/>
        <v>6</v>
      </c>
      <c r="C9">
        <f t="shared" si="0"/>
        <v>31</v>
      </c>
      <c r="D9">
        <v>1</v>
      </c>
      <c r="E9">
        <v>32</v>
      </c>
      <c r="F9">
        <f>PMSPLINE!F$4</f>
        <v>2.0987687517840574</v>
      </c>
      <c r="G9">
        <f>PMSPLINE!F$5</f>
        <v>1.144113017729536</v>
      </c>
      <c r="H9" s="8">
        <f>PMSPLINE!K$4</f>
        <v>-3.4781873817351892E-3</v>
      </c>
      <c r="I9" s="8">
        <f>PMSPLINE!K$5</f>
        <v>1.9919703295898129E-3</v>
      </c>
      <c r="J9">
        <f t="shared" si="1"/>
        <v>0.83870967741935487</v>
      </c>
      <c r="K9">
        <f t="shared" si="2"/>
        <v>0.16129032258064516</v>
      </c>
      <c r="L9">
        <f t="shared" si="3"/>
        <v>-40</v>
      </c>
      <c r="M9" s="8">
        <f t="shared" si="4"/>
        <v>1.9447920204849412</v>
      </c>
      <c r="N9" s="8">
        <f t="shared" si="5"/>
        <v>2.0332379740127768</v>
      </c>
      <c r="O9" s="8">
        <f t="shared" si="8"/>
        <v>12.130682316806995</v>
      </c>
      <c r="P9" s="8">
        <f t="shared" si="9"/>
        <v>12.426390633698723</v>
      </c>
      <c r="Q9" s="8">
        <f t="shared" si="7"/>
        <v>2.0332379740127768</v>
      </c>
    </row>
    <row r="10" spans="1:17" x14ac:dyDescent="0.2">
      <c r="B10">
        <f t="shared" si="6"/>
        <v>7</v>
      </c>
      <c r="C10">
        <f t="shared" si="0"/>
        <v>31</v>
      </c>
      <c r="D10">
        <v>1</v>
      </c>
      <c r="E10">
        <v>32</v>
      </c>
      <c r="F10">
        <f>PMSPLINE!F$4</f>
        <v>2.0987687517840574</v>
      </c>
      <c r="G10">
        <f>PMSPLINE!F$5</f>
        <v>1.144113017729536</v>
      </c>
      <c r="H10" s="8">
        <f>PMSPLINE!K$4</f>
        <v>-3.4781873817351892E-3</v>
      </c>
      <c r="I10" s="8">
        <f>PMSPLINE!K$5</f>
        <v>1.9919703295898129E-3</v>
      </c>
      <c r="J10">
        <f t="shared" si="1"/>
        <v>0.80645161290322576</v>
      </c>
      <c r="K10">
        <f t="shared" si="2"/>
        <v>0.19354838709677419</v>
      </c>
      <c r="L10">
        <f t="shared" si="3"/>
        <v>-39</v>
      </c>
      <c r="M10" s="8">
        <f t="shared" si="4"/>
        <v>1.9139966742251175</v>
      </c>
      <c r="N10" s="8">
        <f t="shared" si="5"/>
        <v>2.0116382800173334</v>
      </c>
      <c r="O10" s="8">
        <f t="shared" si="8"/>
        <v>14.044678991032113</v>
      </c>
      <c r="P10" s="8">
        <f t="shared" si="9"/>
        <v>14.438028913716057</v>
      </c>
      <c r="Q10" s="8">
        <f t="shared" si="7"/>
        <v>2.0116382800173334</v>
      </c>
    </row>
    <row r="11" spans="1:17" x14ac:dyDescent="0.2">
      <c r="B11">
        <f t="shared" si="6"/>
        <v>8</v>
      </c>
      <c r="C11">
        <f t="shared" si="0"/>
        <v>31</v>
      </c>
      <c r="D11">
        <v>1</v>
      </c>
      <c r="E11">
        <v>32</v>
      </c>
      <c r="F11">
        <f>PMSPLINE!F$4</f>
        <v>2.0987687517840574</v>
      </c>
      <c r="G11">
        <f>PMSPLINE!F$5</f>
        <v>1.144113017729536</v>
      </c>
      <c r="H11" s="8">
        <f>PMSPLINE!K$4</f>
        <v>-3.4781873817351892E-3</v>
      </c>
      <c r="I11" s="8">
        <f>PMSPLINE!K$5</f>
        <v>1.9919703295898129E-3</v>
      </c>
      <c r="J11">
        <f t="shared" si="1"/>
        <v>0.77419354838709675</v>
      </c>
      <c r="K11">
        <f t="shared" si="2"/>
        <v>0.22580645161290322</v>
      </c>
      <c r="L11">
        <f t="shared" si="3"/>
        <v>-38</v>
      </c>
      <c r="M11" s="8">
        <f t="shared" si="4"/>
        <v>1.8832013279652944</v>
      </c>
      <c r="N11" s="8">
        <f t="shared" si="5"/>
        <v>1.987619138842347</v>
      </c>
      <c r="O11" s="8">
        <f t="shared" si="8"/>
        <v>15.927880318997406</v>
      </c>
      <c r="P11" s="8">
        <f t="shared" si="9"/>
        <v>16.425648052558405</v>
      </c>
      <c r="Q11" s="8">
        <f t="shared" si="7"/>
        <v>1.987619138842347</v>
      </c>
    </row>
    <row r="12" spans="1:17" x14ac:dyDescent="0.2">
      <c r="B12">
        <f t="shared" si="6"/>
        <v>9</v>
      </c>
      <c r="C12">
        <f t="shared" si="0"/>
        <v>31</v>
      </c>
      <c r="D12">
        <v>1</v>
      </c>
      <c r="E12">
        <v>32</v>
      </c>
      <c r="F12">
        <f>PMSPLINE!F$4</f>
        <v>2.0987687517840574</v>
      </c>
      <c r="G12">
        <f>PMSPLINE!F$5</f>
        <v>1.144113017729536</v>
      </c>
      <c r="H12" s="8">
        <f>PMSPLINE!K$4</f>
        <v>-3.4781873817351892E-3</v>
      </c>
      <c r="I12" s="8">
        <f>PMSPLINE!K$5</f>
        <v>1.9919703295898129E-3</v>
      </c>
      <c r="J12">
        <f t="shared" si="1"/>
        <v>0.74193548387096775</v>
      </c>
      <c r="K12">
        <f t="shared" si="2"/>
        <v>0.25806451612903225</v>
      </c>
      <c r="L12">
        <f t="shared" si="3"/>
        <v>-37</v>
      </c>
      <c r="M12" s="8">
        <f t="shared" si="4"/>
        <v>1.8524059817054712</v>
      </c>
      <c r="N12" s="8">
        <f t="shared" si="5"/>
        <v>1.9613570071881827</v>
      </c>
      <c r="O12" s="8">
        <f t="shared" si="8"/>
        <v>17.780286300702876</v>
      </c>
      <c r="P12" s="8">
        <f t="shared" si="9"/>
        <v>18.387005059746588</v>
      </c>
      <c r="Q12" s="8">
        <f t="shared" si="7"/>
        <v>1.9613570071881827</v>
      </c>
    </row>
    <row r="13" spans="1:17" x14ac:dyDescent="0.2">
      <c r="B13">
        <f t="shared" si="6"/>
        <v>10</v>
      </c>
      <c r="C13">
        <f t="shared" si="0"/>
        <v>31</v>
      </c>
      <c r="D13">
        <v>1</v>
      </c>
      <c r="E13">
        <v>32</v>
      </c>
      <c r="F13">
        <f>PMSPLINE!F$4</f>
        <v>2.0987687517840574</v>
      </c>
      <c r="G13">
        <f>PMSPLINE!F$5</f>
        <v>1.144113017729536</v>
      </c>
      <c r="H13" s="8">
        <f>PMSPLINE!K$4</f>
        <v>-3.4781873817351892E-3</v>
      </c>
      <c r="I13" s="8">
        <f>PMSPLINE!K$5</f>
        <v>1.9919703295898129E-3</v>
      </c>
      <c r="J13">
        <f t="shared" si="1"/>
        <v>0.70967741935483875</v>
      </c>
      <c r="K13">
        <f t="shared" si="2"/>
        <v>0.29032258064516131</v>
      </c>
      <c r="L13">
        <f t="shared" si="3"/>
        <v>-36</v>
      </c>
      <c r="M13" s="8">
        <f t="shared" si="4"/>
        <v>1.8216106354456481</v>
      </c>
      <c r="N13" s="8">
        <f t="shared" si="5"/>
        <v>1.9330283417552059</v>
      </c>
      <c r="O13" s="8">
        <f t="shared" si="8"/>
        <v>19.601896936148524</v>
      </c>
      <c r="P13" s="8">
        <f t="shared" si="9"/>
        <v>20.320033401501796</v>
      </c>
      <c r="Q13" s="8">
        <f t="shared" si="7"/>
        <v>1.9330283417552059</v>
      </c>
    </row>
    <row r="14" spans="1:17" x14ac:dyDescent="0.2">
      <c r="B14">
        <f t="shared" si="6"/>
        <v>11</v>
      </c>
      <c r="C14">
        <f t="shared" si="0"/>
        <v>31</v>
      </c>
      <c r="D14">
        <v>1</v>
      </c>
      <c r="E14">
        <v>32</v>
      </c>
      <c r="F14">
        <f>PMSPLINE!F$4</f>
        <v>2.0987687517840574</v>
      </c>
      <c r="G14">
        <f>PMSPLINE!F$5</f>
        <v>1.144113017729536</v>
      </c>
      <c r="H14" s="8">
        <f>PMSPLINE!K$4</f>
        <v>-3.4781873817351892E-3</v>
      </c>
      <c r="I14" s="8">
        <f>PMSPLINE!K$5</f>
        <v>1.9919703295898129E-3</v>
      </c>
      <c r="J14">
        <f t="shared" si="1"/>
        <v>0.67741935483870963</v>
      </c>
      <c r="K14">
        <f t="shared" si="2"/>
        <v>0.32258064516129031</v>
      </c>
      <c r="L14">
        <f t="shared" si="3"/>
        <v>-35</v>
      </c>
      <c r="M14" s="8">
        <f t="shared" si="4"/>
        <v>1.7908152891858247</v>
      </c>
      <c r="N14" s="8">
        <f t="shared" si="5"/>
        <v>1.9028095992437815</v>
      </c>
      <c r="O14" s="8">
        <f t="shared" si="8"/>
        <v>21.39271222533435</v>
      </c>
      <c r="P14" s="8">
        <f t="shared" si="9"/>
        <v>22.222843000745577</v>
      </c>
      <c r="Q14" s="8">
        <f t="shared" si="7"/>
        <v>1.9028095992437815</v>
      </c>
    </row>
    <row r="15" spans="1:17" x14ac:dyDescent="0.2">
      <c r="B15">
        <f t="shared" si="6"/>
        <v>12</v>
      </c>
      <c r="C15">
        <f t="shared" si="0"/>
        <v>31</v>
      </c>
      <c r="D15">
        <v>1</v>
      </c>
      <c r="E15">
        <v>32</v>
      </c>
      <c r="F15">
        <f>PMSPLINE!F$4</f>
        <v>2.0987687517840574</v>
      </c>
      <c r="G15">
        <f>PMSPLINE!F$5</f>
        <v>1.144113017729536</v>
      </c>
      <c r="H15" s="8">
        <f>PMSPLINE!K$4</f>
        <v>-3.4781873817351892E-3</v>
      </c>
      <c r="I15" s="8">
        <f>PMSPLINE!K$5</f>
        <v>1.9919703295898129E-3</v>
      </c>
      <c r="J15">
        <f t="shared" si="1"/>
        <v>0.64516129032258063</v>
      </c>
      <c r="K15">
        <f t="shared" si="2"/>
        <v>0.35483870967741937</v>
      </c>
      <c r="L15">
        <f t="shared" si="3"/>
        <v>-34</v>
      </c>
      <c r="M15" s="8">
        <f t="shared" si="4"/>
        <v>1.7600199429260015</v>
      </c>
      <c r="N15" s="8">
        <f t="shared" si="5"/>
        <v>1.8708772363542754</v>
      </c>
      <c r="O15" s="8">
        <f t="shared" si="8"/>
        <v>23.15273216826035</v>
      </c>
      <c r="P15" s="8">
        <f t="shared" si="9"/>
        <v>24.093720237099852</v>
      </c>
      <c r="Q15" s="8">
        <f t="shared" si="7"/>
        <v>1.8708772363542754</v>
      </c>
    </row>
    <row r="16" spans="1:17" x14ac:dyDescent="0.2">
      <c r="B16">
        <f t="shared" si="6"/>
        <v>13</v>
      </c>
      <c r="C16">
        <f t="shared" si="0"/>
        <v>31</v>
      </c>
      <c r="D16">
        <v>1</v>
      </c>
      <c r="E16">
        <v>32</v>
      </c>
      <c r="F16">
        <f>PMSPLINE!F$4</f>
        <v>2.0987687517840574</v>
      </c>
      <c r="G16">
        <f>PMSPLINE!F$5</f>
        <v>1.144113017729536</v>
      </c>
      <c r="H16" s="8">
        <f>PMSPLINE!K$4</f>
        <v>-3.4781873817351892E-3</v>
      </c>
      <c r="I16" s="8">
        <f>PMSPLINE!K$5</f>
        <v>1.9919703295898129E-3</v>
      </c>
      <c r="J16">
        <f t="shared" si="1"/>
        <v>0.61290322580645162</v>
      </c>
      <c r="K16">
        <f t="shared" si="2"/>
        <v>0.38709677419354838</v>
      </c>
      <c r="L16">
        <f t="shared" si="3"/>
        <v>-33</v>
      </c>
      <c r="M16" s="8">
        <f t="shared" si="4"/>
        <v>1.7292245966661781</v>
      </c>
      <c r="N16" s="8">
        <f t="shared" si="5"/>
        <v>1.8374077097870525</v>
      </c>
      <c r="O16" s="8">
        <f t="shared" si="8"/>
        <v>24.881956764926528</v>
      </c>
      <c r="P16" s="8">
        <f t="shared" si="9"/>
        <v>25.931127946886903</v>
      </c>
      <c r="Q16" s="8">
        <f t="shared" si="7"/>
        <v>1.8374077097870525</v>
      </c>
    </row>
    <row r="17" spans="2:17" x14ac:dyDescent="0.2">
      <c r="B17">
        <f t="shared" si="6"/>
        <v>14</v>
      </c>
      <c r="C17">
        <f t="shared" si="0"/>
        <v>31</v>
      </c>
      <c r="D17">
        <v>1</v>
      </c>
      <c r="E17">
        <v>32</v>
      </c>
      <c r="F17">
        <f>PMSPLINE!F$4</f>
        <v>2.0987687517840574</v>
      </c>
      <c r="G17">
        <f>PMSPLINE!F$5</f>
        <v>1.144113017729536</v>
      </c>
      <c r="H17" s="8">
        <f>PMSPLINE!K$4</f>
        <v>-3.4781873817351892E-3</v>
      </c>
      <c r="I17" s="8">
        <f>PMSPLINE!K$5</f>
        <v>1.9919703295898129E-3</v>
      </c>
      <c r="J17">
        <f t="shared" si="1"/>
        <v>0.58064516129032262</v>
      </c>
      <c r="K17">
        <f t="shared" si="2"/>
        <v>0.41935483870967744</v>
      </c>
      <c r="L17">
        <f t="shared" si="3"/>
        <v>-32</v>
      </c>
      <c r="M17" s="8">
        <f t="shared" si="4"/>
        <v>1.6984292504063552</v>
      </c>
      <c r="N17" s="8">
        <f t="shared" si="5"/>
        <v>1.8025774762424787</v>
      </c>
      <c r="O17" s="8">
        <f t="shared" si="8"/>
        <v>26.580386015332884</v>
      </c>
      <c r="P17" s="8">
        <f t="shared" si="9"/>
        <v>27.733705423129383</v>
      </c>
      <c r="Q17" s="8">
        <f t="shared" si="7"/>
        <v>1.8025774762424787</v>
      </c>
    </row>
    <row r="18" spans="2:17" x14ac:dyDescent="0.2">
      <c r="B18">
        <f t="shared" si="6"/>
        <v>15</v>
      </c>
      <c r="C18">
        <f t="shared" si="0"/>
        <v>31</v>
      </c>
      <c r="D18">
        <v>1</v>
      </c>
      <c r="E18">
        <v>32</v>
      </c>
      <c r="F18">
        <f>PMSPLINE!F$4</f>
        <v>2.0987687517840574</v>
      </c>
      <c r="G18">
        <f>PMSPLINE!F$5</f>
        <v>1.144113017729536</v>
      </c>
      <c r="H18" s="8">
        <f>PMSPLINE!K$4</f>
        <v>-3.4781873817351892E-3</v>
      </c>
      <c r="I18" s="8">
        <f>PMSPLINE!K$5</f>
        <v>1.9919703295898129E-3</v>
      </c>
      <c r="J18">
        <f t="shared" si="1"/>
        <v>0.54838709677419351</v>
      </c>
      <c r="K18">
        <f t="shared" si="2"/>
        <v>0.45161290322580644</v>
      </c>
      <c r="L18">
        <f t="shared" si="3"/>
        <v>-31</v>
      </c>
      <c r="M18" s="8">
        <f t="shared" si="4"/>
        <v>1.6676339041465316</v>
      </c>
      <c r="N18" s="8">
        <f t="shared" si="5"/>
        <v>1.7665629924209181</v>
      </c>
      <c r="O18" s="8">
        <f t="shared" si="8"/>
        <v>28.248019919479415</v>
      </c>
      <c r="P18" s="8">
        <f t="shared" si="9"/>
        <v>29.500268415550302</v>
      </c>
      <c r="Q18" s="8">
        <f t="shared" si="7"/>
        <v>1.7665629924209181</v>
      </c>
    </row>
    <row r="19" spans="2:17" x14ac:dyDescent="0.2">
      <c r="B19">
        <f t="shared" si="6"/>
        <v>16</v>
      </c>
      <c r="C19">
        <f t="shared" si="0"/>
        <v>31</v>
      </c>
      <c r="D19">
        <v>1</v>
      </c>
      <c r="E19">
        <v>32</v>
      </c>
      <c r="F19">
        <f>PMSPLINE!F$4</f>
        <v>2.0987687517840574</v>
      </c>
      <c r="G19">
        <f>PMSPLINE!F$5</f>
        <v>1.144113017729536</v>
      </c>
      <c r="H19" s="8">
        <f>PMSPLINE!K$4</f>
        <v>-3.4781873817351892E-3</v>
      </c>
      <c r="I19" s="8">
        <f>PMSPLINE!K$5</f>
        <v>1.9919703295898129E-3</v>
      </c>
      <c r="J19">
        <f t="shared" si="1"/>
        <v>0.5161290322580645</v>
      </c>
      <c r="K19">
        <f t="shared" si="2"/>
        <v>0.4838709677419355</v>
      </c>
      <c r="L19">
        <f t="shared" si="3"/>
        <v>-30</v>
      </c>
      <c r="M19" s="8">
        <f t="shared" si="4"/>
        <v>1.6368385578867084</v>
      </c>
      <c r="N19" s="8">
        <f t="shared" si="5"/>
        <v>1.7295407150227375</v>
      </c>
      <c r="O19" s="8">
        <f t="shared" si="8"/>
        <v>29.884858477366123</v>
      </c>
      <c r="P19" s="8">
        <f t="shared" si="9"/>
        <v>31.229809130573038</v>
      </c>
      <c r="Q19" s="8">
        <f t="shared" si="7"/>
        <v>1.7295407150227375</v>
      </c>
    </row>
    <row r="20" spans="2:17" x14ac:dyDescent="0.2">
      <c r="B20">
        <f t="shared" si="6"/>
        <v>17</v>
      </c>
      <c r="C20">
        <f t="shared" si="0"/>
        <v>31</v>
      </c>
      <c r="D20">
        <v>1</v>
      </c>
      <c r="E20">
        <v>32</v>
      </c>
      <c r="F20">
        <f>PMSPLINE!F$4</f>
        <v>2.0987687517840574</v>
      </c>
      <c r="G20">
        <f>PMSPLINE!F$5</f>
        <v>1.144113017729536</v>
      </c>
      <c r="H20" s="8">
        <f>PMSPLINE!K$4</f>
        <v>-3.4781873817351892E-3</v>
      </c>
      <c r="I20" s="8">
        <f>PMSPLINE!K$5</f>
        <v>1.9919703295898129E-3</v>
      </c>
      <c r="J20">
        <f t="shared" si="1"/>
        <v>0.4838709677419355</v>
      </c>
      <c r="K20">
        <f t="shared" si="2"/>
        <v>0.5161290322580645</v>
      </c>
      <c r="L20">
        <f t="shared" si="3"/>
        <v>-29</v>
      </c>
      <c r="M20" s="8">
        <f t="shared" si="4"/>
        <v>1.606043211626885</v>
      </c>
      <c r="N20" s="8">
        <f t="shared" si="5"/>
        <v>1.6916871007483012</v>
      </c>
      <c r="O20" s="8">
        <f t="shared" si="8"/>
        <v>31.490901688993009</v>
      </c>
      <c r="P20" s="8">
        <f t="shared" si="9"/>
        <v>32.921496231321342</v>
      </c>
      <c r="Q20" s="8">
        <f t="shared" si="7"/>
        <v>1.6916871007483012</v>
      </c>
    </row>
    <row r="21" spans="2:17" x14ac:dyDescent="0.2">
      <c r="B21">
        <f t="shared" si="6"/>
        <v>18</v>
      </c>
      <c r="C21">
        <f t="shared" si="0"/>
        <v>31</v>
      </c>
      <c r="D21">
        <v>1</v>
      </c>
      <c r="E21">
        <v>32</v>
      </c>
      <c r="F21">
        <f>PMSPLINE!F$4</f>
        <v>2.0987687517840574</v>
      </c>
      <c r="G21">
        <f>PMSPLINE!F$5</f>
        <v>1.144113017729536</v>
      </c>
      <c r="H21" s="8">
        <f>PMSPLINE!K$4</f>
        <v>-3.4781873817351892E-3</v>
      </c>
      <c r="I21" s="8">
        <f>PMSPLINE!K$5</f>
        <v>1.9919703295898129E-3</v>
      </c>
      <c r="J21">
        <f t="shared" si="1"/>
        <v>0.45161290322580644</v>
      </c>
      <c r="K21">
        <f t="shared" si="2"/>
        <v>0.54838709677419351</v>
      </c>
      <c r="L21">
        <f t="shared" si="3"/>
        <v>-28</v>
      </c>
      <c r="M21" s="8">
        <f t="shared" si="4"/>
        <v>1.5752478653670616</v>
      </c>
      <c r="N21" s="8">
        <f t="shared" si="5"/>
        <v>1.6531786062979748</v>
      </c>
      <c r="O21" s="8">
        <f t="shared" si="8"/>
        <v>33.066149554360074</v>
      </c>
      <c r="P21" s="8">
        <f t="shared" si="9"/>
        <v>34.57467483761932</v>
      </c>
      <c r="Q21" s="8">
        <f t="shared" si="7"/>
        <v>1.6531786062979748</v>
      </c>
    </row>
    <row r="22" spans="2:17" x14ac:dyDescent="0.2">
      <c r="B22">
        <f t="shared" si="6"/>
        <v>19</v>
      </c>
      <c r="C22">
        <f t="shared" si="0"/>
        <v>31</v>
      </c>
      <c r="D22">
        <v>1</v>
      </c>
      <c r="E22">
        <v>32</v>
      </c>
      <c r="F22">
        <f>PMSPLINE!F$4</f>
        <v>2.0987687517840574</v>
      </c>
      <c r="G22">
        <f>PMSPLINE!F$5</f>
        <v>1.144113017729536</v>
      </c>
      <c r="H22" s="8">
        <f>PMSPLINE!K$4</f>
        <v>-3.4781873817351892E-3</v>
      </c>
      <c r="I22" s="8">
        <f>PMSPLINE!K$5</f>
        <v>1.9919703295898129E-3</v>
      </c>
      <c r="J22">
        <f t="shared" si="1"/>
        <v>0.41935483870967744</v>
      </c>
      <c r="K22">
        <f t="shared" si="2"/>
        <v>0.58064516129032262</v>
      </c>
      <c r="L22">
        <f t="shared" si="3"/>
        <v>-27</v>
      </c>
      <c r="M22" s="8">
        <f t="shared" si="4"/>
        <v>1.5444525191072387</v>
      </c>
      <c r="N22" s="8">
        <f t="shared" si="5"/>
        <v>1.6141916883721243</v>
      </c>
      <c r="O22" s="8">
        <f t="shared" si="8"/>
        <v>34.610602073467312</v>
      </c>
      <c r="P22" s="8">
        <f t="shared" si="9"/>
        <v>36.188866525991443</v>
      </c>
      <c r="Q22" s="8">
        <f t="shared" si="7"/>
        <v>1.6141916883721243</v>
      </c>
    </row>
    <row r="23" spans="2:17" x14ac:dyDescent="0.2">
      <c r="B23">
        <f t="shared" si="6"/>
        <v>20</v>
      </c>
      <c r="C23">
        <f t="shared" si="0"/>
        <v>31</v>
      </c>
      <c r="D23">
        <v>1</v>
      </c>
      <c r="E23">
        <v>32</v>
      </c>
      <c r="F23">
        <f>PMSPLINE!F$4</f>
        <v>2.0987687517840574</v>
      </c>
      <c r="G23">
        <f>PMSPLINE!F$5</f>
        <v>1.144113017729536</v>
      </c>
      <c r="H23" s="8">
        <f>PMSPLINE!K$4</f>
        <v>-3.4781873817351892E-3</v>
      </c>
      <c r="I23" s="8">
        <f>PMSPLINE!K$5</f>
        <v>1.9919703295898129E-3</v>
      </c>
      <c r="J23">
        <f t="shared" si="1"/>
        <v>0.38709677419354838</v>
      </c>
      <c r="K23">
        <f t="shared" si="2"/>
        <v>0.61290322580645162</v>
      </c>
      <c r="L23">
        <f t="shared" ref="L23:L49" si="10">B23-46</f>
        <v>-26</v>
      </c>
      <c r="M23" s="8">
        <f t="shared" si="4"/>
        <v>1.5136571728474153</v>
      </c>
      <c r="N23" s="8">
        <f t="shared" si="5"/>
        <v>1.5749028036711139</v>
      </c>
      <c r="O23" s="8">
        <f t="shared" si="8"/>
        <v>36.124259246314729</v>
      </c>
      <c r="P23" s="8">
        <f t="shared" si="9"/>
        <v>37.763769329662559</v>
      </c>
      <c r="Q23" s="8">
        <f t="shared" si="7"/>
        <v>1.5749028036711139</v>
      </c>
    </row>
    <row r="24" spans="2:17" x14ac:dyDescent="0.2">
      <c r="B24">
        <f t="shared" si="6"/>
        <v>21</v>
      </c>
      <c r="C24">
        <f t="shared" si="0"/>
        <v>31</v>
      </c>
      <c r="D24">
        <v>1</v>
      </c>
      <c r="E24">
        <v>32</v>
      </c>
      <c r="F24">
        <f>PMSPLINE!F$4</f>
        <v>2.0987687517840574</v>
      </c>
      <c r="G24">
        <f>PMSPLINE!F$5</f>
        <v>1.144113017729536</v>
      </c>
      <c r="H24" s="8">
        <f>PMSPLINE!K$4</f>
        <v>-3.4781873817351892E-3</v>
      </c>
      <c r="I24" s="8">
        <f>PMSPLINE!K$5</f>
        <v>1.9919703295898129E-3</v>
      </c>
      <c r="J24">
        <f t="shared" si="1"/>
        <v>0.35483870967741937</v>
      </c>
      <c r="K24">
        <f t="shared" si="2"/>
        <v>0.64516129032258063</v>
      </c>
      <c r="L24">
        <f t="shared" si="10"/>
        <v>-25</v>
      </c>
      <c r="M24" s="8">
        <f t="shared" si="4"/>
        <v>1.4828618265875919</v>
      </c>
      <c r="N24" s="8">
        <f t="shared" si="5"/>
        <v>1.5354884088953094</v>
      </c>
      <c r="O24" s="8">
        <f t="shared" si="8"/>
        <v>37.607121072902324</v>
      </c>
      <c r="P24" s="8">
        <f t="shared" si="9"/>
        <v>39.29925773855787</v>
      </c>
      <c r="Q24" s="8">
        <f t="shared" si="7"/>
        <v>1.5354884088953094</v>
      </c>
    </row>
    <row r="25" spans="2:17" x14ac:dyDescent="0.2">
      <c r="B25">
        <f t="shared" si="6"/>
        <v>22</v>
      </c>
      <c r="C25">
        <f t="shared" si="0"/>
        <v>31</v>
      </c>
      <c r="D25">
        <v>1</v>
      </c>
      <c r="E25">
        <v>32</v>
      </c>
      <c r="F25">
        <f>PMSPLINE!F$4</f>
        <v>2.0987687517840574</v>
      </c>
      <c r="G25">
        <f>PMSPLINE!F$5</f>
        <v>1.144113017729536</v>
      </c>
      <c r="H25" s="8">
        <f>PMSPLINE!K$4</f>
        <v>-3.4781873817351892E-3</v>
      </c>
      <c r="I25" s="8">
        <f>PMSPLINE!K$5</f>
        <v>1.9919703295898129E-3</v>
      </c>
      <c r="J25">
        <f t="shared" si="1"/>
        <v>0.32258064516129031</v>
      </c>
      <c r="K25">
        <f t="shared" si="2"/>
        <v>0.67741935483870963</v>
      </c>
      <c r="L25">
        <f t="shared" si="10"/>
        <v>-24</v>
      </c>
      <c r="M25" s="8">
        <f t="shared" si="4"/>
        <v>1.4520664803277685</v>
      </c>
      <c r="N25" s="8">
        <f t="shared" si="5"/>
        <v>1.4961249607450762</v>
      </c>
      <c r="O25" s="8">
        <f t="shared" si="8"/>
        <v>39.059187553230089</v>
      </c>
      <c r="P25" s="8">
        <f t="shared" si="9"/>
        <v>40.795382699302948</v>
      </c>
      <c r="Q25" s="8">
        <f t="shared" si="7"/>
        <v>1.4961249607450762</v>
      </c>
    </row>
    <row r="26" spans="2:17" x14ac:dyDescent="0.2">
      <c r="B26">
        <f t="shared" si="6"/>
        <v>23</v>
      </c>
      <c r="C26">
        <f t="shared" si="0"/>
        <v>31</v>
      </c>
      <c r="D26">
        <v>1</v>
      </c>
      <c r="E26">
        <v>32</v>
      </c>
      <c r="F26">
        <f>PMSPLINE!F$4</f>
        <v>2.0987687517840574</v>
      </c>
      <c r="G26">
        <f>PMSPLINE!F$5</f>
        <v>1.144113017729536</v>
      </c>
      <c r="H26" s="8">
        <f>PMSPLINE!K$4</f>
        <v>-3.4781873817351892E-3</v>
      </c>
      <c r="I26" s="8">
        <f>PMSPLINE!K$5</f>
        <v>1.9919703295898129E-3</v>
      </c>
      <c r="J26">
        <f t="shared" si="1"/>
        <v>0.29032258064516131</v>
      </c>
      <c r="K26">
        <f t="shared" si="2"/>
        <v>0.70967741935483875</v>
      </c>
      <c r="L26">
        <f t="shared" si="10"/>
        <v>-23</v>
      </c>
      <c r="M26" s="8">
        <f t="shared" si="4"/>
        <v>1.4212711340679456</v>
      </c>
      <c r="N26" s="8">
        <f t="shared" si="5"/>
        <v>1.4569889159207801</v>
      </c>
      <c r="O26" s="8">
        <f t="shared" si="8"/>
        <v>40.480458687298032</v>
      </c>
      <c r="P26" s="8">
        <f t="shared" si="9"/>
        <v>42.25237161522373</v>
      </c>
      <c r="Q26" s="8">
        <f t="shared" si="7"/>
        <v>1.4569889159207801</v>
      </c>
    </row>
    <row r="27" spans="2:17" x14ac:dyDescent="0.2">
      <c r="B27">
        <f t="shared" si="6"/>
        <v>24</v>
      </c>
      <c r="C27">
        <f t="shared" si="0"/>
        <v>31</v>
      </c>
      <c r="D27">
        <v>1</v>
      </c>
      <c r="E27">
        <v>32</v>
      </c>
      <c r="F27">
        <f>PMSPLINE!F$4</f>
        <v>2.0987687517840574</v>
      </c>
      <c r="G27">
        <f>PMSPLINE!F$5</f>
        <v>1.144113017729536</v>
      </c>
      <c r="H27" s="8">
        <f>PMSPLINE!K$4</f>
        <v>-3.4781873817351892E-3</v>
      </c>
      <c r="I27" s="8">
        <f>PMSPLINE!K$5</f>
        <v>1.9919703295898129E-3</v>
      </c>
      <c r="J27">
        <f t="shared" si="1"/>
        <v>0.25806451612903225</v>
      </c>
      <c r="K27">
        <f t="shared" si="2"/>
        <v>0.74193548387096775</v>
      </c>
      <c r="L27">
        <f t="shared" si="10"/>
        <v>-22</v>
      </c>
      <c r="M27" s="8">
        <f t="shared" si="4"/>
        <v>1.3904757878081222</v>
      </c>
      <c r="N27" s="8">
        <f t="shared" si="5"/>
        <v>1.4182567311227854</v>
      </c>
      <c r="O27" s="8">
        <f t="shared" si="8"/>
        <v>41.870934475106154</v>
      </c>
      <c r="P27" s="8">
        <f t="shared" si="9"/>
        <v>43.670628346346518</v>
      </c>
      <c r="Q27" s="8">
        <f t="shared" si="7"/>
        <v>1.4182567311227854</v>
      </c>
    </row>
    <row r="28" spans="2:17" x14ac:dyDescent="0.2">
      <c r="B28">
        <f t="shared" si="6"/>
        <v>25</v>
      </c>
      <c r="C28">
        <f t="shared" si="0"/>
        <v>31</v>
      </c>
      <c r="D28">
        <v>1</v>
      </c>
      <c r="E28">
        <v>32</v>
      </c>
      <c r="F28">
        <f>PMSPLINE!F$4</f>
        <v>2.0987687517840574</v>
      </c>
      <c r="G28">
        <f>PMSPLINE!F$5</f>
        <v>1.144113017729536</v>
      </c>
      <c r="H28" s="8">
        <f>PMSPLINE!K$4</f>
        <v>-3.4781873817351892E-3</v>
      </c>
      <c r="I28" s="8">
        <f>PMSPLINE!K$5</f>
        <v>1.9919703295898129E-3</v>
      </c>
      <c r="J28">
        <f t="shared" si="1"/>
        <v>0.22580645161290322</v>
      </c>
      <c r="K28">
        <f t="shared" si="2"/>
        <v>0.77419354838709675</v>
      </c>
      <c r="L28">
        <f t="shared" si="10"/>
        <v>-21</v>
      </c>
      <c r="M28" s="8">
        <f t="shared" si="4"/>
        <v>1.3596804415482988</v>
      </c>
      <c r="N28" s="8">
        <f t="shared" si="5"/>
        <v>1.3801048630514579</v>
      </c>
      <c r="O28" s="8">
        <f t="shared" si="8"/>
        <v>43.230614916654453</v>
      </c>
      <c r="P28" s="8">
        <f t="shared" si="9"/>
        <v>45.050733209397976</v>
      </c>
      <c r="Q28" s="8">
        <f t="shared" si="7"/>
        <v>1.3801048630514579</v>
      </c>
    </row>
    <row r="29" spans="2:17" x14ac:dyDescent="0.2">
      <c r="B29">
        <f t="shared" si="6"/>
        <v>26</v>
      </c>
      <c r="C29">
        <f t="shared" si="0"/>
        <v>31</v>
      </c>
      <c r="D29">
        <v>1</v>
      </c>
      <c r="E29">
        <v>32</v>
      </c>
      <c r="F29">
        <f>PMSPLINE!F$4</f>
        <v>2.0987687517840574</v>
      </c>
      <c r="G29">
        <f>PMSPLINE!F$5</f>
        <v>1.144113017729536</v>
      </c>
      <c r="H29" s="8">
        <f>PMSPLINE!K$4</f>
        <v>-3.4781873817351892E-3</v>
      </c>
      <c r="I29" s="8">
        <f>PMSPLINE!K$5</f>
        <v>1.9919703295898129E-3</v>
      </c>
      <c r="J29">
        <f t="shared" si="1"/>
        <v>0.19354838709677419</v>
      </c>
      <c r="K29">
        <f t="shared" si="2"/>
        <v>0.80645161290322576</v>
      </c>
      <c r="L29">
        <f t="shared" si="10"/>
        <v>-20</v>
      </c>
      <c r="M29" s="8">
        <f t="shared" si="4"/>
        <v>1.3288850952884756</v>
      </c>
      <c r="N29" s="8">
        <f t="shared" si="5"/>
        <v>1.3427097684071632</v>
      </c>
      <c r="O29" s="8">
        <f t="shared" si="8"/>
        <v>44.55950001194293</v>
      </c>
      <c r="P29" s="8">
        <f t="shared" si="9"/>
        <v>46.393442977805137</v>
      </c>
      <c r="Q29" s="8">
        <f t="shared" si="7"/>
        <v>1.3427097684071632</v>
      </c>
    </row>
    <row r="30" spans="2:17" x14ac:dyDescent="0.2">
      <c r="B30">
        <f t="shared" si="6"/>
        <v>27</v>
      </c>
      <c r="C30">
        <f t="shared" si="0"/>
        <v>31</v>
      </c>
      <c r="D30">
        <v>1</v>
      </c>
      <c r="E30">
        <v>32</v>
      </c>
      <c r="F30">
        <f>PMSPLINE!F$4</f>
        <v>2.0987687517840574</v>
      </c>
      <c r="G30">
        <f>PMSPLINE!F$5</f>
        <v>1.144113017729536</v>
      </c>
      <c r="H30" s="8">
        <f>PMSPLINE!K$4</f>
        <v>-3.4781873817351892E-3</v>
      </c>
      <c r="I30" s="8">
        <f>PMSPLINE!K$5</f>
        <v>1.9919703295898129E-3</v>
      </c>
      <c r="J30">
        <f t="shared" si="1"/>
        <v>0.16129032258064516</v>
      </c>
      <c r="K30">
        <f t="shared" si="2"/>
        <v>0.83870967741935487</v>
      </c>
      <c r="L30">
        <f t="shared" si="10"/>
        <v>-19</v>
      </c>
      <c r="M30" s="8">
        <f t="shared" si="4"/>
        <v>1.2980897490286525</v>
      </c>
      <c r="N30" s="8">
        <f t="shared" si="5"/>
        <v>1.3062479038902663</v>
      </c>
      <c r="O30" s="8">
        <f t="shared" si="8"/>
        <v>45.857589760971585</v>
      </c>
      <c r="P30" s="8">
        <f t="shared" si="9"/>
        <v>47.699690881695403</v>
      </c>
      <c r="Q30" s="8">
        <f t="shared" si="7"/>
        <v>1.3062479038902663</v>
      </c>
    </row>
    <row r="31" spans="2:17" x14ac:dyDescent="0.2">
      <c r="B31">
        <f t="shared" si="6"/>
        <v>28</v>
      </c>
      <c r="C31">
        <f t="shared" si="0"/>
        <v>31</v>
      </c>
      <c r="D31">
        <v>1</v>
      </c>
      <c r="E31">
        <v>32</v>
      </c>
      <c r="F31">
        <f>PMSPLINE!F$4</f>
        <v>2.0987687517840574</v>
      </c>
      <c r="G31">
        <f>PMSPLINE!F$5</f>
        <v>1.144113017729536</v>
      </c>
      <c r="H31" s="8">
        <f>PMSPLINE!K$4</f>
        <v>-3.4781873817351892E-3</v>
      </c>
      <c r="I31" s="8">
        <f>PMSPLINE!K$5</f>
        <v>1.9919703295898129E-3</v>
      </c>
      <c r="J31">
        <f t="shared" si="1"/>
        <v>0.12903225806451613</v>
      </c>
      <c r="K31">
        <f t="shared" si="2"/>
        <v>0.87096774193548387</v>
      </c>
      <c r="L31">
        <f t="shared" si="10"/>
        <v>-18</v>
      </c>
      <c r="M31" s="8">
        <f t="shared" si="4"/>
        <v>1.2672944027688291</v>
      </c>
      <c r="N31" s="8">
        <f t="shared" si="5"/>
        <v>1.2708957262011324</v>
      </c>
      <c r="O31" s="8">
        <f t="shared" si="8"/>
        <v>47.124884163740411</v>
      </c>
      <c r="P31" s="8">
        <f t="shared" si="9"/>
        <v>48.970586607896536</v>
      </c>
      <c r="Q31" s="8">
        <f t="shared" si="7"/>
        <v>1.2708957262011324</v>
      </c>
    </row>
    <row r="32" spans="2:17" x14ac:dyDescent="0.2">
      <c r="B32">
        <f t="shared" si="6"/>
        <v>29</v>
      </c>
      <c r="C32">
        <f t="shared" si="0"/>
        <v>31</v>
      </c>
      <c r="D32">
        <v>1</v>
      </c>
      <c r="E32">
        <v>32</v>
      </c>
      <c r="F32">
        <f>PMSPLINE!F$4</f>
        <v>2.0987687517840574</v>
      </c>
      <c r="G32">
        <f>PMSPLINE!F$5</f>
        <v>1.144113017729536</v>
      </c>
      <c r="H32" s="8">
        <f>PMSPLINE!K$4</f>
        <v>-3.4781873817351892E-3</v>
      </c>
      <c r="I32" s="8">
        <f>PMSPLINE!K$5</f>
        <v>1.9919703295898129E-3</v>
      </c>
      <c r="J32">
        <f t="shared" si="1"/>
        <v>9.6774193548387094E-2</v>
      </c>
      <c r="K32">
        <f t="shared" si="2"/>
        <v>0.90322580645161288</v>
      </c>
      <c r="L32">
        <f t="shared" si="10"/>
        <v>-17</v>
      </c>
      <c r="M32" s="8">
        <f t="shared" si="4"/>
        <v>1.2364990565090057</v>
      </c>
      <c r="N32" s="8">
        <f t="shared" si="5"/>
        <v>1.2368296920401272</v>
      </c>
      <c r="O32" s="8">
        <f t="shared" si="8"/>
        <v>48.361383220249415</v>
      </c>
      <c r="P32" s="8">
        <f t="shared" si="9"/>
        <v>50.207416299936661</v>
      </c>
      <c r="Q32" s="8">
        <f t="shared" si="7"/>
        <v>1.2368296920401272</v>
      </c>
    </row>
    <row r="33" spans="1:17" x14ac:dyDescent="0.2">
      <c r="B33">
        <f t="shared" si="6"/>
        <v>30</v>
      </c>
      <c r="C33">
        <f t="shared" si="0"/>
        <v>31</v>
      </c>
      <c r="D33">
        <v>1</v>
      </c>
      <c r="E33">
        <v>32</v>
      </c>
      <c r="F33">
        <f>PMSPLINE!F$4</f>
        <v>2.0987687517840574</v>
      </c>
      <c r="G33">
        <f>PMSPLINE!F$5</f>
        <v>1.144113017729536</v>
      </c>
      <c r="H33" s="8">
        <f>PMSPLINE!K$4</f>
        <v>-3.4781873817351892E-3</v>
      </c>
      <c r="I33" s="8">
        <f>PMSPLINE!K$5</f>
        <v>1.9919703295898129E-3</v>
      </c>
      <c r="J33">
        <f t="shared" si="1"/>
        <v>6.4516129032258063E-2</v>
      </c>
      <c r="K33">
        <f t="shared" si="2"/>
        <v>0.93548387096774188</v>
      </c>
      <c r="L33">
        <f t="shared" si="10"/>
        <v>-16</v>
      </c>
      <c r="M33" s="8">
        <f t="shared" si="4"/>
        <v>1.2057037102491825</v>
      </c>
      <c r="N33" s="8">
        <f t="shared" si="5"/>
        <v>1.2042262581076157</v>
      </c>
      <c r="O33" s="8">
        <f t="shared" si="8"/>
        <v>49.567086930498597</v>
      </c>
      <c r="P33" s="8">
        <f t="shared" si="9"/>
        <v>51.411642558044278</v>
      </c>
      <c r="Q33" s="8">
        <f t="shared" si="7"/>
        <v>1.2042262581076157</v>
      </c>
    </row>
    <row r="34" spans="1:17" x14ac:dyDescent="0.2">
      <c r="B34">
        <f t="shared" si="6"/>
        <v>31</v>
      </c>
      <c r="C34">
        <f t="shared" si="0"/>
        <v>31</v>
      </c>
      <c r="D34">
        <v>1</v>
      </c>
      <c r="E34">
        <v>32</v>
      </c>
      <c r="F34">
        <f>PMSPLINE!F$4</f>
        <v>2.0987687517840574</v>
      </c>
      <c r="G34">
        <f>PMSPLINE!F$5</f>
        <v>1.144113017729536</v>
      </c>
      <c r="H34" s="8">
        <f>PMSPLINE!K$4</f>
        <v>-3.4781873817351892E-3</v>
      </c>
      <c r="I34" s="8">
        <f>PMSPLINE!K$5</f>
        <v>1.9919703295898129E-3</v>
      </c>
      <c r="J34">
        <f t="shared" si="1"/>
        <v>3.2258064516129031E-2</v>
      </c>
      <c r="K34">
        <f t="shared" si="2"/>
        <v>0.967741935483871</v>
      </c>
      <c r="L34">
        <f t="shared" si="10"/>
        <v>-15</v>
      </c>
      <c r="M34" s="8">
        <f t="shared" si="4"/>
        <v>1.1749083639893594</v>
      </c>
      <c r="N34" s="8">
        <f t="shared" si="5"/>
        <v>1.1732618811039639</v>
      </c>
      <c r="O34" s="8">
        <f t="shared" si="8"/>
        <v>50.741995294487957</v>
      </c>
      <c r="P34" s="8">
        <f t="shared" si="9"/>
        <v>52.584904439148239</v>
      </c>
      <c r="Q34" s="8">
        <f t="shared" si="7"/>
        <v>1.1732618811039639</v>
      </c>
    </row>
    <row r="35" spans="1:17" x14ac:dyDescent="0.2">
      <c r="A35">
        <v>32</v>
      </c>
      <c r="B35">
        <f t="shared" si="6"/>
        <v>32</v>
      </c>
      <c r="C35">
        <f t="shared" si="0"/>
        <v>31</v>
      </c>
      <c r="D35">
        <v>1</v>
      </c>
      <c r="E35">
        <v>32</v>
      </c>
      <c r="F35">
        <f>PMSPLINE!F$4</f>
        <v>2.0987687517840574</v>
      </c>
      <c r="G35">
        <f>PMSPLINE!F$5</f>
        <v>1.144113017729536</v>
      </c>
      <c r="H35" s="8">
        <f>PMSPLINE!K$4</f>
        <v>-3.4781873817351892E-3</v>
      </c>
      <c r="I35" s="8">
        <f>PMSPLINE!K$5</f>
        <v>1.9919703295898129E-3</v>
      </c>
      <c r="J35">
        <f t="shared" si="1"/>
        <v>0</v>
      </c>
      <c r="K35">
        <f t="shared" si="2"/>
        <v>1</v>
      </c>
      <c r="L35">
        <f t="shared" si="10"/>
        <v>-14</v>
      </c>
      <c r="M35" s="8">
        <f t="shared" si="4"/>
        <v>1.144113017729536</v>
      </c>
      <c r="N35" s="8">
        <f t="shared" si="5"/>
        <v>1.144113017729536</v>
      </c>
      <c r="O35" s="8">
        <f t="shared" si="8"/>
        <v>51.886108312217495</v>
      </c>
      <c r="P35" s="8">
        <f t="shared" si="9"/>
        <v>53.729017456877777</v>
      </c>
      <c r="Q35" s="8">
        <f t="shared" si="7"/>
        <v>1.144113017729536</v>
      </c>
    </row>
    <row r="36" spans="1:17" x14ac:dyDescent="0.2">
      <c r="B36">
        <f t="shared" si="6"/>
        <v>33</v>
      </c>
      <c r="C36">
        <f t="shared" si="0"/>
        <v>29</v>
      </c>
      <c r="D36">
        <v>32</v>
      </c>
      <c r="E36">
        <v>61</v>
      </c>
      <c r="F36">
        <f>PMSPLINE!F$5</f>
        <v>1.144113017729536</v>
      </c>
      <c r="G36">
        <f>PMSPLINE!F$6</f>
        <v>1.0045022758082387</v>
      </c>
      <c r="H36" s="8">
        <f>PMSPLINE!K$5</f>
        <v>1.9919703295898129E-3</v>
      </c>
      <c r="I36" s="8">
        <f>PMSPLINE!K$6</f>
        <v>8.5084364671682788E-4</v>
      </c>
      <c r="J36">
        <f t="shared" si="1"/>
        <v>0.96551724137931039</v>
      </c>
      <c r="K36">
        <f t="shared" si="2"/>
        <v>3.4482758620689655E-2</v>
      </c>
      <c r="L36">
        <f t="shared" si="10"/>
        <v>-13</v>
      </c>
      <c r="M36" s="8">
        <f t="shared" si="4"/>
        <v>1.1392988542150084</v>
      </c>
      <c r="N36" s="8">
        <f t="shared" si="5"/>
        <v>1.1169201570353104</v>
      </c>
      <c r="O36" s="8">
        <f t="shared" si="8"/>
        <v>53.025407166432501</v>
      </c>
      <c r="P36" s="8">
        <f t="shared" si="9"/>
        <v>54.845937613913087</v>
      </c>
      <c r="Q36" s="8">
        <f t="shared" si="7"/>
        <v>1.1169201570353104</v>
      </c>
    </row>
    <row r="37" spans="1:17" x14ac:dyDescent="0.2">
      <c r="B37">
        <f t="shared" si="6"/>
        <v>34</v>
      </c>
      <c r="C37">
        <f t="shared" si="0"/>
        <v>29</v>
      </c>
      <c r="D37">
        <v>32</v>
      </c>
      <c r="E37">
        <v>61</v>
      </c>
      <c r="F37">
        <f>PMSPLINE!F$5</f>
        <v>1.144113017729536</v>
      </c>
      <c r="G37">
        <f>PMSPLINE!F$6</f>
        <v>1.0045022758082387</v>
      </c>
      <c r="H37" s="8">
        <f>PMSPLINE!K$5</f>
        <v>1.9919703295898129E-3</v>
      </c>
      <c r="I37" s="8">
        <f>PMSPLINE!K$6</f>
        <v>8.5084364671682788E-4</v>
      </c>
      <c r="J37">
        <f t="shared" si="1"/>
        <v>0.93103448275862066</v>
      </c>
      <c r="K37">
        <f t="shared" si="2"/>
        <v>6.8965517241379309E-2</v>
      </c>
      <c r="L37">
        <f t="shared" si="10"/>
        <v>-12</v>
      </c>
      <c r="M37" s="8">
        <f t="shared" si="4"/>
        <v>1.1344846907004809</v>
      </c>
      <c r="N37" s="8">
        <f t="shared" si="5"/>
        <v>1.0916799174747132</v>
      </c>
      <c r="O37" s="8">
        <f t="shared" si="8"/>
        <v>54.159891857132983</v>
      </c>
      <c r="P37" s="8">
        <f t="shared" si="9"/>
        <v>55.937617531387801</v>
      </c>
      <c r="Q37" s="8">
        <f t="shared" si="7"/>
        <v>1.0916799174747132</v>
      </c>
    </row>
    <row r="38" spans="1:17" x14ac:dyDescent="0.2">
      <c r="B38">
        <f t="shared" si="6"/>
        <v>35</v>
      </c>
      <c r="C38">
        <f t="shared" si="0"/>
        <v>29</v>
      </c>
      <c r="D38">
        <v>32</v>
      </c>
      <c r="E38">
        <v>61</v>
      </c>
      <c r="F38">
        <f>PMSPLINE!F$5</f>
        <v>1.144113017729536</v>
      </c>
      <c r="G38">
        <f>PMSPLINE!F$6</f>
        <v>1.0045022758082387</v>
      </c>
      <c r="H38" s="8">
        <f>PMSPLINE!K$5</f>
        <v>1.9919703295898129E-3</v>
      </c>
      <c r="I38" s="8">
        <f>PMSPLINE!K$6</f>
        <v>8.5084364671682788E-4</v>
      </c>
      <c r="J38">
        <f t="shared" si="1"/>
        <v>0.89655172413793105</v>
      </c>
      <c r="K38">
        <f t="shared" si="2"/>
        <v>0.10344827586206896</v>
      </c>
      <c r="L38">
        <f t="shared" si="10"/>
        <v>-11</v>
      </c>
      <c r="M38" s="8">
        <f t="shared" si="4"/>
        <v>1.1296705271859535</v>
      </c>
      <c r="N38" s="8">
        <f t="shared" si="5"/>
        <v>1.0683529498517841</v>
      </c>
      <c r="O38" s="8">
        <f t="shared" si="8"/>
        <v>55.289562384318934</v>
      </c>
      <c r="P38" s="8">
        <f t="shared" si="9"/>
        <v>57.005970481239586</v>
      </c>
      <c r="Q38" s="8">
        <f t="shared" si="7"/>
        <v>1.0683529498517841</v>
      </c>
    </row>
    <row r="39" spans="1:17" x14ac:dyDescent="0.2">
      <c r="B39">
        <f t="shared" si="6"/>
        <v>36</v>
      </c>
      <c r="C39">
        <f t="shared" si="0"/>
        <v>29</v>
      </c>
      <c r="D39">
        <v>32</v>
      </c>
      <c r="E39">
        <v>61</v>
      </c>
      <c r="F39">
        <f>PMSPLINE!F$5</f>
        <v>1.144113017729536</v>
      </c>
      <c r="G39">
        <f>PMSPLINE!F$6</f>
        <v>1.0045022758082387</v>
      </c>
      <c r="H39" s="8">
        <f>PMSPLINE!K$5</f>
        <v>1.9919703295898129E-3</v>
      </c>
      <c r="I39" s="8">
        <f>PMSPLINE!K$6</f>
        <v>8.5084364671682788E-4</v>
      </c>
      <c r="J39">
        <f t="shared" si="1"/>
        <v>0.86206896551724133</v>
      </c>
      <c r="K39">
        <f t="shared" si="2"/>
        <v>0.13793103448275862</v>
      </c>
      <c r="L39">
        <f t="shared" si="10"/>
        <v>-10</v>
      </c>
      <c r="M39" s="8">
        <f t="shared" si="4"/>
        <v>1.1248563636714259</v>
      </c>
      <c r="N39" s="8">
        <f t="shared" si="5"/>
        <v>1.046899904970561</v>
      </c>
      <c r="O39" s="8">
        <f t="shared" si="8"/>
        <v>56.414418747990361</v>
      </c>
      <c r="P39" s="8">
        <f t="shared" si="9"/>
        <v>58.052870386210145</v>
      </c>
      <c r="Q39" s="8">
        <f t="shared" si="7"/>
        <v>1.046899904970561</v>
      </c>
    </row>
    <row r="40" spans="1:17" x14ac:dyDescent="0.2">
      <c r="B40">
        <f t="shared" si="6"/>
        <v>37</v>
      </c>
      <c r="C40">
        <f t="shared" si="0"/>
        <v>29</v>
      </c>
      <c r="D40">
        <v>32</v>
      </c>
      <c r="E40">
        <v>61</v>
      </c>
      <c r="F40">
        <f>PMSPLINE!F$5</f>
        <v>1.144113017729536</v>
      </c>
      <c r="G40">
        <f>PMSPLINE!F$6</f>
        <v>1.0045022758082387</v>
      </c>
      <c r="H40" s="8">
        <f>PMSPLINE!K$5</f>
        <v>1.9919703295898129E-3</v>
      </c>
      <c r="I40" s="8">
        <f>PMSPLINE!K$6</f>
        <v>8.5084364671682788E-4</v>
      </c>
      <c r="J40">
        <f t="shared" si="1"/>
        <v>0.82758620689655171</v>
      </c>
      <c r="K40">
        <f t="shared" si="2"/>
        <v>0.17241379310344829</v>
      </c>
      <c r="L40">
        <f t="shared" si="10"/>
        <v>-9</v>
      </c>
      <c r="M40" s="8">
        <f t="shared" si="4"/>
        <v>1.1200422001568986</v>
      </c>
      <c r="N40" s="8">
        <f t="shared" si="5"/>
        <v>1.0272814336350833</v>
      </c>
      <c r="O40" s="8">
        <f t="shared" si="8"/>
        <v>57.534460948147256</v>
      </c>
      <c r="P40" s="8">
        <f t="shared" si="9"/>
        <v>59.080151819845227</v>
      </c>
      <c r="Q40" s="8">
        <f t="shared" si="7"/>
        <v>1.0272814336350833</v>
      </c>
    </row>
    <row r="41" spans="1:17" x14ac:dyDescent="0.2">
      <c r="B41">
        <f t="shared" si="6"/>
        <v>38</v>
      </c>
      <c r="C41">
        <f t="shared" si="0"/>
        <v>29</v>
      </c>
      <c r="D41">
        <v>32</v>
      </c>
      <c r="E41">
        <v>61</v>
      </c>
      <c r="F41">
        <f>PMSPLINE!F$5</f>
        <v>1.144113017729536</v>
      </c>
      <c r="G41">
        <f>PMSPLINE!F$6</f>
        <v>1.0045022758082387</v>
      </c>
      <c r="H41" s="8">
        <f>PMSPLINE!K$5</f>
        <v>1.9919703295898129E-3</v>
      </c>
      <c r="I41" s="8">
        <f>PMSPLINE!K$6</f>
        <v>8.5084364671682788E-4</v>
      </c>
      <c r="J41">
        <f t="shared" si="1"/>
        <v>0.7931034482758621</v>
      </c>
      <c r="K41">
        <f t="shared" si="2"/>
        <v>0.20689655172413793</v>
      </c>
      <c r="L41">
        <f t="shared" si="10"/>
        <v>-8</v>
      </c>
      <c r="M41" s="8">
        <f t="shared" si="4"/>
        <v>1.115228036642371</v>
      </c>
      <c r="N41" s="8">
        <f t="shared" si="5"/>
        <v>1.0094581866493895</v>
      </c>
      <c r="O41" s="8">
        <f t="shared" si="8"/>
        <v>58.649688984789627</v>
      </c>
      <c r="P41" s="8">
        <f t="shared" si="9"/>
        <v>60.089610006494617</v>
      </c>
      <c r="Q41" s="8">
        <f t="shared" si="7"/>
        <v>1.0094581866493895</v>
      </c>
    </row>
    <row r="42" spans="1:17" x14ac:dyDescent="0.2">
      <c r="B42">
        <f t="shared" si="6"/>
        <v>39</v>
      </c>
      <c r="C42">
        <f t="shared" si="0"/>
        <v>29</v>
      </c>
      <c r="D42">
        <v>32</v>
      </c>
      <c r="E42">
        <v>61</v>
      </c>
      <c r="F42">
        <f>PMSPLINE!F$5</f>
        <v>1.144113017729536</v>
      </c>
      <c r="G42">
        <f>PMSPLINE!F$6</f>
        <v>1.0045022758082387</v>
      </c>
      <c r="H42" s="8">
        <f>PMSPLINE!K$5</f>
        <v>1.9919703295898129E-3</v>
      </c>
      <c r="I42" s="8">
        <f>PMSPLINE!K$6</f>
        <v>8.5084364671682788E-4</v>
      </c>
      <c r="J42">
        <f t="shared" si="1"/>
        <v>0.75862068965517238</v>
      </c>
      <c r="K42">
        <f t="shared" si="2"/>
        <v>0.2413793103448276</v>
      </c>
      <c r="L42">
        <f t="shared" si="10"/>
        <v>-7</v>
      </c>
      <c r="M42" s="8">
        <f t="shared" si="4"/>
        <v>1.1104138731278435</v>
      </c>
      <c r="N42" s="8">
        <f t="shared" si="5"/>
        <v>0.99339081481751879</v>
      </c>
      <c r="O42" s="8">
        <f t="shared" si="8"/>
        <v>59.760102857917474</v>
      </c>
      <c r="P42" s="8">
        <f t="shared" si="9"/>
        <v>61.083000821312133</v>
      </c>
      <c r="Q42" s="8">
        <f t="shared" si="7"/>
        <v>0.99339081481751879</v>
      </c>
    </row>
    <row r="43" spans="1:17" x14ac:dyDescent="0.2">
      <c r="B43">
        <f t="shared" si="6"/>
        <v>40</v>
      </c>
      <c r="C43">
        <f t="shared" si="0"/>
        <v>29</v>
      </c>
      <c r="D43">
        <v>32</v>
      </c>
      <c r="E43">
        <v>61</v>
      </c>
      <c r="F43">
        <f>PMSPLINE!F$5</f>
        <v>1.144113017729536</v>
      </c>
      <c r="G43">
        <f>PMSPLINE!F$6</f>
        <v>1.0045022758082387</v>
      </c>
      <c r="H43" s="8">
        <f>PMSPLINE!K$5</f>
        <v>1.9919703295898129E-3</v>
      </c>
      <c r="I43" s="8">
        <f>PMSPLINE!K$6</f>
        <v>8.5084364671682788E-4</v>
      </c>
      <c r="J43">
        <f t="shared" si="1"/>
        <v>0.72413793103448276</v>
      </c>
      <c r="K43">
        <f t="shared" si="2"/>
        <v>0.27586206896551724</v>
      </c>
      <c r="L43">
        <f t="shared" si="10"/>
        <v>-6</v>
      </c>
      <c r="M43" s="8">
        <f t="shared" si="4"/>
        <v>1.1055997096133161</v>
      </c>
      <c r="N43" s="8">
        <f t="shared" si="5"/>
        <v>0.9790399689435102</v>
      </c>
      <c r="O43" s="8">
        <f t="shared" si="8"/>
        <v>60.865702567530789</v>
      </c>
      <c r="P43" s="8">
        <f t="shared" si="9"/>
        <v>62.062040790255644</v>
      </c>
      <c r="Q43" s="8">
        <f t="shared" si="7"/>
        <v>0.9790399689435102</v>
      </c>
    </row>
    <row r="44" spans="1:17" x14ac:dyDescent="0.2">
      <c r="B44">
        <f t="shared" si="6"/>
        <v>41</v>
      </c>
      <c r="C44">
        <f t="shared" si="0"/>
        <v>29</v>
      </c>
      <c r="D44">
        <v>32</v>
      </c>
      <c r="E44">
        <v>61</v>
      </c>
      <c r="F44">
        <f>PMSPLINE!F$5</f>
        <v>1.144113017729536</v>
      </c>
      <c r="G44">
        <f>PMSPLINE!F$6</f>
        <v>1.0045022758082387</v>
      </c>
      <c r="H44" s="8">
        <f>PMSPLINE!K$5</f>
        <v>1.9919703295898129E-3</v>
      </c>
      <c r="I44" s="8">
        <f>PMSPLINE!K$6</f>
        <v>8.5084364671682788E-4</v>
      </c>
      <c r="J44">
        <f t="shared" si="1"/>
        <v>0.68965517241379315</v>
      </c>
      <c r="K44">
        <f t="shared" si="2"/>
        <v>0.31034482758620691</v>
      </c>
      <c r="L44">
        <f t="shared" si="10"/>
        <v>-5</v>
      </c>
      <c r="M44" s="8">
        <f t="shared" si="4"/>
        <v>1.1007855460987885</v>
      </c>
      <c r="N44" s="8">
        <f t="shared" si="5"/>
        <v>0.96636629983140199</v>
      </c>
      <c r="O44" s="8">
        <f t="shared" si="8"/>
        <v>61.96648811362958</v>
      </c>
      <c r="P44" s="8">
        <f t="shared" si="9"/>
        <v>63.028407090087043</v>
      </c>
      <c r="Q44" s="8">
        <f t="shared" si="7"/>
        <v>0.96636629983140199</v>
      </c>
    </row>
    <row r="45" spans="1:17" x14ac:dyDescent="0.2">
      <c r="B45">
        <f t="shared" si="6"/>
        <v>42</v>
      </c>
      <c r="C45">
        <f t="shared" si="0"/>
        <v>29</v>
      </c>
      <c r="D45">
        <v>32</v>
      </c>
      <c r="E45">
        <v>61</v>
      </c>
      <c r="F45">
        <f>PMSPLINE!F$5</f>
        <v>1.144113017729536</v>
      </c>
      <c r="G45">
        <f>PMSPLINE!F$6</f>
        <v>1.0045022758082387</v>
      </c>
      <c r="H45" s="8">
        <f>PMSPLINE!K$5</f>
        <v>1.9919703295898129E-3</v>
      </c>
      <c r="I45" s="8">
        <f>PMSPLINE!K$6</f>
        <v>8.5084364671682788E-4</v>
      </c>
      <c r="J45">
        <f t="shared" si="1"/>
        <v>0.65517241379310343</v>
      </c>
      <c r="K45">
        <f t="shared" si="2"/>
        <v>0.34482758620689657</v>
      </c>
      <c r="L45">
        <f t="shared" si="10"/>
        <v>-4</v>
      </c>
      <c r="M45" s="8">
        <f t="shared" si="4"/>
        <v>1.0959713825842612</v>
      </c>
      <c r="N45" s="8">
        <f t="shared" si="5"/>
        <v>0.95533045828523366</v>
      </c>
      <c r="O45" s="8">
        <f t="shared" si="8"/>
        <v>63.06245949621384</v>
      </c>
      <c r="P45" s="8">
        <f t="shared" si="9"/>
        <v>63.983737548372275</v>
      </c>
      <c r="Q45" s="8">
        <f t="shared" si="7"/>
        <v>0.95533045828523366</v>
      </c>
    </row>
    <row r="46" spans="1:17" x14ac:dyDescent="0.2">
      <c r="B46">
        <f t="shared" si="6"/>
        <v>43</v>
      </c>
      <c r="C46">
        <f t="shared" si="0"/>
        <v>29</v>
      </c>
      <c r="D46">
        <v>32</v>
      </c>
      <c r="E46">
        <v>61</v>
      </c>
      <c r="F46">
        <f>PMSPLINE!F$5</f>
        <v>1.144113017729536</v>
      </c>
      <c r="G46">
        <f>PMSPLINE!F$6</f>
        <v>1.0045022758082387</v>
      </c>
      <c r="H46" s="8">
        <f>PMSPLINE!K$5</f>
        <v>1.9919703295898129E-3</v>
      </c>
      <c r="I46" s="8">
        <f>PMSPLINE!K$6</f>
        <v>8.5084364671682788E-4</v>
      </c>
      <c r="J46">
        <f t="shared" si="1"/>
        <v>0.62068965517241381</v>
      </c>
      <c r="K46">
        <f t="shared" si="2"/>
        <v>0.37931034482758619</v>
      </c>
      <c r="L46">
        <f t="shared" si="10"/>
        <v>-3</v>
      </c>
      <c r="M46" s="8">
        <f t="shared" si="4"/>
        <v>1.0911572190697336</v>
      </c>
      <c r="N46" s="8">
        <f t="shared" si="5"/>
        <v>0.94589309510904351</v>
      </c>
      <c r="O46" s="8">
        <f t="shared" si="8"/>
        <v>64.153616715283576</v>
      </c>
      <c r="P46" s="8">
        <f t="shared" si="9"/>
        <v>64.929630643481318</v>
      </c>
      <c r="Q46" s="8">
        <f t="shared" si="7"/>
        <v>0.94589309510904351</v>
      </c>
    </row>
    <row r="47" spans="1:17" x14ac:dyDescent="0.2">
      <c r="B47">
        <f t="shared" si="6"/>
        <v>44</v>
      </c>
      <c r="C47">
        <f t="shared" si="0"/>
        <v>29</v>
      </c>
      <c r="D47">
        <v>32</v>
      </c>
      <c r="E47">
        <v>61</v>
      </c>
      <c r="F47">
        <f>PMSPLINE!F$5</f>
        <v>1.144113017729536</v>
      </c>
      <c r="G47">
        <f>PMSPLINE!F$6</f>
        <v>1.0045022758082387</v>
      </c>
      <c r="H47" s="8">
        <f>PMSPLINE!K$5</f>
        <v>1.9919703295898129E-3</v>
      </c>
      <c r="I47" s="8">
        <f>PMSPLINE!K$6</f>
        <v>8.5084364671682788E-4</v>
      </c>
      <c r="J47">
        <f t="shared" si="1"/>
        <v>0.58620689655172409</v>
      </c>
      <c r="K47">
        <f t="shared" si="2"/>
        <v>0.41379310344827586</v>
      </c>
      <c r="L47">
        <f t="shared" si="10"/>
        <v>-2</v>
      </c>
      <c r="M47" s="8">
        <f t="shared" si="4"/>
        <v>1.086343055555206</v>
      </c>
      <c r="N47" s="8">
        <f t="shared" si="5"/>
        <v>0.93801486110687071</v>
      </c>
      <c r="O47" s="8">
        <f t="shared" si="8"/>
        <v>65.23995977083878</v>
      </c>
      <c r="P47" s="8">
        <f t="shared" si="9"/>
        <v>65.867645504588182</v>
      </c>
      <c r="Q47" s="8">
        <f t="shared" si="7"/>
        <v>0.93801486110687071</v>
      </c>
    </row>
    <row r="48" spans="1:17" x14ac:dyDescent="0.2">
      <c r="B48">
        <f t="shared" si="6"/>
        <v>45</v>
      </c>
      <c r="C48">
        <f t="shared" si="0"/>
        <v>29</v>
      </c>
      <c r="D48">
        <v>32</v>
      </c>
      <c r="E48">
        <v>61</v>
      </c>
      <c r="F48">
        <f>PMSPLINE!F$5</f>
        <v>1.144113017729536</v>
      </c>
      <c r="G48">
        <f>PMSPLINE!F$6</f>
        <v>1.0045022758082387</v>
      </c>
      <c r="H48" s="8">
        <f>PMSPLINE!K$5</f>
        <v>1.9919703295898129E-3</v>
      </c>
      <c r="I48" s="8">
        <f>PMSPLINE!K$6</f>
        <v>8.5084364671682788E-4</v>
      </c>
      <c r="J48">
        <f t="shared" si="1"/>
        <v>0.55172413793103448</v>
      </c>
      <c r="K48">
        <f t="shared" si="2"/>
        <v>0.44827586206896552</v>
      </c>
      <c r="L48">
        <f t="shared" si="10"/>
        <v>-1</v>
      </c>
      <c r="M48" s="8">
        <f t="shared" si="4"/>
        <v>1.0815288920406787</v>
      </c>
      <c r="N48" s="8">
        <f t="shared" si="5"/>
        <v>0.93165640708275421</v>
      </c>
      <c r="O48" s="8">
        <f t="shared" si="8"/>
        <v>66.32148866287946</v>
      </c>
      <c r="P48" s="8">
        <f t="shared" si="9"/>
        <v>66.799301911670938</v>
      </c>
      <c r="Q48" s="8">
        <f t="shared" si="7"/>
        <v>0.93165640708275421</v>
      </c>
    </row>
    <row r="49" spans="1:20" x14ac:dyDescent="0.2">
      <c r="B49">
        <f t="shared" si="6"/>
        <v>46</v>
      </c>
      <c r="C49">
        <f t="shared" si="0"/>
        <v>29</v>
      </c>
      <c r="D49">
        <v>32</v>
      </c>
      <c r="E49">
        <v>61</v>
      </c>
      <c r="F49">
        <f>PMSPLINE!F$5</f>
        <v>1.144113017729536</v>
      </c>
      <c r="G49">
        <f>PMSPLINE!F$6</f>
        <v>1.0045022758082387</v>
      </c>
      <c r="H49" s="8">
        <f>PMSPLINE!K$5</f>
        <v>1.9919703295898129E-3</v>
      </c>
      <c r="I49" s="8">
        <f>PMSPLINE!K$6</f>
        <v>8.5084364671682788E-4</v>
      </c>
      <c r="J49">
        <f t="shared" si="1"/>
        <v>0.51724137931034486</v>
      </c>
      <c r="K49">
        <f t="shared" si="2"/>
        <v>0.48275862068965519</v>
      </c>
      <c r="L49">
        <f t="shared" si="10"/>
        <v>0</v>
      </c>
      <c r="M49" s="8">
        <f t="shared" si="4"/>
        <v>1.0767147285261511</v>
      </c>
      <c r="N49" s="8">
        <f t="shared" si="5"/>
        <v>0.92677838384073263</v>
      </c>
      <c r="O49" s="8">
        <f t="shared" si="8"/>
        <v>67.398203391405616</v>
      </c>
      <c r="P49" s="8">
        <f t="shared" si="9"/>
        <v>67.726080295511665</v>
      </c>
      <c r="Q49" s="8">
        <f t="shared" si="7"/>
        <v>0.92677838384073263</v>
      </c>
    </row>
    <row r="50" spans="1:20" x14ac:dyDescent="0.2">
      <c r="A50" s="1"/>
      <c r="B50" s="1">
        <f t="shared" si="6"/>
        <v>47</v>
      </c>
      <c r="C50" s="1">
        <f t="shared" si="0"/>
        <v>29</v>
      </c>
      <c r="D50" s="1">
        <v>32</v>
      </c>
      <c r="E50" s="1">
        <v>61</v>
      </c>
      <c r="F50" s="1">
        <f>PMSPLINE!F$5</f>
        <v>1.144113017729536</v>
      </c>
      <c r="G50" s="1">
        <f>PMSPLINE!F$6</f>
        <v>1.0045022758082387</v>
      </c>
      <c r="H50" s="7">
        <f>PMSPLINE!K$5</f>
        <v>1.9919703295898129E-3</v>
      </c>
      <c r="I50" s="7">
        <f>PMSPLINE!K$6</f>
        <v>8.5084364671682788E-4</v>
      </c>
      <c r="J50" s="1">
        <f t="shared" si="1"/>
        <v>0.48275862068965519</v>
      </c>
      <c r="K50" s="1">
        <f t="shared" si="2"/>
        <v>0.51724137931034486</v>
      </c>
      <c r="L50" s="1">
        <f>B50-46</f>
        <v>1</v>
      </c>
      <c r="M50" s="7">
        <f t="shared" si="4"/>
        <v>1.0719005650116236</v>
      </c>
      <c r="N50" s="7">
        <f>(Q50+Q414)/2</f>
        <v>0.94034754308832524</v>
      </c>
      <c r="O50" s="7">
        <f t="shared" si="8"/>
        <v>68.470103956417233</v>
      </c>
      <c r="P50" s="7">
        <f t="shared" si="9"/>
        <v>68.666427838599986</v>
      </c>
      <c r="Q50" s="7">
        <f t="shared" si="7"/>
        <v>0.92334144218484482</v>
      </c>
      <c r="R50" s="4">
        <f>(N55-N50)/5</f>
        <v>-2.7903614499100058E-3</v>
      </c>
      <c r="T50" s="8">
        <f t="shared" ref="T50:T113" si="11">N50</f>
        <v>0.94034754308832524</v>
      </c>
    </row>
    <row r="51" spans="1:20" x14ac:dyDescent="0.2">
      <c r="B51">
        <f t="shared" si="6"/>
        <v>48</v>
      </c>
      <c r="C51">
        <f t="shared" si="0"/>
        <v>29</v>
      </c>
      <c r="D51">
        <v>32</v>
      </c>
      <c r="E51">
        <v>61</v>
      </c>
      <c r="F51">
        <f>PMSPLINE!F$5</f>
        <v>1.144113017729536</v>
      </c>
      <c r="G51">
        <f>PMSPLINE!F$6</f>
        <v>1.0045022758082387</v>
      </c>
      <c r="H51" s="8">
        <f>PMSPLINE!K$5</f>
        <v>1.9919703295898129E-3</v>
      </c>
      <c r="I51" s="8">
        <f>PMSPLINE!K$6</f>
        <v>8.5084364671682788E-4</v>
      </c>
      <c r="J51">
        <f t="shared" si="1"/>
        <v>0.44827586206896552</v>
      </c>
      <c r="K51">
        <f t="shared" si="2"/>
        <v>0.55172413793103448</v>
      </c>
      <c r="L51">
        <f t="shared" ref="L51:L114" si="12">B51-46</f>
        <v>2</v>
      </c>
      <c r="M51" s="6">
        <f t="shared" si="4"/>
        <v>1.0670864014970962</v>
      </c>
      <c r="N51" s="9">
        <f>N50+R$50</f>
        <v>0.93755718163841528</v>
      </c>
      <c r="O51" s="8">
        <f t="shared" si="8"/>
        <v>69.537190357914326</v>
      </c>
      <c r="P51" s="8">
        <f t="shared" si="9"/>
        <v>69.603985020238397</v>
      </c>
      <c r="Q51" s="8">
        <f t="shared" si="7"/>
        <v>0.92130623291913005</v>
      </c>
      <c r="T51" s="8">
        <f t="shared" si="11"/>
        <v>0.93755718163841528</v>
      </c>
    </row>
    <row r="52" spans="1:20" x14ac:dyDescent="0.2">
      <c r="B52">
        <f t="shared" si="6"/>
        <v>49</v>
      </c>
      <c r="C52">
        <f t="shared" si="0"/>
        <v>29</v>
      </c>
      <c r="D52">
        <v>32</v>
      </c>
      <c r="E52">
        <v>61</v>
      </c>
      <c r="F52">
        <f>PMSPLINE!F$5</f>
        <v>1.144113017729536</v>
      </c>
      <c r="G52">
        <f>PMSPLINE!F$6</f>
        <v>1.0045022758082387</v>
      </c>
      <c r="H52" s="8">
        <f>PMSPLINE!K$5</f>
        <v>1.9919703295898129E-3</v>
      </c>
      <c r="I52" s="8">
        <f>PMSPLINE!K$6</f>
        <v>8.5084364671682788E-4</v>
      </c>
      <c r="J52">
        <f t="shared" si="1"/>
        <v>0.41379310344827586</v>
      </c>
      <c r="K52">
        <f t="shared" si="2"/>
        <v>0.58620689655172409</v>
      </c>
      <c r="L52">
        <f t="shared" si="12"/>
        <v>3</v>
      </c>
      <c r="M52" s="6">
        <f t="shared" si="4"/>
        <v>1.0622722379825684</v>
      </c>
      <c r="N52" s="9">
        <f>N51+R$50</f>
        <v>0.93476682018850532</v>
      </c>
      <c r="O52" s="8">
        <f t="shared" si="8"/>
        <v>70.599462595896895</v>
      </c>
      <c r="P52" s="8">
        <f t="shared" si="9"/>
        <v>70.538751840426897</v>
      </c>
      <c r="Q52" s="8">
        <f t="shared" si="7"/>
        <v>0.9206334068476264</v>
      </c>
      <c r="T52" s="8">
        <f t="shared" si="11"/>
        <v>0.93476682018850532</v>
      </c>
    </row>
    <row r="53" spans="1:20" x14ac:dyDescent="0.2">
      <c r="B53">
        <f t="shared" si="6"/>
        <v>50</v>
      </c>
      <c r="C53">
        <f t="shared" si="0"/>
        <v>29</v>
      </c>
      <c r="D53">
        <v>32</v>
      </c>
      <c r="E53">
        <v>61</v>
      </c>
      <c r="F53">
        <f>PMSPLINE!F$5</f>
        <v>1.144113017729536</v>
      </c>
      <c r="G53">
        <f>PMSPLINE!F$6</f>
        <v>1.0045022758082387</v>
      </c>
      <c r="H53" s="8">
        <f>PMSPLINE!K$5</f>
        <v>1.9919703295898129E-3</v>
      </c>
      <c r="I53" s="8">
        <f>PMSPLINE!K$6</f>
        <v>8.5084364671682788E-4</v>
      </c>
      <c r="J53">
        <f t="shared" si="1"/>
        <v>0.37931034482758619</v>
      </c>
      <c r="K53">
        <f t="shared" si="2"/>
        <v>0.62068965517241381</v>
      </c>
      <c r="L53">
        <f t="shared" si="12"/>
        <v>4</v>
      </c>
      <c r="M53" s="6">
        <f t="shared" si="4"/>
        <v>1.0574580744680411</v>
      </c>
      <c r="N53" s="9">
        <f>N52+R$50</f>
        <v>0.93197645873859536</v>
      </c>
      <c r="O53" s="8">
        <f t="shared" si="8"/>
        <v>71.65692067036494</v>
      </c>
      <c r="P53" s="8">
        <f t="shared" si="9"/>
        <v>71.470728299165486</v>
      </c>
      <c r="Q53" s="8">
        <f t="shared" si="7"/>
        <v>0.9212836147743737</v>
      </c>
      <c r="T53" s="8">
        <f t="shared" si="11"/>
        <v>0.93197645873859536</v>
      </c>
    </row>
    <row r="54" spans="1:20" x14ac:dyDescent="0.2">
      <c r="B54">
        <f t="shared" si="6"/>
        <v>51</v>
      </c>
      <c r="C54">
        <f t="shared" si="0"/>
        <v>29</v>
      </c>
      <c r="D54">
        <v>32</v>
      </c>
      <c r="E54">
        <v>61</v>
      </c>
      <c r="F54">
        <f>PMSPLINE!F$5</f>
        <v>1.144113017729536</v>
      </c>
      <c r="G54">
        <f>PMSPLINE!F$6</f>
        <v>1.0045022758082387</v>
      </c>
      <c r="H54" s="8">
        <f>PMSPLINE!K$5</f>
        <v>1.9919703295898129E-3</v>
      </c>
      <c r="I54" s="8">
        <f>PMSPLINE!K$6</f>
        <v>8.5084364671682788E-4</v>
      </c>
      <c r="J54">
        <f t="shared" si="1"/>
        <v>0.34482758620689657</v>
      </c>
      <c r="K54">
        <f t="shared" si="2"/>
        <v>0.65517241379310343</v>
      </c>
      <c r="L54">
        <f t="shared" si="12"/>
        <v>5</v>
      </c>
      <c r="M54" s="6">
        <f t="shared" si="4"/>
        <v>1.0526439109535137</v>
      </c>
      <c r="N54" s="9">
        <f>N53+R$50</f>
        <v>0.9291860972886854</v>
      </c>
      <c r="O54" s="8">
        <f t="shared" si="8"/>
        <v>72.70956458131846</v>
      </c>
      <c r="P54" s="8">
        <f t="shared" si="9"/>
        <v>72.399914396454179</v>
      </c>
      <c r="Q54" s="8">
        <f t="shared" si="7"/>
        <v>0.92321750750341036</v>
      </c>
      <c r="T54" s="8">
        <f t="shared" si="11"/>
        <v>0.9291860972886854</v>
      </c>
    </row>
    <row r="55" spans="1:20" x14ac:dyDescent="0.2">
      <c r="B55">
        <f t="shared" si="6"/>
        <v>52</v>
      </c>
      <c r="C55">
        <f t="shared" si="0"/>
        <v>29</v>
      </c>
      <c r="D55">
        <v>32</v>
      </c>
      <c r="E55">
        <v>61</v>
      </c>
      <c r="F55">
        <f>PMSPLINE!F$5</f>
        <v>1.144113017729536</v>
      </c>
      <c r="G55">
        <f>PMSPLINE!F$6</f>
        <v>1.0045022758082387</v>
      </c>
      <c r="H55" s="8">
        <f>PMSPLINE!K$5</f>
        <v>1.9919703295898129E-3</v>
      </c>
      <c r="I55" s="8">
        <f>PMSPLINE!K$6</f>
        <v>8.5084364671682788E-4</v>
      </c>
      <c r="J55">
        <f t="shared" si="1"/>
        <v>0.31034482758620691</v>
      </c>
      <c r="K55">
        <f t="shared" si="2"/>
        <v>0.68965517241379315</v>
      </c>
      <c r="L55">
        <f t="shared" si="12"/>
        <v>6</v>
      </c>
      <c r="M55" s="6">
        <f t="shared" si="4"/>
        <v>1.0478297474389864</v>
      </c>
      <c r="N55" s="6">
        <f t="shared" ref="N55:N118" si="13">Q55</f>
        <v>0.92639573583877521</v>
      </c>
      <c r="O55" s="8">
        <f t="shared" si="8"/>
        <v>73.757394328757442</v>
      </c>
      <c r="P55" s="8">
        <f t="shared" si="9"/>
        <v>73.32631013229296</v>
      </c>
      <c r="Q55" s="8">
        <f t="shared" si="7"/>
        <v>0.92639573583877521</v>
      </c>
      <c r="T55" s="8">
        <f t="shared" si="11"/>
        <v>0.92639573583877521</v>
      </c>
    </row>
    <row r="56" spans="1:20" x14ac:dyDescent="0.2">
      <c r="B56">
        <f t="shared" si="6"/>
        <v>53</v>
      </c>
      <c r="C56">
        <f t="shared" si="0"/>
        <v>29</v>
      </c>
      <c r="D56">
        <v>32</v>
      </c>
      <c r="E56">
        <v>61</v>
      </c>
      <c r="F56">
        <f>PMSPLINE!F$5</f>
        <v>1.144113017729536</v>
      </c>
      <c r="G56">
        <f>PMSPLINE!F$6</f>
        <v>1.0045022758082387</v>
      </c>
      <c r="H56" s="8">
        <f>PMSPLINE!K$5</f>
        <v>1.9919703295898129E-3</v>
      </c>
      <c r="I56" s="8">
        <f>PMSPLINE!K$6</f>
        <v>8.5084364671682788E-4</v>
      </c>
      <c r="J56">
        <f t="shared" si="1"/>
        <v>0.27586206896551724</v>
      </c>
      <c r="K56">
        <f t="shared" si="2"/>
        <v>0.72413793103448276</v>
      </c>
      <c r="L56">
        <f t="shared" si="12"/>
        <v>7</v>
      </c>
      <c r="M56" s="6">
        <f t="shared" si="4"/>
        <v>1.0430155839244586</v>
      </c>
      <c r="N56" s="6">
        <f t="shared" si="13"/>
        <v>0.93077895058450666</v>
      </c>
      <c r="O56" s="8">
        <f t="shared" si="8"/>
        <v>74.8004099126819</v>
      </c>
      <c r="P56" s="8">
        <f t="shared" si="9"/>
        <v>74.257089082877471</v>
      </c>
      <c r="Q56" s="8">
        <f t="shared" si="7"/>
        <v>0.93077895058450666</v>
      </c>
      <c r="T56" s="8">
        <f t="shared" si="11"/>
        <v>0.93077895058450666</v>
      </c>
    </row>
    <row r="57" spans="1:20" x14ac:dyDescent="0.2">
      <c r="B57">
        <f t="shared" si="6"/>
        <v>54</v>
      </c>
      <c r="C57">
        <f t="shared" si="0"/>
        <v>29</v>
      </c>
      <c r="D57">
        <v>32</v>
      </c>
      <c r="E57">
        <v>61</v>
      </c>
      <c r="F57">
        <f>PMSPLINE!F$5</f>
        <v>1.144113017729536</v>
      </c>
      <c r="G57">
        <f>PMSPLINE!F$6</f>
        <v>1.0045022758082387</v>
      </c>
      <c r="H57" s="8">
        <f>PMSPLINE!K$5</f>
        <v>1.9919703295898129E-3</v>
      </c>
      <c r="I57" s="8">
        <f>PMSPLINE!K$6</f>
        <v>8.5084364671682788E-4</v>
      </c>
      <c r="J57">
        <f t="shared" si="1"/>
        <v>0.2413793103448276</v>
      </c>
      <c r="K57">
        <f t="shared" si="2"/>
        <v>0.75862068965517238</v>
      </c>
      <c r="L57">
        <f t="shared" si="12"/>
        <v>8</v>
      </c>
      <c r="M57" s="6">
        <f t="shared" si="4"/>
        <v>1.038201420409931</v>
      </c>
      <c r="N57" s="6">
        <f t="shared" si="13"/>
        <v>0.93632780254464432</v>
      </c>
      <c r="O57" s="8">
        <f t="shared" si="8"/>
        <v>75.838611333091833</v>
      </c>
      <c r="P57" s="8">
        <f t="shared" si="9"/>
        <v>75.19341688542211</v>
      </c>
      <c r="Q57" s="8">
        <f t="shared" si="7"/>
        <v>0.93632780254464432</v>
      </c>
      <c r="T57" s="8">
        <f t="shared" si="11"/>
        <v>0.93632780254464432</v>
      </c>
    </row>
    <row r="58" spans="1:20" x14ac:dyDescent="0.2">
      <c r="B58">
        <f t="shared" si="6"/>
        <v>55</v>
      </c>
      <c r="C58">
        <f t="shared" si="0"/>
        <v>29</v>
      </c>
      <c r="D58">
        <v>32</v>
      </c>
      <c r="E58">
        <v>61</v>
      </c>
      <c r="F58">
        <f>PMSPLINE!F$5</f>
        <v>1.144113017729536</v>
      </c>
      <c r="G58">
        <f>PMSPLINE!F$6</f>
        <v>1.0045022758082387</v>
      </c>
      <c r="H58" s="8">
        <f>PMSPLINE!K$5</f>
        <v>1.9919703295898129E-3</v>
      </c>
      <c r="I58" s="8">
        <f>PMSPLINE!K$6</f>
        <v>8.5084364671682788E-4</v>
      </c>
      <c r="J58">
        <f t="shared" si="1"/>
        <v>0.20689655172413793</v>
      </c>
      <c r="K58">
        <f t="shared" si="2"/>
        <v>0.7931034482758621</v>
      </c>
      <c r="L58">
        <f t="shared" si="12"/>
        <v>9</v>
      </c>
      <c r="M58" s="6">
        <f t="shared" si="4"/>
        <v>1.0333872568954037</v>
      </c>
      <c r="N58" s="6">
        <f t="shared" si="13"/>
        <v>0.94300294252322692</v>
      </c>
      <c r="O58" s="8">
        <f t="shared" si="8"/>
        <v>76.871998589987243</v>
      </c>
      <c r="P58" s="8">
        <f t="shared" si="9"/>
        <v>76.136419827945332</v>
      </c>
      <c r="Q58" s="8">
        <f t="shared" si="7"/>
        <v>0.94300294252322692</v>
      </c>
      <c r="T58" s="8">
        <f t="shared" si="11"/>
        <v>0.94300294252322692</v>
      </c>
    </row>
    <row r="59" spans="1:20" x14ac:dyDescent="0.2">
      <c r="B59">
        <f t="shared" si="6"/>
        <v>56</v>
      </c>
      <c r="C59">
        <f t="shared" si="0"/>
        <v>29</v>
      </c>
      <c r="D59">
        <v>32</v>
      </c>
      <c r="E59">
        <v>61</v>
      </c>
      <c r="F59">
        <f>PMSPLINE!F$5</f>
        <v>1.144113017729536</v>
      </c>
      <c r="G59">
        <f>PMSPLINE!F$6</f>
        <v>1.0045022758082387</v>
      </c>
      <c r="H59" s="8">
        <f>PMSPLINE!K$5</f>
        <v>1.9919703295898129E-3</v>
      </c>
      <c r="I59" s="8">
        <f>PMSPLINE!K$6</f>
        <v>8.5084364671682788E-4</v>
      </c>
      <c r="J59">
        <f t="shared" si="1"/>
        <v>0.17241379310344829</v>
      </c>
      <c r="K59">
        <f t="shared" si="2"/>
        <v>0.82758620689655171</v>
      </c>
      <c r="L59">
        <f t="shared" si="12"/>
        <v>10</v>
      </c>
      <c r="M59" s="6">
        <f t="shared" si="4"/>
        <v>1.0285730933808761</v>
      </c>
      <c r="N59" s="6">
        <f t="shared" si="13"/>
        <v>0.95076502132429297</v>
      </c>
      <c r="O59" s="8">
        <f t="shared" si="8"/>
        <v>77.900571683368113</v>
      </c>
      <c r="P59" s="8">
        <f t="shared" si="9"/>
        <v>77.087184849269619</v>
      </c>
      <c r="Q59" s="8">
        <f t="shared" si="7"/>
        <v>0.95076502132429297</v>
      </c>
      <c r="T59" s="8">
        <f t="shared" si="11"/>
        <v>0.95076502132429297</v>
      </c>
    </row>
    <row r="60" spans="1:20" x14ac:dyDescent="0.2">
      <c r="B60">
        <f t="shared" si="6"/>
        <v>57</v>
      </c>
      <c r="C60">
        <f t="shared" si="0"/>
        <v>29</v>
      </c>
      <c r="D60">
        <v>32</v>
      </c>
      <c r="E60">
        <v>61</v>
      </c>
      <c r="F60">
        <f>PMSPLINE!F$5</f>
        <v>1.144113017729536</v>
      </c>
      <c r="G60">
        <f>PMSPLINE!F$6</f>
        <v>1.0045022758082387</v>
      </c>
      <c r="H60" s="8">
        <f>PMSPLINE!K$5</f>
        <v>1.9919703295898129E-3</v>
      </c>
      <c r="I60" s="8">
        <f>PMSPLINE!K$6</f>
        <v>8.5084364671682788E-4</v>
      </c>
      <c r="J60">
        <f t="shared" si="1"/>
        <v>0.13793103448275862</v>
      </c>
      <c r="K60">
        <f t="shared" si="2"/>
        <v>0.86206896551724133</v>
      </c>
      <c r="L60">
        <f t="shared" si="12"/>
        <v>11</v>
      </c>
      <c r="M60" s="6">
        <f t="shared" si="4"/>
        <v>1.0237589298663488</v>
      </c>
      <c r="N60" s="6">
        <f t="shared" si="13"/>
        <v>0.95957468975188176</v>
      </c>
      <c r="O60" s="8">
        <f t="shared" si="8"/>
        <v>78.92433061323446</v>
      </c>
      <c r="P60" s="8">
        <f t="shared" si="9"/>
        <v>78.046759539021494</v>
      </c>
      <c r="Q60" s="8">
        <f t="shared" si="7"/>
        <v>0.95957468975188176</v>
      </c>
      <c r="T60" s="8">
        <f t="shared" si="11"/>
        <v>0.95957468975188176</v>
      </c>
    </row>
    <row r="61" spans="1:20" x14ac:dyDescent="0.2">
      <c r="B61">
        <f t="shared" si="6"/>
        <v>58</v>
      </c>
      <c r="C61">
        <f t="shared" si="0"/>
        <v>29</v>
      </c>
      <c r="D61">
        <v>32</v>
      </c>
      <c r="E61">
        <v>61</v>
      </c>
      <c r="F61">
        <f>PMSPLINE!F$5</f>
        <v>1.144113017729536</v>
      </c>
      <c r="G61">
        <f>PMSPLINE!F$6</f>
        <v>1.0045022758082387</v>
      </c>
      <c r="H61" s="8">
        <f>PMSPLINE!K$5</f>
        <v>1.9919703295898129E-3</v>
      </c>
      <c r="I61" s="8">
        <f>PMSPLINE!K$6</f>
        <v>8.5084364671682788E-4</v>
      </c>
      <c r="J61">
        <f t="shared" si="1"/>
        <v>0.10344827586206896</v>
      </c>
      <c r="K61">
        <f t="shared" si="2"/>
        <v>0.89655172413793105</v>
      </c>
      <c r="L61">
        <f t="shared" si="12"/>
        <v>12</v>
      </c>
      <c r="M61" s="6">
        <f t="shared" si="4"/>
        <v>1.0189447663518212</v>
      </c>
      <c r="N61" s="6">
        <f t="shared" si="13"/>
        <v>0.9693925986100318</v>
      </c>
      <c r="O61" s="8">
        <f t="shared" si="8"/>
        <v>79.943275379586282</v>
      </c>
      <c r="P61" s="8">
        <f t="shared" si="9"/>
        <v>79.016152137631522</v>
      </c>
      <c r="Q61" s="8">
        <f t="shared" si="7"/>
        <v>0.9693925986100318</v>
      </c>
      <c r="T61" s="8">
        <f t="shared" si="11"/>
        <v>0.9693925986100318</v>
      </c>
    </row>
    <row r="62" spans="1:20" x14ac:dyDescent="0.2">
      <c r="B62">
        <f t="shared" si="6"/>
        <v>59</v>
      </c>
      <c r="C62">
        <f t="shared" si="0"/>
        <v>29</v>
      </c>
      <c r="D62">
        <v>32</v>
      </c>
      <c r="E62">
        <v>61</v>
      </c>
      <c r="F62">
        <f>PMSPLINE!F$5</f>
        <v>1.144113017729536</v>
      </c>
      <c r="G62">
        <f>PMSPLINE!F$6</f>
        <v>1.0045022758082387</v>
      </c>
      <c r="H62" s="8">
        <f>PMSPLINE!K$5</f>
        <v>1.9919703295898129E-3</v>
      </c>
      <c r="I62" s="8">
        <f>PMSPLINE!K$6</f>
        <v>8.5084364671682788E-4</v>
      </c>
      <c r="J62">
        <f t="shared" si="1"/>
        <v>6.8965517241379309E-2</v>
      </c>
      <c r="K62">
        <f t="shared" si="2"/>
        <v>0.93103448275862066</v>
      </c>
      <c r="L62">
        <f t="shared" si="12"/>
        <v>13</v>
      </c>
      <c r="M62" s="6">
        <f t="shared" si="4"/>
        <v>1.0141306028372936</v>
      </c>
      <c r="N62" s="6">
        <f t="shared" si="13"/>
        <v>0.98017939870278192</v>
      </c>
      <c r="O62" s="8">
        <f t="shared" si="8"/>
        <v>80.95740598242358</v>
      </c>
      <c r="P62" s="8">
        <f t="shared" si="9"/>
        <v>79.99633153633431</v>
      </c>
      <c r="Q62" s="8">
        <f t="shared" si="7"/>
        <v>0.98017939870278192</v>
      </c>
      <c r="T62" s="8">
        <f t="shared" si="11"/>
        <v>0.98017939870278192</v>
      </c>
    </row>
    <row r="63" spans="1:20" x14ac:dyDescent="0.2">
      <c r="B63">
        <f t="shared" si="6"/>
        <v>60</v>
      </c>
      <c r="C63">
        <f t="shared" si="0"/>
        <v>29</v>
      </c>
      <c r="D63">
        <v>32</v>
      </c>
      <c r="E63">
        <v>61</v>
      </c>
      <c r="F63">
        <f>PMSPLINE!F$5</f>
        <v>1.144113017729536</v>
      </c>
      <c r="G63">
        <f>PMSPLINE!F$6</f>
        <v>1.0045022758082387</v>
      </c>
      <c r="H63" s="8">
        <f>PMSPLINE!K$5</f>
        <v>1.9919703295898129E-3</v>
      </c>
      <c r="I63" s="8">
        <f>PMSPLINE!K$6</f>
        <v>8.5084364671682788E-4</v>
      </c>
      <c r="J63">
        <f t="shared" si="1"/>
        <v>3.4482758620689655E-2</v>
      </c>
      <c r="K63">
        <f t="shared" si="2"/>
        <v>0.96551724137931039</v>
      </c>
      <c r="L63">
        <f t="shared" si="12"/>
        <v>14</v>
      </c>
      <c r="M63" s="6">
        <f t="shared" si="4"/>
        <v>1.0093164393227663</v>
      </c>
      <c r="N63" s="6">
        <f t="shared" si="13"/>
        <v>0.99189574083417142</v>
      </c>
      <c r="O63" s="8">
        <f t="shared" si="8"/>
        <v>81.96672242174634</v>
      </c>
      <c r="P63" s="8">
        <f t="shared" si="9"/>
        <v>80.988227277168477</v>
      </c>
      <c r="Q63" s="8">
        <f t="shared" si="7"/>
        <v>0.99189574083417142</v>
      </c>
      <c r="T63" s="8">
        <f t="shared" si="11"/>
        <v>0.99189574083417142</v>
      </c>
    </row>
    <row r="64" spans="1:20" x14ac:dyDescent="0.2">
      <c r="A64">
        <v>61</v>
      </c>
      <c r="B64">
        <f t="shared" si="6"/>
        <v>61</v>
      </c>
      <c r="C64">
        <f t="shared" si="0"/>
        <v>29</v>
      </c>
      <c r="D64">
        <v>32</v>
      </c>
      <c r="E64">
        <v>61</v>
      </c>
      <c r="F64">
        <f>PMSPLINE!F$5</f>
        <v>1.144113017729536</v>
      </c>
      <c r="G64">
        <f>PMSPLINE!F$6</f>
        <v>1.0045022758082387</v>
      </c>
      <c r="H64" s="8">
        <f>PMSPLINE!K$5</f>
        <v>1.9919703295898129E-3</v>
      </c>
      <c r="I64" s="8">
        <f>PMSPLINE!K$6</f>
        <v>8.5084364671682788E-4</v>
      </c>
      <c r="J64">
        <f t="shared" si="1"/>
        <v>0</v>
      </c>
      <c r="K64">
        <f t="shared" si="2"/>
        <v>1</v>
      </c>
      <c r="L64">
        <f t="shared" si="12"/>
        <v>15</v>
      </c>
      <c r="M64" s="6">
        <f t="shared" si="4"/>
        <v>1.0045022758082387</v>
      </c>
      <c r="N64" s="6">
        <f t="shared" si="13"/>
        <v>1.0045022758082387</v>
      </c>
      <c r="O64" s="8">
        <f t="shared" si="8"/>
        <v>82.971224697554575</v>
      </c>
      <c r="P64" s="8">
        <f t="shared" si="9"/>
        <v>81.992729552976712</v>
      </c>
      <c r="Q64" s="8">
        <f t="shared" si="7"/>
        <v>1.0045022758082387</v>
      </c>
      <c r="T64" s="8">
        <f t="shared" si="11"/>
        <v>1.0045022758082387</v>
      </c>
    </row>
    <row r="65" spans="2:20" x14ac:dyDescent="0.2">
      <c r="B65">
        <f t="shared" si="6"/>
        <v>62</v>
      </c>
      <c r="C65">
        <f t="shared" si="0"/>
        <v>31</v>
      </c>
      <c r="D65">
        <v>61</v>
      </c>
      <c r="E65">
        <v>92</v>
      </c>
      <c r="F65">
        <f>PMSPLINE!F$6</f>
        <v>1.0045022758082387</v>
      </c>
      <c r="G65">
        <f>PMSPLINE!F$7</f>
        <v>1.6940318585171934</v>
      </c>
      <c r="H65" s="8">
        <f>PMSPLINE!K$6</f>
        <v>8.5084364671682788E-4</v>
      </c>
      <c r="I65" s="8">
        <f>PMSPLINE!K$7</f>
        <v>7.9804597157128701E-5</v>
      </c>
      <c r="J65">
        <f t="shared" si="1"/>
        <v>0.967741935483871</v>
      </c>
      <c r="K65">
        <f t="shared" si="2"/>
        <v>3.2258064516129031E-2</v>
      </c>
      <c r="L65">
        <f t="shared" si="12"/>
        <v>16</v>
      </c>
      <c r="M65" s="8">
        <f t="shared" si="4"/>
        <v>1.0267451655730437</v>
      </c>
      <c r="N65" s="6">
        <f t="shared" si="13"/>
        <v>1.0179620672571157</v>
      </c>
      <c r="O65" s="8">
        <f t="shared" si="8"/>
        <v>83.997969863127622</v>
      </c>
      <c r="P65" s="8">
        <f t="shared" si="9"/>
        <v>83.010691620233828</v>
      </c>
      <c r="Q65" s="8">
        <f t="shared" si="7"/>
        <v>1.0179620672571157</v>
      </c>
      <c r="T65" s="8">
        <f t="shared" si="11"/>
        <v>1.0179620672571157</v>
      </c>
    </row>
    <row r="66" spans="2:20" x14ac:dyDescent="0.2">
      <c r="B66">
        <f t="shared" si="6"/>
        <v>63</v>
      </c>
      <c r="C66">
        <f t="shared" si="0"/>
        <v>31</v>
      </c>
      <c r="D66">
        <v>61</v>
      </c>
      <c r="E66">
        <v>92</v>
      </c>
      <c r="F66">
        <f>PMSPLINE!F$6</f>
        <v>1.0045022758082387</v>
      </c>
      <c r="G66">
        <f>PMSPLINE!F$7</f>
        <v>1.6940318585171934</v>
      </c>
      <c r="H66" s="8">
        <f>PMSPLINE!K$6</f>
        <v>8.5084364671682788E-4</v>
      </c>
      <c r="I66" s="8">
        <f>PMSPLINE!K$7</f>
        <v>7.9804597157128701E-5</v>
      </c>
      <c r="J66">
        <f t="shared" si="1"/>
        <v>0.93548387096774188</v>
      </c>
      <c r="K66">
        <f t="shared" si="2"/>
        <v>6.4516129032258063E-2</v>
      </c>
      <c r="L66">
        <f t="shared" si="12"/>
        <v>17</v>
      </c>
      <c r="M66" s="8">
        <f t="shared" si="4"/>
        <v>1.0489880553378486</v>
      </c>
      <c r="N66" s="6">
        <f t="shared" si="13"/>
        <v>1.032247830125304</v>
      </c>
      <c r="O66" s="8">
        <f t="shared" si="8"/>
        <v>85.046957918465466</v>
      </c>
      <c r="P66" s="8">
        <f t="shared" si="9"/>
        <v>84.042939450359128</v>
      </c>
      <c r="Q66" s="8">
        <f t="shared" si="7"/>
        <v>1.032247830125304</v>
      </c>
      <c r="T66" s="8">
        <f t="shared" si="11"/>
        <v>1.032247830125304</v>
      </c>
    </row>
    <row r="67" spans="2:20" x14ac:dyDescent="0.2">
      <c r="B67">
        <f t="shared" si="6"/>
        <v>64</v>
      </c>
      <c r="C67">
        <f t="shared" si="0"/>
        <v>31</v>
      </c>
      <c r="D67">
        <v>61</v>
      </c>
      <c r="E67">
        <v>92</v>
      </c>
      <c r="F67">
        <f>PMSPLINE!F$6</f>
        <v>1.0045022758082387</v>
      </c>
      <c r="G67">
        <f>PMSPLINE!F$7</f>
        <v>1.6940318585171934</v>
      </c>
      <c r="H67" s="8">
        <f>PMSPLINE!K$6</f>
        <v>8.5084364671682788E-4</v>
      </c>
      <c r="I67" s="8">
        <f>PMSPLINE!K$7</f>
        <v>7.9804597157128701E-5</v>
      </c>
      <c r="J67">
        <f t="shared" si="1"/>
        <v>0.90322580645161288</v>
      </c>
      <c r="K67">
        <f t="shared" si="2"/>
        <v>9.6774193548387094E-2</v>
      </c>
      <c r="L67">
        <f t="shared" si="12"/>
        <v>18</v>
      </c>
      <c r="M67" s="8">
        <f t="shared" si="4"/>
        <v>1.0712309451026536</v>
      </c>
      <c r="N67" s="6">
        <f t="shared" si="13"/>
        <v>1.047334692185399</v>
      </c>
      <c r="O67" s="8">
        <f t="shared" si="8"/>
        <v>86.118188863568122</v>
      </c>
      <c r="P67" s="8">
        <f t="shared" si="9"/>
        <v>85.09027414254453</v>
      </c>
      <c r="Q67" s="8">
        <f t="shared" si="7"/>
        <v>1.047334692185399</v>
      </c>
      <c r="T67" s="8">
        <f t="shared" si="11"/>
        <v>1.047334692185399</v>
      </c>
    </row>
    <row r="68" spans="2:20" x14ac:dyDescent="0.2">
      <c r="B68">
        <f t="shared" si="6"/>
        <v>65</v>
      </c>
      <c r="C68">
        <f t="shared" ref="C68:C131" si="14">E68-D68</f>
        <v>31</v>
      </c>
      <c r="D68">
        <v>61</v>
      </c>
      <c r="E68">
        <v>92</v>
      </c>
      <c r="F68">
        <f>PMSPLINE!F$6</f>
        <v>1.0045022758082387</v>
      </c>
      <c r="G68">
        <f>PMSPLINE!F$7</f>
        <v>1.6940318585171934</v>
      </c>
      <c r="H68" s="8">
        <f>PMSPLINE!K$6</f>
        <v>8.5084364671682788E-4</v>
      </c>
      <c r="I68" s="8">
        <f>PMSPLINE!K$7</f>
        <v>7.9804597157128701E-5</v>
      </c>
      <c r="J68">
        <f t="shared" ref="J68:J131" si="15">(E68-B68)/C68</f>
        <v>0.87096774193548387</v>
      </c>
      <c r="K68">
        <f t="shared" ref="K68:K131" si="16">(B68-D68)/C68</f>
        <v>0.12903225806451613</v>
      </c>
      <c r="L68">
        <f t="shared" si="12"/>
        <v>19</v>
      </c>
      <c r="M68" s="8">
        <f t="shared" ref="M68:M131" si="17">J68*F68+K68*G68</f>
        <v>1.0934738348674586</v>
      </c>
      <c r="N68" s="6">
        <f t="shared" si="13"/>
        <v>1.0631977812099955</v>
      </c>
      <c r="O68" s="8">
        <f t="shared" si="8"/>
        <v>87.211662698435575</v>
      </c>
      <c r="P68" s="8">
        <f t="shared" si="9"/>
        <v>86.153471923754523</v>
      </c>
      <c r="Q68" s="8">
        <f t="shared" si="7"/>
        <v>1.0631977812099955</v>
      </c>
      <c r="T68" s="8">
        <f t="shared" si="11"/>
        <v>1.0631977812099955</v>
      </c>
    </row>
    <row r="69" spans="2:20" x14ac:dyDescent="0.2">
      <c r="B69">
        <f t="shared" ref="B69:B132" si="18">B68+1</f>
        <v>66</v>
      </c>
      <c r="C69">
        <f t="shared" si="14"/>
        <v>31</v>
      </c>
      <c r="D69">
        <v>61</v>
      </c>
      <c r="E69">
        <v>92</v>
      </c>
      <c r="F69">
        <f>PMSPLINE!F$6</f>
        <v>1.0045022758082387</v>
      </c>
      <c r="G69">
        <f>PMSPLINE!F$7</f>
        <v>1.6940318585171934</v>
      </c>
      <c r="H69" s="8">
        <f>PMSPLINE!K$6</f>
        <v>8.5084364671682788E-4</v>
      </c>
      <c r="I69" s="8">
        <f>PMSPLINE!K$7</f>
        <v>7.9804597157128701E-5</v>
      </c>
      <c r="J69">
        <f t="shared" si="15"/>
        <v>0.83870967741935487</v>
      </c>
      <c r="K69">
        <f t="shared" si="16"/>
        <v>0.16129032258064516</v>
      </c>
      <c r="L69">
        <f t="shared" si="12"/>
        <v>20</v>
      </c>
      <c r="M69" s="8">
        <f t="shared" si="17"/>
        <v>1.1157167246322637</v>
      </c>
      <c r="N69" s="6">
        <f t="shared" si="13"/>
        <v>1.0798122249716882</v>
      </c>
      <c r="O69" s="8">
        <f t="shared" si="8"/>
        <v>88.327379423067839</v>
      </c>
      <c r="P69" s="8">
        <f t="shared" si="9"/>
        <v>87.233284148726213</v>
      </c>
      <c r="Q69" s="8">
        <f t="shared" ref="Q69:Q132" si="19">M69+(((J69^3-J69)*H69+(K69^3-K69)*I69))*(C69^2)/6</f>
        <v>1.0798122249716882</v>
      </c>
      <c r="T69" s="8">
        <f t="shared" si="11"/>
        <v>1.0798122249716882</v>
      </c>
    </row>
    <row r="70" spans="2:20" x14ac:dyDescent="0.2">
      <c r="B70">
        <f t="shared" si="18"/>
        <v>67</v>
      </c>
      <c r="C70">
        <f t="shared" si="14"/>
        <v>31</v>
      </c>
      <c r="D70">
        <v>61</v>
      </c>
      <c r="E70">
        <v>92</v>
      </c>
      <c r="F70">
        <f>PMSPLINE!F$6</f>
        <v>1.0045022758082387</v>
      </c>
      <c r="G70">
        <f>PMSPLINE!F$7</f>
        <v>1.6940318585171934</v>
      </c>
      <c r="H70" s="8">
        <f>PMSPLINE!K$6</f>
        <v>8.5084364671682788E-4</v>
      </c>
      <c r="I70" s="8">
        <f>PMSPLINE!K$7</f>
        <v>7.9804597157128701E-5</v>
      </c>
      <c r="J70">
        <f t="shared" si="15"/>
        <v>0.80645161290322576</v>
      </c>
      <c r="K70">
        <f t="shared" si="16"/>
        <v>0.19354838709677419</v>
      </c>
      <c r="L70">
        <f t="shared" si="12"/>
        <v>21</v>
      </c>
      <c r="M70" s="8">
        <f t="shared" si="17"/>
        <v>1.1379596143970685</v>
      </c>
      <c r="N70" s="6">
        <f t="shared" si="13"/>
        <v>1.0971531512430717</v>
      </c>
      <c r="O70" s="8">
        <f t="shared" ref="O70:O133" si="20">O69+M70</f>
        <v>89.465339037464901</v>
      </c>
      <c r="P70" s="8">
        <f t="shared" ref="P70:P133" si="21">P69+N70</f>
        <v>88.33043729996929</v>
      </c>
      <c r="Q70" s="8">
        <f t="shared" si="19"/>
        <v>1.0971531512430717</v>
      </c>
      <c r="T70" s="8">
        <f t="shared" si="11"/>
        <v>1.0971531512430717</v>
      </c>
    </row>
    <row r="71" spans="2:20" x14ac:dyDescent="0.2">
      <c r="B71">
        <f t="shared" si="18"/>
        <v>68</v>
      </c>
      <c r="C71">
        <f t="shared" si="14"/>
        <v>31</v>
      </c>
      <c r="D71">
        <v>61</v>
      </c>
      <c r="E71">
        <v>92</v>
      </c>
      <c r="F71">
        <f>PMSPLINE!F$6</f>
        <v>1.0045022758082387</v>
      </c>
      <c r="G71">
        <f>PMSPLINE!F$7</f>
        <v>1.6940318585171934</v>
      </c>
      <c r="H71" s="8">
        <f>PMSPLINE!K$6</f>
        <v>8.5084364671682788E-4</v>
      </c>
      <c r="I71" s="8">
        <f>PMSPLINE!K$7</f>
        <v>7.9804597157128701E-5</v>
      </c>
      <c r="J71">
        <f t="shared" si="15"/>
        <v>0.77419354838709675</v>
      </c>
      <c r="K71">
        <f t="shared" si="16"/>
        <v>0.22580645161290322</v>
      </c>
      <c r="L71">
        <f t="shared" si="12"/>
        <v>22</v>
      </c>
      <c r="M71" s="8">
        <f t="shared" si="17"/>
        <v>1.1602025041618735</v>
      </c>
      <c r="N71" s="6">
        <f t="shared" si="13"/>
        <v>1.1151956877967413</v>
      </c>
      <c r="O71" s="8">
        <f t="shared" si="20"/>
        <v>90.625541541626774</v>
      </c>
      <c r="P71" s="8">
        <f t="shared" si="21"/>
        <v>89.445632987766032</v>
      </c>
      <c r="Q71" s="8">
        <f t="shared" si="19"/>
        <v>1.1151956877967413</v>
      </c>
      <c r="T71" s="8">
        <f t="shared" si="11"/>
        <v>1.1151956877967413</v>
      </c>
    </row>
    <row r="72" spans="2:20" x14ac:dyDescent="0.2">
      <c r="B72">
        <f t="shared" si="18"/>
        <v>69</v>
      </c>
      <c r="C72">
        <f t="shared" si="14"/>
        <v>31</v>
      </c>
      <c r="D72">
        <v>61</v>
      </c>
      <c r="E72">
        <v>92</v>
      </c>
      <c r="F72">
        <f>PMSPLINE!F$6</f>
        <v>1.0045022758082387</v>
      </c>
      <c r="G72">
        <f>PMSPLINE!F$7</f>
        <v>1.6940318585171934</v>
      </c>
      <c r="H72" s="8">
        <f>PMSPLINE!K$6</f>
        <v>8.5084364671682788E-4</v>
      </c>
      <c r="I72" s="8">
        <f>PMSPLINE!K$7</f>
        <v>7.9804597157128701E-5</v>
      </c>
      <c r="J72">
        <f t="shared" si="15"/>
        <v>0.74193548387096775</v>
      </c>
      <c r="K72">
        <f t="shared" si="16"/>
        <v>0.25806451612903225</v>
      </c>
      <c r="L72">
        <f t="shared" si="12"/>
        <v>23</v>
      </c>
      <c r="M72" s="8">
        <f t="shared" si="17"/>
        <v>1.1824453939266788</v>
      </c>
      <c r="N72" s="6">
        <f t="shared" si="13"/>
        <v>1.133914962405292</v>
      </c>
      <c r="O72" s="8">
        <f t="shared" si="20"/>
        <v>91.807986935553458</v>
      </c>
      <c r="P72" s="8">
        <f t="shared" si="21"/>
        <v>90.579547950171317</v>
      </c>
      <c r="Q72" s="8">
        <f t="shared" si="19"/>
        <v>1.133914962405292</v>
      </c>
      <c r="T72" s="8">
        <f t="shared" si="11"/>
        <v>1.133914962405292</v>
      </c>
    </row>
    <row r="73" spans="2:20" x14ac:dyDescent="0.2">
      <c r="B73">
        <f t="shared" si="18"/>
        <v>70</v>
      </c>
      <c r="C73">
        <f t="shared" si="14"/>
        <v>31</v>
      </c>
      <c r="D73">
        <v>61</v>
      </c>
      <c r="E73">
        <v>92</v>
      </c>
      <c r="F73">
        <f>PMSPLINE!F$6</f>
        <v>1.0045022758082387</v>
      </c>
      <c r="G73">
        <f>PMSPLINE!F$7</f>
        <v>1.6940318585171934</v>
      </c>
      <c r="H73" s="8">
        <f>PMSPLINE!K$6</f>
        <v>8.5084364671682788E-4</v>
      </c>
      <c r="I73" s="8">
        <f>PMSPLINE!K$7</f>
        <v>7.9804597157128701E-5</v>
      </c>
      <c r="J73">
        <f t="shared" si="15"/>
        <v>0.70967741935483875</v>
      </c>
      <c r="K73">
        <f t="shared" si="16"/>
        <v>0.29032258064516131</v>
      </c>
      <c r="L73">
        <f t="shared" si="12"/>
        <v>24</v>
      </c>
      <c r="M73" s="8">
        <f t="shared" si="17"/>
        <v>1.2046882836914836</v>
      </c>
      <c r="N73" s="6">
        <f t="shared" si="13"/>
        <v>1.1532861028413177</v>
      </c>
      <c r="O73" s="8">
        <f t="shared" si="20"/>
        <v>93.01267521924494</v>
      </c>
      <c r="P73" s="8">
        <f t="shared" si="21"/>
        <v>91.732834053012638</v>
      </c>
      <c r="Q73" s="8">
        <f t="shared" si="19"/>
        <v>1.1532861028413177</v>
      </c>
      <c r="T73" s="8">
        <f t="shared" si="11"/>
        <v>1.1532861028413177</v>
      </c>
    </row>
    <row r="74" spans="2:20" x14ac:dyDescent="0.2">
      <c r="B74">
        <f t="shared" si="18"/>
        <v>71</v>
      </c>
      <c r="C74">
        <f t="shared" si="14"/>
        <v>31</v>
      </c>
      <c r="D74">
        <v>61</v>
      </c>
      <c r="E74">
        <v>92</v>
      </c>
      <c r="F74">
        <f>PMSPLINE!F$6</f>
        <v>1.0045022758082387</v>
      </c>
      <c r="G74">
        <f>PMSPLINE!F$7</f>
        <v>1.6940318585171934</v>
      </c>
      <c r="H74" s="8">
        <f>PMSPLINE!K$6</f>
        <v>8.5084364671682788E-4</v>
      </c>
      <c r="I74" s="8">
        <f>PMSPLINE!K$7</f>
        <v>7.9804597157128701E-5</v>
      </c>
      <c r="J74">
        <f t="shared" si="15"/>
        <v>0.67741935483870963</v>
      </c>
      <c r="K74">
        <f t="shared" si="16"/>
        <v>0.32258064516129031</v>
      </c>
      <c r="L74">
        <f t="shared" si="12"/>
        <v>25</v>
      </c>
      <c r="M74" s="8">
        <f t="shared" si="17"/>
        <v>1.2269311734562884</v>
      </c>
      <c r="N74" s="6">
        <f t="shared" si="13"/>
        <v>1.1732842368774141</v>
      </c>
      <c r="O74" s="8">
        <f t="shared" si="20"/>
        <v>94.239606392701234</v>
      </c>
      <c r="P74" s="8">
        <f t="shared" si="21"/>
        <v>92.906118289890046</v>
      </c>
      <c r="Q74" s="8">
        <f t="shared" si="19"/>
        <v>1.1732842368774141</v>
      </c>
      <c r="T74" s="8">
        <f t="shared" si="11"/>
        <v>1.1732842368774141</v>
      </c>
    </row>
    <row r="75" spans="2:20" x14ac:dyDescent="0.2">
      <c r="B75">
        <f t="shared" si="18"/>
        <v>72</v>
      </c>
      <c r="C75">
        <f t="shared" si="14"/>
        <v>31</v>
      </c>
      <c r="D75">
        <v>61</v>
      </c>
      <c r="E75">
        <v>92</v>
      </c>
      <c r="F75">
        <f>PMSPLINE!F$6</f>
        <v>1.0045022758082387</v>
      </c>
      <c r="G75">
        <f>PMSPLINE!F$7</f>
        <v>1.6940318585171934</v>
      </c>
      <c r="H75" s="8">
        <f>PMSPLINE!K$6</f>
        <v>8.5084364671682788E-4</v>
      </c>
      <c r="I75" s="8">
        <f>PMSPLINE!K$7</f>
        <v>7.9804597157128701E-5</v>
      </c>
      <c r="J75">
        <f t="shared" si="15"/>
        <v>0.64516129032258063</v>
      </c>
      <c r="K75">
        <f t="shared" si="16"/>
        <v>0.35483870967741937</v>
      </c>
      <c r="L75">
        <f t="shared" si="12"/>
        <v>26</v>
      </c>
      <c r="M75" s="8">
        <f t="shared" si="17"/>
        <v>1.2491740632210937</v>
      </c>
      <c r="N75" s="6">
        <f t="shared" si="13"/>
        <v>1.193884492286176</v>
      </c>
      <c r="O75" s="8">
        <f t="shared" si="20"/>
        <v>95.488780455922324</v>
      </c>
      <c r="P75" s="8">
        <f t="shared" si="21"/>
        <v>94.100002782176219</v>
      </c>
      <c r="Q75" s="8">
        <f t="shared" si="19"/>
        <v>1.193884492286176</v>
      </c>
      <c r="T75" s="8">
        <f t="shared" si="11"/>
        <v>1.193884492286176</v>
      </c>
    </row>
    <row r="76" spans="2:20" x14ac:dyDescent="0.2">
      <c r="B76">
        <f t="shared" si="18"/>
        <v>73</v>
      </c>
      <c r="C76">
        <f t="shared" si="14"/>
        <v>31</v>
      </c>
      <c r="D76">
        <v>61</v>
      </c>
      <c r="E76">
        <v>92</v>
      </c>
      <c r="F76">
        <f>PMSPLINE!F$6</f>
        <v>1.0045022758082387</v>
      </c>
      <c r="G76">
        <f>PMSPLINE!F$7</f>
        <v>1.6940318585171934</v>
      </c>
      <c r="H76" s="8">
        <f>PMSPLINE!K$6</f>
        <v>8.5084364671682788E-4</v>
      </c>
      <c r="I76" s="8">
        <f>PMSPLINE!K$7</f>
        <v>7.9804597157128701E-5</v>
      </c>
      <c r="J76">
        <f t="shared" si="15"/>
        <v>0.61290322580645162</v>
      </c>
      <c r="K76">
        <f t="shared" si="16"/>
        <v>0.38709677419354838</v>
      </c>
      <c r="L76">
        <f t="shared" si="12"/>
        <v>27</v>
      </c>
      <c r="M76" s="8">
        <f t="shared" si="17"/>
        <v>1.2714169529858985</v>
      </c>
      <c r="N76" s="6">
        <f t="shared" si="13"/>
        <v>1.2150619968401979</v>
      </c>
      <c r="O76" s="8">
        <f t="shared" si="20"/>
        <v>96.760197408908226</v>
      </c>
      <c r="P76" s="8">
        <f t="shared" si="21"/>
        <v>95.31506477901641</v>
      </c>
      <c r="Q76" s="8">
        <f t="shared" si="19"/>
        <v>1.2150619968401979</v>
      </c>
      <c r="T76" s="8">
        <f t="shared" si="11"/>
        <v>1.2150619968401979</v>
      </c>
    </row>
    <row r="77" spans="2:20" x14ac:dyDescent="0.2">
      <c r="B77">
        <f t="shared" si="18"/>
        <v>74</v>
      </c>
      <c r="C77">
        <f t="shared" si="14"/>
        <v>31</v>
      </c>
      <c r="D77">
        <v>61</v>
      </c>
      <c r="E77">
        <v>92</v>
      </c>
      <c r="F77">
        <f>PMSPLINE!F$6</f>
        <v>1.0045022758082387</v>
      </c>
      <c r="G77">
        <f>PMSPLINE!F$7</f>
        <v>1.6940318585171934</v>
      </c>
      <c r="H77" s="8">
        <f>PMSPLINE!K$6</f>
        <v>8.5084364671682788E-4</v>
      </c>
      <c r="I77" s="8">
        <f>PMSPLINE!K$7</f>
        <v>7.9804597157128701E-5</v>
      </c>
      <c r="J77">
        <f t="shared" si="15"/>
        <v>0.58064516129032262</v>
      </c>
      <c r="K77">
        <f t="shared" si="16"/>
        <v>0.41935483870967744</v>
      </c>
      <c r="L77">
        <f t="shared" si="12"/>
        <v>28</v>
      </c>
      <c r="M77" s="8">
        <f t="shared" si="17"/>
        <v>1.2936598427507038</v>
      </c>
      <c r="N77" s="6">
        <f t="shared" si="13"/>
        <v>1.236791878312075</v>
      </c>
      <c r="O77" s="8">
        <f t="shared" si="20"/>
        <v>98.053857251658926</v>
      </c>
      <c r="P77" s="8">
        <f t="shared" si="21"/>
        <v>96.551856657328486</v>
      </c>
      <c r="Q77" s="8">
        <f t="shared" si="19"/>
        <v>1.236791878312075</v>
      </c>
      <c r="T77" s="8">
        <f t="shared" si="11"/>
        <v>1.236791878312075</v>
      </c>
    </row>
    <row r="78" spans="2:20" x14ac:dyDescent="0.2">
      <c r="B78">
        <f t="shared" si="18"/>
        <v>75</v>
      </c>
      <c r="C78">
        <f t="shared" si="14"/>
        <v>31</v>
      </c>
      <c r="D78">
        <v>61</v>
      </c>
      <c r="E78">
        <v>92</v>
      </c>
      <c r="F78">
        <f>PMSPLINE!F$6</f>
        <v>1.0045022758082387</v>
      </c>
      <c r="G78">
        <f>PMSPLINE!F$7</f>
        <v>1.6940318585171934</v>
      </c>
      <c r="H78" s="8">
        <f>PMSPLINE!K$6</f>
        <v>8.5084364671682788E-4</v>
      </c>
      <c r="I78" s="8">
        <f>PMSPLINE!K$7</f>
        <v>7.9804597157128701E-5</v>
      </c>
      <c r="J78">
        <f t="shared" si="15"/>
        <v>0.54838709677419351</v>
      </c>
      <c r="K78">
        <f t="shared" si="16"/>
        <v>0.45161290322580644</v>
      </c>
      <c r="L78">
        <f t="shared" si="12"/>
        <v>29</v>
      </c>
      <c r="M78" s="8">
        <f t="shared" si="17"/>
        <v>1.3159027325155086</v>
      </c>
      <c r="N78" s="6">
        <f t="shared" si="13"/>
        <v>1.2590492644744016</v>
      </c>
      <c r="O78" s="8">
        <f t="shared" si="20"/>
        <v>99.369759984174436</v>
      </c>
      <c r="P78" s="8">
        <f t="shared" si="21"/>
        <v>97.810905921802885</v>
      </c>
      <c r="Q78" s="8">
        <f t="shared" si="19"/>
        <v>1.2590492644744016</v>
      </c>
      <c r="T78" s="8">
        <f t="shared" si="11"/>
        <v>1.2590492644744016</v>
      </c>
    </row>
    <row r="79" spans="2:20" x14ac:dyDescent="0.2">
      <c r="B79">
        <f t="shared" si="18"/>
        <v>76</v>
      </c>
      <c r="C79">
        <f t="shared" si="14"/>
        <v>31</v>
      </c>
      <c r="D79">
        <v>61</v>
      </c>
      <c r="E79">
        <v>92</v>
      </c>
      <c r="F79">
        <f>PMSPLINE!F$6</f>
        <v>1.0045022758082387</v>
      </c>
      <c r="G79">
        <f>PMSPLINE!F$7</f>
        <v>1.6940318585171934</v>
      </c>
      <c r="H79" s="8">
        <f>PMSPLINE!K$6</f>
        <v>8.5084364671682788E-4</v>
      </c>
      <c r="I79" s="8">
        <f>PMSPLINE!K$7</f>
        <v>7.9804597157128701E-5</v>
      </c>
      <c r="J79">
        <f t="shared" si="15"/>
        <v>0.5161290322580645</v>
      </c>
      <c r="K79">
        <f t="shared" si="16"/>
        <v>0.4838709677419355</v>
      </c>
      <c r="L79">
        <f t="shared" si="12"/>
        <v>30</v>
      </c>
      <c r="M79" s="8">
        <f t="shared" si="17"/>
        <v>1.3381456222803134</v>
      </c>
      <c r="N79" s="6">
        <f t="shared" si="13"/>
        <v>1.2818092830997729</v>
      </c>
      <c r="O79" s="8">
        <f t="shared" si="20"/>
        <v>100.70790560645474</v>
      </c>
      <c r="P79" s="8">
        <f t="shared" si="21"/>
        <v>99.09271520490266</v>
      </c>
      <c r="Q79" s="8">
        <f t="shared" si="19"/>
        <v>1.2818092830997729</v>
      </c>
      <c r="T79" s="8">
        <f t="shared" si="11"/>
        <v>1.2818092830997729</v>
      </c>
    </row>
    <row r="80" spans="2:20" x14ac:dyDescent="0.2">
      <c r="B80">
        <f t="shared" si="18"/>
        <v>77</v>
      </c>
      <c r="C80">
        <f t="shared" si="14"/>
        <v>31</v>
      </c>
      <c r="D80">
        <v>61</v>
      </c>
      <c r="E80">
        <v>92</v>
      </c>
      <c r="F80">
        <f>PMSPLINE!F$6</f>
        <v>1.0045022758082387</v>
      </c>
      <c r="G80">
        <f>PMSPLINE!F$7</f>
        <v>1.6940318585171934</v>
      </c>
      <c r="H80" s="8">
        <f>PMSPLINE!K$6</f>
        <v>8.5084364671682788E-4</v>
      </c>
      <c r="I80" s="8">
        <f>PMSPLINE!K$7</f>
        <v>7.9804597157128701E-5</v>
      </c>
      <c r="J80">
        <f t="shared" si="15"/>
        <v>0.4838709677419355</v>
      </c>
      <c r="K80">
        <f t="shared" si="16"/>
        <v>0.5161290322580645</v>
      </c>
      <c r="L80">
        <f t="shared" si="12"/>
        <v>31</v>
      </c>
      <c r="M80" s="8">
        <f t="shared" si="17"/>
        <v>1.3603885120451187</v>
      </c>
      <c r="N80" s="6">
        <f t="shared" si="13"/>
        <v>1.3050470619607843</v>
      </c>
      <c r="O80" s="8">
        <f t="shared" si="20"/>
        <v>102.06829411849986</v>
      </c>
      <c r="P80" s="8">
        <f t="shared" si="21"/>
        <v>100.39776226686344</v>
      </c>
      <c r="Q80" s="8">
        <f t="shared" si="19"/>
        <v>1.3050470619607843</v>
      </c>
      <c r="T80" s="8">
        <f t="shared" si="11"/>
        <v>1.3050470619607843</v>
      </c>
    </row>
    <row r="81" spans="1:20" x14ac:dyDescent="0.2">
      <c r="B81">
        <f t="shared" si="18"/>
        <v>78</v>
      </c>
      <c r="C81">
        <f t="shared" si="14"/>
        <v>31</v>
      </c>
      <c r="D81">
        <v>61</v>
      </c>
      <c r="E81">
        <v>92</v>
      </c>
      <c r="F81">
        <f>PMSPLINE!F$6</f>
        <v>1.0045022758082387</v>
      </c>
      <c r="G81">
        <f>PMSPLINE!F$7</f>
        <v>1.6940318585171934</v>
      </c>
      <c r="H81" s="8">
        <f>PMSPLINE!K$6</f>
        <v>8.5084364671682788E-4</v>
      </c>
      <c r="I81" s="8">
        <f>PMSPLINE!K$7</f>
        <v>7.9804597157128701E-5</v>
      </c>
      <c r="J81">
        <f t="shared" si="15"/>
        <v>0.45161290322580644</v>
      </c>
      <c r="K81">
        <f t="shared" si="16"/>
        <v>0.54838709677419351</v>
      </c>
      <c r="L81">
        <f t="shared" si="12"/>
        <v>32</v>
      </c>
      <c r="M81" s="8">
        <f t="shared" si="17"/>
        <v>1.3826314018099235</v>
      </c>
      <c r="N81" s="6">
        <f t="shared" si="13"/>
        <v>1.3287377288300295</v>
      </c>
      <c r="O81" s="8">
        <f t="shared" si="20"/>
        <v>103.45092552030978</v>
      </c>
      <c r="P81" s="8">
        <f t="shared" si="21"/>
        <v>101.72649999569347</v>
      </c>
      <c r="Q81" s="8">
        <f t="shared" si="19"/>
        <v>1.3287377288300295</v>
      </c>
      <c r="T81" s="8">
        <f t="shared" si="11"/>
        <v>1.3287377288300295</v>
      </c>
    </row>
    <row r="82" spans="1:20" x14ac:dyDescent="0.2">
      <c r="B82">
        <f t="shared" si="18"/>
        <v>79</v>
      </c>
      <c r="C82">
        <f t="shared" si="14"/>
        <v>31</v>
      </c>
      <c r="D82">
        <v>61</v>
      </c>
      <c r="E82">
        <v>92</v>
      </c>
      <c r="F82">
        <f>PMSPLINE!F$6</f>
        <v>1.0045022758082387</v>
      </c>
      <c r="G82">
        <f>PMSPLINE!F$7</f>
        <v>1.6940318585171934</v>
      </c>
      <c r="H82" s="8">
        <f>PMSPLINE!K$6</f>
        <v>8.5084364671682788E-4</v>
      </c>
      <c r="I82" s="8">
        <f>PMSPLINE!K$7</f>
        <v>7.9804597157128701E-5</v>
      </c>
      <c r="J82">
        <f t="shared" si="15"/>
        <v>0.41935483870967744</v>
      </c>
      <c r="K82">
        <f t="shared" si="16"/>
        <v>0.58064516129032262</v>
      </c>
      <c r="L82">
        <f t="shared" si="12"/>
        <v>33</v>
      </c>
      <c r="M82" s="8">
        <f t="shared" si="17"/>
        <v>1.4048742915747288</v>
      </c>
      <c r="N82" s="6">
        <f t="shared" si="13"/>
        <v>1.3528564114801045</v>
      </c>
      <c r="O82" s="8">
        <f t="shared" si="20"/>
        <v>104.85579981188451</v>
      </c>
      <c r="P82" s="8">
        <f t="shared" si="21"/>
        <v>103.07935640717358</v>
      </c>
      <c r="Q82" s="8">
        <f t="shared" si="19"/>
        <v>1.3528564114801045</v>
      </c>
      <c r="T82" s="8">
        <f t="shared" si="11"/>
        <v>1.3528564114801045</v>
      </c>
    </row>
    <row r="83" spans="1:20" x14ac:dyDescent="0.2">
      <c r="B83">
        <f t="shared" si="18"/>
        <v>80</v>
      </c>
      <c r="C83">
        <f t="shared" si="14"/>
        <v>31</v>
      </c>
      <c r="D83">
        <v>61</v>
      </c>
      <c r="E83">
        <v>92</v>
      </c>
      <c r="F83">
        <f>PMSPLINE!F$6</f>
        <v>1.0045022758082387</v>
      </c>
      <c r="G83">
        <f>PMSPLINE!F$7</f>
        <v>1.6940318585171934</v>
      </c>
      <c r="H83" s="8">
        <f>PMSPLINE!K$6</f>
        <v>8.5084364671682788E-4</v>
      </c>
      <c r="I83" s="8">
        <f>PMSPLINE!K$7</f>
        <v>7.9804597157128701E-5</v>
      </c>
      <c r="J83">
        <f t="shared" si="15"/>
        <v>0.38709677419354838</v>
      </c>
      <c r="K83">
        <f t="shared" si="16"/>
        <v>0.61290322580645162</v>
      </c>
      <c r="L83">
        <f t="shared" si="12"/>
        <v>34</v>
      </c>
      <c r="M83" s="8">
        <f t="shared" si="17"/>
        <v>1.4271171813395334</v>
      </c>
      <c r="N83" s="6">
        <f t="shared" si="13"/>
        <v>1.377378237683603</v>
      </c>
      <c r="O83" s="8">
        <f t="shared" si="20"/>
        <v>106.28291699322405</v>
      </c>
      <c r="P83" s="8">
        <f t="shared" si="21"/>
        <v>104.45673464485718</v>
      </c>
      <c r="Q83" s="8">
        <f t="shared" si="19"/>
        <v>1.377378237683603</v>
      </c>
      <c r="T83" s="8">
        <f t="shared" si="11"/>
        <v>1.377378237683603</v>
      </c>
    </row>
    <row r="84" spans="1:20" x14ac:dyDescent="0.2">
      <c r="B84">
        <f t="shared" si="18"/>
        <v>81</v>
      </c>
      <c r="C84">
        <f t="shared" si="14"/>
        <v>31</v>
      </c>
      <c r="D84">
        <v>61</v>
      </c>
      <c r="E84">
        <v>92</v>
      </c>
      <c r="F84">
        <f>PMSPLINE!F$6</f>
        <v>1.0045022758082387</v>
      </c>
      <c r="G84">
        <f>PMSPLINE!F$7</f>
        <v>1.6940318585171934</v>
      </c>
      <c r="H84" s="8">
        <f>PMSPLINE!K$6</f>
        <v>8.5084364671682788E-4</v>
      </c>
      <c r="I84" s="8">
        <f>PMSPLINE!K$7</f>
        <v>7.9804597157128701E-5</v>
      </c>
      <c r="J84">
        <f t="shared" si="15"/>
        <v>0.35483870967741937</v>
      </c>
      <c r="K84">
        <f t="shared" si="16"/>
        <v>0.64516129032258063</v>
      </c>
      <c r="L84">
        <f t="shared" si="12"/>
        <v>35</v>
      </c>
      <c r="M84" s="8">
        <f t="shared" si="17"/>
        <v>1.4493600711043384</v>
      </c>
      <c r="N84" s="6">
        <f t="shared" si="13"/>
        <v>1.4022783352131207</v>
      </c>
      <c r="O84" s="8">
        <f t="shared" si="20"/>
        <v>107.73227706432839</v>
      </c>
      <c r="P84" s="8">
        <f t="shared" si="21"/>
        <v>105.8590129800703</v>
      </c>
      <c r="Q84" s="8">
        <f t="shared" si="19"/>
        <v>1.4022783352131207</v>
      </c>
      <c r="T84" s="8">
        <f t="shared" si="11"/>
        <v>1.4022783352131207</v>
      </c>
    </row>
    <row r="85" spans="1:20" x14ac:dyDescent="0.2">
      <c r="B85">
        <f t="shared" si="18"/>
        <v>82</v>
      </c>
      <c r="C85">
        <f t="shared" si="14"/>
        <v>31</v>
      </c>
      <c r="D85">
        <v>61</v>
      </c>
      <c r="E85">
        <v>92</v>
      </c>
      <c r="F85">
        <f>PMSPLINE!F$6</f>
        <v>1.0045022758082387</v>
      </c>
      <c r="G85">
        <f>PMSPLINE!F$7</f>
        <v>1.6940318585171934</v>
      </c>
      <c r="H85" s="8">
        <f>PMSPLINE!K$6</f>
        <v>8.5084364671682788E-4</v>
      </c>
      <c r="I85" s="8">
        <f>PMSPLINE!K$7</f>
        <v>7.9804597157128701E-5</v>
      </c>
      <c r="J85">
        <f t="shared" si="15"/>
        <v>0.32258064516129031</v>
      </c>
      <c r="K85">
        <f t="shared" si="16"/>
        <v>0.67741935483870963</v>
      </c>
      <c r="L85">
        <f t="shared" si="12"/>
        <v>36</v>
      </c>
      <c r="M85" s="8">
        <f t="shared" si="17"/>
        <v>1.4716029608691434</v>
      </c>
      <c r="N85" s="6">
        <f t="shared" si="13"/>
        <v>1.4275318318412524</v>
      </c>
      <c r="O85" s="8">
        <f t="shared" si="20"/>
        <v>109.20388002519753</v>
      </c>
      <c r="P85" s="8">
        <f t="shared" si="21"/>
        <v>107.28654481191155</v>
      </c>
      <c r="Q85" s="8">
        <f t="shared" si="19"/>
        <v>1.4275318318412524</v>
      </c>
      <c r="T85" s="8">
        <f t="shared" si="11"/>
        <v>1.4275318318412524</v>
      </c>
    </row>
    <row r="86" spans="1:20" x14ac:dyDescent="0.2">
      <c r="B86">
        <f t="shared" si="18"/>
        <v>83</v>
      </c>
      <c r="C86">
        <f t="shared" si="14"/>
        <v>31</v>
      </c>
      <c r="D86">
        <v>61</v>
      </c>
      <c r="E86">
        <v>92</v>
      </c>
      <c r="F86">
        <f>PMSPLINE!F$6</f>
        <v>1.0045022758082387</v>
      </c>
      <c r="G86">
        <f>PMSPLINE!F$7</f>
        <v>1.6940318585171934</v>
      </c>
      <c r="H86" s="8">
        <f>PMSPLINE!K$6</f>
        <v>8.5084364671682788E-4</v>
      </c>
      <c r="I86" s="8">
        <f>PMSPLINE!K$7</f>
        <v>7.9804597157128701E-5</v>
      </c>
      <c r="J86">
        <f t="shared" si="15"/>
        <v>0.29032258064516131</v>
      </c>
      <c r="K86">
        <f t="shared" si="16"/>
        <v>0.70967741935483875</v>
      </c>
      <c r="L86">
        <f t="shared" si="12"/>
        <v>37</v>
      </c>
      <c r="M86" s="8">
        <f t="shared" si="17"/>
        <v>1.4938458506339485</v>
      </c>
      <c r="N86" s="6">
        <f t="shared" si="13"/>
        <v>1.4531138553405927</v>
      </c>
      <c r="O86" s="8">
        <f t="shared" si="20"/>
        <v>110.69772587583148</v>
      </c>
      <c r="P86" s="8">
        <f t="shared" si="21"/>
        <v>108.73965866725214</v>
      </c>
      <c r="Q86" s="8">
        <f t="shared" si="19"/>
        <v>1.4531138553405927</v>
      </c>
      <c r="T86" s="8">
        <f t="shared" si="11"/>
        <v>1.4531138553405927</v>
      </c>
    </row>
    <row r="87" spans="1:20" x14ac:dyDescent="0.2">
      <c r="B87">
        <f t="shared" si="18"/>
        <v>84</v>
      </c>
      <c r="C87">
        <f t="shared" si="14"/>
        <v>31</v>
      </c>
      <c r="D87">
        <v>61</v>
      </c>
      <c r="E87">
        <v>92</v>
      </c>
      <c r="F87">
        <f>PMSPLINE!F$6</f>
        <v>1.0045022758082387</v>
      </c>
      <c r="G87">
        <f>PMSPLINE!F$7</f>
        <v>1.6940318585171934</v>
      </c>
      <c r="H87" s="8">
        <f>PMSPLINE!K$6</f>
        <v>8.5084364671682788E-4</v>
      </c>
      <c r="I87" s="8">
        <f>PMSPLINE!K$7</f>
        <v>7.9804597157128701E-5</v>
      </c>
      <c r="J87">
        <f t="shared" si="15"/>
        <v>0.25806451612903225</v>
      </c>
      <c r="K87">
        <f t="shared" si="16"/>
        <v>0.74193548387096775</v>
      </c>
      <c r="L87">
        <f t="shared" si="12"/>
        <v>38</v>
      </c>
      <c r="M87" s="8">
        <f t="shared" si="17"/>
        <v>1.5160887403987535</v>
      </c>
      <c r="N87" s="6">
        <f t="shared" si="13"/>
        <v>1.4789995334837365</v>
      </c>
      <c r="O87" s="8">
        <f t="shared" si="20"/>
        <v>112.21381461623024</v>
      </c>
      <c r="P87" s="8">
        <f t="shared" si="21"/>
        <v>110.21865820073587</v>
      </c>
      <c r="Q87" s="8">
        <f t="shared" si="19"/>
        <v>1.4789995334837365</v>
      </c>
      <c r="T87" s="8">
        <f t="shared" si="11"/>
        <v>1.4789995334837365</v>
      </c>
    </row>
    <row r="88" spans="1:20" x14ac:dyDescent="0.2">
      <c r="B88">
        <f t="shared" si="18"/>
        <v>85</v>
      </c>
      <c r="C88">
        <f t="shared" si="14"/>
        <v>31</v>
      </c>
      <c r="D88">
        <v>61</v>
      </c>
      <c r="E88">
        <v>92</v>
      </c>
      <c r="F88">
        <f>PMSPLINE!F$6</f>
        <v>1.0045022758082387</v>
      </c>
      <c r="G88">
        <f>PMSPLINE!F$7</f>
        <v>1.6940318585171934</v>
      </c>
      <c r="H88" s="8">
        <f>PMSPLINE!K$6</f>
        <v>8.5084364671682788E-4</v>
      </c>
      <c r="I88" s="8">
        <f>PMSPLINE!K$7</f>
        <v>7.9804597157128701E-5</v>
      </c>
      <c r="J88">
        <f t="shared" si="15"/>
        <v>0.22580645161290322</v>
      </c>
      <c r="K88">
        <f t="shared" si="16"/>
        <v>0.77419354838709675</v>
      </c>
      <c r="L88">
        <f t="shared" si="12"/>
        <v>39</v>
      </c>
      <c r="M88" s="8">
        <f t="shared" si="17"/>
        <v>1.5383316301635583</v>
      </c>
      <c r="N88" s="6">
        <f t="shared" si="13"/>
        <v>1.5051639940432782</v>
      </c>
      <c r="O88" s="8">
        <f t="shared" si="20"/>
        <v>113.75214624639379</v>
      </c>
      <c r="P88" s="8">
        <f t="shared" si="21"/>
        <v>111.72382219477915</v>
      </c>
      <c r="Q88" s="8">
        <f t="shared" si="19"/>
        <v>1.5051639940432782</v>
      </c>
      <c r="T88" s="8">
        <f t="shared" si="11"/>
        <v>1.5051639940432782</v>
      </c>
    </row>
    <row r="89" spans="1:20" x14ac:dyDescent="0.2">
      <c r="B89">
        <f t="shared" si="18"/>
        <v>86</v>
      </c>
      <c r="C89">
        <f t="shared" si="14"/>
        <v>31</v>
      </c>
      <c r="D89">
        <v>61</v>
      </c>
      <c r="E89">
        <v>92</v>
      </c>
      <c r="F89">
        <f>PMSPLINE!F$6</f>
        <v>1.0045022758082387</v>
      </c>
      <c r="G89">
        <f>PMSPLINE!F$7</f>
        <v>1.6940318585171934</v>
      </c>
      <c r="H89" s="8">
        <f>PMSPLINE!K$6</f>
        <v>8.5084364671682788E-4</v>
      </c>
      <c r="I89" s="8">
        <f>PMSPLINE!K$7</f>
        <v>7.9804597157128701E-5</v>
      </c>
      <c r="J89">
        <f t="shared" si="15"/>
        <v>0.19354838709677419</v>
      </c>
      <c r="K89">
        <f t="shared" si="16"/>
        <v>0.80645161290322576</v>
      </c>
      <c r="L89">
        <f t="shared" si="12"/>
        <v>40</v>
      </c>
      <c r="M89" s="8">
        <f t="shared" si="17"/>
        <v>1.5605745199283634</v>
      </c>
      <c r="N89" s="6">
        <f t="shared" si="13"/>
        <v>1.5315823647918134</v>
      </c>
      <c r="O89" s="8">
        <f t="shared" si="20"/>
        <v>115.31272076632216</v>
      </c>
      <c r="P89" s="8">
        <f t="shared" si="21"/>
        <v>113.25540455957096</v>
      </c>
      <c r="Q89" s="8">
        <f t="shared" si="19"/>
        <v>1.5315823647918134</v>
      </c>
      <c r="T89" s="8">
        <f t="shared" si="11"/>
        <v>1.5315823647918134</v>
      </c>
    </row>
    <row r="90" spans="1:20" x14ac:dyDescent="0.2">
      <c r="B90">
        <f t="shared" si="18"/>
        <v>87</v>
      </c>
      <c r="C90">
        <f t="shared" si="14"/>
        <v>31</v>
      </c>
      <c r="D90">
        <v>61</v>
      </c>
      <c r="E90">
        <v>92</v>
      </c>
      <c r="F90">
        <f>PMSPLINE!F$6</f>
        <v>1.0045022758082387</v>
      </c>
      <c r="G90">
        <f>PMSPLINE!F$7</f>
        <v>1.6940318585171934</v>
      </c>
      <c r="H90" s="8">
        <f>PMSPLINE!K$6</f>
        <v>8.5084364671682788E-4</v>
      </c>
      <c r="I90" s="8">
        <f>PMSPLINE!K$7</f>
        <v>7.9804597157128701E-5</v>
      </c>
      <c r="J90">
        <f t="shared" si="15"/>
        <v>0.16129032258064516</v>
      </c>
      <c r="K90">
        <f t="shared" si="16"/>
        <v>0.83870967741935487</v>
      </c>
      <c r="L90">
        <f t="shared" si="12"/>
        <v>41</v>
      </c>
      <c r="M90" s="8">
        <f t="shared" si="17"/>
        <v>1.5828174096931684</v>
      </c>
      <c r="N90" s="6">
        <f t="shared" si="13"/>
        <v>1.5582297735019368</v>
      </c>
      <c r="O90" s="8">
        <f t="shared" si="20"/>
        <v>116.89553817601532</v>
      </c>
      <c r="P90" s="8">
        <f t="shared" si="21"/>
        <v>114.8136343330729</v>
      </c>
      <c r="Q90" s="8">
        <f t="shared" si="19"/>
        <v>1.5582297735019368</v>
      </c>
      <c r="T90" s="8">
        <f t="shared" si="11"/>
        <v>1.5582297735019368</v>
      </c>
    </row>
    <row r="91" spans="1:20" x14ac:dyDescent="0.2">
      <c r="B91">
        <f t="shared" si="18"/>
        <v>88</v>
      </c>
      <c r="C91">
        <f t="shared" si="14"/>
        <v>31</v>
      </c>
      <c r="D91">
        <v>61</v>
      </c>
      <c r="E91">
        <v>92</v>
      </c>
      <c r="F91">
        <f>PMSPLINE!F$6</f>
        <v>1.0045022758082387</v>
      </c>
      <c r="G91">
        <f>PMSPLINE!F$7</f>
        <v>1.6940318585171934</v>
      </c>
      <c r="H91" s="8">
        <f>PMSPLINE!K$6</f>
        <v>8.5084364671682788E-4</v>
      </c>
      <c r="I91" s="8">
        <f>PMSPLINE!K$7</f>
        <v>7.9804597157128701E-5</v>
      </c>
      <c r="J91">
        <f t="shared" si="15"/>
        <v>0.12903225806451613</v>
      </c>
      <c r="K91">
        <f t="shared" si="16"/>
        <v>0.87096774193548387</v>
      </c>
      <c r="L91">
        <f t="shared" si="12"/>
        <v>42</v>
      </c>
      <c r="M91" s="8">
        <f t="shared" si="17"/>
        <v>1.6050602994579735</v>
      </c>
      <c r="N91" s="6">
        <f t="shared" si="13"/>
        <v>1.5850813479462431</v>
      </c>
      <c r="O91" s="8">
        <f t="shared" si="20"/>
        <v>118.5005984754733</v>
      </c>
      <c r="P91" s="8">
        <f t="shared" si="21"/>
        <v>116.39871568101914</v>
      </c>
      <c r="Q91" s="8">
        <f t="shared" si="19"/>
        <v>1.5850813479462431</v>
      </c>
      <c r="T91" s="8">
        <f t="shared" si="11"/>
        <v>1.5850813479462431</v>
      </c>
    </row>
    <row r="92" spans="1:20" x14ac:dyDescent="0.2">
      <c r="B92">
        <f t="shared" si="18"/>
        <v>89</v>
      </c>
      <c r="C92">
        <f t="shared" si="14"/>
        <v>31</v>
      </c>
      <c r="D92">
        <v>61</v>
      </c>
      <c r="E92">
        <v>92</v>
      </c>
      <c r="F92">
        <f>PMSPLINE!F$6</f>
        <v>1.0045022758082387</v>
      </c>
      <c r="G92">
        <f>PMSPLINE!F$7</f>
        <v>1.6940318585171934</v>
      </c>
      <c r="H92" s="8">
        <f>PMSPLINE!K$6</f>
        <v>8.5084364671682788E-4</v>
      </c>
      <c r="I92" s="8">
        <f>PMSPLINE!K$7</f>
        <v>7.9804597157128701E-5</v>
      </c>
      <c r="J92">
        <f t="shared" si="15"/>
        <v>9.6774193548387094E-2</v>
      </c>
      <c r="K92">
        <f t="shared" si="16"/>
        <v>0.90322580645161288</v>
      </c>
      <c r="L92">
        <f t="shared" si="12"/>
        <v>43</v>
      </c>
      <c r="M92" s="8">
        <f t="shared" si="17"/>
        <v>1.6273031892227783</v>
      </c>
      <c r="N92" s="6">
        <f t="shared" si="13"/>
        <v>1.6121122158973267</v>
      </c>
      <c r="O92" s="8">
        <f t="shared" si="20"/>
        <v>120.12790166469607</v>
      </c>
      <c r="P92" s="8">
        <f t="shared" si="21"/>
        <v>118.01082789691647</v>
      </c>
      <c r="Q92" s="8">
        <f t="shared" si="19"/>
        <v>1.6121122158973267</v>
      </c>
      <c r="T92" s="8">
        <f t="shared" si="11"/>
        <v>1.6121122158973267</v>
      </c>
    </row>
    <row r="93" spans="1:20" x14ac:dyDescent="0.2">
      <c r="B93">
        <f t="shared" si="18"/>
        <v>90</v>
      </c>
      <c r="C93">
        <f t="shared" si="14"/>
        <v>31</v>
      </c>
      <c r="D93">
        <v>61</v>
      </c>
      <c r="E93">
        <v>92</v>
      </c>
      <c r="F93">
        <f>PMSPLINE!F$6</f>
        <v>1.0045022758082387</v>
      </c>
      <c r="G93">
        <f>PMSPLINE!F$7</f>
        <v>1.6940318585171934</v>
      </c>
      <c r="H93" s="8">
        <f>PMSPLINE!K$6</f>
        <v>8.5084364671682788E-4</v>
      </c>
      <c r="I93" s="8">
        <f>PMSPLINE!K$7</f>
        <v>7.9804597157128701E-5</v>
      </c>
      <c r="J93">
        <f t="shared" si="15"/>
        <v>6.4516129032258063E-2</v>
      </c>
      <c r="K93">
        <f t="shared" si="16"/>
        <v>0.93548387096774188</v>
      </c>
      <c r="L93">
        <f t="shared" si="12"/>
        <v>44</v>
      </c>
      <c r="M93" s="8">
        <f t="shared" si="17"/>
        <v>1.6495460789875833</v>
      </c>
      <c r="N93" s="6">
        <f t="shared" si="13"/>
        <v>1.6392975051277832</v>
      </c>
      <c r="O93" s="8">
        <f t="shared" si="20"/>
        <v>121.77744774368365</v>
      </c>
      <c r="P93" s="8">
        <f t="shared" si="21"/>
        <v>119.65012540204425</v>
      </c>
      <c r="Q93" s="8">
        <f t="shared" si="19"/>
        <v>1.6392975051277832</v>
      </c>
      <c r="T93" s="8">
        <f t="shared" si="11"/>
        <v>1.6392975051277832</v>
      </c>
    </row>
    <row r="94" spans="1:20" x14ac:dyDescent="0.2">
      <c r="B94">
        <f t="shared" si="18"/>
        <v>91</v>
      </c>
      <c r="C94">
        <f t="shared" si="14"/>
        <v>31</v>
      </c>
      <c r="D94">
        <v>61</v>
      </c>
      <c r="E94">
        <v>92</v>
      </c>
      <c r="F94">
        <f>PMSPLINE!F$6</f>
        <v>1.0045022758082387</v>
      </c>
      <c r="G94">
        <f>PMSPLINE!F$7</f>
        <v>1.6940318585171934</v>
      </c>
      <c r="H94" s="8">
        <f>PMSPLINE!K$6</f>
        <v>8.5084364671682788E-4</v>
      </c>
      <c r="I94" s="8">
        <f>PMSPLINE!K$7</f>
        <v>7.9804597157128701E-5</v>
      </c>
      <c r="J94">
        <f t="shared" si="15"/>
        <v>3.2258064516129031E-2</v>
      </c>
      <c r="K94">
        <f t="shared" si="16"/>
        <v>0.967741935483871</v>
      </c>
      <c r="L94">
        <f t="shared" si="12"/>
        <v>45</v>
      </c>
      <c r="M94" s="8">
        <f t="shared" si="17"/>
        <v>1.6717889687523884</v>
      </c>
      <c r="N94" s="6">
        <f t="shared" si="13"/>
        <v>1.6666123434102071</v>
      </c>
      <c r="O94" s="8">
        <f t="shared" si="20"/>
        <v>123.44923671243605</v>
      </c>
      <c r="P94" s="8">
        <f t="shared" si="21"/>
        <v>121.31673774545446</v>
      </c>
      <c r="Q94" s="8">
        <f t="shared" si="19"/>
        <v>1.6666123434102071</v>
      </c>
      <c r="T94" s="8">
        <f t="shared" si="11"/>
        <v>1.6666123434102071</v>
      </c>
    </row>
    <row r="95" spans="1:20" x14ac:dyDescent="0.2">
      <c r="A95">
        <v>92</v>
      </c>
      <c r="B95">
        <f t="shared" si="18"/>
        <v>92</v>
      </c>
      <c r="C95">
        <f t="shared" si="14"/>
        <v>31</v>
      </c>
      <c r="D95">
        <v>61</v>
      </c>
      <c r="E95">
        <v>92</v>
      </c>
      <c r="F95">
        <f>PMSPLINE!F$6</f>
        <v>1.0045022758082387</v>
      </c>
      <c r="G95">
        <f>PMSPLINE!F$7</f>
        <v>1.6940318585171934</v>
      </c>
      <c r="H95" s="8">
        <f>PMSPLINE!K$6</f>
        <v>8.5084364671682788E-4</v>
      </c>
      <c r="I95" s="8">
        <f>PMSPLINE!K$7</f>
        <v>7.9804597157128701E-5</v>
      </c>
      <c r="J95">
        <f t="shared" si="15"/>
        <v>0</v>
      </c>
      <c r="K95">
        <f t="shared" si="16"/>
        <v>1</v>
      </c>
      <c r="L95">
        <f t="shared" si="12"/>
        <v>46</v>
      </c>
      <c r="M95" s="8">
        <f t="shared" si="17"/>
        <v>1.6940318585171934</v>
      </c>
      <c r="N95" s="6">
        <f t="shared" si="13"/>
        <v>1.6940318585171934</v>
      </c>
      <c r="O95" s="8">
        <f t="shared" si="20"/>
        <v>125.14326857095324</v>
      </c>
      <c r="P95" s="8">
        <f t="shared" si="21"/>
        <v>123.01076960397165</v>
      </c>
      <c r="Q95" s="8">
        <f t="shared" si="19"/>
        <v>1.6940318585171934</v>
      </c>
      <c r="T95" s="8">
        <f t="shared" si="11"/>
        <v>1.6940318585171934</v>
      </c>
    </row>
    <row r="96" spans="1:20" x14ac:dyDescent="0.2">
      <c r="B96">
        <f t="shared" si="18"/>
        <v>93</v>
      </c>
      <c r="C96">
        <f t="shared" si="14"/>
        <v>30</v>
      </c>
      <c r="D96">
        <v>92</v>
      </c>
      <c r="E96">
        <v>122</v>
      </c>
      <c r="F96">
        <f>PMSPLINE!F$7</f>
        <v>1.6940318585171934</v>
      </c>
      <c r="G96">
        <f>PMSPLINE!F$8</f>
        <v>2.7280778879385563</v>
      </c>
      <c r="H96">
        <f>PMSPLINE!K$7</f>
        <v>7.9804597157128701E-5</v>
      </c>
      <c r="I96">
        <f>PMSPLINE!K$8</f>
        <v>1.2413184464683761E-3</v>
      </c>
      <c r="J96">
        <f t="shared" si="15"/>
        <v>0.96666666666666667</v>
      </c>
      <c r="K96">
        <f t="shared" si="16"/>
        <v>3.3333333333333333E-2</v>
      </c>
      <c r="L96">
        <f t="shared" si="12"/>
        <v>47</v>
      </c>
      <c r="M96" s="8">
        <f t="shared" si="17"/>
        <v>1.7285000594979056</v>
      </c>
      <c r="N96" s="6">
        <f t="shared" si="13"/>
        <v>1.7215417764472893</v>
      </c>
      <c r="O96" s="8">
        <f t="shared" si="20"/>
        <v>126.87176863045114</v>
      </c>
      <c r="P96" s="8">
        <f t="shared" si="21"/>
        <v>124.73231138041895</v>
      </c>
      <c r="Q96" s="8">
        <f t="shared" si="19"/>
        <v>1.7215417764472893</v>
      </c>
      <c r="T96" s="8">
        <f t="shared" si="11"/>
        <v>1.7215417764472893</v>
      </c>
    </row>
    <row r="97" spans="2:20" x14ac:dyDescent="0.2">
      <c r="B97">
        <f t="shared" si="18"/>
        <v>94</v>
      </c>
      <c r="C97">
        <f t="shared" si="14"/>
        <v>30</v>
      </c>
      <c r="D97">
        <v>92</v>
      </c>
      <c r="E97">
        <v>122</v>
      </c>
      <c r="F97">
        <f>PMSPLINE!F$7</f>
        <v>1.6940318585171934</v>
      </c>
      <c r="G97">
        <f>PMSPLINE!F$8</f>
        <v>2.7280778879385563</v>
      </c>
      <c r="H97">
        <f>PMSPLINE!K$7</f>
        <v>7.9804597157128701E-5</v>
      </c>
      <c r="I97">
        <f>PMSPLINE!K$8</f>
        <v>1.2413184464683761E-3</v>
      </c>
      <c r="J97">
        <f t="shared" si="15"/>
        <v>0.93333333333333335</v>
      </c>
      <c r="K97">
        <f t="shared" si="16"/>
        <v>6.6666666666666666E-2</v>
      </c>
      <c r="L97">
        <f t="shared" si="12"/>
        <v>48</v>
      </c>
      <c r="M97" s="8">
        <f t="shared" si="17"/>
        <v>1.7629682604786177</v>
      </c>
      <c r="N97" s="6">
        <f t="shared" si="13"/>
        <v>1.7491702161028528</v>
      </c>
      <c r="O97" s="8">
        <f t="shared" si="20"/>
        <v>128.63473689092976</v>
      </c>
      <c r="P97" s="8">
        <f t="shared" si="21"/>
        <v>126.4814815965218</v>
      </c>
      <c r="Q97" s="8">
        <f t="shared" si="19"/>
        <v>1.7491702161028528</v>
      </c>
      <c r="T97" s="8">
        <f t="shared" si="11"/>
        <v>1.7491702161028528</v>
      </c>
    </row>
    <row r="98" spans="2:20" x14ac:dyDescent="0.2">
      <c r="B98">
        <f t="shared" si="18"/>
        <v>95</v>
      </c>
      <c r="C98">
        <f t="shared" si="14"/>
        <v>30</v>
      </c>
      <c r="D98">
        <v>92</v>
      </c>
      <c r="E98">
        <v>122</v>
      </c>
      <c r="F98">
        <f>PMSPLINE!F$7</f>
        <v>1.6940318585171934</v>
      </c>
      <c r="G98">
        <f>PMSPLINE!F$8</f>
        <v>2.7280778879385563</v>
      </c>
      <c r="H98">
        <f>PMSPLINE!K$7</f>
        <v>7.9804597157128701E-5</v>
      </c>
      <c r="I98">
        <f>PMSPLINE!K$8</f>
        <v>1.2413184464683761E-3</v>
      </c>
      <c r="J98">
        <f t="shared" si="15"/>
        <v>0.9</v>
      </c>
      <c r="K98">
        <f t="shared" si="16"/>
        <v>0.1</v>
      </c>
      <c r="L98">
        <f t="shared" si="12"/>
        <v>49</v>
      </c>
      <c r="M98" s="8">
        <f t="shared" si="17"/>
        <v>1.7974364614593297</v>
      </c>
      <c r="N98" s="6">
        <f t="shared" si="13"/>
        <v>1.7769558946121939</v>
      </c>
      <c r="O98" s="8">
        <f t="shared" si="20"/>
        <v>130.4321733523891</v>
      </c>
      <c r="P98" s="8">
        <f t="shared" si="21"/>
        <v>128.258437491134</v>
      </c>
      <c r="Q98" s="8">
        <f t="shared" si="19"/>
        <v>1.7769558946121939</v>
      </c>
      <c r="T98" s="8">
        <f t="shared" si="11"/>
        <v>1.7769558946121939</v>
      </c>
    </row>
    <row r="99" spans="2:20" x14ac:dyDescent="0.2">
      <c r="B99">
        <f t="shared" si="18"/>
        <v>96</v>
      </c>
      <c r="C99">
        <f t="shared" si="14"/>
        <v>30</v>
      </c>
      <c r="D99">
        <v>92</v>
      </c>
      <c r="E99">
        <v>122</v>
      </c>
      <c r="F99">
        <f>PMSPLINE!F$7</f>
        <v>1.6940318585171934</v>
      </c>
      <c r="G99">
        <f>PMSPLINE!F$8</f>
        <v>2.7280778879385563</v>
      </c>
      <c r="H99">
        <f>PMSPLINE!K$7</f>
        <v>7.9804597157128701E-5</v>
      </c>
      <c r="I99">
        <f>PMSPLINE!K$8</f>
        <v>1.2413184464683761E-3</v>
      </c>
      <c r="J99">
        <f t="shared" si="15"/>
        <v>0.8666666666666667</v>
      </c>
      <c r="K99">
        <f t="shared" si="16"/>
        <v>0.13333333333333333</v>
      </c>
      <c r="L99">
        <f t="shared" si="12"/>
        <v>50</v>
      </c>
      <c r="M99" s="8">
        <f t="shared" si="17"/>
        <v>1.8319046624400419</v>
      </c>
      <c r="N99" s="6">
        <f t="shared" si="13"/>
        <v>1.8049375291036236</v>
      </c>
      <c r="O99" s="8">
        <f t="shared" si="20"/>
        <v>132.26407801482915</v>
      </c>
      <c r="P99" s="8">
        <f t="shared" si="21"/>
        <v>130.06337502023763</v>
      </c>
      <c r="Q99" s="8">
        <f t="shared" si="19"/>
        <v>1.8049375291036236</v>
      </c>
      <c r="T99" s="8">
        <f t="shared" si="11"/>
        <v>1.8049375291036236</v>
      </c>
    </row>
    <row r="100" spans="2:20" x14ac:dyDescent="0.2">
      <c r="B100">
        <f t="shared" si="18"/>
        <v>97</v>
      </c>
      <c r="C100">
        <f t="shared" si="14"/>
        <v>30</v>
      </c>
      <c r="D100">
        <v>92</v>
      </c>
      <c r="E100">
        <v>122</v>
      </c>
      <c r="F100">
        <f>PMSPLINE!F$7</f>
        <v>1.6940318585171934</v>
      </c>
      <c r="G100">
        <f>PMSPLINE!F$8</f>
        <v>2.7280778879385563</v>
      </c>
      <c r="H100">
        <f>PMSPLINE!K$7</f>
        <v>7.9804597157128701E-5</v>
      </c>
      <c r="I100">
        <f>PMSPLINE!K$8</f>
        <v>1.2413184464683761E-3</v>
      </c>
      <c r="J100">
        <f t="shared" si="15"/>
        <v>0.83333333333333337</v>
      </c>
      <c r="K100">
        <f t="shared" si="16"/>
        <v>0.16666666666666666</v>
      </c>
      <c r="L100">
        <f t="shared" si="12"/>
        <v>51</v>
      </c>
      <c r="M100" s="8">
        <f t="shared" si="17"/>
        <v>1.8663728634207537</v>
      </c>
      <c r="N100" s="6">
        <f t="shared" si="13"/>
        <v>1.8331538367054514</v>
      </c>
      <c r="O100" s="8">
        <f t="shared" si="20"/>
        <v>134.13045087824992</v>
      </c>
      <c r="P100" s="8">
        <f t="shared" si="21"/>
        <v>131.89652885694309</v>
      </c>
      <c r="Q100" s="8">
        <f t="shared" si="19"/>
        <v>1.8331538367054514</v>
      </c>
      <c r="T100" s="8">
        <f t="shared" si="11"/>
        <v>1.8331538367054514</v>
      </c>
    </row>
    <row r="101" spans="2:20" x14ac:dyDescent="0.2">
      <c r="B101">
        <f t="shared" si="18"/>
        <v>98</v>
      </c>
      <c r="C101">
        <f t="shared" si="14"/>
        <v>30</v>
      </c>
      <c r="D101">
        <v>92</v>
      </c>
      <c r="E101">
        <v>122</v>
      </c>
      <c r="F101">
        <f>PMSPLINE!F$7</f>
        <v>1.6940318585171934</v>
      </c>
      <c r="G101">
        <f>PMSPLINE!F$8</f>
        <v>2.7280778879385563</v>
      </c>
      <c r="H101">
        <f>PMSPLINE!K$7</f>
        <v>7.9804597157128701E-5</v>
      </c>
      <c r="I101">
        <f>PMSPLINE!K$8</f>
        <v>1.2413184464683761E-3</v>
      </c>
      <c r="J101">
        <f t="shared" si="15"/>
        <v>0.8</v>
      </c>
      <c r="K101">
        <f t="shared" si="16"/>
        <v>0.2</v>
      </c>
      <c r="L101">
        <f t="shared" si="12"/>
        <v>52</v>
      </c>
      <c r="M101" s="8">
        <f t="shared" si="17"/>
        <v>1.9008410644014662</v>
      </c>
      <c r="N101" s="6">
        <f t="shared" si="13"/>
        <v>1.861643534545989</v>
      </c>
      <c r="O101" s="8">
        <f t="shared" si="20"/>
        <v>136.03129194265139</v>
      </c>
      <c r="P101" s="8">
        <f t="shared" si="21"/>
        <v>133.75817239148907</v>
      </c>
      <c r="Q101" s="8">
        <f t="shared" si="19"/>
        <v>1.861643534545989</v>
      </c>
      <c r="T101" s="8">
        <f t="shared" si="11"/>
        <v>1.861643534545989</v>
      </c>
    </row>
    <row r="102" spans="2:20" x14ac:dyDescent="0.2">
      <c r="B102">
        <f t="shared" si="18"/>
        <v>99</v>
      </c>
      <c r="C102">
        <f t="shared" si="14"/>
        <v>30</v>
      </c>
      <c r="D102">
        <v>92</v>
      </c>
      <c r="E102">
        <v>122</v>
      </c>
      <c r="F102">
        <f>PMSPLINE!F$7</f>
        <v>1.6940318585171934</v>
      </c>
      <c r="G102">
        <f>PMSPLINE!F$8</f>
        <v>2.7280778879385563</v>
      </c>
      <c r="H102">
        <f>PMSPLINE!K$7</f>
        <v>7.9804597157128701E-5</v>
      </c>
      <c r="I102">
        <f>PMSPLINE!K$8</f>
        <v>1.2413184464683761E-3</v>
      </c>
      <c r="J102">
        <f t="shared" si="15"/>
        <v>0.76666666666666672</v>
      </c>
      <c r="K102">
        <f t="shared" si="16"/>
        <v>0.23333333333333334</v>
      </c>
      <c r="L102">
        <f t="shared" si="12"/>
        <v>53</v>
      </c>
      <c r="M102" s="8">
        <f t="shared" si="17"/>
        <v>1.9353092653821782</v>
      </c>
      <c r="N102" s="6">
        <f t="shared" si="13"/>
        <v>1.8904453397535455</v>
      </c>
      <c r="O102" s="8">
        <f t="shared" si="20"/>
        <v>137.96660120803358</v>
      </c>
      <c r="P102" s="8">
        <f t="shared" si="21"/>
        <v>135.64861773124261</v>
      </c>
      <c r="Q102" s="8">
        <f t="shared" si="19"/>
        <v>1.8904453397535455</v>
      </c>
      <c r="T102" s="8">
        <f t="shared" si="11"/>
        <v>1.8904453397535455</v>
      </c>
    </row>
    <row r="103" spans="2:20" x14ac:dyDescent="0.2">
      <c r="B103">
        <f t="shared" si="18"/>
        <v>100</v>
      </c>
      <c r="C103">
        <f t="shared" si="14"/>
        <v>30</v>
      </c>
      <c r="D103">
        <v>92</v>
      </c>
      <c r="E103">
        <v>122</v>
      </c>
      <c r="F103">
        <f>PMSPLINE!F$7</f>
        <v>1.6940318585171934</v>
      </c>
      <c r="G103">
        <f>PMSPLINE!F$8</f>
        <v>2.7280778879385563</v>
      </c>
      <c r="H103">
        <f>PMSPLINE!K$7</f>
        <v>7.9804597157128701E-5</v>
      </c>
      <c r="I103">
        <f>PMSPLINE!K$8</f>
        <v>1.2413184464683761E-3</v>
      </c>
      <c r="J103">
        <f t="shared" si="15"/>
        <v>0.73333333333333328</v>
      </c>
      <c r="K103">
        <f t="shared" si="16"/>
        <v>0.26666666666666666</v>
      </c>
      <c r="L103">
        <f t="shared" si="12"/>
        <v>54</v>
      </c>
      <c r="M103" s="8">
        <f t="shared" si="17"/>
        <v>1.9697774663628902</v>
      </c>
      <c r="N103" s="6">
        <f t="shared" si="13"/>
        <v>1.9195979694564316</v>
      </c>
      <c r="O103" s="8">
        <f t="shared" si="20"/>
        <v>139.93637867439648</v>
      </c>
      <c r="P103" s="8">
        <f t="shared" si="21"/>
        <v>137.56821570069903</v>
      </c>
      <c r="Q103" s="8">
        <f t="shared" si="19"/>
        <v>1.9195979694564316</v>
      </c>
      <c r="T103" s="8">
        <f t="shared" si="11"/>
        <v>1.9195979694564316</v>
      </c>
    </row>
    <row r="104" spans="2:20" x14ac:dyDescent="0.2">
      <c r="B104">
        <f t="shared" si="18"/>
        <v>101</v>
      </c>
      <c r="C104">
        <f t="shared" si="14"/>
        <v>30</v>
      </c>
      <c r="D104">
        <v>92</v>
      </c>
      <c r="E104">
        <v>122</v>
      </c>
      <c r="F104">
        <f>PMSPLINE!F$7</f>
        <v>1.6940318585171934</v>
      </c>
      <c r="G104">
        <f>PMSPLINE!F$8</f>
        <v>2.7280778879385563</v>
      </c>
      <c r="H104">
        <f>PMSPLINE!K$7</f>
        <v>7.9804597157128701E-5</v>
      </c>
      <c r="I104">
        <f>PMSPLINE!K$8</f>
        <v>1.2413184464683761E-3</v>
      </c>
      <c r="J104">
        <f t="shared" si="15"/>
        <v>0.7</v>
      </c>
      <c r="K104">
        <f t="shared" si="16"/>
        <v>0.3</v>
      </c>
      <c r="L104">
        <f t="shared" si="12"/>
        <v>55</v>
      </c>
      <c r="M104" s="8">
        <f t="shared" si="17"/>
        <v>2.0042456673436022</v>
      </c>
      <c r="N104" s="6">
        <f t="shared" si="13"/>
        <v>1.9491401407829581</v>
      </c>
      <c r="O104" s="8">
        <f t="shared" si="20"/>
        <v>141.94062434174009</v>
      </c>
      <c r="P104" s="8">
        <f t="shared" si="21"/>
        <v>139.51735584148199</v>
      </c>
      <c r="Q104" s="8">
        <f t="shared" si="19"/>
        <v>1.9491401407829581</v>
      </c>
      <c r="T104" s="8">
        <f t="shared" si="11"/>
        <v>1.9491401407829581</v>
      </c>
    </row>
    <row r="105" spans="2:20" x14ac:dyDescent="0.2">
      <c r="B105">
        <f t="shared" si="18"/>
        <v>102</v>
      </c>
      <c r="C105">
        <f t="shared" si="14"/>
        <v>30</v>
      </c>
      <c r="D105">
        <v>92</v>
      </c>
      <c r="E105">
        <v>122</v>
      </c>
      <c r="F105">
        <f>PMSPLINE!F$7</f>
        <v>1.6940318585171934</v>
      </c>
      <c r="G105">
        <f>PMSPLINE!F$8</f>
        <v>2.7280778879385563</v>
      </c>
      <c r="H105">
        <f>PMSPLINE!K$7</f>
        <v>7.9804597157128701E-5</v>
      </c>
      <c r="I105">
        <f>PMSPLINE!K$8</f>
        <v>1.2413184464683761E-3</v>
      </c>
      <c r="J105">
        <f t="shared" si="15"/>
        <v>0.66666666666666663</v>
      </c>
      <c r="K105">
        <f t="shared" si="16"/>
        <v>0.33333333333333331</v>
      </c>
      <c r="L105">
        <f t="shared" si="12"/>
        <v>56</v>
      </c>
      <c r="M105" s="8">
        <f t="shared" si="17"/>
        <v>2.0387138683243142</v>
      </c>
      <c r="N105" s="6">
        <f t="shared" si="13"/>
        <v>1.9791105708614347</v>
      </c>
      <c r="O105" s="8">
        <f t="shared" si="20"/>
        <v>143.97933821006441</v>
      </c>
      <c r="P105" s="8">
        <f t="shared" si="21"/>
        <v>141.49646641234341</v>
      </c>
      <c r="Q105" s="8">
        <f t="shared" si="19"/>
        <v>1.9791105708614347</v>
      </c>
      <c r="T105" s="8">
        <f t="shared" si="11"/>
        <v>1.9791105708614347</v>
      </c>
    </row>
    <row r="106" spans="2:20" x14ac:dyDescent="0.2">
      <c r="B106">
        <f t="shared" si="18"/>
        <v>103</v>
      </c>
      <c r="C106">
        <f t="shared" si="14"/>
        <v>30</v>
      </c>
      <c r="D106">
        <v>92</v>
      </c>
      <c r="E106">
        <v>122</v>
      </c>
      <c r="F106">
        <f>PMSPLINE!F$7</f>
        <v>1.6940318585171934</v>
      </c>
      <c r="G106">
        <f>PMSPLINE!F$8</f>
        <v>2.7280778879385563</v>
      </c>
      <c r="H106">
        <f>PMSPLINE!K$7</f>
        <v>7.9804597157128701E-5</v>
      </c>
      <c r="I106">
        <f>PMSPLINE!K$8</f>
        <v>1.2413184464683761E-3</v>
      </c>
      <c r="J106">
        <f t="shared" si="15"/>
        <v>0.6333333333333333</v>
      </c>
      <c r="K106">
        <f t="shared" si="16"/>
        <v>0.36666666666666664</v>
      </c>
      <c r="L106">
        <f t="shared" si="12"/>
        <v>57</v>
      </c>
      <c r="M106" s="8">
        <f t="shared" si="17"/>
        <v>2.0731820693050267</v>
      </c>
      <c r="N106" s="6">
        <f t="shared" si="13"/>
        <v>2.0095479768201732</v>
      </c>
      <c r="O106" s="8">
        <f t="shared" si="20"/>
        <v>146.05252027936945</v>
      </c>
      <c r="P106" s="8">
        <f t="shared" si="21"/>
        <v>143.5060143891636</v>
      </c>
      <c r="Q106" s="8">
        <f t="shared" si="19"/>
        <v>2.0095479768201732</v>
      </c>
      <c r="T106" s="8">
        <f t="shared" si="11"/>
        <v>2.0095479768201732</v>
      </c>
    </row>
    <row r="107" spans="2:20" x14ac:dyDescent="0.2">
      <c r="B107">
        <f t="shared" si="18"/>
        <v>104</v>
      </c>
      <c r="C107">
        <f t="shared" si="14"/>
        <v>30</v>
      </c>
      <c r="D107">
        <v>92</v>
      </c>
      <c r="E107">
        <v>122</v>
      </c>
      <c r="F107">
        <f>PMSPLINE!F$7</f>
        <v>1.6940318585171934</v>
      </c>
      <c r="G107">
        <f>PMSPLINE!F$8</f>
        <v>2.7280778879385563</v>
      </c>
      <c r="H107">
        <f>PMSPLINE!K$7</f>
        <v>7.9804597157128701E-5</v>
      </c>
      <c r="I107">
        <f>PMSPLINE!K$8</f>
        <v>1.2413184464683761E-3</v>
      </c>
      <c r="J107">
        <f t="shared" si="15"/>
        <v>0.6</v>
      </c>
      <c r="K107">
        <f t="shared" si="16"/>
        <v>0.4</v>
      </c>
      <c r="L107">
        <f t="shared" si="12"/>
        <v>58</v>
      </c>
      <c r="M107" s="8">
        <f t="shared" si="17"/>
        <v>2.1076502702857383</v>
      </c>
      <c r="N107" s="6">
        <f t="shared" si="13"/>
        <v>2.0404910757874815</v>
      </c>
      <c r="O107" s="8">
        <f t="shared" si="20"/>
        <v>148.16017054965519</v>
      </c>
      <c r="P107" s="8">
        <f t="shared" si="21"/>
        <v>145.54650546495108</v>
      </c>
      <c r="Q107" s="8">
        <f t="shared" si="19"/>
        <v>2.0404910757874815</v>
      </c>
      <c r="T107" s="8">
        <f t="shared" si="11"/>
        <v>2.0404910757874815</v>
      </c>
    </row>
    <row r="108" spans="2:20" x14ac:dyDescent="0.2">
      <c r="B108">
        <f t="shared" si="18"/>
        <v>105</v>
      </c>
      <c r="C108">
        <f t="shared" si="14"/>
        <v>30</v>
      </c>
      <c r="D108">
        <v>92</v>
      </c>
      <c r="E108">
        <v>122</v>
      </c>
      <c r="F108">
        <f>PMSPLINE!F$7</f>
        <v>1.6940318585171934</v>
      </c>
      <c r="G108">
        <f>PMSPLINE!F$8</f>
        <v>2.7280778879385563</v>
      </c>
      <c r="H108">
        <f>PMSPLINE!K$7</f>
        <v>7.9804597157128701E-5</v>
      </c>
      <c r="I108">
        <f>PMSPLINE!K$8</f>
        <v>1.2413184464683761E-3</v>
      </c>
      <c r="J108">
        <f t="shared" si="15"/>
        <v>0.56666666666666665</v>
      </c>
      <c r="K108">
        <f t="shared" si="16"/>
        <v>0.43333333333333335</v>
      </c>
      <c r="L108">
        <f t="shared" si="12"/>
        <v>59</v>
      </c>
      <c r="M108" s="8">
        <f t="shared" si="17"/>
        <v>2.1421184712664507</v>
      </c>
      <c r="N108" s="6">
        <f t="shared" si="13"/>
        <v>2.0719785848916725</v>
      </c>
      <c r="O108" s="8">
        <f t="shared" si="20"/>
        <v>150.30228902092165</v>
      </c>
      <c r="P108" s="8">
        <f t="shared" si="21"/>
        <v>147.61848404984275</v>
      </c>
      <c r="Q108" s="8">
        <f t="shared" si="19"/>
        <v>2.0719785848916725</v>
      </c>
      <c r="T108" s="8">
        <f t="shared" si="11"/>
        <v>2.0719785848916725</v>
      </c>
    </row>
    <row r="109" spans="2:20" x14ac:dyDescent="0.2">
      <c r="B109">
        <f t="shared" si="18"/>
        <v>106</v>
      </c>
      <c r="C109">
        <f t="shared" si="14"/>
        <v>30</v>
      </c>
      <c r="D109">
        <v>92</v>
      </c>
      <c r="E109">
        <v>122</v>
      </c>
      <c r="F109">
        <f>PMSPLINE!F$7</f>
        <v>1.6940318585171934</v>
      </c>
      <c r="G109">
        <f>PMSPLINE!F$8</f>
        <v>2.7280778879385563</v>
      </c>
      <c r="H109">
        <f>PMSPLINE!K$7</f>
        <v>7.9804597157128701E-5</v>
      </c>
      <c r="I109">
        <f>PMSPLINE!K$8</f>
        <v>1.2413184464683761E-3</v>
      </c>
      <c r="J109">
        <f t="shared" si="15"/>
        <v>0.53333333333333333</v>
      </c>
      <c r="K109">
        <f t="shared" si="16"/>
        <v>0.46666666666666667</v>
      </c>
      <c r="L109">
        <f t="shared" si="12"/>
        <v>60</v>
      </c>
      <c r="M109" s="8">
        <f t="shared" si="17"/>
        <v>2.1765866722471627</v>
      </c>
      <c r="N109" s="6">
        <f t="shared" si="13"/>
        <v>2.1040492212610551</v>
      </c>
      <c r="O109" s="8">
        <f t="shared" si="20"/>
        <v>152.47887569316882</v>
      </c>
      <c r="P109" s="8">
        <f t="shared" si="21"/>
        <v>149.7225332711038</v>
      </c>
      <c r="Q109" s="8">
        <f t="shared" si="19"/>
        <v>2.1040492212610551</v>
      </c>
      <c r="T109" s="8">
        <f t="shared" si="11"/>
        <v>2.1040492212610551</v>
      </c>
    </row>
    <row r="110" spans="2:20" x14ac:dyDescent="0.2">
      <c r="B110">
        <f t="shared" si="18"/>
        <v>107</v>
      </c>
      <c r="C110">
        <f t="shared" si="14"/>
        <v>30</v>
      </c>
      <c r="D110">
        <v>92</v>
      </c>
      <c r="E110">
        <v>122</v>
      </c>
      <c r="F110">
        <f>PMSPLINE!F$7</f>
        <v>1.6940318585171934</v>
      </c>
      <c r="G110">
        <f>PMSPLINE!F$8</f>
        <v>2.7280778879385563</v>
      </c>
      <c r="H110">
        <f>PMSPLINE!K$7</f>
        <v>7.9804597157128701E-5</v>
      </c>
      <c r="I110">
        <f>PMSPLINE!K$8</f>
        <v>1.2413184464683761E-3</v>
      </c>
      <c r="J110">
        <f t="shared" si="15"/>
        <v>0.5</v>
      </c>
      <c r="K110">
        <f t="shared" si="16"/>
        <v>0.5</v>
      </c>
      <c r="L110">
        <f t="shared" si="12"/>
        <v>61</v>
      </c>
      <c r="M110" s="8">
        <f t="shared" si="17"/>
        <v>2.2110548732278748</v>
      </c>
      <c r="N110" s="6">
        <f t="shared" si="13"/>
        <v>2.1367417020239401</v>
      </c>
      <c r="O110" s="8">
        <f t="shared" si="20"/>
        <v>154.6899305663967</v>
      </c>
      <c r="P110" s="8">
        <f t="shared" si="21"/>
        <v>151.85927497312775</v>
      </c>
      <c r="Q110" s="8">
        <f t="shared" si="19"/>
        <v>2.1367417020239401</v>
      </c>
      <c r="T110" s="8">
        <f t="shared" si="11"/>
        <v>2.1367417020239401</v>
      </c>
    </row>
    <row r="111" spans="2:20" x14ac:dyDescent="0.2">
      <c r="B111">
        <f t="shared" si="18"/>
        <v>108</v>
      </c>
      <c r="C111">
        <f t="shared" si="14"/>
        <v>30</v>
      </c>
      <c r="D111">
        <v>92</v>
      </c>
      <c r="E111">
        <v>122</v>
      </c>
      <c r="F111">
        <f>PMSPLINE!F$7</f>
        <v>1.6940318585171934</v>
      </c>
      <c r="G111">
        <f>PMSPLINE!F$8</f>
        <v>2.7280778879385563</v>
      </c>
      <c r="H111">
        <f>PMSPLINE!K$7</f>
        <v>7.9804597157128701E-5</v>
      </c>
      <c r="I111">
        <f>PMSPLINE!K$8</f>
        <v>1.2413184464683761E-3</v>
      </c>
      <c r="J111">
        <f t="shared" si="15"/>
        <v>0.46666666666666667</v>
      </c>
      <c r="K111">
        <f t="shared" si="16"/>
        <v>0.53333333333333333</v>
      </c>
      <c r="L111">
        <f t="shared" si="12"/>
        <v>62</v>
      </c>
      <c r="M111" s="8">
        <f t="shared" si="17"/>
        <v>2.2455230742085872</v>
      </c>
      <c r="N111" s="6">
        <f t="shared" si="13"/>
        <v>2.1700947443086385</v>
      </c>
      <c r="O111" s="8">
        <f t="shared" si="20"/>
        <v>156.93545364060529</v>
      </c>
      <c r="P111" s="8">
        <f t="shared" si="21"/>
        <v>154.0293697174364</v>
      </c>
      <c r="Q111" s="8">
        <f t="shared" si="19"/>
        <v>2.1700947443086385</v>
      </c>
      <c r="T111" s="8">
        <f t="shared" si="11"/>
        <v>2.1700947443086385</v>
      </c>
    </row>
    <row r="112" spans="2:20" x14ac:dyDescent="0.2">
      <c r="B112">
        <f t="shared" si="18"/>
        <v>109</v>
      </c>
      <c r="C112">
        <f t="shared" si="14"/>
        <v>30</v>
      </c>
      <c r="D112">
        <v>92</v>
      </c>
      <c r="E112">
        <v>122</v>
      </c>
      <c r="F112">
        <f>PMSPLINE!F$7</f>
        <v>1.6940318585171934</v>
      </c>
      <c r="G112">
        <f>PMSPLINE!F$8</f>
        <v>2.7280778879385563</v>
      </c>
      <c r="H112">
        <f>PMSPLINE!K$7</f>
        <v>7.9804597157128701E-5</v>
      </c>
      <c r="I112">
        <f>PMSPLINE!K$8</f>
        <v>1.2413184464683761E-3</v>
      </c>
      <c r="J112">
        <f t="shared" si="15"/>
        <v>0.43333333333333335</v>
      </c>
      <c r="K112">
        <f t="shared" si="16"/>
        <v>0.56666666666666665</v>
      </c>
      <c r="L112">
        <f t="shared" si="12"/>
        <v>63</v>
      </c>
      <c r="M112" s="8">
        <f t="shared" si="17"/>
        <v>2.2799912751892988</v>
      </c>
      <c r="N112" s="6">
        <f t="shared" si="13"/>
        <v>2.2041470652434585</v>
      </c>
      <c r="O112" s="8">
        <f t="shared" si="20"/>
        <v>159.21544491579459</v>
      </c>
      <c r="P112" s="8">
        <f t="shared" si="21"/>
        <v>156.23351678267986</v>
      </c>
      <c r="Q112" s="8">
        <f t="shared" si="19"/>
        <v>2.2041470652434585</v>
      </c>
      <c r="T112" s="8">
        <f t="shared" si="11"/>
        <v>2.2041470652434585</v>
      </c>
    </row>
    <row r="113" spans="1:20" x14ac:dyDescent="0.2">
      <c r="B113">
        <f t="shared" si="18"/>
        <v>110</v>
      </c>
      <c r="C113">
        <f t="shared" si="14"/>
        <v>30</v>
      </c>
      <c r="D113">
        <v>92</v>
      </c>
      <c r="E113">
        <v>122</v>
      </c>
      <c r="F113">
        <f>PMSPLINE!F$7</f>
        <v>1.6940318585171934</v>
      </c>
      <c r="G113">
        <f>PMSPLINE!F$8</f>
        <v>2.7280778879385563</v>
      </c>
      <c r="H113">
        <f>PMSPLINE!K$7</f>
        <v>7.9804597157128701E-5</v>
      </c>
      <c r="I113">
        <f>PMSPLINE!K$8</f>
        <v>1.2413184464683761E-3</v>
      </c>
      <c r="J113">
        <f t="shared" si="15"/>
        <v>0.4</v>
      </c>
      <c r="K113">
        <f t="shared" si="16"/>
        <v>0.6</v>
      </c>
      <c r="L113">
        <f t="shared" si="12"/>
        <v>64</v>
      </c>
      <c r="M113" s="8">
        <f t="shared" si="17"/>
        <v>2.3144594761700112</v>
      </c>
      <c r="N113" s="6">
        <f t="shared" si="13"/>
        <v>2.2389373819567133</v>
      </c>
      <c r="O113" s="8">
        <f t="shared" si="20"/>
        <v>161.52990439196461</v>
      </c>
      <c r="P113" s="8">
        <f t="shared" si="21"/>
        <v>158.47245416463656</v>
      </c>
      <c r="Q113" s="8">
        <f t="shared" si="19"/>
        <v>2.2389373819567133</v>
      </c>
      <c r="T113" s="8">
        <f t="shared" si="11"/>
        <v>2.2389373819567133</v>
      </c>
    </row>
    <row r="114" spans="1:20" x14ac:dyDescent="0.2">
      <c r="B114">
        <f t="shared" si="18"/>
        <v>111</v>
      </c>
      <c r="C114">
        <f t="shared" si="14"/>
        <v>30</v>
      </c>
      <c r="D114">
        <v>92</v>
      </c>
      <c r="E114">
        <v>122</v>
      </c>
      <c r="F114">
        <f>PMSPLINE!F$7</f>
        <v>1.6940318585171934</v>
      </c>
      <c r="G114">
        <f>PMSPLINE!F$8</f>
        <v>2.7280778879385563</v>
      </c>
      <c r="H114">
        <f>PMSPLINE!K$7</f>
        <v>7.9804597157128701E-5</v>
      </c>
      <c r="I114">
        <f>PMSPLINE!K$8</f>
        <v>1.2413184464683761E-3</v>
      </c>
      <c r="J114">
        <f t="shared" si="15"/>
        <v>0.36666666666666664</v>
      </c>
      <c r="K114">
        <f t="shared" si="16"/>
        <v>0.6333333333333333</v>
      </c>
      <c r="L114">
        <f t="shared" si="12"/>
        <v>65</v>
      </c>
      <c r="M114" s="8">
        <f t="shared" si="17"/>
        <v>2.3489276771507233</v>
      </c>
      <c r="N114" s="6">
        <f t="shared" si="13"/>
        <v>2.2745044115767117</v>
      </c>
      <c r="O114" s="8">
        <f t="shared" si="20"/>
        <v>163.87883206911533</v>
      </c>
      <c r="P114" s="8">
        <f t="shared" si="21"/>
        <v>160.74695857621327</v>
      </c>
      <c r="Q114" s="8">
        <f t="shared" si="19"/>
        <v>2.2745044115767117</v>
      </c>
      <c r="T114" s="8">
        <f t="shared" ref="T114:T177" si="22">N114</f>
        <v>2.2745044115767117</v>
      </c>
    </row>
    <row r="115" spans="1:20" x14ac:dyDescent="0.2">
      <c r="B115">
        <f t="shared" si="18"/>
        <v>112</v>
      </c>
      <c r="C115">
        <f t="shared" si="14"/>
        <v>30</v>
      </c>
      <c r="D115">
        <v>92</v>
      </c>
      <c r="E115">
        <v>122</v>
      </c>
      <c r="F115">
        <f>PMSPLINE!F$7</f>
        <v>1.6940318585171934</v>
      </c>
      <c r="G115">
        <f>PMSPLINE!F$8</f>
        <v>2.7280778879385563</v>
      </c>
      <c r="H115">
        <f>PMSPLINE!K$7</f>
        <v>7.9804597157128701E-5</v>
      </c>
      <c r="I115">
        <f>PMSPLINE!K$8</f>
        <v>1.2413184464683761E-3</v>
      </c>
      <c r="J115">
        <f t="shared" si="15"/>
        <v>0.33333333333333331</v>
      </c>
      <c r="K115">
        <f t="shared" si="16"/>
        <v>0.66666666666666663</v>
      </c>
      <c r="L115">
        <f t="shared" ref="L115:L178" si="23">B115-46</f>
        <v>66</v>
      </c>
      <c r="M115" s="8">
        <f t="shared" si="17"/>
        <v>2.3833958781314353</v>
      </c>
      <c r="N115" s="6">
        <f t="shared" si="13"/>
        <v>2.3108868712317641</v>
      </c>
      <c r="O115" s="8">
        <f t="shared" si="20"/>
        <v>166.26222794724677</v>
      </c>
      <c r="P115" s="8">
        <f t="shared" si="21"/>
        <v>163.05784544744503</v>
      </c>
      <c r="Q115" s="8">
        <f t="shared" si="19"/>
        <v>2.3108868712317641</v>
      </c>
      <c r="T115" s="8">
        <f t="shared" si="22"/>
        <v>2.3108868712317641</v>
      </c>
    </row>
    <row r="116" spans="1:20" x14ac:dyDescent="0.2">
      <c r="B116">
        <f t="shared" si="18"/>
        <v>113</v>
      </c>
      <c r="C116">
        <f t="shared" si="14"/>
        <v>30</v>
      </c>
      <c r="D116">
        <v>92</v>
      </c>
      <c r="E116">
        <v>122</v>
      </c>
      <c r="F116">
        <f>PMSPLINE!F$7</f>
        <v>1.6940318585171934</v>
      </c>
      <c r="G116">
        <f>PMSPLINE!F$8</f>
        <v>2.7280778879385563</v>
      </c>
      <c r="H116">
        <f>PMSPLINE!K$7</f>
        <v>7.9804597157128701E-5</v>
      </c>
      <c r="I116">
        <f>PMSPLINE!K$8</f>
        <v>1.2413184464683761E-3</v>
      </c>
      <c r="J116">
        <f t="shared" si="15"/>
        <v>0.3</v>
      </c>
      <c r="K116">
        <f t="shared" si="16"/>
        <v>0.7</v>
      </c>
      <c r="L116">
        <f t="shared" si="23"/>
        <v>67</v>
      </c>
      <c r="M116" s="8">
        <f t="shared" si="17"/>
        <v>2.4178640791121473</v>
      </c>
      <c r="N116" s="6">
        <f t="shared" si="13"/>
        <v>2.3481234780501814</v>
      </c>
      <c r="O116" s="8">
        <f t="shared" si="20"/>
        <v>168.68009202635892</v>
      </c>
      <c r="P116" s="8">
        <f t="shared" si="21"/>
        <v>165.40596892549522</v>
      </c>
      <c r="Q116" s="8">
        <f t="shared" si="19"/>
        <v>2.3481234780501814</v>
      </c>
      <c r="T116" s="8">
        <f t="shared" si="22"/>
        <v>2.3481234780501814</v>
      </c>
    </row>
    <row r="117" spans="1:20" x14ac:dyDescent="0.2">
      <c r="B117">
        <f t="shared" si="18"/>
        <v>114</v>
      </c>
      <c r="C117">
        <f t="shared" si="14"/>
        <v>30</v>
      </c>
      <c r="D117">
        <v>92</v>
      </c>
      <c r="E117">
        <v>122</v>
      </c>
      <c r="F117">
        <f>PMSPLINE!F$7</f>
        <v>1.6940318585171934</v>
      </c>
      <c r="G117">
        <f>PMSPLINE!F$8</f>
        <v>2.7280778879385563</v>
      </c>
      <c r="H117">
        <f>PMSPLINE!K$7</f>
        <v>7.9804597157128701E-5</v>
      </c>
      <c r="I117">
        <f>PMSPLINE!K$8</f>
        <v>1.2413184464683761E-3</v>
      </c>
      <c r="J117">
        <f t="shared" si="15"/>
        <v>0.26666666666666666</v>
      </c>
      <c r="K117">
        <f t="shared" si="16"/>
        <v>0.73333333333333328</v>
      </c>
      <c r="L117">
        <f t="shared" si="23"/>
        <v>68</v>
      </c>
      <c r="M117" s="8">
        <f t="shared" si="17"/>
        <v>2.4523322800928593</v>
      </c>
      <c r="N117" s="6">
        <f t="shared" si="13"/>
        <v>2.3862529491602733</v>
      </c>
      <c r="O117" s="8">
        <f t="shared" si="20"/>
        <v>171.13242430645178</v>
      </c>
      <c r="P117" s="8">
        <f t="shared" si="21"/>
        <v>167.7922218746555</v>
      </c>
      <c r="Q117" s="8">
        <f t="shared" si="19"/>
        <v>2.3862529491602733</v>
      </c>
      <c r="T117" s="8">
        <f t="shared" si="22"/>
        <v>2.3862529491602733</v>
      </c>
    </row>
    <row r="118" spans="1:20" x14ac:dyDescent="0.2">
      <c r="B118">
        <f t="shared" si="18"/>
        <v>115</v>
      </c>
      <c r="C118">
        <f t="shared" si="14"/>
        <v>30</v>
      </c>
      <c r="D118">
        <v>92</v>
      </c>
      <c r="E118">
        <v>122</v>
      </c>
      <c r="F118">
        <f>PMSPLINE!F$7</f>
        <v>1.6940318585171934</v>
      </c>
      <c r="G118">
        <f>PMSPLINE!F$8</f>
        <v>2.7280778879385563</v>
      </c>
      <c r="H118">
        <f>PMSPLINE!K$7</f>
        <v>7.9804597157128701E-5</v>
      </c>
      <c r="I118">
        <f>PMSPLINE!K$8</f>
        <v>1.2413184464683761E-3</v>
      </c>
      <c r="J118">
        <f t="shared" si="15"/>
        <v>0.23333333333333334</v>
      </c>
      <c r="K118">
        <f t="shared" si="16"/>
        <v>0.76666666666666672</v>
      </c>
      <c r="L118">
        <f t="shared" si="23"/>
        <v>69</v>
      </c>
      <c r="M118" s="8">
        <f t="shared" si="17"/>
        <v>2.4868004810735718</v>
      </c>
      <c r="N118" s="6">
        <f t="shared" si="13"/>
        <v>2.4253140016903516</v>
      </c>
      <c r="O118" s="8">
        <f t="shared" si="20"/>
        <v>173.61922478752535</v>
      </c>
      <c r="P118" s="8">
        <f t="shared" si="21"/>
        <v>170.21753587634583</v>
      </c>
      <c r="Q118" s="8">
        <f t="shared" si="19"/>
        <v>2.4253140016903516</v>
      </c>
      <c r="T118" s="8">
        <f t="shared" si="22"/>
        <v>2.4253140016903516</v>
      </c>
    </row>
    <row r="119" spans="1:20" x14ac:dyDescent="0.2">
      <c r="B119">
        <f t="shared" si="18"/>
        <v>116</v>
      </c>
      <c r="C119">
        <f t="shared" si="14"/>
        <v>30</v>
      </c>
      <c r="D119">
        <v>92</v>
      </c>
      <c r="E119">
        <v>122</v>
      </c>
      <c r="F119">
        <f>PMSPLINE!F$7</f>
        <v>1.6940318585171934</v>
      </c>
      <c r="G119">
        <f>PMSPLINE!F$8</f>
        <v>2.7280778879385563</v>
      </c>
      <c r="H119">
        <f>PMSPLINE!K$7</f>
        <v>7.9804597157128701E-5</v>
      </c>
      <c r="I119">
        <f>PMSPLINE!K$8</f>
        <v>1.2413184464683761E-3</v>
      </c>
      <c r="J119">
        <f t="shared" si="15"/>
        <v>0.2</v>
      </c>
      <c r="K119">
        <f t="shared" si="16"/>
        <v>0.8</v>
      </c>
      <c r="L119">
        <f t="shared" si="23"/>
        <v>70</v>
      </c>
      <c r="M119" s="8">
        <f t="shared" si="17"/>
        <v>2.5212686820542838</v>
      </c>
      <c r="N119" s="6">
        <f t="shared" ref="N119:N182" si="24">Q119</f>
        <v>2.4653453527687246</v>
      </c>
      <c r="O119" s="8">
        <f t="shared" si="20"/>
        <v>176.14049346957964</v>
      </c>
      <c r="P119" s="8">
        <f t="shared" si="21"/>
        <v>172.68288122911457</v>
      </c>
      <c r="Q119" s="8">
        <f t="shared" si="19"/>
        <v>2.4653453527687246</v>
      </c>
      <c r="T119" s="8">
        <f t="shared" si="22"/>
        <v>2.4653453527687246</v>
      </c>
    </row>
    <row r="120" spans="1:20" x14ac:dyDescent="0.2">
      <c r="B120">
        <f t="shared" si="18"/>
        <v>117</v>
      </c>
      <c r="C120">
        <f t="shared" si="14"/>
        <v>30</v>
      </c>
      <c r="D120">
        <v>92</v>
      </c>
      <c r="E120">
        <v>122</v>
      </c>
      <c r="F120">
        <f>PMSPLINE!F$7</f>
        <v>1.6940318585171934</v>
      </c>
      <c r="G120">
        <f>PMSPLINE!F$8</f>
        <v>2.7280778879385563</v>
      </c>
      <c r="H120">
        <f>PMSPLINE!K$7</f>
        <v>7.9804597157128701E-5</v>
      </c>
      <c r="I120">
        <f>PMSPLINE!K$8</f>
        <v>1.2413184464683761E-3</v>
      </c>
      <c r="J120">
        <f t="shared" si="15"/>
        <v>0.16666666666666666</v>
      </c>
      <c r="K120">
        <f t="shared" si="16"/>
        <v>0.83333333333333337</v>
      </c>
      <c r="L120">
        <f t="shared" si="23"/>
        <v>71</v>
      </c>
      <c r="M120" s="8">
        <f t="shared" si="17"/>
        <v>2.5557368830349958</v>
      </c>
      <c r="N120" s="6">
        <f t="shared" si="24"/>
        <v>2.506385719523704</v>
      </c>
      <c r="O120" s="8">
        <f t="shared" si="20"/>
        <v>178.69623035261463</v>
      </c>
      <c r="P120" s="8">
        <f t="shared" si="21"/>
        <v>175.18926694863828</v>
      </c>
      <c r="Q120" s="8">
        <f t="shared" si="19"/>
        <v>2.506385719523704</v>
      </c>
      <c r="T120" s="8">
        <f t="shared" si="22"/>
        <v>2.506385719523704</v>
      </c>
    </row>
    <row r="121" spans="1:20" x14ac:dyDescent="0.2">
      <c r="B121">
        <f t="shared" si="18"/>
        <v>118</v>
      </c>
      <c r="C121">
        <f t="shared" si="14"/>
        <v>30</v>
      </c>
      <c r="D121">
        <v>92</v>
      </c>
      <c r="E121">
        <v>122</v>
      </c>
      <c r="F121">
        <f>PMSPLINE!F$7</f>
        <v>1.6940318585171934</v>
      </c>
      <c r="G121">
        <f>PMSPLINE!F$8</f>
        <v>2.7280778879385563</v>
      </c>
      <c r="H121">
        <f>PMSPLINE!K$7</f>
        <v>7.9804597157128701E-5</v>
      </c>
      <c r="I121">
        <f>PMSPLINE!K$8</f>
        <v>1.2413184464683761E-3</v>
      </c>
      <c r="J121">
        <f t="shared" si="15"/>
        <v>0.13333333333333333</v>
      </c>
      <c r="K121">
        <f t="shared" si="16"/>
        <v>0.8666666666666667</v>
      </c>
      <c r="L121">
        <f t="shared" si="23"/>
        <v>72</v>
      </c>
      <c r="M121" s="8">
        <f t="shared" si="17"/>
        <v>2.5902050840157083</v>
      </c>
      <c r="N121" s="6">
        <f t="shared" si="24"/>
        <v>2.5484738190836005</v>
      </c>
      <c r="O121" s="8">
        <f t="shared" si="20"/>
        <v>181.28643543663034</v>
      </c>
      <c r="P121" s="8">
        <f t="shared" si="21"/>
        <v>177.73774076772187</v>
      </c>
      <c r="Q121" s="8">
        <f t="shared" si="19"/>
        <v>2.5484738190836005</v>
      </c>
      <c r="T121" s="8">
        <f t="shared" si="22"/>
        <v>2.5484738190836005</v>
      </c>
    </row>
    <row r="122" spans="1:20" x14ac:dyDescent="0.2">
      <c r="B122">
        <f t="shared" si="18"/>
        <v>119</v>
      </c>
      <c r="C122">
        <f t="shared" si="14"/>
        <v>30</v>
      </c>
      <c r="D122">
        <v>92</v>
      </c>
      <c r="E122">
        <v>122</v>
      </c>
      <c r="F122">
        <f>PMSPLINE!F$7</f>
        <v>1.6940318585171934</v>
      </c>
      <c r="G122">
        <f>PMSPLINE!F$8</f>
        <v>2.7280778879385563</v>
      </c>
      <c r="H122">
        <f>PMSPLINE!K$7</f>
        <v>7.9804597157128701E-5</v>
      </c>
      <c r="I122">
        <f>PMSPLINE!K$8</f>
        <v>1.2413184464683761E-3</v>
      </c>
      <c r="J122">
        <f t="shared" si="15"/>
        <v>0.1</v>
      </c>
      <c r="K122">
        <f t="shared" si="16"/>
        <v>0.9</v>
      </c>
      <c r="L122">
        <f t="shared" si="23"/>
        <v>73</v>
      </c>
      <c r="M122" s="8">
        <f t="shared" si="17"/>
        <v>2.6246732849964203</v>
      </c>
      <c r="N122" s="6">
        <f t="shared" si="24"/>
        <v>2.5916483685767231</v>
      </c>
      <c r="O122" s="8">
        <f t="shared" si="20"/>
        <v>183.91110872162676</v>
      </c>
      <c r="P122" s="8">
        <f t="shared" si="21"/>
        <v>180.3293891362986</v>
      </c>
      <c r="Q122" s="8">
        <f t="shared" si="19"/>
        <v>2.5916483685767231</v>
      </c>
      <c r="T122" s="8">
        <f t="shared" si="22"/>
        <v>2.5916483685767231</v>
      </c>
    </row>
    <row r="123" spans="1:20" x14ac:dyDescent="0.2">
      <c r="B123">
        <f t="shared" si="18"/>
        <v>120</v>
      </c>
      <c r="C123">
        <f t="shared" si="14"/>
        <v>30</v>
      </c>
      <c r="D123">
        <v>92</v>
      </c>
      <c r="E123">
        <v>122</v>
      </c>
      <c r="F123">
        <f>PMSPLINE!F$7</f>
        <v>1.6940318585171934</v>
      </c>
      <c r="G123">
        <f>PMSPLINE!F$8</f>
        <v>2.7280778879385563</v>
      </c>
      <c r="H123">
        <f>PMSPLINE!K$7</f>
        <v>7.9804597157128701E-5</v>
      </c>
      <c r="I123">
        <f>PMSPLINE!K$8</f>
        <v>1.2413184464683761E-3</v>
      </c>
      <c r="J123">
        <f t="shared" si="15"/>
        <v>6.6666666666666666E-2</v>
      </c>
      <c r="K123">
        <f t="shared" si="16"/>
        <v>0.93333333333333335</v>
      </c>
      <c r="L123">
        <f t="shared" si="23"/>
        <v>74</v>
      </c>
      <c r="M123" s="8">
        <f t="shared" si="17"/>
        <v>2.6591414859771318</v>
      </c>
      <c r="N123" s="6">
        <f t="shared" si="24"/>
        <v>2.6359480851313828</v>
      </c>
      <c r="O123" s="8">
        <f t="shared" si="20"/>
        <v>186.57025020760389</v>
      </c>
      <c r="P123" s="8">
        <f t="shared" si="21"/>
        <v>182.96533722142999</v>
      </c>
      <c r="Q123" s="8">
        <f t="shared" si="19"/>
        <v>2.6359480851313828</v>
      </c>
      <c r="T123" s="8">
        <f t="shared" si="22"/>
        <v>2.6359480851313828</v>
      </c>
    </row>
    <row r="124" spans="1:20" x14ac:dyDescent="0.2">
      <c r="B124">
        <f t="shared" si="18"/>
        <v>121</v>
      </c>
      <c r="C124">
        <f t="shared" si="14"/>
        <v>30</v>
      </c>
      <c r="D124">
        <v>92</v>
      </c>
      <c r="E124">
        <v>122</v>
      </c>
      <c r="F124">
        <f>PMSPLINE!F$7</f>
        <v>1.6940318585171934</v>
      </c>
      <c r="G124">
        <f>PMSPLINE!F$8</f>
        <v>2.7280778879385563</v>
      </c>
      <c r="H124">
        <f>PMSPLINE!K$7</f>
        <v>7.9804597157128701E-5</v>
      </c>
      <c r="I124">
        <f>PMSPLINE!K$8</f>
        <v>1.2413184464683761E-3</v>
      </c>
      <c r="J124">
        <f t="shared" si="15"/>
        <v>3.3333333333333333E-2</v>
      </c>
      <c r="K124">
        <f t="shared" si="16"/>
        <v>0.96666666666666667</v>
      </c>
      <c r="L124">
        <f t="shared" si="23"/>
        <v>75</v>
      </c>
      <c r="M124" s="8">
        <f t="shared" si="17"/>
        <v>2.6936096869578443</v>
      </c>
      <c r="N124" s="6">
        <f t="shared" si="24"/>
        <v>2.6814116858758905</v>
      </c>
      <c r="O124" s="8">
        <f t="shared" si="20"/>
        <v>189.26385989456173</v>
      </c>
      <c r="P124" s="8">
        <f t="shared" si="21"/>
        <v>185.64674890730589</v>
      </c>
      <c r="Q124" s="8">
        <f t="shared" si="19"/>
        <v>2.6814116858758905</v>
      </c>
      <c r="T124" s="8">
        <f t="shared" si="22"/>
        <v>2.6814116858758905</v>
      </c>
    </row>
    <row r="125" spans="1:20" x14ac:dyDescent="0.2">
      <c r="A125">
        <v>122</v>
      </c>
      <c r="B125">
        <f t="shared" si="18"/>
        <v>122</v>
      </c>
      <c r="C125">
        <f t="shared" si="14"/>
        <v>30</v>
      </c>
      <c r="D125">
        <v>92</v>
      </c>
      <c r="E125">
        <v>122</v>
      </c>
      <c r="F125">
        <f>PMSPLINE!F$7</f>
        <v>1.6940318585171934</v>
      </c>
      <c r="G125">
        <f>PMSPLINE!F$8</f>
        <v>2.7280778879385563</v>
      </c>
      <c r="H125">
        <f>PMSPLINE!K$7</f>
        <v>7.9804597157128701E-5</v>
      </c>
      <c r="I125">
        <f>PMSPLINE!K$8</f>
        <v>1.2413184464683761E-3</v>
      </c>
      <c r="J125">
        <f t="shared" si="15"/>
        <v>0</v>
      </c>
      <c r="K125">
        <f t="shared" si="16"/>
        <v>1</v>
      </c>
      <c r="L125">
        <f t="shared" si="23"/>
        <v>76</v>
      </c>
      <c r="M125" s="8">
        <f t="shared" si="17"/>
        <v>2.7280778879385563</v>
      </c>
      <c r="N125" s="6">
        <f t="shared" si="24"/>
        <v>2.7280778879385563</v>
      </c>
      <c r="O125" s="8">
        <f t="shared" si="20"/>
        <v>191.99193778250029</v>
      </c>
      <c r="P125" s="8">
        <f t="shared" si="21"/>
        <v>188.37482679524445</v>
      </c>
      <c r="Q125" s="8">
        <f t="shared" si="19"/>
        <v>2.7280778879385563</v>
      </c>
      <c r="T125" s="8">
        <f t="shared" si="22"/>
        <v>2.7280778879385563</v>
      </c>
    </row>
    <row r="126" spans="1:20" x14ac:dyDescent="0.2">
      <c r="B126">
        <f t="shared" si="18"/>
        <v>123</v>
      </c>
      <c r="C126">
        <f t="shared" si="14"/>
        <v>31</v>
      </c>
      <c r="D126">
        <v>122</v>
      </c>
      <c r="E126">
        <v>153</v>
      </c>
      <c r="F126">
        <f>PMSPLINE!F$8</f>
        <v>2.7280778879385563</v>
      </c>
      <c r="G126">
        <f>PMSPLINE!F$9</f>
        <v>4.387043975863822</v>
      </c>
      <c r="H126">
        <f>PMSPLINE!K$8</f>
        <v>1.2413184464683761E-3</v>
      </c>
      <c r="I126">
        <f>PMSPLINE!K$9</f>
        <v>-1.2759349581273509E-3</v>
      </c>
      <c r="J126">
        <f t="shared" si="15"/>
        <v>0.967741935483871</v>
      </c>
      <c r="K126">
        <f t="shared" si="16"/>
        <v>3.2258064516129031E-2</v>
      </c>
      <c r="L126">
        <f t="shared" si="23"/>
        <v>77</v>
      </c>
      <c r="M126" s="8">
        <f t="shared" si="17"/>
        <v>2.7815929230329197</v>
      </c>
      <c r="N126" s="6">
        <f t="shared" si="24"/>
        <v>2.7759654219725172</v>
      </c>
      <c r="O126" s="8">
        <f t="shared" si="20"/>
        <v>194.7735307055332</v>
      </c>
      <c r="P126" s="8">
        <f t="shared" si="21"/>
        <v>191.15079221721697</v>
      </c>
      <c r="Q126" s="8">
        <f t="shared" si="19"/>
        <v>2.7759654219725172</v>
      </c>
      <c r="T126" s="8">
        <f t="shared" si="22"/>
        <v>2.7759654219725172</v>
      </c>
    </row>
    <row r="127" spans="1:20" x14ac:dyDescent="0.2">
      <c r="B127">
        <f t="shared" si="18"/>
        <v>124</v>
      </c>
      <c r="C127">
        <f t="shared" si="14"/>
        <v>31</v>
      </c>
      <c r="D127">
        <v>122</v>
      </c>
      <c r="E127">
        <v>153</v>
      </c>
      <c r="F127">
        <f>PMSPLINE!F$8</f>
        <v>2.7280778879385563</v>
      </c>
      <c r="G127">
        <f>PMSPLINE!F$9</f>
        <v>4.387043975863822</v>
      </c>
      <c r="H127">
        <f>PMSPLINE!K$8</f>
        <v>1.2413184464683761E-3</v>
      </c>
      <c r="I127">
        <f>PMSPLINE!K$9</f>
        <v>-1.2759349581273509E-3</v>
      </c>
      <c r="J127">
        <f t="shared" si="15"/>
        <v>0.93548387096774188</v>
      </c>
      <c r="K127">
        <f t="shared" si="16"/>
        <v>6.4516129032258063E-2</v>
      </c>
      <c r="L127">
        <f t="shared" si="23"/>
        <v>78</v>
      </c>
      <c r="M127" s="8">
        <f t="shared" si="17"/>
        <v>2.8351079581272831</v>
      </c>
      <c r="N127" s="6">
        <f t="shared" si="24"/>
        <v>2.8250130727302176</v>
      </c>
      <c r="O127" s="8">
        <f t="shared" si="20"/>
        <v>197.60863866366049</v>
      </c>
      <c r="P127" s="8">
        <f t="shared" si="21"/>
        <v>193.9758052899472</v>
      </c>
      <c r="Q127" s="8">
        <f t="shared" si="19"/>
        <v>2.8250130727302176</v>
      </c>
      <c r="T127" s="8">
        <f t="shared" si="22"/>
        <v>2.8250130727302176</v>
      </c>
    </row>
    <row r="128" spans="1:20" x14ac:dyDescent="0.2">
      <c r="B128">
        <f t="shared" si="18"/>
        <v>125</v>
      </c>
      <c r="C128">
        <f t="shared" si="14"/>
        <v>31</v>
      </c>
      <c r="D128">
        <v>122</v>
      </c>
      <c r="E128">
        <v>153</v>
      </c>
      <c r="F128">
        <f>PMSPLINE!F$8</f>
        <v>2.7280778879385563</v>
      </c>
      <c r="G128">
        <f>PMSPLINE!F$9</f>
        <v>4.387043975863822</v>
      </c>
      <c r="H128">
        <f>PMSPLINE!K$8</f>
        <v>1.2413184464683761E-3</v>
      </c>
      <c r="I128">
        <f>PMSPLINE!K$9</f>
        <v>-1.2759349581273509E-3</v>
      </c>
      <c r="J128">
        <f t="shared" si="15"/>
        <v>0.90322580645161288</v>
      </c>
      <c r="K128">
        <f t="shared" si="16"/>
        <v>9.6774193548387094E-2</v>
      </c>
      <c r="L128">
        <f t="shared" si="23"/>
        <v>79</v>
      </c>
      <c r="M128" s="8">
        <f t="shared" si="17"/>
        <v>2.8886229932216465</v>
      </c>
      <c r="N128" s="6">
        <f t="shared" si="24"/>
        <v>2.8751396384889283</v>
      </c>
      <c r="O128" s="8">
        <f t="shared" si="20"/>
        <v>200.49726165688213</v>
      </c>
      <c r="P128" s="8">
        <f t="shared" si="21"/>
        <v>196.85094492843612</v>
      </c>
      <c r="Q128" s="8">
        <f t="shared" si="19"/>
        <v>2.8751396384889283</v>
      </c>
      <c r="T128" s="8">
        <f t="shared" si="22"/>
        <v>2.8751396384889283</v>
      </c>
    </row>
    <row r="129" spans="2:20" x14ac:dyDescent="0.2">
      <c r="B129">
        <f t="shared" si="18"/>
        <v>126</v>
      </c>
      <c r="C129">
        <f t="shared" si="14"/>
        <v>31</v>
      </c>
      <c r="D129">
        <v>122</v>
      </c>
      <c r="E129">
        <v>153</v>
      </c>
      <c r="F129">
        <f>PMSPLINE!F$8</f>
        <v>2.7280778879385563</v>
      </c>
      <c r="G129">
        <f>PMSPLINE!F$9</f>
        <v>4.387043975863822</v>
      </c>
      <c r="H129">
        <f>PMSPLINE!K$8</f>
        <v>1.2413184464683761E-3</v>
      </c>
      <c r="I129">
        <f>PMSPLINE!K$9</f>
        <v>-1.2759349581273509E-3</v>
      </c>
      <c r="J129">
        <f t="shared" si="15"/>
        <v>0.87096774193548387</v>
      </c>
      <c r="K129">
        <f t="shared" si="16"/>
        <v>0.12903225806451613</v>
      </c>
      <c r="L129">
        <f t="shared" si="23"/>
        <v>80</v>
      </c>
      <c r="M129" s="8">
        <f t="shared" si="17"/>
        <v>2.9421380283160099</v>
      </c>
      <c r="N129" s="6">
        <f t="shared" si="24"/>
        <v>2.9262639175259211</v>
      </c>
      <c r="O129" s="8">
        <f t="shared" si="20"/>
        <v>203.43939968519814</v>
      </c>
      <c r="P129" s="8">
        <f t="shared" si="21"/>
        <v>199.77720884596204</v>
      </c>
      <c r="Q129" s="8">
        <f t="shared" si="19"/>
        <v>2.9262639175259211</v>
      </c>
      <c r="T129" s="8">
        <f t="shared" si="22"/>
        <v>2.9262639175259211</v>
      </c>
    </row>
    <row r="130" spans="2:20" x14ac:dyDescent="0.2">
      <c r="B130">
        <f t="shared" si="18"/>
        <v>127</v>
      </c>
      <c r="C130">
        <f t="shared" si="14"/>
        <v>31</v>
      </c>
      <c r="D130">
        <v>122</v>
      </c>
      <c r="E130">
        <v>153</v>
      </c>
      <c r="F130">
        <f>PMSPLINE!F$8</f>
        <v>2.7280778879385563</v>
      </c>
      <c r="G130">
        <f>PMSPLINE!F$9</f>
        <v>4.387043975863822</v>
      </c>
      <c r="H130">
        <f>PMSPLINE!K$8</f>
        <v>1.2413184464683761E-3</v>
      </c>
      <c r="I130">
        <f>PMSPLINE!K$9</f>
        <v>-1.2759349581273509E-3</v>
      </c>
      <c r="J130">
        <f t="shared" si="15"/>
        <v>0.83870967741935487</v>
      </c>
      <c r="K130">
        <f t="shared" si="16"/>
        <v>0.16129032258064516</v>
      </c>
      <c r="L130">
        <f t="shared" si="23"/>
        <v>81</v>
      </c>
      <c r="M130" s="8">
        <f t="shared" si="17"/>
        <v>2.9956530634103737</v>
      </c>
      <c r="N130" s="6">
        <f t="shared" si="24"/>
        <v>2.978304708118467</v>
      </c>
      <c r="O130" s="8">
        <f t="shared" si="20"/>
        <v>206.43505274860851</v>
      </c>
      <c r="P130" s="8">
        <f t="shared" si="21"/>
        <v>202.75551355408049</v>
      </c>
      <c r="Q130" s="8">
        <f t="shared" si="19"/>
        <v>2.978304708118467</v>
      </c>
      <c r="T130" s="8">
        <f t="shared" si="22"/>
        <v>2.978304708118467</v>
      </c>
    </row>
    <row r="131" spans="2:20" x14ac:dyDescent="0.2">
      <c r="B131">
        <f t="shared" si="18"/>
        <v>128</v>
      </c>
      <c r="C131">
        <f t="shared" si="14"/>
        <v>31</v>
      </c>
      <c r="D131">
        <v>122</v>
      </c>
      <c r="E131">
        <v>153</v>
      </c>
      <c r="F131">
        <f>PMSPLINE!F$8</f>
        <v>2.7280778879385563</v>
      </c>
      <c r="G131">
        <f>PMSPLINE!F$9</f>
        <v>4.387043975863822</v>
      </c>
      <c r="H131">
        <f>PMSPLINE!K$8</f>
        <v>1.2413184464683761E-3</v>
      </c>
      <c r="I131">
        <f>PMSPLINE!K$9</f>
        <v>-1.2759349581273509E-3</v>
      </c>
      <c r="J131">
        <f t="shared" si="15"/>
        <v>0.80645161290322576</v>
      </c>
      <c r="K131">
        <f t="shared" si="16"/>
        <v>0.19354838709677419</v>
      </c>
      <c r="L131">
        <f t="shared" si="23"/>
        <v>82</v>
      </c>
      <c r="M131" s="8">
        <f t="shared" si="17"/>
        <v>3.0491680985047362</v>
      </c>
      <c r="N131" s="6">
        <f t="shared" si="24"/>
        <v>3.0311808085438354</v>
      </c>
      <c r="O131" s="8">
        <f t="shared" si="20"/>
        <v>209.48422084711325</v>
      </c>
      <c r="P131" s="8">
        <f t="shared" si="21"/>
        <v>205.78669436262433</v>
      </c>
      <c r="Q131" s="8">
        <f t="shared" si="19"/>
        <v>3.0311808085438354</v>
      </c>
      <c r="T131" s="8">
        <f t="shared" si="22"/>
        <v>3.0311808085438354</v>
      </c>
    </row>
    <row r="132" spans="2:20" x14ac:dyDescent="0.2">
      <c r="B132">
        <f t="shared" si="18"/>
        <v>129</v>
      </c>
      <c r="C132">
        <f t="shared" ref="C132:C195" si="25">E132-D132</f>
        <v>31</v>
      </c>
      <c r="D132">
        <v>122</v>
      </c>
      <c r="E132">
        <v>153</v>
      </c>
      <c r="F132">
        <f>PMSPLINE!F$8</f>
        <v>2.7280778879385563</v>
      </c>
      <c r="G132">
        <f>PMSPLINE!F$9</f>
        <v>4.387043975863822</v>
      </c>
      <c r="H132">
        <f>PMSPLINE!K$8</f>
        <v>1.2413184464683761E-3</v>
      </c>
      <c r="I132">
        <f>PMSPLINE!K$9</f>
        <v>-1.2759349581273509E-3</v>
      </c>
      <c r="J132">
        <f t="shared" ref="J132:J195" si="26">(E132-B132)/C132</f>
        <v>0.77419354838709675</v>
      </c>
      <c r="K132">
        <f t="shared" ref="K132:K195" si="27">(B132-D132)/C132</f>
        <v>0.22580645161290322</v>
      </c>
      <c r="L132">
        <f t="shared" si="23"/>
        <v>83</v>
      </c>
      <c r="M132" s="8">
        <f t="shared" ref="M132:M195" si="28">J132*F132+K132*G132</f>
        <v>3.1026831335991001</v>
      </c>
      <c r="N132" s="6">
        <f t="shared" si="24"/>
        <v>3.0848110170792999</v>
      </c>
      <c r="O132" s="8">
        <f t="shared" si="20"/>
        <v>212.58690398071235</v>
      </c>
      <c r="P132" s="8">
        <f t="shared" si="21"/>
        <v>208.87150537970362</v>
      </c>
      <c r="Q132" s="8">
        <f t="shared" si="19"/>
        <v>3.0848110170792999</v>
      </c>
      <c r="T132" s="8">
        <f t="shared" si="22"/>
        <v>3.0848110170792999</v>
      </c>
    </row>
    <row r="133" spans="2:20" x14ac:dyDescent="0.2">
      <c r="B133">
        <f t="shared" ref="B133:B196" si="29">B132+1</f>
        <v>130</v>
      </c>
      <c r="C133">
        <f t="shared" si="25"/>
        <v>31</v>
      </c>
      <c r="D133">
        <v>122</v>
      </c>
      <c r="E133">
        <v>153</v>
      </c>
      <c r="F133">
        <f>PMSPLINE!F$8</f>
        <v>2.7280778879385563</v>
      </c>
      <c r="G133">
        <f>PMSPLINE!F$9</f>
        <v>4.387043975863822</v>
      </c>
      <c r="H133">
        <f>PMSPLINE!K$8</f>
        <v>1.2413184464683761E-3</v>
      </c>
      <c r="I133">
        <f>PMSPLINE!K$9</f>
        <v>-1.2759349581273509E-3</v>
      </c>
      <c r="J133">
        <f t="shared" si="26"/>
        <v>0.74193548387096775</v>
      </c>
      <c r="K133">
        <f t="shared" si="27"/>
        <v>0.25806451612903225</v>
      </c>
      <c r="L133">
        <f t="shared" si="23"/>
        <v>84</v>
      </c>
      <c r="M133" s="8">
        <f t="shared" si="28"/>
        <v>3.1561981686934635</v>
      </c>
      <c r="N133" s="6">
        <f t="shared" si="24"/>
        <v>3.1391141320021307</v>
      </c>
      <c r="O133" s="8">
        <f t="shared" si="20"/>
        <v>215.74310214940581</v>
      </c>
      <c r="P133" s="8">
        <f t="shared" si="21"/>
        <v>212.01061951170576</v>
      </c>
      <c r="Q133" s="8">
        <f t="shared" ref="Q133:Q196" si="30">M133+(((J133^3-J133)*H133+(K133^3-K133)*I133))*(C133^2)/6</f>
        <v>3.1391141320021307</v>
      </c>
      <c r="T133" s="8">
        <f t="shared" si="22"/>
        <v>3.1391141320021307</v>
      </c>
    </row>
    <row r="134" spans="2:20" x14ac:dyDescent="0.2">
      <c r="B134">
        <f t="shared" si="29"/>
        <v>131</v>
      </c>
      <c r="C134">
        <f t="shared" si="25"/>
        <v>31</v>
      </c>
      <c r="D134">
        <v>122</v>
      </c>
      <c r="E134">
        <v>153</v>
      </c>
      <c r="F134">
        <f>PMSPLINE!F$8</f>
        <v>2.7280778879385563</v>
      </c>
      <c r="G134">
        <f>PMSPLINE!F$9</f>
        <v>4.387043975863822</v>
      </c>
      <c r="H134">
        <f>PMSPLINE!K$8</f>
        <v>1.2413184464683761E-3</v>
      </c>
      <c r="I134">
        <f>PMSPLINE!K$9</f>
        <v>-1.2759349581273509E-3</v>
      </c>
      <c r="J134">
        <f t="shared" si="26"/>
        <v>0.70967741935483875</v>
      </c>
      <c r="K134">
        <f t="shared" si="27"/>
        <v>0.29032258064516131</v>
      </c>
      <c r="L134">
        <f t="shared" si="23"/>
        <v>85</v>
      </c>
      <c r="M134" s="8">
        <f t="shared" si="28"/>
        <v>3.2097132037878273</v>
      </c>
      <c r="N134" s="6">
        <f t="shared" si="24"/>
        <v>3.1940089515895989</v>
      </c>
      <c r="O134" s="8">
        <f t="shared" ref="O134:O197" si="31">O133+M134</f>
        <v>218.95281535319364</v>
      </c>
      <c r="P134" s="8">
        <f t="shared" ref="P134:P197" si="32">P133+N134</f>
        <v>215.20462846329536</v>
      </c>
      <c r="Q134" s="8">
        <f t="shared" si="30"/>
        <v>3.1940089515895989</v>
      </c>
      <c r="T134" s="8">
        <f t="shared" si="22"/>
        <v>3.1940089515895989</v>
      </c>
    </row>
    <row r="135" spans="2:20" x14ac:dyDescent="0.2">
      <c r="B135">
        <f t="shared" si="29"/>
        <v>132</v>
      </c>
      <c r="C135">
        <f t="shared" si="25"/>
        <v>31</v>
      </c>
      <c r="D135">
        <v>122</v>
      </c>
      <c r="E135">
        <v>153</v>
      </c>
      <c r="F135">
        <f>PMSPLINE!F$8</f>
        <v>2.7280778879385563</v>
      </c>
      <c r="G135">
        <f>PMSPLINE!F$9</f>
        <v>4.387043975863822</v>
      </c>
      <c r="H135">
        <f>PMSPLINE!K$8</f>
        <v>1.2413184464683761E-3</v>
      </c>
      <c r="I135">
        <f>PMSPLINE!K$9</f>
        <v>-1.2759349581273509E-3</v>
      </c>
      <c r="J135">
        <f t="shared" si="26"/>
        <v>0.67741935483870963</v>
      </c>
      <c r="K135">
        <f t="shared" si="27"/>
        <v>0.32258064516129031</v>
      </c>
      <c r="L135">
        <f t="shared" si="23"/>
        <v>86</v>
      </c>
      <c r="M135" s="8">
        <f t="shared" si="28"/>
        <v>3.2632282388821903</v>
      </c>
      <c r="N135" s="6">
        <f t="shared" si="24"/>
        <v>3.2494142741189744</v>
      </c>
      <c r="O135" s="8">
        <f t="shared" si="31"/>
        <v>222.21604359207583</v>
      </c>
      <c r="P135" s="8">
        <f t="shared" si="32"/>
        <v>218.45404273741434</v>
      </c>
      <c r="Q135" s="8">
        <f t="shared" si="30"/>
        <v>3.2494142741189744</v>
      </c>
      <c r="T135" s="8">
        <f t="shared" si="22"/>
        <v>3.2494142741189744</v>
      </c>
    </row>
    <row r="136" spans="2:20" x14ac:dyDescent="0.2">
      <c r="B136">
        <f t="shared" si="29"/>
        <v>133</v>
      </c>
      <c r="C136">
        <f t="shared" si="25"/>
        <v>31</v>
      </c>
      <c r="D136">
        <v>122</v>
      </c>
      <c r="E136">
        <v>153</v>
      </c>
      <c r="F136">
        <f>PMSPLINE!F$8</f>
        <v>2.7280778879385563</v>
      </c>
      <c r="G136">
        <f>PMSPLINE!F$9</f>
        <v>4.387043975863822</v>
      </c>
      <c r="H136">
        <f>PMSPLINE!K$8</f>
        <v>1.2413184464683761E-3</v>
      </c>
      <c r="I136">
        <f>PMSPLINE!K$9</f>
        <v>-1.2759349581273509E-3</v>
      </c>
      <c r="J136">
        <f t="shared" si="26"/>
        <v>0.64516129032258063</v>
      </c>
      <c r="K136">
        <f t="shared" si="27"/>
        <v>0.35483870967741937</v>
      </c>
      <c r="L136">
        <f t="shared" si="23"/>
        <v>87</v>
      </c>
      <c r="M136" s="8">
        <f t="shared" si="28"/>
        <v>3.3167432739765541</v>
      </c>
      <c r="N136" s="6">
        <f t="shared" si="24"/>
        <v>3.3052488978675303</v>
      </c>
      <c r="O136" s="8">
        <f t="shared" si="31"/>
        <v>225.53278686605239</v>
      </c>
      <c r="P136" s="8">
        <f t="shared" si="32"/>
        <v>221.75929163528187</v>
      </c>
      <c r="Q136" s="8">
        <f t="shared" si="30"/>
        <v>3.3052488978675303</v>
      </c>
      <c r="T136" s="8">
        <f t="shared" si="22"/>
        <v>3.3052488978675303</v>
      </c>
    </row>
    <row r="137" spans="2:20" x14ac:dyDescent="0.2">
      <c r="B137">
        <f t="shared" si="29"/>
        <v>134</v>
      </c>
      <c r="C137">
        <f t="shared" si="25"/>
        <v>31</v>
      </c>
      <c r="D137">
        <v>122</v>
      </c>
      <c r="E137">
        <v>153</v>
      </c>
      <c r="F137">
        <f>PMSPLINE!F$8</f>
        <v>2.7280778879385563</v>
      </c>
      <c r="G137">
        <f>PMSPLINE!F$9</f>
        <v>4.387043975863822</v>
      </c>
      <c r="H137">
        <f>PMSPLINE!K$8</f>
        <v>1.2413184464683761E-3</v>
      </c>
      <c r="I137">
        <f>PMSPLINE!K$9</f>
        <v>-1.2759349581273509E-3</v>
      </c>
      <c r="J137">
        <f t="shared" si="26"/>
        <v>0.61290322580645162</v>
      </c>
      <c r="K137">
        <f t="shared" si="27"/>
        <v>0.38709677419354838</v>
      </c>
      <c r="L137">
        <f t="shared" si="23"/>
        <v>88</v>
      </c>
      <c r="M137" s="8">
        <f t="shared" si="28"/>
        <v>3.3702583090709171</v>
      </c>
      <c r="N137" s="6">
        <f t="shared" si="24"/>
        <v>3.3614316211125357</v>
      </c>
      <c r="O137" s="8">
        <f t="shared" si="31"/>
        <v>228.90304517512331</v>
      </c>
      <c r="P137" s="8">
        <f t="shared" si="32"/>
        <v>225.1207232563944</v>
      </c>
      <c r="Q137" s="8">
        <f t="shared" si="30"/>
        <v>3.3614316211125357</v>
      </c>
      <c r="T137" s="8">
        <f t="shared" si="22"/>
        <v>3.3614316211125357</v>
      </c>
    </row>
    <row r="138" spans="2:20" x14ac:dyDescent="0.2">
      <c r="B138">
        <f t="shared" si="29"/>
        <v>135</v>
      </c>
      <c r="C138">
        <f t="shared" si="25"/>
        <v>31</v>
      </c>
      <c r="D138">
        <v>122</v>
      </c>
      <c r="E138">
        <v>153</v>
      </c>
      <c r="F138">
        <f>PMSPLINE!F$8</f>
        <v>2.7280778879385563</v>
      </c>
      <c r="G138">
        <f>PMSPLINE!F$9</f>
        <v>4.387043975863822</v>
      </c>
      <c r="H138">
        <f>PMSPLINE!K$8</f>
        <v>1.2413184464683761E-3</v>
      </c>
      <c r="I138">
        <f>PMSPLINE!K$9</f>
        <v>-1.2759349581273509E-3</v>
      </c>
      <c r="J138">
        <f t="shared" si="26"/>
        <v>0.58064516129032262</v>
      </c>
      <c r="K138">
        <f t="shared" si="27"/>
        <v>0.41935483870967744</v>
      </c>
      <c r="L138">
        <f t="shared" si="23"/>
        <v>89</v>
      </c>
      <c r="M138" s="8">
        <f t="shared" si="28"/>
        <v>3.4237733441652809</v>
      </c>
      <c r="N138" s="6">
        <f t="shared" si="24"/>
        <v>3.4178812421312639</v>
      </c>
      <c r="O138" s="8">
        <f t="shared" si="31"/>
        <v>232.32681851928859</v>
      </c>
      <c r="P138" s="8">
        <f t="shared" si="32"/>
        <v>228.53860449852567</v>
      </c>
      <c r="Q138" s="8">
        <f t="shared" si="30"/>
        <v>3.4178812421312639</v>
      </c>
      <c r="T138" s="8">
        <f t="shared" si="22"/>
        <v>3.4178812421312639</v>
      </c>
    </row>
    <row r="139" spans="2:20" x14ac:dyDescent="0.2">
      <c r="B139">
        <f t="shared" si="29"/>
        <v>136</v>
      </c>
      <c r="C139">
        <f t="shared" si="25"/>
        <v>31</v>
      </c>
      <c r="D139">
        <v>122</v>
      </c>
      <c r="E139">
        <v>153</v>
      </c>
      <c r="F139">
        <f>PMSPLINE!F$8</f>
        <v>2.7280778879385563</v>
      </c>
      <c r="G139">
        <f>PMSPLINE!F$9</f>
        <v>4.387043975863822</v>
      </c>
      <c r="H139">
        <f>PMSPLINE!K$8</f>
        <v>1.2413184464683761E-3</v>
      </c>
      <c r="I139">
        <f>PMSPLINE!K$9</f>
        <v>-1.2759349581273509E-3</v>
      </c>
      <c r="J139">
        <f t="shared" si="26"/>
        <v>0.54838709677419351</v>
      </c>
      <c r="K139">
        <f t="shared" si="27"/>
        <v>0.45161290322580644</v>
      </c>
      <c r="L139">
        <f t="shared" si="23"/>
        <v>90</v>
      </c>
      <c r="M139" s="8">
        <f t="shared" si="28"/>
        <v>3.4772883792596438</v>
      </c>
      <c r="N139" s="6">
        <f t="shared" si="24"/>
        <v>3.4745165592009837</v>
      </c>
      <c r="O139" s="8">
        <f t="shared" si="31"/>
        <v>235.80410689854824</v>
      </c>
      <c r="P139" s="8">
        <f t="shared" si="32"/>
        <v>232.01312105772666</v>
      </c>
      <c r="Q139" s="8">
        <f t="shared" si="30"/>
        <v>3.4745165592009837</v>
      </c>
      <c r="T139" s="8">
        <f t="shared" si="22"/>
        <v>3.4745165592009837</v>
      </c>
    </row>
    <row r="140" spans="2:20" x14ac:dyDescent="0.2">
      <c r="B140">
        <f t="shared" si="29"/>
        <v>137</v>
      </c>
      <c r="C140">
        <f t="shared" si="25"/>
        <v>31</v>
      </c>
      <c r="D140">
        <v>122</v>
      </c>
      <c r="E140">
        <v>153</v>
      </c>
      <c r="F140">
        <f>PMSPLINE!F$8</f>
        <v>2.7280778879385563</v>
      </c>
      <c r="G140">
        <f>PMSPLINE!F$9</f>
        <v>4.387043975863822</v>
      </c>
      <c r="H140">
        <f>PMSPLINE!K$8</f>
        <v>1.2413184464683761E-3</v>
      </c>
      <c r="I140">
        <f>PMSPLINE!K$9</f>
        <v>-1.2759349581273509E-3</v>
      </c>
      <c r="J140">
        <f t="shared" si="26"/>
        <v>0.5161290322580645</v>
      </c>
      <c r="K140">
        <f t="shared" si="27"/>
        <v>0.4838709677419355</v>
      </c>
      <c r="L140">
        <f t="shared" si="23"/>
        <v>91</v>
      </c>
      <c r="M140" s="8">
        <f t="shared" si="28"/>
        <v>3.5308034143540077</v>
      </c>
      <c r="N140" s="6">
        <f t="shared" si="24"/>
        <v>3.5312563705989684</v>
      </c>
      <c r="O140" s="8">
        <f t="shared" si="31"/>
        <v>239.33491031290225</v>
      </c>
      <c r="P140" s="8">
        <f t="shared" si="32"/>
        <v>235.54437742832565</v>
      </c>
      <c r="Q140" s="8">
        <f t="shared" si="30"/>
        <v>3.5312563705989684</v>
      </c>
      <c r="T140" s="8">
        <f t="shared" si="22"/>
        <v>3.5312563705989684</v>
      </c>
    </row>
    <row r="141" spans="2:20" x14ac:dyDescent="0.2">
      <c r="B141">
        <f t="shared" si="29"/>
        <v>138</v>
      </c>
      <c r="C141">
        <f t="shared" si="25"/>
        <v>31</v>
      </c>
      <c r="D141">
        <v>122</v>
      </c>
      <c r="E141">
        <v>153</v>
      </c>
      <c r="F141">
        <f>PMSPLINE!F$8</f>
        <v>2.7280778879385563</v>
      </c>
      <c r="G141">
        <f>PMSPLINE!F$9</f>
        <v>4.387043975863822</v>
      </c>
      <c r="H141">
        <f>PMSPLINE!K$8</f>
        <v>1.2413184464683761E-3</v>
      </c>
      <c r="I141">
        <f>PMSPLINE!K$9</f>
        <v>-1.2759349581273509E-3</v>
      </c>
      <c r="J141">
        <f t="shared" si="26"/>
        <v>0.4838709677419355</v>
      </c>
      <c r="K141">
        <f t="shared" si="27"/>
        <v>0.5161290322580645</v>
      </c>
      <c r="L141">
        <f t="shared" si="23"/>
        <v>92</v>
      </c>
      <c r="M141" s="8">
        <f t="shared" si="28"/>
        <v>3.5843184494483706</v>
      </c>
      <c r="N141" s="6">
        <f t="shared" si="24"/>
        <v>3.5880194746024872</v>
      </c>
      <c r="O141" s="8">
        <f t="shared" si="31"/>
        <v>242.91922876235063</v>
      </c>
      <c r="P141" s="8">
        <f t="shared" si="32"/>
        <v>239.13239690292812</v>
      </c>
      <c r="Q141" s="8">
        <f t="shared" si="30"/>
        <v>3.5880194746024872</v>
      </c>
      <c r="T141" s="8">
        <f t="shared" si="22"/>
        <v>3.5880194746024872</v>
      </c>
    </row>
    <row r="142" spans="2:20" x14ac:dyDescent="0.2">
      <c r="B142">
        <f t="shared" si="29"/>
        <v>139</v>
      </c>
      <c r="C142">
        <f t="shared" si="25"/>
        <v>31</v>
      </c>
      <c r="D142">
        <v>122</v>
      </c>
      <c r="E142">
        <v>153</v>
      </c>
      <c r="F142">
        <f>PMSPLINE!F$8</f>
        <v>2.7280778879385563</v>
      </c>
      <c r="G142">
        <f>PMSPLINE!F$9</f>
        <v>4.387043975863822</v>
      </c>
      <c r="H142">
        <f>PMSPLINE!K$8</f>
        <v>1.2413184464683761E-3</v>
      </c>
      <c r="I142">
        <f>PMSPLINE!K$9</f>
        <v>-1.2759349581273509E-3</v>
      </c>
      <c r="J142">
        <f t="shared" si="26"/>
        <v>0.45161290322580644</v>
      </c>
      <c r="K142">
        <f t="shared" si="27"/>
        <v>0.54838709677419351</v>
      </c>
      <c r="L142">
        <f t="shared" si="23"/>
        <v>93</v>
      </c>
      <c r="M142" s="8">
        <f t="shared" si="28"/>
        <v>3.637833484542734</v>
      </c>
      <c r="N142" s="6">
        <f t="shared" si="24"/>
        <v>3.6447246694888125</v>
      </c>
      <c r="O142" s="8">
        <f t="shared" si="31"/>
        <v>246.55706224689337</v>
      </c>
      <c r="P142" s="8">
        <f t="shared" si="32"/>
        <v>242.77712157241695</v>
      </c>
      <c r="Q142" s="8">
        <f t="shared" si="30"/>
        <v>3.6447246694888125</v>
      </c>
      <c r="T142" s="8">
        <f t="shared" si="22"/>
        <v>3.6447246694888125</v>
      </c>
    </row>
    <row r="143" spans="2:20" x14ac:dyDescent="0.2">
      <c r="B143">
        <f t="shared" si="29"/>
        <v>140</v>
      </c>
      <c r="C143">
        <f t="shared" si="25"/>
        <v>31</v>
      </c>
      <c r="D143">
        <v>122</v>
      </c>
      <c r="E143">
        <v>153</v>
      </c>
      <c r="F143">
        <f>PMSPLINE!F$8</f>
        <v>2.7280778879385563</v>
      </c>
      <c r="G143">
        <f>PMSPLINE!F$9</f>
        <v>4.387043975863822</v>
      </c>
      <c r="H143">
        <f>PMSPLINE!K$8</f>
        <v>1.2413184464683761E-3</v>
      </c>
      <c r="I143">
        <f>PMSPLINE!K$9</f>
        <v>-1.2759349581273509E-3</v>
      </c>
      <c r="J143">
        <f t="shared" si="26"/>
        <v>0.41935483870967744</v>
      </c>
      <c r="K143">
        <f t="shared" si="27"/>
        <v>0.58064516129032262</v>
      </c>
      <c r="L143">
        <f t="shared" si="23"/>
        <v>94</v>
      </c>
      <c r="M143" s="8">
        <f t="shared" si="28"/>
        <v>3.6913485196370983</v>
      </c>
      <c r="N143" s="6">
        <f t="shared" si="24"/>
        <v>3.7012907535352157</v>
      </c>
      <c r="O143" s="8">
        <f t="shared" si="31"/>
        <v>250.24841076653047</v>
      </c>
      <c r="P143" s="8">
        <f t="shared" si="32"/>
        <v>246.47841232595215</v>
      </c>
      <c r="Q143" s="8">
        <f t="shared" si="30"/>
        <v>3.7012907535352157</v>
      </c>
      <c r="T143" s="8">
        <f t="shared" si="22"/>
        <v>3.7012907535352157</v>
      </c>
    </row>
    <row r="144" spans="2:20" x14ac:dyDescent="0.2">
      <c r="B144">
        <f t="shared" si="29"/>
        <v>141</v>
      </c>
      <c r="C144">
        <f t="shared" si="25"/>
        <v>31</v>
      </c>
      <c r="D144">
        <v>122</v>
      </c>
      <c r="E144">
        <v>153</v>
      </c>
      <c r="F144">
        <f>PMSPLINE!F$8</f>
        <v>2.7280778879385563</v>
      </c>
      <c r="G144">
        <f>PMSPLINE!F$9</f>
        <v>4.387043975863822</v>
      </c>
      <c r="H144">
        <f>PMSPLINE!K$8</f>
        <v>1.2413184464683761E-3</v>
      </c>
      <c r="I144">
        <f>PMSPLINE!K$9</f>
        <v>-1.2759349581273509E-3</v>
      </c>
      <c r="J144">
        <f t="shared" si="26"/>
        <v>0.38709677419354838</v>
      </c>
      <c r="K144">
        <f t="shared" si="27"/>
        <v>0.61290322580645162</v>
      </c>
      <c r="L144">
        <f t="shared" si="23"/>
        <v>95</v>
      </c>
      <c r="M144" s="8">
        <f t="shared" si="28"/>
        <v>3.7448635547314613</v>
      </c>
      <c r="N144" s="6">
        <f t="shared" si="24"/>
        <v>3.7576365250189658</v>
      </c>
      <c r="O144" s="8">
        <f t="shared" si="31"/>
        <v>253.99327432126194</v>
      </c>
      <c r="P144" s="8">
        <f t="shared" si="32"/>
        <v>250.23604885097112</v>
      </c>
      <c r="Q144" s="8">
        <f t="shared" si="30"/>
        <v>3.7576365250189658</v>
      </c>
      <c r="T144" s="8">
        <f t="shared" si="22"/>
        <v>3.7576365250189658</v>
      </c>
    </row>
    <row r="145" spans="1:20" x14ac:dyDescent="0.2">
      <c r="B145">
        <f t="shared" si="29"/>
        <v>142</v>
      </c>
      <c r="C145">
        <f t="shared" si="25"/>
        <v>31</v>
      </c>
      <c r="D145">
        <v>122</v>
      </c>
      <c r="E145">
        <v>153</v>
      </c>
      <c r="F145">
        <f>PMSPLINE!F$8</f>
        <v>2.7280778879385563</v>
      </c>
      <c r="G145">
        <f>PMSPLINE!F$9</f>
        <v>4.387043975863822</v>
      </c>
      <c r="H145">
        <f>PMSPLINE!K$8</f>
        <v>1.2413184464683761E-3</v>
      </c>
      <c r="I145">
        <f>PMSPLINE!K$9</f>
        <v>-1.2759349581273509E-3</v>
      </c>
      <c r="J145">
        <f t="shared" si="26"/>
        <v>0.35483870967741937</v>
      </c>
      <c r="K145">
        <f t="shared" si="27"/>
        <v>0.64516129032258063</v>
      </c>
      <c r="L145">
        <f t="shared" si="23"/>
        <v>96</v>
      </c>
      <c r="M145" s="8">
        <f t="shared" si="28"/>
        <v>3.7983785898258247</v>
      </c>
      <c r="N145" s="6">
        <f t="shared" si="24"/>
        <v>3.813680782217336</v>
      </c>
      <c r="O145" s="8">
        <f t="shared" si="31"/>
        <v>257.79165291108774</v>
      </c>
      <c r="P145" s="8">
        <f t="shared" si="32"/>
        <v>254.04972963318846</v>
      </c>
      <c r="Q145" s="8">
        <f t="shared" si="30"/>
        <v>3.813680782217336</v>
      </c>
      <c r="T145" s="8">
        <f t="shared" si="22"/>
        <v>3.813680782217336</v>
      </c>
    </row>
    <row r="146" spans="1:20" x14ac:dyDescent="0.2">
      <c r="B146">
        <f t="shared" si="29"/>
        <v>143</v>
      </c>
      <c r="C146">
        <f t="shared" si="25"/>
        <v>31</v>
      </c>
      <c r="D146">
        <v>122</v>
      </c>
      <c r="E146">
        <v>153</v>
      </c>
      <c r="F146">
        <f>PMSPLINE!F$8</f>
        <v>2.7280778879385563</v>
      </c>
      <c r="G146">
        <f>PMSPLINE!F$9</f>
        <v>4.387043975863822</v>
      </c>
      <c r="H146">
        <f>PMSPLINE!K$8</f>
        <v>1.2413184464683761E-3</v>
      </c>
      <c r="I146">
        <f>PMSPLINE!K$9</f>
        <v>-1.2759349581273509E-3</v>
      </c>
      <c r="J146">
        <f t="shared" si="26"/>
        <v>0.32258064516129031</v>
      </c>
      <c r="K146">
        <f t="shared" si="27"/>
        <v>0.67741935483870963</v>
      </c>
      <c r="L146">
        <f t="shared" si="23"/>
        <v>97</v>
      </c>
      <c r="M146" s="8">
        <f t="shared" si="28"/>
        <v>3.8518936249201881</v>
      </c>
      <c r="N146" s="6">
        <f t="shared" si="24"/>
        <v>3.8693423234075963</v>
      </c>
      <c r="O146" s="8">
        <f t="shared" si="31"/>
        <v>261.64354653600793</v>
      </c>
      <c r="P146" s="8">
        <f t="shared" si="32"/>
        <v>257.91907195659604</v>
      </c>
      <c r="Q146" s="8">
        <f t="shared" si="30"/>
        <v>3.8693423234075963</v>
      </c>
      <c r="T146" s="8">
        <f t="shared" si="22"/>
        <v>3.8693423234075963</v>
      </c>
    </row>
    <row r="147" spans="1:20" x14ac:dyDescent="0.2">
      <c r="B147">
        <f t="shared" si="29"/>
        <v>144</v>
      </c>
      <c r="C147">
        <f t="shared" si="25"/>
        <v>31</v>
      </c>
      <c r="D147">
        <v>122</v>
      </c>
      <c r="E147">
        <v>153</v>
      </c>
      <c r="F147">
        <f>PMSPLINE!F$8</f>
        <v>2.7280778879385563</v>
      </c>
      <c r="G147">
        <f>PMSPLINE!F$9</f>
        <v>4.387043975863822</v>
      </c>
      <c r="H147">
        <f>PMSPLINE!K$8</f>
        <v>1.2413184464683761E-3</v>
      </c>
      <c r="I147">
        <f>PMSPLINE!K$9</f>
        <v>-1.2759349581273509E-3</v>
      </c>
      <c r="J147">
        <f t="shared" si="26"/>
        <v>0.29032258064516131</v>
      </c>
      <c r="K147">
        <f t="shared" si="27"/>
        <v>0.70967741935483875</v>
      </c>
      <c r="L147">
        <f t="shared" si="23"/>
        <v>98</v>
      </c>
      <c r="M147" s="8">
        <f t="shared" si="28"/>
        <v>3.9054086600145514</v>
      </c>
      <c r="N147" s="6">
        <f t="shared" si="24"/>
        <v>3.9245399468670183</v>
      </c>
      <c r="O147" s="8">
        <f t="shared" si="31"/>
        <v>265.54895519602246</v>
      </c>
      <c r="P147" s="8">
        <f t="shared" si="32"/>
        <v>261.84361190346306</v>
      </c>
      <c r="Q147" s="8">
        <f t="shared" si="30"/>
        <v>3.9245399468670183</v>
      </c>
      <c r="T147" s="8">
        <f t="shared" si="22"/>
        <v>3.9245399468670183</v>
      </c>
    </row>
    <row r="148" spans="1:20" x14ac:dyDescent="0.2">
      <c r="B148">
        <f t="shared" si="29"/>
        <v>145</v>
      </c>
      <c r="C148">
        <f t="shared" si="25"/>
        <v>31</v>
      </c>
      <c r="D148">
        <v>122</v>
      </c>
      <c r="E148">
        <v>153</v>
      </c>
      <c r="F148">
        <f>PMSPLINE!F$8</f>
        <v>2.7280778879385563</v>
      </c>
      <c r="G148">
        <f>PMSPLINE!F$9</f>
        <v>4.387043975863822</v>
      </c>
      <c r="H148">
        <f>PMSPLINE!K$8</f>
        <v>1.2413184464683761E-3</v>
      </c>
      <c r="I148">
        <f>PMSPLINE!K$9</f>
        <v>-1.2759349581273509E-3</v>
      </c>
      <c r="J148">
        <f t="shared" si="26"/>
        <v>0.25806451612903225</v>
      </c>
      <c r="K148">
        <f t="shared" si="27"/>
        <v>0.74193548387096775</v>
      </c>
      <c r="L148">
        <f t="shared" si="23"/>
        <v>99</v>
      </c>
      <c r="M148" s="8">
        <f t="shared" si="28"/>
        <v>3.9589236951089148</v>
      </c>
      <c r="N148" s="6">
        <f t="shared" si="24"/>
        <v>3.9791924508728735</v>
      </c>
      <c r="O148" s="8">
        <f t="shared" si="31"/>
        <v>269.50787889113138</v>
      </c>
      <c r="P148" s="8">
        <f t="shared" si="32"/>
        <v>265.82280435433591</v>
      </c>
      <c r="Q148" s="8">
        <f t="shared" si="30"/>
        <v>3.9791924508728735</v>
      </c>
      <c r="T148" s="8">
        <f t="shared" si="22"/>
        <v>3.9791924508728735</v>
      </c>
    </row>
    <row r="149" spans="1:20" x14ac:dyDescent="0.2">
      <c r="B149">
        <f t="shared" si="29"/>
        <v>146</v>
      </c>
      <c r="C149">
        <f t="shared" si="25"/>
        <v>31</v>
      </c>
      <c r="D149">
        <v>122</v>
      </c>
      <c r="E149">
        <v>153</v>
      </c>
      <c r="F149">
        <f>PMSPLINE!F$8</f>
        <v>2.7280778879385563</v>
      </c>
      <c r="G149">
        <f>PMSPLINE!F$9</f>
        <v>4.387043975863822</v>
      </c>
      <c r="H149">
        <f>PMSPLINE!K$8</f>
        <v>1.2413184464683761E-3</v>
      </c>
      <c r="I149">
        <f>PMSPLINE!K$9</f>
        <v>-1.2759349581273509E-3</v>
      </c>
      <c r="J149">
        <f t="shared" si="26"/>
        <v>0.22580645161290322</v>
      </c>
      <c r="K149">
        <f t="shared" si="27"/>
        <v>0.77419354838709675</v>
      </c>
      <c r="L149">
        <f t="shared" si="23"/>
        <v>100</v>
      </c>
      <c r="M149" s="8">
        <f t="shared" si="28"/>
        <v>4.0124387302032778</v>
      </c>
      <c r="N149" s="6">
        <f t="shared" si="24"/>
        <v>4.0332186337024316</v>
      </c>
      <c r="O149" s="8">
        <f t="shared" si="31"/>
        <v>273.52031762133464</v>
      </c>
      <c r="P149" s="8">
        <f t="shared" si="32"/>
        <v>269.85602298803832</v>
      </c>
      <c r="Q149" s="8">
        <f t="shared" si="30"/>
        <v>4.0332186337024316</v>
      </c>
      <c r="T149" s="8">
        <f t="shared" si="22"/>
        <v>4.0332186337024316</v>
      </c>
    </row>
    <row r="150" spans="1:20" x14ac:dyDescent="0.2">
      <c r="B150">
        <f t="shared" si="29"/>
        <v>147</v>
      </c>
      <c r="C150">
        <f t="shared" si="25"/>
        <v>31</v>
      </c>
      <c r="D150">
        <v>122</v>
      </c>
      <c r="E150">
        <v>153</v>
      </c>
      <c r="F150">
        <f>PMSPLINE!F$8</f>
        <v>2.7280778879385563</v>
      </c>
      <c r="G150">
        <f>PMSPLINE!F$9</f>
        <v>4.387043975863822</v>
      </c>
      <c r="H150">
        <f>PMSPLINE!K$8</f>
        <v>1.2413184464683761E-3</v>
      </c>
      <c r="I150">
        <f>PMSPLINE!K$9</f>
        <v>-1.2759349581273509E-3</v>
      </c>
      <c r="J150">
        <f t="shared" si="26"/>
        <v>0.19354838709677419</v>
      </c>
      <c r="K150">
        <f t="shared" si="27"/>
        <v>0.80645161290322576</v>
      </c>
      <c r="L150">
        <f t="shared" si="23"/>
        <v>101</v>
      </c>
      <c r="M150" s="8">
        <f t="shared" si="28"/>
        <v>4.0659537652976416</v>
      </c>
      <c r="N150" s="6">
        <f t="shared" si="24"/>
        <v>4.0865372936329658</v>
      </c>
      <c r="O150" s="8">
        <f t="shared" si="31"/>
        <v>277.58627138663229</v>
      </c>
      <c r="P150" s="8">
        <f t="shared" si="32"/>
        <v>273.94256028167126</v>
      </c>
      <c r="Q150" s="8">
        <f t="shared" si="30"/>
        <v>4.0865372936329658</v>
      </c>
      <c r="T150" s="8">
        <f t="shared" si="22"/>
        <v>4.0865372936329658</v>
      </c>
    </row>
    <row r="151" spans="1:20" x14ac:dyDescent="0.2">
      <c r="B151">
        <f t="shared" si="29"/>
        <v>148</v>
      </c>
      <c r="C151">
        <f t="shared" si="25"/>
        <v>31</v>
      </c>
      <c r="D151">
        <v>122</v>
      </c>
      <c r="E151">
        <v>153</v>
      </c>
      <c r="F151">
        <f>PMSPLINE!F$8</f>
        <v>2.7280778879385563</v>
      </c>
      <c r="G151">
        <f>PMSPLINE!F$9</f>
        <v>4.387043975863822</v>
      </c>
      <c r="H151">
        <f>PMSPLINE!K$8</f>
        <v>1.2413184464683761E-3</v>
      </c>
      <c r="I151">
        <f>PMSPLINE!K$9</f>
        <v>-1.2759349581273509E-3</v>
      </c>
      <c r="J151">
        <f t="shared" si="26"/>
        <v>0.16129032258064516</v>
      </c>
      <c r="K151">
        <f t="shared" si="27"/>
        <v>0.83870967741935487</v>
      </c>
      <c r="L151">
        <f t="shared" si="23"/>
        <v>102</v>
      </c>
      <c r="M151" s="8">
        <f t="shared" si="28"/>
        <v>4.1194688003920055</v>
      </c>
      <c r="N151" s="6">
        <f t="shared" si="24"/>
        <v>4.1390672289417454</v>
      </c>
      <c r="O151" s="8">
        <f t="shared" si="31"/>
        <v>281.70574018702428</v>
      </c>
      <c r="P151" s="8">
        <f t="shared" si="32"/>
        <v>278.08162751061303</v>
      </c>
      <c r="Q151" s="8">
        <f t="shared" si="30"/>
        <v>4.1390672289417454</v>
      </c>
      <c r="T151" s="8">
        <f t="shared" si="22"/>
        <v>4.1390672289417454</v>
      </c>
    </row>
    <row r="152" spans="1:20" x14ac:dyDescent="0.2">
      <c r="B152">
        <f t="shared" si="29"/>
        <v>149</v>
      </c>
      <c r="C152">
        <f t="shared" si="25"/>
        <v>31</v>
      </c>
      <c r="D152">
        <v>122</v>
      </c>
      <c r="E152">
        <v>153</v>
      </c>
      <c r="F152">
        <f>PMSPLINE!F$8</f>
        <v>2.7280778879385563</v>
      </c>
      <c r="G152">
        <f>PMSPLINE!F$9</f>
        <v>4.387043975863822</v>
      </c>
      <c r="H152">
        <f>PMSPLINE!K$8</f>
        <v>1.2413184464683761E-3</v>
      </c>
      <c r="I152">
        <f>PMSPLINE!K$9</f>
        <v>-1.2759349581273509E-3</v>
      </c>
      <c r="J152">
        <f t="shared" si="26"/>
        <v>0.12903225806451613</v>
      </c>
      <c r="K152">
        <f t="shared" si="27"/>
        <v>0.87096774193548387</v>
      </c>
      <c r="L152">
        <f t="shared" si="23"/>
        <v>103</v>
      </c>
      <c r="M152" s="8">
        <f t="shared" si="28"/>
        <v>4.1729838354863684</v>
      </c>
      <c r="N152" s="6">
        <f t="shared" si="24"/>
        <v>4.1907272379060423</v>
      </c>
      <c r="O152" s="8">
        <f t="shared" si="31"/>
        <v>285.87872402251065</v>
      </c>
      <c r="P152" s="8">
        <f t="shared" si="32"/>
        <v>282.27235474851909</v>
      </c>
      <c r="Q152" s="8">
        <f t="shared" si="30"/>
        <v>4.1907272379060423</v>
      </c>
      <c r="T152" s="8">
        <f t="shared" si="22"/>
        <v>4.1907272379060423</v>
      </c>
    </row>
    <row r="153" spans="1:20" x14ac:dyDescent="0.2">
      <c r="B153">
        <f t="shared" si="29"/>
        <v>150</v>
      </c>
      <c r="C153">
        <f t="shared" si="25"/>
        <v>31</v>
      </c>
      <c r="D153">
        <v>122</v>
      </c>
      <c r="E153">
        <v>153</v>
      </c>
      <c r="F153">
        <f>PMSPLINE!F$8</f>
        <v>2.7280778879385563</v>
      </c>
      <c r="G153">
        <f>PMSPLINE!F$9</f>
        <v>4.387043975863822</v>
      </c>
      <c r="H153">
        <f>PMSPLINE!K$8</f>
        <v>1.2413184464683761E-3</v>
      </c>
      <c r="I153">
        <f>PMSPLINE!K$9</f>
        <v>-1.2759349581273509E-3</v>
      </c>
      <c r="J153">
        <f t="shared" si="26"/>
        <v>9.6774193548387094E-2</v>
      </c>
      <c r="K153">
        <f t="shared" si="27"/>
        <v>0.90322580645161288</v>
      </c>
      <c r="L153">
        <f t="shared" si="23"/>
        <v>104</v>
      </c>
      <c r="M153" s="8">
        <f t="shared" si="28"/>
        <v>4.2264988705807314</v>
      </c>
      <c r="N153" s="6">
        <f t="shared" si="24"/>
        <v>4.2414361188031267</v>
      </c>
      <c r="O153" s="8">
        <f t="shared" si="31"/>
        <v>290.10522289309137</v>
      </c>
      <c r="P153" s="8">
        <f t="shared" si="32"/>
        <v>286.5137908673222</v>
      </c>
      <c r="Q153" s="8">
        <f t="shared" si="30"/>
        <v>4.2414361188031267</v>
      </c>
      <c r="T153" s="8">
        <f t="shared" si="22"/>
        <v>4.2414361188031267</v>
      </c>
    </row>
    <row r="154" spans="1:20" x14ac:dyDescent="0.2">
      <c r="B154">
        <f t="shared" si="29"/>
        <v>151</v>
      </c>
      <c r="C154">
        <f t="shared" si="25"/>
        <v>31</v>
      </c>
      <c r="D154">
        <v>122</v>
      </c>
      <c r="E154">
        <v>153</v>
      </c>
      <c r="F154">
        <f>PMSPLINE!F$8</f>
        <v>2.7280778879385563</v>
      </c>
      <c r="G154">
        <f>PMSPLINE!F$9</f>
        <v>4.387043975863822</v>
      </c>
      <c r="H154">
        <f>PMSPLINE!K$8</f>
        <v>1.2413184464683761E-3</v>
      </c>
      <c r="I154">
        <f>PMSPLINE!K$9</f>
        <v>-1.2759349581273509E-3</v>
      </c>
      <c r="J154">
        <f t="shared" si="26"/>
        <v>6.4516129032258063E-2</v>
      </c>
      <c r="K154">
        <f t="shared" si="27"/>
        <v>0.93548387096774188</v>
      </c>
      <c r="L154">
        <f t="shared" si="23"/>
        <v>105</v>
      </c>
      <c r="M154" s="8">
        <f t="shared" si="28"/>
        <v>4.2800139056750952</v>
      </c>
      <c r="N154" s="6">
        <f t="shared" si="24"/>
        <v>4.2911126699102713</v>
      </c>
      <c r="O154" s="8">
        <f t="shared" si="31"/>
        <v>294.38523679876647</v>
      </c>
      <c r="P154" s="8">
        <f t="shared" si="32"/>
        <v>290.80490353723246</v>
      </c>
      <c r="Q154" s="8">
        <f t="shared" si="30"/>
        <v>4.2911126699102713</v>
      </c>
      <c r="T154" s="8">
        <f t="shared" si="22"/>
        <v>4.2911126699102713</v>
      </c>
    </row>
    <row r="155" spans="1:20" x14ac:dyDescent="0.2">
      <c r="B155">
        <f t="shared" si="29"/>
        <v>152</v>
      </c>
      <c r="C155">
        <f t="shared" si="25"/>
        <v>31</v>
      </c>
      <c r="D155">
        <v>122</v>
      </c>
      <c r="E155">
        <v>153</v>
      </c>
      <c r="F155">
        <f>PMSPLINE!F$8</f>
        <v>2.7280778879385563</v>
      </c>
      <c r="G155">
        <f>PMSPLINE!F$9</f>
        <v>4.387043975863822</v>
      </c>
      <c r="H155">
        <f>PMSPLINE!K$8</f>
        <v>1.2413184464683761E-3</v>
      </c>
      <c r="I155">
        <f>PMSPLINE!K$9</f>
        <v>-1.2759349581273509E-3</v>
      </c>
      <c r="J155">
        <f t="shared" si="26"/>
        <v>3.2258064516129031E-2</v>
      </c>
      <c r="K155">
        <f t="shared" si="27"/>
        <v>0.967741935483871</v>
      </c>
      <c r="L155">
        <f t="shared" si="23"/>
        <v>106</v>
      </c>
      <c r="M155" s="8">
        <f t="shared" si="28"/>
        <v>4.333528940769459</v>
      </c>
      <c r="N155" s="6">
        <f t="shared" si="24"/>
        <v>4.3396756895047464</v>
      </c>
      <c r="O155" s="8">
        <f t="shared" si="31"/>
        <v>298.71876573953591</v>
      </c>
      <c r="P155" s="8">
        <f t="shared" si="32"/>
        <v>295.14457922673722</v>
      </c>
      <c r="Q155" s="8">
        <f t="shared" si="30"/>
        <v>4.3396756895047464</v>
      </c>
      <c r="T155" s="8">
        <f t="shared" si="22"/>
        <v>4.3396756895047464</v>
      </c>
    </row>
    <row r="156" spans="1:20" x14ac:dyDescent="0.2">
      <c r="A156">
        <v>153</v>
      </c>
      <c r="B156">
        <f t="shared" si="29"/>
        <v>153</v>
      </c>
      <c r="C156">
        <f t="shared" si="25"/>
        <v>31</v>
      </c>
      <c r="D156">
        <v>122</v>
      </c>
      <c r="E156">
        <v>153</v>
      </c>
      <c r="F156">
        <f>PMSPLINE!F$8</f>
        <v>2.7280778879385563</v>
      </c>
      <c r="G156">
        <f>PMSPLINE!F$9</f>
        <v>4.387043975863822</v>
      </c>
      <c r="H156">
        <f>PMSPLINE!K$8</f>
        <v>1.2413184464683761E-3</v>
      </c>
      <c r="I156">
        <f>PMSPLINE!K$9</f>
        <v>-1.2759349581273509E-3</v>
      </c>
      <c r="J156">
        <f t="shared" si="26"/>
        <v>0</v>
      </c>
      <c r="K156">
        <f t="shared" si="27"/>
        <v>1</v>
      </c>
      <c r="L156">
        <f t="shared" si="23"/>
        <v>107</v>
      </c>
      <c r="M156" s="8">
        <f t="shared" si="28"/>
        <v>4.387043975863822</v>
      </c>
      <c r="N156" s="6">
        <f t="shared" si="24"/>
        <v>4.387043975863822</v>
      </c>
      <c r="O156" s="8">
        <f t="shared" si="31"/>
        <v>303.10580971539974</v>
      </c>
      <c r="P156" s="8">
        <f t="shared" si="32"/>
        <v>299.53162320260105</v>
      </c>
      <c r="Q156" s="8">
        <f t="shared" si="30"/>
        <v>4.387043975863822</v>
      </c>
      <c r="T156" s="8">
        <f t="shared" si="22"/>
        <v>4.387043975863822</v>
      </c>
    </row>
    <row r="157" spans="1:20" x14ac:dyDescent="0.2">
      <c r="B157">
        <f t="shared" si="29"/>
        <v>154</v>
      </c>
      <c r="C157">
        <f t="shared" si="25"/>
        <v>30</v>
      </c>
      <c r="D157">
        <v>153</v>
      </c>
      <c r="E157">
        <v>183</v>
      </c>
      <c r="F157">
        <f>PMSPLINE!F$9</f>
        <v>4.387043975863822</v>
      </c>
      <c r="G157">
        <f>PMSPLINE!F$10</f>
        <v>5.527760076387521</v>
      </c>
      <c r="H157" s="10">
        <f>PMSPLINE!K$9</f>
        <v>-1.2759349581273509E-3</v>
      </c>
      <c r="I157" s="10">
        <f>PMSPLINE!K$10</f>
        <v>8.0787341965255096E-4</v>
      </c>
      <c r="J157">
        <f t="shared" si="26"/>
        <v>0.96666666666666667</v>
      </c>
      <c r="K157">
        <f t="shared" si="27"/>
        <v>3.3333333333333333E-2</v>
      </c>
      <c r="L157">
        <f t="shared" si="23"/>
        <v>108</v>
      </c>
      <c r="M157" s="8">
        <f t="shared" si="28"/>
        <v>4.4250678458812791</v>
      </c>
      <c r="N157" s="6">
        <f t="shared" si="24"/>
        <v>4.4331614375984358</v>
      </c>
      <c r="O157" s="8">
        <f t="shared" si="31"/>
        <v>307.53087756128105</v>
      </c>
      <c r="P157" s="8">
        <f t="shared" si="32"/>
        <v>303.96478464019947</v>
      </c>
      <c r="Q157" s="8">
        <f t="shared" si="30"/>
        <v>4.4331614375984358</v>
      </c>
      <c r="T157" s="8">
        <f t="shared" si="22"/>
        <v>4.4331614375984358</v>
      </c>
    </row>
    <row r="158" spans="1:20" x14ac:dyDescent="0.2">
      <c r="B158">
        <f t="shared" si="29"/>
        <v>155</v>
      </c>
      <c r="C158">
        <f t="shared" si="25"/>
        <v>30</v>
      </c>
      <c r="D158">
        <v>153</v>
      </c>
      <c r="E158">
        <v>183</v>
      </c>
      <c r="F158">
        <f>PMSPLINE!F$9</f>
        <v>4.387043975863822</v>
      </c>
      <c r="G158">
        <f>PMSPLINE!F$10</f>
        <v>5.527760076387521</v>
      </c>
      <c r="H158" s="10">
        <f>PMSPLINE!K$9</f>
        <v>-1.2759349581273509E-3</v>
      </c>
      <c r="I158" s="10">
        <f>PMSPLINE!K$10</f>
        <v>8.0787341965255096E-4</v>
      </c>
      <c r="J158">
        <f t="shared" si="26"/>
        <v>0.93333333333333335</v>
      </c>
      <c r="K158">
        <f t="shared" si="27"/>
        <v>6.6666666666666666E-2</v>
      </c>
      <c r="L158">
        <f t="shared" si="23"/>
        <v>109</v>
      </c>
      <c r="M158" s="8">
        <f t="shared" si="28"/>
        <v>4.4630917158987353</v>
      </c>
      <c r="N158" s="6">
        <f t="shared" si="24"/>
        <v>4.4780724246541812</v>
      </c>
      <c r="O158" s="8">
        <f t="shared" si="31"/>
        <v>311.99396927717976</v>
      </c>
      <c r="P158" s="8">
        <f t="shared" si="32"/>
        <v>308.44285706485363</v>
      </c>
      <c r="Q158" s="8">
        <f t="shared" si="30"/>
        <v>4.4780724246541812</v>
      </c>
      <c r="T158" s="8">
        <f t="shared" si="22"/>
        <v>4.4780724246541812</v>
      </c>
    </row>
    <row r="159" spans="1:20" x14ac:dyDescent="0.2">
      <c r="B159">
        <f t="shared" si="29"/>
        <v>156</v>
      </c>
      <c r="C159">
        <f t="shared" si="25"/>
        <v>30</v>
      </c>
      <c r="D159">
        <v>153</v>
      </c>
      <c r="E159">
        <v>183</v>
      </c>
      <c r="F159">
        <f>PMSPLINE!F$9</f>
        <v>4.387043975863822</v>
      </c>
      <c r="G159">
        <f>PMSPLINE!F$10</f>
        <v>5.527760076387521</v>
      </c>
      <c r="H159" s="10">
        <f>PMSPLINE!K$9</f>
        <v>-1.2759349581273509E-3</v>
      </c>
      <c r="I159" s="10">
        <f>PMSPLINE!K$10</f>
        <v>8.0787341965255096E-4</v>
      </c>
      <c r="J159">
        <f t="shared" si="26"/>
        <v>0.9</v>
      </c>
      <c r="K159">
        <f t="shared" si="27"/>
        <v>0.1</v>
      </c>
      <c r="L159">
        <f t="shared" si="23"/>
        <v>110</v>
      </c>
      <c r="M159" s="8">
        <f t="shared" si="28"/>
        <v>4.5011155859161924</v>
      </c>
      <c r="N159" s="6">
        <f t="shared" si="24"/>
        <v>4.5218463973103189</v>
      </c>
      <c r="O159" s="8">
        <f t="shared" si="31"/>
        <v>316.49508486309594</v>
      </c>
      <c r="P159" s="8">
        <f t="shared" si="32"/>
        <v>312.96470346216392</v>
      </c>
      <c r="Q159" s="8">
        <f t="shared" si="30"/>
        <v>4.5218463973103189</v>
      </c>
      <c r="T159" s="8">
        <f t="shared" si="22"/>
        <v>4.5218463973103189</v>
      </c>
    </row>
    <row r="160" spans="1:20" x14ac:dyDescent="0.2">
      <c r="B160">
        <f t="shared" si="29"/>
        <v>157</v>
      </c>
      <c r="C160">
        <f t="shared" si="25"/>
        <v>30</v>
      </c>
      <c r="D160">
        <v>153</v>
      </c>
      <c r="E160">
        <v>183</v>
      </c>
      <c r="F160">
        <f>PMSPLINE!F$9</f>
        <v>4.387043975863822</v>
      </c>
      <c r="G160">
        <f>PMSPLINE!F$10</f>
        <v>5.527760076387521</v>
      </c>
      <c r="H160" s="10">
        <f>PMSPLINE!K$9</f>
        <v>-1.2759349581273509E-3</v>
      </c>
      <c r="I160" s="10">
        <f>PMSPLINE!K$10</f>
        <v>8.0787341965255096E-4</v>
      </c>
      <c r="J160">
        <f t="shared" si="26"/>
        <v>0.8666666666666667</v>
      </c>
      <c r="K160">
        <f t="shared" si="27"/>
        <v>0.13333333333333333</v>
      </c>
      <c r="L160">
        <f t="shared" si="23"/>
        <v>111</v>
      </c>
      <c r="M160" s="8">
        <f t="shared" si="28"/>
        <v>4.5391394559336486</v>
      </c>
      <c r="N160" s="6">
        <f t="shared" si="24"/>
        <v>4.5645528158461053</v>
      </c>
      <c r="O160" s="8">
        <f t="shared" si="31"/>
        <v>321.03422431902959</v>
      </c>
      <c r="P160" s="8">
        <f t="shared" si="32"/>
        <v>317.52925627801005</v>
      </c>
      <c r="Q160" s="8">
        <f t="shared" si="30"/>
        <v>4.5645528158461053</v>
      </c>
      <c r="T160" s="8">
        <f t="shared" si="22"/>
        <v>4.5645528158461053</v>
      </c>
    </row>
    <row r="161" spans="2:20" x14ac:dyDescent="0.2">
      <c r="B161">
        <f t="shared" si="29"/>
        <v>158</v>
      </c>
      <c r="C161">
        <f t="shared" si="25"/>
        <v>30</v>
      </c>
      <c r="D161">
        <v>153</v>
      </c>
      <c r="E161">
        <v>183</v>
      </c>
      <c r="F161">
        <f>PMSPLINE!F$9</f>
        <v>4.387043975863822</v>
      </c>
      <c r="G161">
        <f>PMSPLINE!F$10</f>
        <v>5.527760076387521</v>
      </c>
      <c r="H161" s="10">
        <f>PMSPLINE!K$9</f>
        <v>-1.2759349581273509E-3</v>
      </c>
      <c r="I161" s="10">
        <f>PMSPLINE!K$10</f>
        <v>8.0787341965255096E-4</v>
      </c>
      <c r="J161">
        <f t="shared" si="26"/>
        <v>0.83333333333333337</v>
      </c>
      <c r="K161">
        <f t="shared" si="27"/>
        <v>0.16666666666666666</v>
      </c>
      <c r="L161">
        <f t="shared" si="23"/>
        <v>112</v>
      </c>
      <c r="M161" s="8">
        <f t="shared" si="28"/>
        <v>4.5771633259511058</v>
      </c>
      <c r="N161" s="6">
        <f t="shared" si="24"/>
        <v>4.6062611405408038</v>
      </c>
      <c r="O161" s="8">
        <f t="shared" si="31"/>
        <v>325.61138764498071</v>
      </c>
      <c r="P161" s="8">
        <f t="shared" si="32"/>
        <v>322.13551741855088</v>
      </c>
      <c r="Q161" s="8">
        <f t="shared" si="30"/>
        <v>4.6062611405408038</v>
      </c>
      <c r="T161" s="8">
        <f t="shared" si="22"/>
        <v>4.6062611405408038</v>
      </c>
    </row>
    <row r="162" spans="2:20" x14ac:dyDescent="0.2">
      <c r="B162">
        <f t="shared" si="29"/>
        <v>159</v>
      </c>
      <c r="C162">
        <f t="shared" si="25"/>
        <v>30</v>
      </c>
      <c r="D162">
        <v>153</v>
      </c>
      <c r="E162">
        <v>183</v>
      </c>
      <c r="F162">
        <f>PMSPLINE!F$9</f>
        <v>4.387043975863822</v>
      </c>
      <c r="G162">
        <f>PMSPLINE!F$10</f>
        <v>5.527760076387521</v>
      </c>
      <c r="H162" s="10">
        <f>PMSPLINE!K$9</f>
        <v>-1.2759349581273509E-3</v>
      </c>
      <c r="I162" s="10">
        <f>PMSPLINE!K$10</f>
        <v>8.0787341965255096E-4</v>
      </c>
      <c r="J162">
        <f t="shared" si="26"/>
        <v>0.8</v>
      </c>
      <c r="K162">
        <f t="shared" si="27"/>
        <v>0.2</v>
      </c>
      <c r="L162">
        <f t="shared" si="23"/>
        <v>113</v>
      </c>
      <c r="M162" s="8">
        <f t="shared" si="28"/>
        <v>4.615187195968562</v>
      </c>
      <c r="N162" s="6">
        <f t="shared" si="24"/>
        <v>4.64704083167367</v>
      </c>
      <c r="O162" s="8">
        <f t="shared" si="31"/>
        <v>330.2265748409493</v>
      </c>
      <c r="P162" s="8">
        <f t="shared" si="32"/>
        <v>326.78255825022455</v>
      </c>
      <c r="Q162" s="8">
        <f t="shared" si="30"/>
        <v>4.64704083167367</v>
      </c>
      <c r="T162" s="8">
        <f t="shared" si="22"/>
        <v>4.64704083167367</v>
      </c>
    </row>
    <row r="163" spans="2:20" x14ac:dyDescent="0.2">
      <c r="B163">
        <f t="shared" si="29"/>
        <v>160</v>
      </c>
      <c r="C163">
        <f t="shared" si="25"/>
        <v>30</v>
      </c>
      <c r="D163">
        <v>153</v>
      </c>
      <c r="E163">
        <v>183</v>
      </c>
      <c r="F163">
        <f>PMSPLINE!F$9</f>
        <v>4.387043975863822</v>
      </c>
      <c r="G163">
        <f>PMSPLINE!F$10</f>
        <v>5.527760076387521</v>
      </c>
      <c r="H163" s="10">
        <f>PMSPLINE!K$9</f>
        <v>-1.2759349581273509E-3</v>
      </c>
      <c r="I163" s="10">
        <f>PMSPLINE!K$10</f>
        <v>8.0787341965255096E-4</v>
      </c>
      <c r="J163">
        <f t="shared" si="26"/>
        <v>0.76666666666666672</v>
      </c>
      <c r="K163">
        <f t="shared" si="27"/>
        <v>0.23333333333333334</v>
      </c>
      <c r="L163">
        <f t="shared" si="23"/>
        <v>114</v>
      </c>
      <c r="M163" s="8">
        <f t="shared" si="28"/>
        <v>4.6532110659860191</v>
      </c>
      <c r="N163" s="6">
        <f t="shared" si="24"/>
        <v>4.6869613495239664</v>
      </c>
      <c r="O163" s="8">
        <f t="shared" si="31"/>
        <v>334.8797859069353</v>
      </c>
      <c r="P163" s="8">
        <f t="shared" si="32"/>
        <v>331.46951959974854</v>
      </c>
      <c r="Q163" s="8">
        <f t="shared" si="30"/>
        <v>4.6869613495239664</v>
      </c>
      <c r="T163" s="8">
        <f t="shared" si="22"/>
        <v>4.6869613495239664</v>
      </c>
    </row>
    <row r="164" spans="2:20" x14ac:dyDescent="0.2">
      <c r="B164">
        <f t="shared" si="29"/>
        <v>161</v>
      </c>
      <c r="C164">
        <f t="shared" si="25"/>
        <v>30</v>
      </c>
      <c r="D164">
        <v>153</v>
      </c>
      <c r="E164">
        <v>183</v>
      </c>
      <c r="F164">
        <f>PMSPLINE!F$9</f>
        <v>4.387043975863822</v>
      </c>
      <c r="G164">
        <f>PMSPLINE!F$10</f>
        <v>5.527760076387521</v>
      </c>
      <c r="H164" s="10">
        <f>PMSPLINE!K$9</f>
        <v>-1.2759349581273509E-3</v>
      </c>
      <c r="I164" s="10">
        <f>PMSPLINE!K$10</f>
        <v>8.0787341965255096E-4</v>
      </c>
      <c r="J164">
        <f t="shared" si="26"/>
        <v>0.73333333333333328</v>
      </c>
      <c r="K164">
        <f t="shared" si="27"/>
        <v>0.26666666666666666</v>
      </c>
      <c r="L164">
        <f t="shared" si="23"/>
        <v>115</v>
      </c>
      <c r="M164" s="8">
        <f t="shared" si="28"/>
        <v>4.6912349360034744</v>
      </c>
      <c r="N164" s="6">
        <f t="shared" si="24"/>
        <v>4.7260921543709484</v>
      </c>
      <c r="O164" s="8">
        <f t="shared" si="31"/>
        <v>339.57102084293876</v>
      </c>
      <c r="P164" s="8">
        <f t="shared" si="32"/>
        <v>336.19561175411951</v>
      </c>
      <c r="Q164" s="8">
        <f t="shared" si="30"/>
        <v>4.7260921543709484</v>
      </c>
      <c r="T164" s="8">
        <f t="shared" si="22"/>
        <v>4.7260921543709484</v>
      </c>
    </row>
    <row r="165" spans="2:20" x14ac:dyDescent="0.2">
      <c r="B165">
        <f t="shared" si="29"/>
        <v>162</v>
      </c>
      <c r="C165">
        <f t="shared" si="25"/>
        <v>30</v>
      </c>
      <c r="D165">
        <v>153</v>
      </c>
      <c r="E165">
        <v>183</v>
      </c>
      <c r="F165">
        <f>PMSPLINE!F$9</f>
        <v>4.387043975863822</v>
      </c>
      <c r="G165">
        <f>PMSPLINE!F$10</f>
        <v>5.527760076387521</v>
      </c>
      <c r="H165" s="10">
        <f>PMSPLINE!K$9</f>
        <v>-1.2759349581273509E-3</v>
      </c>
      <c r="I165" s="10">
        <f>PMSPLINE!K$10</f>
        <v>8.0787341965255096E-4</v>
      </c>
      <c r="J165">
        <f t="shared" si="26"/>
        <v>0.7</v>
      </c>
      <c r="K165">
        <f t="shared" si="27"/>
        <v>0.3</v>
      </c>
      <c r="L165">
        <f t="shared" si="23"/>
        <v>116</v>
      </c>
      <c r="M165" s="8">
        <f t="shared" si="28"/>
        <v>4.7292588060209315</v>
      </c>
      <c r="N165" s="6">
        <f t="shared" si="24"/>
        <v>4.7645027064938796</v>
      </c>
      <c r="O165" s="8">
        <f t="shared" si="31"/>
        <v>344.3002796489597</v>
      </c>
      <c r="P165" s="8">
        <f t="shared" si="32"/>
        <v>340.9601144606134</v>
      </c>
      <c r="Q165" s="8">
        <f t="shared" si="30"/>
        <v>4.7645027064938796</v>
      </c>
      <c r="T165" s="8">
        <f t="shared" si="22"/>
        <v>4.7645027064938796</v>
      </c>
    </row>
    <row r="166" spans="2:20" x14ac:dyDescent="0.2">
      <c r="B166">
        <f t="shared" si="29"/>
        <v>163</v>
      </c>
      <c r="C166">
        <f t="shared" si="25"/>
        <v>30</v>
      </c>
      <c r="D166">
        <v>153</v>
      </c>
      <c r="E166">
        <v>183</v>
      </c>
      <c r="F166">
        <f>PMSPLINE!F$9</f>
        <v>4.387043975863822</v>
      </c>
      <c r="G166">
        <f>PMSPLINE!F$10</f>
        <v>5.527760076387521</v>
      </c>
      <c r="H166" s="10">
        <f>PMSPLINE!K$9</f>
        <v>-1.2759349581273509E-3</v>
      </c>
      <c r="I166" s="10">
        <f>PMSPLINE!K$10</f>
        <v>8.0787341965255096E-4</v>
      </c>
      <c r="J166">
        <f t="shared" si="26"/>
        <v>0.66666666666666663</v>
      </c>
      <c r="K166">
        <f t="shared" si="27"/>
        <v>0.33333333333333331</v>
      </c>
      <c r="L166">
        <f t="shared" si="23"/>
        <v>117</v>
      </c>
      <c r="M166" s="8">
        <f t="shared" si="28"/>
        <v>4.7672826760383877</v>
      </c>
      <c r="N166" s="6">
        <f t="shared" si="24"/>
        <v>4.8022624661720164</v>
      </c>
      <c r="O166" s="8">
        <f t="shared" si="31"/>
        <v>349.06756232499811</v>
      </c>
      <c r="P166" s="8">
        <f t="shared" si="32"/>
        <v>345.76237692678541</v>
      </c>
      <c r="Q166" s="8">
        <f t="shared" si="30"/>
        <v>4.8022624661720164</v>
      </c>
      <c r="T166" s="8">
        <f t="shared" si="22"/>
        <v>4.8022624661720164</v>
      </c>
    </row>
    <row r="167" spans="2:20" x14ac:dyDescent="0.2">
      <c r="B167">
        <f t="shared" si="29"/>
        <v>164</v>
      </c>
      <c r="C167">
        <f t="shared" si="25"/>
        <v>30</v>
      </c>
      <c r="D167">
        <v>153</v>
      </c>
      <c r="E167">
        <v>183</v>
      </c>
      <c r="F167">
        <f>PMSPLINE!F$9</f>
        <v>4.387043975863822</v>
      </c>
      <c r="G167">
        <f>PMSPLINE!F$10</f>
        <v>5.527760076387521</v>
      </c>
      <c r="H167" s="10">
        <f>PMSPLINE!K$9</f>
        <v>-1.2759349581273509E-3</v>
      </c>
      <c r="I167" s="10">
        <f>PMSPLINE!K$10</f>
        <v>8.0787341965255096E-4</v>
      </c>
      <c r="J167">
        <f t="shared" si="26"/>
        <v>0.6333333333333333</v>
      </c>
      <c r="K167">
        <f t="shared" si="27"/>
        <v>0.36666666666666664</v>
      </c>
      <c r="L167">
        <f t="shared" si="23"/>
        <v>118</v>
      </c>
      <c r="M167" s="8">
        <f t="shared" si="28"/>
        <v>4.805306546055844</v>
      </c>
      <c r="N167" s="6">
        <f t="shared" si="24"/>
        <v>4.8394408936846185</v>
      </c>
      <c r="O167" s="8">
        <f t="shared" si="31"/>
        <v>353.87286887105392</v>
      </c>
      <c r="P167" s="8">
        <f t="shared" si="32"/>
        <v>350.60181782047005</v>
      </c>
      <c r="Q167" s="8">
        <f t="shared" si="30"/>
        <v>4.8394408936846185</v>
      </c>
      <c r="T167" s="8">
        <f t="shared" si="22"/>
        <v>4.8394408936846185</v>
      </c>
    </row>
    <row r="168" spans="2:20" x14ac:dyDescent="0.2">
      <c r="B168">
        <f t="shared" si="29"/>
        <v>165</v>
      </c>
      <c r="C168">
        <f t="shared" si="25"/>
        <v>30</v>
      </c>
      <c r="D168">
        <v>153</v>
      </c>
      <c r="E168">
        <v>183</v>
      </c>
      <c r="F168">
        <f>PMSPLINE!F$9</f>
        <v>4.387043975863822</v>
      </c>
      <c r="G168">
        <f>PMSPLINE!F$10</f>
        <v>5.527760076387521</v>
      </c>
      <c r="H168" s="10">
        <f>PMSPLINE!K$9</f>
        <v>-1.2759349581273509E-3</v>
      </c>
      <c r="I168" s="10">
        <f>PMSPLINE!K$10</f>
        <v>8.0787341965255096E-4</v>
      </c>
      <c r="J168">
        <f t="shared" si="26"/>
        <v>0.6</v>
      </c>
      <c r="K168">
        <f t="shared" si="27"/>
        <v>0.4</v>
      </c>
      <c r="L168">
        <f t="shared" si="23"/>
        <v>119</v>
      </c>
      <c r="M168" s="8">
        <f t="shared" si="28"/>
        <v>4.8433304160733019</v>
      </c>
      <c r="N168" s="6">
        <f t="shared" si="24"/>
        <v>4.8761074493109486</v>
      </c>
      <c r="O168" s="8">
        <f t="shared" si="31"/>
        <v>358.71619928712721</v>
      </c>
      <c r="P168" s="8">
        <f t="shared" si="32"/>
        <v>355.477925269781</v>
      </c>
      <c r="Q168" s="8">
        <f t="shared" si="30"/>
        <v>4.8761074493109486</v>
      </c>
      <c r="T168" s="8">
        <f t="shared" si="22"/>
        <v>4.8761074493109486</v>
      </c>
    </row>
    <row r="169" spans="2:20" x14ac:dyDescent="0.2">
      <c r="B169">
        <f t="shared" si="29"/>
        <v>166</v>
      </c>
      <c r="C169">
        <f t="shared" si="25"/>
        <v>30</v>
      </c>
      <c r="D169">
        <v>153</v>
      </c>
      <c r="E169">
        <v>183</v>
      </c>
      <c r="F169">
        <f>PMSPLINE!F$9</f>
        <v>4.387043975863822</v>
      </c>
      <c r="G169">
        <f>PMSPLINE!F$10</f>
        <v>5.527760076387521</v>
      </c>
      <c r="H169" s="10">
        <f>PMSPLINE!K$9</f>
        <v>-1.2759349581273509E-3</v>
      </c>
      <c r="I169" s="10">
        <f>PMSPLINE!K$10</f>
        <v>8.0787341965255096E-4</v>
      </c>
      <c r="J169">
        <f t="shared" si="26"/>
        <v>0.56666666666666665</v>
      </c>
      <c r="K169">
        <f t="shared" si="27"/>
        <v>0.43333333333333335</v>
      </c>
      <c r="L169">
        <f t="shared" si="23"/>
        <v>120</v>
      </c>
      <c r="M169" s="8">
        <f t="shared" si="28"/>
        <v>4.8813542860907582</v>
      </c>
      <c r="N169" s="6">
        <f t="shared" si="24"/>
        <v>4.9123315933302614</v>
      </c>
      <c r="O169" s="8">
        <f t="shared" si="31"/>
        <v>363.59755357321797</v>
      </c>
      <c r="P169" s="8">
        <f t="shared" si="32"/>
        <v>360.39025686311123</v>
      </c>
      <c r="Q169" s="8">
        <f t="shared" si="30"/>
        <v>4.9123315933302614</v>
      </c>
      <c r="T169" s="8">
        <f t="shared" si="22"/>
        <v>4.9123315933302614</v>
      </c>
    </row>
    <row r="170" spans="2:20" x14ac:dyDescent="0.2">
      <c r="B170">
        <f t="shared" si="29"/>
        <v>167</v>
      </c>
      <c r="C170">
        <f t="shared" si="25"/>
        <v>30</v>
      </c>
      <c r="D170">
        <v>153</v>
      </c>
      <c r="E170">
        <v>183</v>
      </c>
      <c r="F170">
        <f>PMSPLINE!F$9</f>
        <v>4.387043975863822</v>
      </c>
      <c r="G170">
        <f>PMSPLINE!F$10</f>
        <v>5.527760076387521</v>
      </c>
      <c r="H170" s="10">
        <f>PMSPLINE!K$9</f>
        <v>-1.2759349581273509E-3</v>
      </c>
      <c r="I170" s="10">
        <f>PMSPLINE!K$10</f>
        <v>8.0787341965255096E-4</v>
      </c>
      <c r="J170">
        <f t="shared" si="26"/>
        <v>0.53333333333333333</v>
      </c>
      <c r="K170">
        <f t="shared" si="27"/>
        <v>0.46666666666666667</v>
      </c>
      <c r="L170">
        <f t="shared" si="23"/>
        <v>121</v>
      </c>
      <c r="M170" s="8">
        <f t="shared" si="28"/>
        <v>4.9193781561082144</v>
      </c>
      <c r="N170" s="6">
        <f t="shared" si="24"/>
        <v>4.9481827860218184</v>
      </c>
      <c r="O170" s="8">
        <f t="shared" si="31"/>
        <v>368.51693172932619</v>
      </c>
      <c r="P170" s="8">
        <f t="shared" si="32"/>
        <v>365.33843964913308</v>
      </c>
      <c r="Q170" s="8">
        <f t="shared" si="30"/>
        <v>4.9481827860218184</v>
      </c>
      <c r="T170" s="8">
        <f t="shared" si="22"/>
        <v>4.9481827860218184</v>
      </c>
    </row>
    <row r="171" spans="2:20" x14ac:dyDescent="0.2">
      <c r="B171">
        <f t="shared" si="29"/>
        <v>168</v>
      </c>
      <c r="C171">
        <f t="shared" si="25"/>
        <v>30</v>
      </c>
      <c r="D171">
        <v>153</v>
      </c>
      <c r="E171">
        <v>183</v>
      </c>
      <c r="F171">
        <f>PMSPLINE!F$9</f>
        <v>4.387043975863822</v>
      </c>
      <c r="G171">
        <f>PMSPLINE!F$10</f>
        <v>5.527760076387521</v>
      </c>
      <c r="H171" s="10">
        <f>PMSPLINE!K$9</f>
        <v>-1.2759349581273509E-3</v>
      </c>
      <c r="I171" s="10">
        <f>PMSPLINE!K$10</f>
        <v>8.0787341965255096E-4</v>
      </c>
      <c r="J171">
        <f t="shared" si="26"/>
        <v>0.5</v>
      </c>
      <c r="K171">
        <f t="shared" si="27"/>
        <v>0.5</v>
      </c>
      <c r="L171">
        <f t="shared" si="23"/>
        <v>122</v>
      </c>
      <c r="M171" s="8">
        <f t="shared" si="28"/>
        <v>4.9574020261256715</v>
      </c>
      <c r="N171" s="6">
        <f t="shared" si="24"/>
        <v>4.9837304876648787</v>
      </c>
      <c r="O171" s="8">
        <f t="shared" si="31"/>
        <v>373.47433375545188</v>
      </c>
      <c r="P171" s="8">
        <f t="shared" si="32"/>
        <v>370.32217013679798</v>
      </c>
      <c r="Q171" s="8">
        <f t="shared" si="30"/>
        <v>4.9837304876648787</v>
      </c>
      <c r="T171" s="8">
        <f t="shared" si="22"/>
        <v>4.9837304876648787</v>
      </c>
    </row>
    <row r="172" spans="2:20" x14ac:dyDescent="0.2">
      <c r="B172">
        <f t="shared" si="29"/>
        <v>169</v>
      </c>
      <c r="C172">
        <f t="shared" si="25"/>
        <v>30</v>
      </c>
      <c r="D172">
        <v>153</v>
      </c>
      <c r="E172">
        <v>183</v>
      </c>
      <c r="F172">
        <f>PMSPLINE!F$9</f>
        <v>4.387043975863822</v>
      </c>
      <c r="G172">
        <f>PMSPLINE!F$10</f>
        <v>5.527760076387521</v>
      </c>
      <c r="H172" s="10">
        <f>PMSPLINE!K$9</f>
        <v>-1.2759349581273509E-3</v>
      </c>
      <c r="I172" s="10">
        <f>PMSPLINE!K$10</f>
        <v>8.0787341965255096E-4</v>
      </c>
      <c r="J172">
        <f t="shared" si="26"/>
        <v>0.46666666666666667</v>
      </c>
      <c r="K172">
        <f t="shared" si="27"/>
        <v>0.53333333333333333</v>
      </c>
      <c r="L172">
        <f t="shared" si="23"/>
        <v>123</v>
      </c>
      <c r="M172" s="8">
        <f t="shared" si="28"/>
        <v>4.9954258961431286</v>
      </c>
      <c r="N172" s="6">
        <f t="shared" si="24"/>
        <v>5.0190441585387022</v>
      </c>
      <c r="O172" s="8">
        <f t="shared" si="31"/>
        <v>378.46975965159498</v>
      </c>
      <c r="P172" s="8">
        <f t="shared" si="32"/>
        <v>375.34121429533667</v>
      </c>
      <c r="Q172" s="8">
        <f t="shared" si="30"/>
        <v>5.0190441585387022</v>
      </c>
      <c r="T172" s="8">
        <f t="shared" si="22"/>
        <v>5.0190441585387022</v>
      </c>
    </row>
    <row r="173" spans="2:20" x14ac:dyDescent="0.2">
      <c r="B173">
        <f t="shared" si="29"/>
        <v>170</v>
      </c>
      <c r="C173">
        <f t="shared" si="25"/>
        <v>30</v>
      </c>
      <c r="D173">
        <v>153</v>
      </c>
      <c r="E173">
        <v>183</v>
      </c>
      <c r="F173">
        <f>PMSPLINE!F$9</f>
        <v>4.387043975863822</v>
      </c>
      <c r="G173">
        <f>PMSPLINE!F$10</f>
        <v>5.527760076387521</v>
      </c>
      <c r="H173" s="10">
        <f>PMSPLINE!K$9</f>
        <v>-1.2759349581273509E-3</v>
      </c>
      <c r="I173" s="10">
        <f>PMSPLINE!K$10</f>
        <v>8.0787341965255096E-4</v>
      </c>
      <c r="J173">
        <f t="shared" si="26"/>
        <v>0.43333333333333335</v>
      </c>
      <c r="K173">
        <f t="shared" si="27"/>
        <v>0.56666666666666665</v>
      </c>
      <c r="L173">
        <f t="shared" si="23"/>
        <v>124</v>
      </c>
      <c r="M173" s="8">
        <f t="shared" si="28"/>
        <v>5.0334497661605848</v>
      </c>
      <c r="N173" s="6">
        <f t="shared" si="24"/>
        <v>5.0541932589225471</v>
      </c>
      <c r="O173" s="8">
        <f t="shared" si="31"/>
        <v>383.50320941775556</v>
      </c>
      <c r="P173" s="8">
        <f t="shared" si="32"/>
        <v>380.39540755425924</v>
      </c>
      <c r="Q173" s="8">
        <f t="shared" si="30"/>
        <v>5.0541932589225471</v>
      </c>
      <c r="T173" s="8">
        <f t="shared" si="22"/>
        <v>5.0541932589225471</v>
      </c>
    </row>
    <row r="174" spans="2:20" x14ac:dyDescent="0.2">
      <c r="B174">
        <f t="shared" si="29"/>
        <v>171</v>
      </c>
      <c r="C174">
        <f t="shared" si="25"/>
        <v>30</v>
      </c>
      <c r="D174">
        <v>153</v>
      </c>
      <c r="E174">
        <v>183</v>
      </c>
      <c r="F174">
        <f>PMSPLINE!F$9</f>
        <v>4.387043975863822</v>
      </c>
      <c r="G174">
        <f>PMSPLINE!F$10</f>
        <v>5.527760076387521</v>
      </c>
      <c r="H174" s="10">
        <f>PMSPLINE!K$9</f>
        <v>-1.2759349581273509E-3</v>
      </c>
      <c r="I174" s="10">
        <f>PMSPLINE!K$10</f>
        <v>8.0787341965255096E-4</v>
      </c>
      <c r="J174">
        <f t="shared" si="26"/>
        <v>0.4</v>
      </c>
      <c r="K174">
        <f t="shared" si="27"/>
        <v>0.6</v>
      </c>
      <c r="L174">
        <f t="shared" si="23"/>
        <v>125</v>
      </c>
      <c r="M174" s="8">
        <f t="shared" si="28"/>
        <v>5.071473636178041</v>
      </c>
      <c r="N174" s="6">
        <f t="shared" si="24"/>
        <v>5.0892472490956724</v>
      </c>
      <c r="O174" s="8">
        <f t="shared" si="31"/>
        <v>388.5746830539336</v>
      </c>
      <c r="P174" s="8">
        <f t="shared" si="32"/>
        <v>385.48465480335489</v>
      </c>
      <c r="Q174" s="8">
        <f t="shared" si="30"/>
        <v>5.0892472490956724</v>
      </c>
      <c r="T174" s="8">
        <f t="shared" si="22"/>
        <v>5.0892472490956724</v>
      </c>
    </row>
    <row r="175" spans="2:20" x14ac:dyDescent="0.2">
      <c r="B175">
        <f t="shared" si="29"/>
        <v>172</v>
      </c>
      <c r="C175">
        <f t="shared" si="25"/>
        <v>30</v>
      </c>
      <c r="D175">
        <v>153</v>
      </c>
      <c r="E175">
        <v>183</v>
      </c>
      <c r="F175">
        <f>PMSPLINE!F$9</f>
        <v>4.387043975863822</v>
      </c>
      <c r="G175">
        <f>PMSPLINE!F$10</f>
        <v>5.527760076387521</v>
      </c>
      <c r="H175" s="10">
        <f>PMSPLINE!K$9</f>
        <v>-1.2759349581273509E-3</v>
      </c>
      <c r="I175" s="10">
        <f>PMSPLINE!K$10</f>
        <v>8.0787341965255096E-4</v>
      </c>
      <c r="J175">
        <f t="shared" si="26"/>
        <v>0.36666666666666664</v>
      </c>
      <c r="K175">
        <f t="shared" si="27"/>
        <v>0.6333333333333333</v>
      </c>
      <c r="L175">
        <f t="shared" si="23"/>
        <v>126</v>
      </c>
      <c r="M175" s="8">
        <f t="shared" si="28"/>
        <v>5.1094975061954973</v>
      </c>
      <c r="N175" s="6">
        <f t="shared" si="24"/>
        <v>5.1242755893373388</v>
      </c>
      <c r="O175" s="8">
        <f t="shared" si="31"/>
        <v>393.68418056012911</v>
      </c>
      <c r="P175" s="8">
        <f t="shared" si="32"/>
        <v>390.60893039269223</v>
      </c>
      <c r="Q175" s="8">
        <f t="shared" si="30"/>
        <v>5.1242755893373388</v>
      </c>
      <c r="T175" s="8">
        <f t="shared" si="22"/>
        <v>5.1242755893373388</v>
      </c>
    </row>
    <row r="176" spans="2:20" x14ac:dyDescent="0.2">
      <c r="B176">
        <f t="shared" si="29"/>
        <v>173</v>
      </c>
      <c r="C176">
        <f t="shared" si="25"/>
        <v>30</v>
      </c>
      <c r="D176">
        <v>153</v>
      </c>
      <c r="E176">
        <v>183</v>
      </c>
      <c r="F176">
        <f>PMSPLINE!F$9</f>
        <v>4.387043975863822</v>
      </c>
      <c r="G176">
        <f>PMSPLINE!F$10</f>
        <v>5.527760076387521</v>
      </c>
      <c r="H176" s="10">
        <f>PMSPLINE!K$9</f>
        <v>-1.2759349581273509E-3</v>
      </c>
      <c r="I176" s="10">
        <f>PMSPLINE!K$10</f>
        <v>8.0787341965255096E-4</v>
      </c>
      <c r="J176">
        <f t="shared" si="26"/>
        <v>0.33333333333333331</v>
      </c>
      <c r="K176">
        <f t="shared" si="27"/>
        <v>0.66666666666666663</v>
      </c>
      <c r="L176">
        <f t="shared" si="23"/>
        <v>127</v>
      </c>
      <c r="M176" s="8">
        <f t="shared" si="28"/>
        <v>5.1475213762129544</v>
      </c>
      <c r="N176" s="6">
        <f t="shared" si="24"/>
        <v>5.1593477399268064</v>
      </c>
      <c r="O176" s="8">
        <f t="shared" si="31"/>
        <v>398.83170193634209</v>
      </c>
      <c r="P176" s="8">
        <f t="shared" si="32"/>
        <v>395.76827813261906</v>
      </c>
      <c r="Q176" s="8">
        <f t="shared" si="30"/>
        <v>5.1593477399268064</v>
      </c>
      <c r="T176" s="8">
        <f t="shared" si="22"/>
        <v>5.1593477399268064</v>
      </c>
    </row>
    <row r="177" spans="1:20" x14ac:dyDescent="0.2">
      <c r="B177">
        <f t="shared" si="29"/>
        <v>174</v>
      </c>
      <c r="C177">
        <f t="shared" si="25"/>
        <v>30</v>
      </c>
      <c r="D177">
        <v>153</v>
      </c>
      <c r="E177">
        <v>183</v>
      </c>
      <c r="F177">
        <f>PMSPLINE!F$9</f>
        <v>4.387043975863822</v>
      </c>
      <c r="G177">
        <f>PMSPLINE!F$10</f>
        <v>5.527760076387521</v>
      </c>
      <c r="H177" s="10">
        <f>PMSPLINE!K$9</f>
        <v>-1.2759349581273509E-3</v>
      </c>
      <c r="I177" s="10">
        <f>PMSPLINE!K$10</f>
        <v>8.0787341965255096E-4</v>
      </c>
      <c r="J177">
        <f t="shared" si="26"/>
        <v>0.3</v>
      </c>
      <c r="K177">
        <f t="shared" si="27"/>
        <v>0.7</v>
      </c>
      <c r="L177">
        <f t="shared" si="23"/>
        <v>128</v>
      </c>
      <c r="M177" s="8">
        <f t="shared" si="28"/>
        <v>5.1855452462304115</v>
      </c>
      <c r="N177" s="6">
        <f t="shared" si="24"/>
        <v>5.1945331611433323</v>
      </c>
      <c r="O177" s="8">
        <f t="shared" si="31"/>
        <v>404.01724718257248</v>
      </c>
      <c r="P177" s="8">
        <f t="shared" si="32"/>
        <v>400.9628112937624</v>
      </c>
      <c r="Q177" s="8">
        <f t="shared" si="30"/>
        <v>5.1945331611433323</v>
      </c>
      <c r="T177" s="8">
        <f t="shared" si="22"/>
        <v>5.1945331611433323</v>
      </c>
    </row>
    <row r="178" spans="1:20" x14ac:dyDescent="0.2">
      <c r="B178">
        <f t="shared" si="29"/>
        <v>175</v>
      </c>
      <c r="C178">
        <f t="shared" si="25"/>
        <v>30</v>
      </c>
      <c r="D178">
        <v>153</v>
      </c>
      <c r="E178">
        <v>183</v>
      </c>
      <c r="F178">
        <f>PMSPLINE!F$9</f>
        <v>4.387043975863822</v>
      </c>
      <c r="G178">
        <f>PMSPLINE!F$10</f>
        <v>5.527760076387521</v>
      </c>
      <c r="H178" s="10">
        <f>PMSPLINE!K$9</f>
        <v>-1.2759349581273509E-3</v>
      </c>
      <c r="I178" s="10">
        <f>PMSPLINE!K$10</f>
        <v>8.0787341965255096E-4</v>
      </c>
      <c r="J178">
        <f t="shared" si="26"/>
        <v>0.26666666666666666</v>
      </c>
      <c r="K178">
        <f t="shared" si="27"/>
        <v>0.73333333333333328</v>
      </c>
      <c r="L178">
        <f t="shared" si="23"/>
        <v>129</v>
      </c>
      <c r="M178" s="8">
        <f t="shared" si="28"/>
        <v>5.2235691162478677</v>
      </c>
      <c r="N178" s="6">
        <f t="shared" si="24"/>
        <v>5.2299013132661765</v>
      </c>
      <c r="O178" s="8">
        <f t="shared" si="31"/>
        <v>409.24081629882033</v>
      </c>
      <c r="P178" s="8">
        <f t="shared" si="32"/>
        <v>406.19271260702857</v>
      </c>
      <c r="Q178" s="8">
        <f t="shared" si="30"/>
        <v>5.2299013132661765</v>
      </c>
      <c r="T178" s="8">
        <f t="shared" ref="T178:T241" si="33">N178</f>
        <v>5.2299013132661765</v>
      </c>
    </row>
    <row r="179" spans="1:20" x14ac:dyDescent="0.2">
      <c r="B179">
        <f t="shared" si="29"/>
        <v>176</v>
      </c>
      <c r="C179">
        <f t="shared" si="25"/>
        <v>30</v>
      </c>
      <c r="D179">
        <v>153</v>
      </c>
      <c r="E179">
        <v>183</v>
      </c>
      <c r="F179">
        <f>PMSPLINE!F$9</f>
        <v>4.387043975863822</v>
      </c>
      <c r="G179">
        <f>PMSPLINE!F$10</f>
        <v>5.527760076387521</v>
      </c>
      <c r="H179" s="10">
        <f>PMSPLINE!K$9</f>
        <v>-1.2759349581273509E-3</v>
      </c>
      <c r="I179" s="10">
        <f>PMSPLINE!K$10</f>
        <v>8.0787341965255096E-4</v>
      </c>
      <c r="J179">
        <f t="shared" si="26"/>
        <v>0.23333333333333334</v>
      </c>
      <c r="K179">
        <f t="shared" si="27"/>
        <v>0.76666666666666672</v>
      </c>
      <c r="L179">
        <f t="shared" ref="L179:L242" si="34">B179-46</f>
        <v>130</v>
      </c>
      <c r="M179" s="8">
        <f t="shared" si="28"/>
        <v>5.2615929862653257</v>
      </c>
      <c r="N179" s="6">
        <f t="shared" si="24"/>
        <v>5.2655216565746006</v>
      </c>
      <c r="O179" s="8">
        <f t="shared" si="31"/>
        <v>414.50240928508566</v>
      </c>
      <c r="P179" s="8">
        <f t="shared" si="32"/>
        <v>411.45823426360317</v>
      </c>
      <c r="Q179" s="8">
        <f t="shared" si="30"/>
        <v>5.2655216565746006</v>
      </c>
      <c r="T179" s="8">
        <f t="shared" si="33"/>
        <v>5.2655216565746006</v>
      </c>
    </row>
    <row r="180" spans="1:20" x14ac:dyDescent="0.2">
      <c r="B180">
        <f t="shared" si="29"/>
        <v>177</v>
      </c>
      <c r="C180">
        <f t="shared" si="25"/>
        <v>30</v>
      </c>
      <c r="D180">
        <v>153</v>
      </c>
      <c r="E180">
        <v>183</v>
      </c>
      <c r="F180">
        <f>PMSPLINE!F$9</f>
        <v>4.387043975863822</v>
      </c>
      <c r="G180">
        <f>PMSPLINE!F$10</f>
        <v>5.527760076387521</v>
      </c>
      <c r="H180" s="10">
        <f>PMSPLINE!K$9</f>
        <v>-1.2759349581273509E-3</v>
      </c>
      <c r="I180" s="10">
        <f>PMSPLINE!K$10</f>
        <v>8.0787341965255096E-4</v>
      </c>
      <c r="J180">
        <f t="shared" si="26"/>
        <v>0.2</v>
      </c>
      <c r="K180">
        <f t="shared" si="27"/>
        <v>0.8</v>
      </c>
      <c r="L180">
        <f t="shared" si="34"/>
        <v>131</v>
      </c>
      <c r="M180" s="8">
        <f t="shared" si="28"/>
        <v>5.2996168562827819</v>
      </c>
      <c r="N180" s="6">
        <f t="shared" si="24"/>
        <v>5.3014636513478592</v>
      </c>
      <c r="O180" s="8">
        <f t="shared" si="31"/>
        <v>419.80202614136846</v>
      </c>
      <c r="P180" s="8">
        <f t="shared" si="32"/>
        <v>416.75969791495106</v>
      </c>
      <c r="Q180" s="8">
        <f t="shared" si="30"/>
        <v>5.3014636513478592</v>
      </c>
      <c r="T180" s="8">
        <f t="shared" si="33"/>
        <v>5.3014636513478592</v>
      </c>
    </row>
    <row r="181" spans="1:20" x14ac:dyDescent="0.2">
      <c r="B181">
        <f t="shared" si="29"/>
        <v>178</v>
      </c>
      <c r="C181">
        <f t="shared" si="25"/>
        <v>30</v>
      </c>
      <c r="D181">
        <v>153</v>
      </c>
      <c r="E181">
        <v>183</v>
      </c>
      <c r="F181">
        <f>PMSPLINE!F$9</f>
        <v>4.387043975863822</v>
      </c>
      <c r="G181">
        <f>PMSPLINE!F$10</f>
        <v>5.527760076387521</v>
      </c>
      <c r="H181" s="10">
        <f>PMSPLINE!K$9</f>
        <v>-1.2759349581273509E-3</v>
      </c>
      <c r="I181" s="10">
        <f>PMSPLINE!K$10</f>
        <v>8.0787341965255096E-4</v>
      </c>
      <c r="J181">
        <f t="shared" si="26"/>
        <v>0.16666666666666666</v>
      </c>
      <c r="K181">
        <f t="shared" si="27"/>
        <v>0.83333333333333337</v>
      </c>
      <c r="L181">
        <f t="shared" si="34"/>
        <v>132</v>
      </c>
      <c r="M181" s="8">
        <f t="shared" si="28"/>
        <v>5.3376407263002381</v>
      </c>
      <c r="N181" s="6">
        <f t="shared" si="24"/>
        <v>5.337796757865215</v>
      </c>
      <c r="O181" s="8">
        <f t="shared" si="31"/>
        <v>425.13966686766872</v>
      </c>
      <c r="P181" s="8">
        <f t="shared" si="32"/>
        <v>422.09749467281625</v>
      </c>
      <c r="Q181" s="8">
        <f t="shared" si="30"/>
        <v>5.337796757865215</v>
      </c>
      <c r="T181" s="8">
        <f t="shared" si="33"/>
        <v>5.337796757865215</v>
      </c>
    </row>
    <row r="182" spans="1:20" x14ac:dyDescent="0.2">
      <c r="B182">
        <f t="shared" si="29"/>
        <v>179</v>
      </c>
      <c r="C182">
        <f t="shared" si="25"/>
        <v>30</v>
      </c>
      <c r="D182">
        <v>153</v>
      </c>
      <c r="E182">
        <v>183</v>
      </c>
      <c r="F182">
        <f>PMSPLINE!F$9</f>
        <v>4.387043975863822</v>
      </c>
      <c r="G182">
        <f>PMSPLINE!F$10</f>
        <v>5.527760076387521</v>
      </c>
      <c r="H182" s="10">
        <f>PMSPLINE!K$9</f>
        <v>-1.2759349581273509E-3</v>
      </c>
      <c r="I182" s="10">
        <f>PMSPLINE!K$10</f>
        <v>8.0787341965255096E-4</v>
      </c>
      <c r="J182">
        <f t="shared" si="26"/>
        <v>0.13333333333333333</v>
      </c>
      <c r="K182">
        <f t="shared" si="27"/>
        <v>0.8666666666666667</v>
      </c>
      <c r="L182">
        <f t="shared" si="34"/>
        <v>133</v>
      </c>
      <c r="M182" s="8">
        <f t="shared" si="28"/>
        <v>5.3756645963176943</v>
      </c>
      <c r="N182" s="6">
        <f t="shared" si="24"/>
        <v>5.3745904364059269</v>
      </c>
      <c r="O182" s="8">
        <f t="shared" si="31"/>
        <v>430.5153314639864</v>
      </c>
      <c r="P182" s="8">
        <f t="shared" si="32"/>
        <v>427.47208510922218</v>
      </c>
      <c r="Q182" s="8">
        <f t="shared" si="30"/>
        <v>5.3745904364059269</v>
      </c>
      <c r="T182" s="8">
        <f t="shared" si="33"/>
        <v>5.3745904364059269</v>
      </c>
    </row>
    <row r="183" spans="1:20" x14ac:dyDescent="0.2">
      <c r="B183">
        <f t="shared" si="29"/>
        <v>180</v>
      </c>
      <c r="C183">
        <f t="shared" si="25"/>
        <v>30</v>
      </c>
      <c r="D183">
        <v>153</v>
      </c>
      <c r="E183">
        <v>183</v>
      </c>
      <c r="F183">
        <f>PMSPLINE!F$9</f>
        <v>4.387043975863822</v>
      </c>
      <c r="G183">
        <f>PMSPLINE!F$10</f>
        <v>5.527760076387521</v>
      </c>
      <c r="H183" s="10">
        <f>PMSPLINE!K$9</f>
        <v>-1.2759349581273509E-3</v>
      </c>
      <c r="I183" s="10">
        <f>PMSPLINE!K$10</f>
        <v>8.0787341965255096E-4</v>
      </c>
      <c r="J183">
        <f t="shared" si="26"/>
        <v>0.1</v>
      </c>
      <c r="K183">
        <f t="shared" si="27"/>
        <v>0.9</v>
      </c>
      <c r="L183">
        <f t="shared" si="34"/>
        <v>134</v>
      </c>
      <c r="M183" s="8">
        <f t="shared" si="28"/>
        <v>5.4136884663351514</v>
      </c>
      <c r="N183" s="6">
        <f t="shared" ref="N183:N246" si="35">Q183</f>
        <v>5.4119141472492549</v>
      </c>
      <c r="O183" s="8">
        <f t="shared" si="31"/>
        <v>435.92901993032154</v>
      </c>
      <c r="P183" s="8">
        <f t="shared" si="32"/>
        <v>432.88399925647144</v>
      </c>
      <c r="Q183" s="8">
        <f t="shared" si="30"/>
        <v>5.4119141472492549</v>
      </c>
      <c r="T183" s="8">
        <f t="shared" si="33"/>
        <v>5.4119141472492549</v>
      </c>
    </row>
    <row r="184" spans="1:20" x14ac:dyDescent="0.2">
      <c r="B184">
        <f t="shared" si="29"/>
        <v>181</v>
      </c>
      <c r="C184">
        <f t="shared" si="25"/>
        <v>30</v>
      </c>
      <c r="D184">
        <v>153</v>
      </c>
      <c r="E184">
        <v>183</v>
      </c>
      <c r="F184">
        <f>PMSPLINE!F$9</f>
        <v>4.387043975863822</v>
      </c>
      <c r="G184">
        <f>PMSPLINE!F$10</f>
        <v>5.527760076387521</v>
      </c>
      <c r="H184" s="10">
        <f>PMSPLINE!K$9</f>
        <v>-1.2759349581273509E-3</v>
      </c>
      <c r="I184" s="10">
        <f>PMSPLINE!K$10</f>
        <v>8.0787341965255096E-4</v>
      </c>
      <c r="J184">
        <f t="shared" si="26"/>
        <v>6.6666666666666666E-2</v>
      </c>
      <c r="K184">
        <f t="shared" si="27"/>
        <v>0.93333333333333335</v>
      </c>
      <c r="L184">
        <f t="shared" si="34"/>
        <v>135</v>
      </c>
      <c r="M184" s="8">
        <f t="shared" si="28"/>
        <v>5.4517123363526077</v>
      </c>
      <c r="N184" s="6">
        <f t="shared" si="35"/>
        <v>5.4498373506744562</v>
      </c>
      <c r="O184" s="8">
        <f t="shared" si="31"/>
        <v>441.38073226667416</v>
      </c>
      <c r="P184" s="8">
        <f t="shared" si="32"/>
        <v>438.33383660714588</v>
      </c>
      <c r="Q184" s="8">
        <f t="shared" si="30"/>
        <v>5.4498373506744562</v>
      </c>
      <c r="T184" s="8">
        <f t="shared" si="33"/>
        <v>5.4498373506744562</v>
      </c>
    </row>
    <row r="185" spans="1:20" x14ac:dyDescent="0.2">
      <c r="B185">
        <f t="shared" si="29"/>
        <v>182</v>
      </c>
      <c r="C185">
        <f t="shared" si="25"/>
        <v>30</v>
      </c>
      <c r="D185">
        <v>153</v>
      </c>
      <c r="E185">
        <v>183</v>
      </c>
      <c r="F185">
        <f>PMSPLINE!F$9</f>
        <v>4.387043975863822</v>
      </c>
      <c r="G185">
        <f>PMSPLINE!F$10</f>
        <v>5.527760076387521</v>
      </c>
      <c r="H185" s="10">
        <f>PMSPLINE!K$9</f>
        <v>-1.2759349581273509E-3</v>
      </c>
      <c r="I185" s="10">
        <f>PMSPLINE!K$10</f>
        <v>8.0787341965255096E-4</v>
      </c>
      <c r="J185">
        <f t="shared" si="26"/>
        <v>3.3333333333333333E-2</v>
      </c>
      <c r="K185">
        <f t="shared" si="27"/>
        <v>0.96666666666666667</v>
      </c>
      <c r="L185">
        <f t="shared" si="34"/>
        <v>136</v>
      </c>
      <c r="M185" s="8">
        <f t="shared" si="28"/>
        <v>5.4897362063700648</v>
      </c>
      <c r="N185" s="6">
        <f t="shared" si="35"/>
        <v>5.4884295069607925</v>
      </c>
      <c r="O185" s="8">
        <f t="shared" si="31"/>
        <v>446.87046847304424</v>
      </c>
      <c r="P185" s="8">
        <f t="shared" si="32"/>
        <v>443.8222661141067</v>
      </c>
      <c r="Q185" s="8">
        <f t="shared" si="30"/>
        <v>5.4884295069607925</v>
      </c>
      <c r="T185" s="8">
        <f t="shared" si="33"/>
        <v>5.4884295069607925</v>
      </c>
    </row>
    <row r="186" spans="1:20" x14ac:dyDescent="0.2">
      <c r="A186">
        <v>183</v>
      </c>
      <c r="B186">
        <f t="shared" si="29"/>
        <v>183</v>
      </c>
      <c r="C186">
        <f t="shared" si="25"/>
        <v>30</v>
      </c>
      <c r="D186">
        <v>153</v>
      </c>
      <c r="E186">
        <v>183</v>
      </c>
      <c r="F186">
        <f>PMSPLINE!F$9</f>
        <v>4.387043975863822</v>
      </c>
      <c r="G186">
        <f>PMSPLINE!F$10</f>
        <v>5.527760076387521</v>
      </c>
      <c r="H186" s="10">
        <f>PMSPLINE!K$9</f>
        <v>-1.2759349581273509E-3</v>
      </c>
      <c r="I186" s="10">
        <f>PMSPLINE!K$10</f>
        <v>8.0787341965255096E-4</v>
      </c>
      <c r="J186">
        <f t="shared" si="26"/>
        <v>0</v>
      </c>
      <c r="K186">
        <f t="shared" si="27"/>
        <v>1</v>
      </c>
      <c r="L186">
        <f t="shared" si="34"/>
        <v>137</v>
      </c>
      <c r="M186" s="8">
        <f t="shared" si="28"/>
        <v>5.527760076387521</v>
      </c>
      <c r="N186" s="6">
        <f t="shared" si="35"/>
        <v>5.527760076387521</v>
      </c>
      <c r="O186" s="8">
        <f t="shared" si="31"/>
        <v>452.39822854943174</v>
      </c>
      <c r="P186" s="8">
        <f t="shared" si="32"/>
        <v>449.35002619049419</v>
      </c>
      <c r="Q186" s="8">
        <f t="shared" si="30"/>
        <v>5.527760076387521</v>
      </c>
      <c r="T186" s="8">
        <f t="shared" si="33"/>
        <v>5.527760076387521</v>
      </c>
    </row>
    <row r="187" spans="1:20" x14ac:dyDescent="0.2">
      <c r="B187">
        <f t="shared" si="29"/>
        <v>184</v>
      </c>
      <c r="C187">
        <f t="shared" si="25"/>
        <v>31</v>
      </c>
      <c r="D187">
        <v>183</v>
      </c>
      <c r="E187">
        <v>214</v>
      </c>
      <c r="F187">
        <f>PMSPLINE!F$10</f>
        <v>5.527760076387521</v>
      </c>
      <c r="G187">
        <f>PMSPLINE!F$11</f>
        <v>6.7851074137560472</v>
      </c>
      <c r="H187" s="10">
        <f>PMSPLINE!K$10</f>
        <v>8.0787341965255096E-4</v>
      </c>
      <c r="I187" s="10">
        <f>PMSPLINE!K$11</f>
        <v>-1.4538122384009236E-3</v>
      </c>
      <c r="J187">
        <f t="shared" si="26"/>
        <v>0.967741935483871</v>
      </c>
      <c r="K187">
        <f t="shared" si="27"/>
        <v>3.2258064516129031E-2</v>
      </c>
      <c r="L187">
        <f t="shared" si="34"/>
        <v>138</v>
      </c>
      <c r="M187" s="8">
        <f t="shared" si="28"/>
        <v>5.5683196679155387</v>
      </c>
      <c r="N187" s="6">
        <f t="shared" si="35"/>
        <v>5.5678747829203816</v>
      </c>
      <c r="O187" s="8">
        <f t="shared" si="31"/>
        <v>457.96654821734728</v>
      </c>
      <c r="P187" s="8">
        <f t="shared" si="32"/>
        <v>454.91790097341459</v>
      </c>
      <c r="Q187" s="8">
        <f t="shared" si="30"/>
        <v>5.5678747829203816</v>
      </c>
      <c r="T187" s="8">
        <f t="shared" si="33"/>
        <v>5.5678747829203816</v>
      </c>
    </row>
    <row r="188" spans="1:20" x14ac:dyDescent="0.2">
      <c r="B188">
        <f t="shared" si="29"/>
        <v>185</v>
      </c>
      <c r="C188">
        <f t="shared" si="25"/>
        <v>31</v>
      </c>
      <c r="D188">
        <v>183</v>
      </c>
      <c r="E188">
        <v>214</v>
      </c>
      <c r="F188">
        <f>PMSPLINE!F$10</f>
        <v>5.527760076387521</v>
      </c>
      <c r="G188">
        <f>PMSPLINE!F$11</f>
        <v>6.7851074137560472</v>
      </c>
      <c r="H188" s="10">
        <f>PMSPLINE!K$10</f>
        <v>8.0787341965255096E-4</v>
      </c>
      <c r="I188" s="10">
        <f>PMSPLINE!K$11</f>
        <v>-1.4538122384009236E-3</v>
      </c>
      <c r="J188">
        <f t="shared" si="26"/>
        <v>0.93548387096774188</v>
      </c>
      <c r="K188">
        <f t="shared" si="27"/>
        <v>6.4516129032258063E-2</v>
      </c>
      <c r="L188">
        <f t="shared" si="34"/>
        <v>139</v>
      </c>
      <c r="M188" s="8">
        <f t="shared" si="28"/>
        <v>5.6088792594435555</v>
      </c>
      <c r="N188" s="6">
        <f t="shared" si="35"/>
        <v>5.6087244052710208</v>
      </c>
      <c r="O188" s="8">
        <f t="shared" si="31"/>
        <v>463.57542747679082</v>
      </c>
      <c r="P188" s="8">
        <f t="shared" si="32"/>
        <v>460.52662537868559</v>
      </c>
      <c r="Q188" s="8">
        <f t="shared" si="30"/>
        <v>5.6087244052710208</v>
      </c>
      <c r="T188" s="8">
        <f t="shared" si="33"/>
        <v>5.6087244052710208</v>
      </c>
    </row>
    <row r="189" spans="1:20" x14ac:dyDescent="0.2">
      <c r="B189">
        <f t="shared" si="29"/>
        <v>186</v>
      </c>
      <c r="C189">
        <f t="shared" si="25"/>
        <v>31</v>
      </c>
      <c r="D189">
        <v>183</v>
      </c>
      <c r="E189">
        <v>214</v>
      </c>
      <c r="F189">
        <f>PMSPLINE!F$10</f>
        <v>5.527760076387521</v>
      </c>
      <c r="G189">
        <f>PMSPLINE!F$11</f>
        <v>6.7851074137560472</v>
      </c>
      <c r="H189" s="10">
        <f>PMSPLINE!K$10</f>
        <v>8.0787341965255096E-4</v>
      </c>
      <c r="I189" s="10">
        <f>PMSPLINE!K$11</f>
        <v>-1.4538122384009236E-3</v>
      </c>
      <c r="J189">
        <f t="shared" si="26"/>
        <v>0.90322580645161288</v>
      </c>
      <c r="K189">
        <f t="shared" si="27"/>
        <v>9.6774193548387094E-2</v>
      </c>
      <c r="L189">
        <f t="shared" si="34"/>
        <v>140</v>
      </c>
      <c r="M189" s="8">
        <f t="shared" si="28"/>
        <v>5.6494388509715714</v>
      </c>
      <c r="N189" s="6">
        <f t="shared" si="35"/>
        <v>5.6502359858375657</v>
      </c>
      <c r="O189" s="8">
        <f t="shared" si="31"/>
        <v>469.22486632776241</v>
      </c>
      <c r="P189" s="8">
        <f t="shared" si="32"/>
        <v>466.17686136452318</v>
      </c>
      <c r="Q189" s="8">
        <f t="shared" si="30"/>
        <v>5.6502359858375657</v>
      </c>
      <c r="T189" s="8">
        <f t="shared" si="33"/>
        <v>5.6502359858375657</v>
      </c>
    </row>
    <row r="190" spans="1:20" x14ac:dyDescent="0.2">
      <c r="B190">
        <f t="shared" si="29"/>
        <v>187</v>
      </c>
      <c r="C190">
        <f t="shared" si="25"/>
        <v>31</v>
      </c>
      <c r="D190">
        <v>183</v>
      </c>
      <c r="E190">
        <v>214</v>
      </c>
      <c r="F190">
        <f>PMSPLINE!F$10</f>
        <v>5.527760076387521</v>
      </c>
      <c r="G190">
        <f>PMSPLINE!F$11</f>
        <v>6.7851074137560472</v>
      </c>
      <c r="H190" s="10">
        <f>PMSPLINE!K$10</f>
        <v>8.0787341965255096E-4</v>
      </c>
      <c r="I190" s="10">
        <f>PMSPLINE!K$11</f>
        <v>-1.4538122384009236E-3</v>
      </c>
      <c r="J190">
        <f t="shared" si="26"/>
        <v>0.87096774193548387</v>
      </c>
      <c r="K190">
        <f t="shared" si="27"/>
        <v>0.12903225806451613</v>
      </c>
      <c r="L190">
        <f t="shared" si="34"/>
        <v>141</v>
      </c>
      <c r="M190" s="8">
        <f t="shared" si="28"/>
        <v>5.6899984424995891</v>
      </c>
      <c r="N190" s="6">
        <f t="shared" si="35"/>
        <v>5.6923365670181481</v>
      </c>
      <c r="O190" s="8">
        <f t="shared" si="31"/>
        <v>474.914864770262</v>
      </c>
      <c r="P190" s="8">
        <f t="shared" si="32"/>
        <v>471.86919793154135</v>
      </c>
      <c r="Q190" s="8">
        <f t="shared" si="30"/>
        <v>5.6923365670181481</v>
      </c>
      <c r="T190" s="8">
        <f t="shared" si="33"/>
        <v>5.6923365670181481</v>
      </c>
    </row>
    <row r="191" spans="1:20" x14ac:dyDescent="0.2">
      <c r="B191">
        <f t="shared" si="29"/>
        <v>188</v>
      </c>
      <c r="C191">
        <f t="shared" si="25"/>
        <v>31</v>
      </c>
      <c r="D191">
        <v>183</v>
      </c>
      <c r="E191">
        <v>214</v>
      </c>
      <c r="F191">
        <f>PMSPLINE!F$10</f>
        <v>5.527760076387521</v>
      </c>
      <c r="G191">
        <f>PMSPLINE!F$11</f>
        <v>6.7851074137560472</v>
      </c>
      <c r="H191" s="10">
        <f>PMSPLINE!K$10</f>
        <v>8.0787341965255096E-4</v>
      </c>
      <c r="I191" s="10">
        <f>PMSPLINE!K$11</f>
        <v>-1.4538122384009236E-3</v>
      </c>
      <c r="J191">
        <f t="shared" si="26"/>
        <v>0.83870967741935487</v>
      </c>
      <c r="K191">
        <f t="shared" si="27"/>
        <v>0.16129032258064516</v>
      </c>
      <c r="L191">
        <f t="shared" si="34"/>
        <v>142</v>
      </c>
      <c r="M191" s="8">
        <f t="shared" si="28"/>
        <v>5.7305580340276059</v>
      </c>
      <c r="N191" s="6">
        <f t="shared" si="35"/>
        <v>5.7349531912108906</v>
      </c>
      <c r="O191" s="8">
        <f t="shared" si="31"/>
        <v>480.64542280428958</v>
      </c>
      <c r="P191" s="8">
        <f t="shared" si="32"/>
        <v>477.60415112275223</v>
      </c>
      <c r="Q191" s="8">
        <f t="shared" si="30"/>
        <v>5.7349531912108906</v>
      </c>
      <c r="T191" s="8">
        <f t="shared" si="33"/>
        <v>5.7349531912108906</v>
      </c>
    </row>
    <row r="192" spans="1:20" x14ac:dyDescent="0.2">
      <c r="B192">
        <f t="shared" si="29"/>
        <v>189</v>
      </c>
      <c r="C192">
        <f t="shared" si="25"/>
        <v>31</v>
      </c>
      <c r="D192">
        <v>183</v>
      </c>
      <c r="E192">
        <v>214</v>
      </c>
      <c r="F192">
        <f>PMSPLINE!F$10</f>
        <v>5.527760076387521</v>
      </c>
      <c r="G192">
        <f>PMSPLINE!F$11</f>
        <v>6.7851074137560472</v>
      </c>
      <c r="H192" s="10">
        <f>PMSPLINE!K$10</f>
        <v>8.0787341965255096E-4</v>
      </c>
      <c r="I192" s="10">
        <f>PMSPLINE!K$11</f>
        <v>-1.4538122384009236E-3</v>
      </c>
      <c r="J192">
        <f t="shared" si="26"/>
        <v>0.80645161290322576</v>
      </c>
      <c r="K192">
        <f t="shared" si="27"/>
        <v>0.19354838709677419</v>
      </c>
      <c r="L192">
        <f t="shared" si="34"/>
        <v>143</v>
      </c>
      <c r="M192" s="8">
        <f t="shared" si="28"/>
        <v>5.7711176255556218</v>
      </c>
      <c r="N192" s="6">
        <f t="shared" si="35"/>
        <v>5.7780129008139216</v>
      </c>
      <c r="O192" s="8">
        <f t="shared" si="31"/>
        <v>486.41654042984521</v>
      </c>
      <c r="P192" s="8">
        <f t="shared" si="32"/>
        <v>483.38216402356613</v>
      </c>
      <c r="Q192" s="8">
        <f t="shared" si="30"/>
        <v>5.7780129008139216</v>
      </c>
      <c r="T192" s="8">
        <f t="shared" si="33"/>
        <v>5.7780129008139216</v>
      </c>
    </row>
    <row r="193" spans="2:20" x14ac:dyDescent="0.2">
      <c r="B193">
        <f t="shared" si="29"/>
        <v>190</v>
      </c>
      <c r="C193">
        <f t="shared" si="25"/>
        <v>31</v>
      </c>
      <c r="D193">
        <v>183</v>
      </c>
      <c r="E193">
        <v>214</v>
      </c>
      <c r="F193">
        <f>PMSPLINE!F$10</f>
        <v>5.527760076387521</v>
      </c>
      <c r="G193">
        <f>PMSPLINE!F$11</f>
        <v>6.7851074137560472</v>
      </c>
      <c r="H193" s="10">
        <f>PMSPLINE!K$10</f>
        <v>8.0787341965255096E-4</v>
      </c>
      <c r="I193" s="10">
        <f>PMSPLINE!K$11</f>
        <v>-1.4538122384009236E-3</v>
      </c>
      <c r="J193">
        <f t="shared" si="26"/>
        <v>0.77419354838709675</v>
      </c>
      <c r="K193">
        <f t="shared" si="27"/>
        <v>0.22580645161290322</v>
      </c>
      <c r="L193">
        <f t="shared" si="34"/>
        <v>144</v>
      </c>
      <c r="M193" s="8">
        <f t="shared" si="28"/>
        <v>5.8116772170836395</v>
      </c>
      <c r="N193" s="6">
        <f t="shared" si="35"/>
        <v>5.82144273822537</v>
      </c>
      <c r="O193" s="8">
        <f t="shared" si="31"/>
        <v>492.22821764692884</v>
      </c>
      <c r="P193" s="8">
        <f t="shared" si="32"/>
        <v>489.20360676179149</v>
      </c>
      <c r="Q193" s="8">
        <f t="shared" si="30"/>
        <v>5.82144273822537</v>
      </c>
      <c r="T193" s="8">
        <f t="shared" si="33"/>
        <v>5.82144273822537</v>
      </c>
    </row>
    <row r="194" spans="2:20" x14ac:dyDescent="0.2">
      <c r="B194">
        <f t="shared" si="29"/>
        <v>191</v>
      </c>
      <c r="C194">
        <f t="shared" si="25"/>
        <v>31</v>
      </c>
      <c r="D194">
        <v>183</v>
      </c>
      <c r="E194">
        <v>214</v>
      </c>
      <c r="F194">
        <f>PMSPLINE!F$10</f>
        <v>5.527760076387521</v>
      </c>
      <c r="G194">
        <f>PMSPLINE!F$11</f>
        <v>6.7851074137560472</v>
      </c>
      <c r="H194" s="10">
        <f>PMSPLINE!K$10</f>
        <v>8.0787341965255096E-4</v>
      </c>
      <c r="I194" s="10">
        <f>PMSPLINE!K$11</f>
        <v>-1.4538122384009236E-3</v>
      </c>
      <c r="J194">
        <f t="shared" si="26"/>
        <v>0.74193548387096775</v>
      </c>
      <c r="K194">
        <f t="shared" si="27"/>
        <v>0.25806451612903225</v>
      </c>
      <c r="L194">
        <f t="shared" si="34"/>
        <v>145</v>
      </c>
      <c r="M194" s="8">
        <f t="shared" si="28"/>
        <v>5.8522368086116563</v>
      </c>
      <c r="N194" s="6">
        <f t="shared" si="35"/>
        <v>5.865169745843362</v>
      </c>
      <c r="O194" s="8">
        <f t="shared" si="31"/>
        <v>498.08045445554052</v>
      </c>
      <c r="P194" s="8">
        <f t="shared" si="32"/>
        <v>495.06877650763488</v>
      </c>
      <c r="Q194" s="8">
        <f t="shared" si="30"/>
        <v>5.865169745843362</v>
      </c>
      <c r="T194" s="8">
        <f t="shared" si="33"/>
        <v>5.865169745843362</v>
      </c>
    </row>
    <row r="195" spans="2:20" x14ac:dyDescent="0.2">
      <c r="B195">
        <f t="shared" si="29"/>
        <v>192</v>
      </c>
      <c r="C195">
        <f t="shared" si="25"/>
        <v>31</v>
      </c>
      <c r="D195">
        <v>183</v>
      </c>
      <c r="E195">
        <v>214</v>
      </c>
      <c r="F195">
        <f>PMSPLINE!F$10</f>
        <v>5.527760076387521</v>
      </c>
      <c r="G195">
        <f>PMSPLINE!F$11</f>
        <v>6.7851074137560472</v>
      </c>
      <c r="H195" s="10">
        <f>PMSPLINE!K$10</f>
        <v>8.0787341965255096E-4</v>
      </c>
      <c r="I195" s="10">
        <f>PMSPLINE!K$11</f>
        <v>-1.4538122384009236E-3</v>
      </c>
      <c r="J195">
        <f t="shared" si="26"/>
        <v>0.70967741935483875</v>
      </c>
      <c r="K195">
        <f t="shared" si="27"/>
        <v>0.29032258064516131</v>
      </c>
      <c r="L195">
        <f t="shared" si="34"/>
        <v>146</v>
      </c>
      <c r="M195" s="8">
        <f t="shared" si="28"/>
        <v>5.892796400139674</v>
      </c>
      <c r="N195" s="6">
        <f t="shared" si="35"/>
        <v>5.909120966066026</v>
      </c>
      <c r="O195" s="8">
        <f t="shared" si="31"/>
        <v>503.97325085568019</v>
      </c>
      <c r="P195" s="8">
        <f t="shared" si="32"/>
        <v>500.97789747370092</v>
      </c>
      <c r="Q195" s="8">
        <f t="shared" si="30"/>
        <v>5.909120966066026</v>
      </c>
      <c r="T195" s="8">
        <f t="shared" si="33"/>
        <v>5.909120966066026</v>
      </c>
    </row>
    <row r="196" spans="2:20" x14ac:dyDescent="0.2">
      <c r="B196">
        <f t="shared" si="29"/>
        <v>193</v>
      </c>
      <c r="C196">
        <f t="shared" ref="C196:C259" si="36">E196-D196</f>
        <v>31</v>
      </c>
      <c r="D196">
        <v>183</v>
      </c>
      <c r="E196">
        <v>214</v>
      </c>
      <c r="F196">
        <f>PMSPLINE!F$10</f>
        <v>5.527760076387521</v>
      </c>
      <c r="G196">
        <f>PMSPLINE!F$11</f>
        <v>6.7851074137560472</v>
      </c>
      <c r="H196" s="10">
        <f>PMSPLINE!K$10</f>
        <v>8.0787341965255096E-4</v>
      </c>
      <c r="I196" s="10">
        <f>PMSPLINE!K$11</f>
        <v>-1.4538122384009236E-3</v>
      </c>
      <c r="J196">
        <f t="shared" ref="J196:J259" si="37">(E196-B196)/C196</f>
        <v>0.67741935483870963</v>
      </c>
      <c r="K196">
        <f t="shared" ref="K196:K259" si="38">(B196-D196)/C196</f>
        <v>0.32258064516129031</v>
      </c>
      <c r="L196">
        <f t="shared" si="34"/>
        <v>147</v>
      </c>
      <c r="M196" s="8">
        <f t="shared" ref="M196:M259" si="39">J196*F196+K196*G196</f>
        <v>5.9333559916676908</v>
      </c>
      <c r="N196" s="6">
        <f t="shared" si="35"/>
        <v>5.9532234412914873</v>
      </c>
      <c r="O196" s="8">
        <f t="shared" si="31"/>
        <v>509.90660684734786</v>
      </c>
      <c r="P196" s="8">
        <f t="shared" si="32"/>
        <v>506.93112091499239</v>
      </c>
      <c r="Q196" s="8">
        <f t="shared" si="30"/>
        <v>5.9532234412914873</v>
      </c>
      <c r="T196" s="8">
        <f t="shared" si="33"/>
        <v>5.9532234412914873</v>
      </c>
    </row>
    <row r="197" spans="2:20" x14ac:dyDescent="0.2">
      <c r="B197">
        <f t="shared" ref="B197:B260" si="40">B196+1</f>
        <v>194</v>
      </c>
      <c r="C197">
        <f t="shared" si="36"/>
        <v>31</v>
      </c>
      <c r="D197">
        <v>183</v>
      </c>
      <c r="E197">
        <v>214</v>
      </c>
      <c r="F197">
        <f>PMSPLINE!F$10</f>
        <v>5.527760076387521</v>
      </c>
      <c r="G197">
        <f>PMSPLINE!F$11</f>
        <v>6.7851074137560472</v>
      </c>
      <c r="H197" s="10">
        <f>PMSPLINE!K$10</f>
        <v>8.0787341965255096E-4</v>
      </c>
      <c r="I197" s="10">
        <f>PMSPLINE!K$11</f>
        <v>-1.4538122384009236E-3</v>
      </c>
      <c r="J197">
        <f t="shared" si="37"/>
        <v>0.64516129032258063</v>
      </c>
      <c r="K197">
        <f t="shared" si="38"/>
        <v>0.35483870967741937</v>
      </c>
      <c r="L197">
        <f t="shared" si="34"/>
        <v>148</v>
      </c>
      <c r="M197" s="8">
        <f t="shared" si="39"/>
        <v>5.9739155831957076</v>
      </c>
      <c r="N197" s="6">
        <f t="shared" si="35"/>
        <v>5.997404213917874</v>
      </c>
      <c r="O197" s="8">
        <f t="shared" si="31"/>
        <v>515.88052243054358</v>
      </c>
      <c r="P197" s="8">
        <f t="shared" si="32"/>
        <v>512.92852512891022</v>
      </c>
      <c r="Q197" s="8">
        <f t="shared" ref="Q197:Q260" si="41">M197+(((J197^3-J197)*H197+(K197^3-K197)*I197))*(C197^2)/6</f>
        <v>5.997404213917874</v>
      </c>
      <c r="T197" s="8">
        <f t="shared" si="33"/>
        <v>5.997404213917874</v>
      </c>
    </row>
    <row r="198" spans="2:20" x14ac:dyDescent="0.2">
      <c r="B198">
        <f t="shared" si="40"/>
        <v>195</v>
      </c>
      <c r="C198">
        <f t="shared" si="36"/>
        <v>31</v>
      </c>
      <c r="D198">
        <v>183</v>
      </c>
      <c r="E198">
        <v>214</v>
      </c>
      <c r="F198">
        <f>PMSPLINE!F$10</f>
        <v>5.527760076387521</v>
      </c>
      <c r="G198">
        <f>PMSPLINE!F$11</f>
        <v>6.7851074137560472</v>
      </c>
      <c r="H198" s="10">
        <f>PMSPLINE!K$10</f>
        <v>8.0787341965255096E-4</v>
      </c>
      <c r="I198" s="10">
        <f>PMSPLINE!K$11</f>
        <v>-1.4538122384009236E-3</v>
      </c>
      <c r="J198">
        <f t="shared" si="37"/>
        <v>0.61290322580645162</v>
      </c>
      <c r="K198">
        <f t="shared" si="38"/>
        <v>0.38709677419354838</v>
      </c>
      <c r="L198">
        <f t="shared" si="34"/>
        <v>149</v>
      </c>
      <c r="M198" s="8">
        <f t="shared" si="39"/>
        <v>6.0144751747237244</v>
      </c>
      <c r="N198" s="6">
        <f t="shared" si="35"/>
        <v>6.0415903263433135</v>
      </c>
      <c r="O198" s="8">
        <f t="shared" ref="O198:O261" si="42">O197+M198</f>
        <v>521.89499760526735</v>
      </c>
      <c r="P198" s="8">
        <f t="shared" ref="P198:P261" si="43">P197+N198</f>
        <v>518.97011545525356</v>
      </c>
      <c r="Q198" s="8">
        <f t="shared" si="41"/>
        <v>6.0415903263433135</v>
      </c>
      <c r="T198" s="8">
        <f t="shared" si="33"/>
        <v>6.0415903263433135</v>
      </c>
    </row>
    <row r="199" spans="2:20" x14ac:dyDescent="0.2">
      <c r="B199">
        <f t="shared" si="40"/>
        <v>196</v>
      </c>
      <c r="C199">
        <f t="shared" si="36"/>
        <v>31</v>
      </c>
      <c r="D199">
        <v>183</v>
      </c>
      <c r="E199">
        <v>214</v>
      </c>
      <c r="F199">
        <f>PMSPLINE!F$10</f>
        <v>5.527760076387521</v>
      </c>
      <c r="G199">
        <f>PMSPLINE!F$11</f>
        <v>6.7851074137560472</v>
      </c>
      <c r="H199" s="10">
        <f>PMSPLINE!K$10</f>
        <v>8.0787341965255096E-4</v>
      </c>
      <c r="I199" s="10">
        <f>PMSPLINE!K$11</f>
        <v>-1.4538122384009236E-3</v>
      </c>
      <c r="J199">
        <f t="shared" si="37"/>
        <v>0.58064516129032262</v>
      </c>
      <c r="K199">
        <f t="shared" si="38"/>
        <v>0.41935483870967744</v>
      </c>
      <c r="L199">
        <f t="shared" si="34"/>
        <v>150</v>
      </c>
      <c r="M199" s="8">
        <f t="shared" si="39"/>
        <v>6.0550347662517421</v>
      </c>
      <c r="N199" s="6">
        <f t="shared" si="35"/>
        <v>6.0857088209659347</v>
      </c>
      <c r="O199" s="8">
        <f t="shared" si="42"/>
        <v>527.95003237151911</v>
      </c>
      <c r="P199" s="8">
        <f t="shared" si="43"/>
        <v>525.05582427621948</v>
      </c>
      <c r="Q199" s="8">
        <f t="shared" si="41"/>
        <v>6.0857088209659347</v>
      </c>
      <c r="T199" s="8">
        <f t="shared" si="33"/>
        <v>6.0857088209659347</v>
      </c>
    </row>
    <row r="200" spans="2:20" x14ac:dyDescent="0.2">
      <c r="B200">
        <f t="shared" si="40"/>
        <v>197</v>
      </c>
      <c r="C200">
        <f t="shared" si="36"/>
        <v>31</v>
      </c>
      <c r="D200">
        <v>183</v>
      </c>
      <c r="E200">
        <v>214</v>
      </c>
      <c r="F200">
        <f>PMSPLINE!F$10</f>
        <v>5.527760076387521</v>
      </c>
      <c r="G200">
        <f>PMSPLINE!F$11</f>
        <v>6.7851074137560472</v>
      </c>
      <c r="H200" s="10">
        <f>PMSPLINE!K$10</f>
        <v>8.0787341965255096E-4</v>
      </c>
      <c r="I200" s="10">
        <f>PMSPLINE!K$11</f>
        <v>-1.4538122384009236E-3</v>
      </c>
      <c r="J200">
        <f t="shared" si="37"/>
        <v>0.54838709677419351</v>
      </c>
      <c r="K200">
        <f t="shared" si="38"/>
        <v>0.45161290322580644</v>
      </c>
      <c r="L200">
        <f t="shared" si="34"/>
        <v>151</v>
      </c>
      <c r="M200" s="8">
        <f t="shared" si="39"/>
        <v>6.095594357779758</v>
      </c>
      <c r="N200" s="6">
        <f t="shared" si="35"/>
        <v>6.1296867401838613</v>
      </c>
      <c r="O200" s="8">
        <f t="shared" si="42"/>
        <v>534.04562672929887</v>
      </c>
      <c r="P200" s="8">
        <f t="shared" si="43"/>
        <v>531.18551101640332</v>
      </c>
      <c r="Q200" s="8">
        <f t="shared" si="41"/>
        <v>6.1296867401838613</v>
      </c>
      <c r="T200" s="8">
        <f t="shared" si="33"/>
        <v>6.1296867401838613</v>
      </c>
    </row>
    <row r="201" spans="2:20" x14ac:dyDescent="0.2">
      <c r="B201">
        <f t="shared" si="40"/>
        <v>198</v>
      </c>
      <c r="C201">
        <f t="shared" si="36"/>
        <v>31</v>
      </c>
      <c r="D201">
        <v>183</v>
      </c>
      <c r="E201">
        <v>214</v>
      </c>
      <c r="F201">
        <f>PMSPLINE!F$10</f>
        <v>5.527760076387521</v>
      </c>
      <c r="G201">
        <f>PMSPLINE!F$11</f>
        <v>6.7851074137560472</v>
      </c>
      <c r="H201" s="10">
        <f>PMSPLINE!K$10</f>
        <v>8.0787341965255096E-4</v>
      </c>
      <c r="I201" s="10">
        <f>PMSPLINE!K$11</f>
        <v>-1.4538122384009236E-3</v>
      </c>
      <c r="J201">
        <f t="shared" si="37"/>
        <v>0.5161290322580645</v>
      </c>
      <c r="K201">
        <f t="shared" si="38"/>
        <v>0.4838709677419355</v>
      </c>
      <c r="L201">
        <f t="shared" si="34"/>
        <v>152</v>
      </c>
      <c r="M201" s="8">
        <f t="shared" si="39"/>
        <v>6.1361539493077757</v>
      </c>
      <c r="N201" s="6">
        <f t="shared" si="35"/>
        <v>6.1734511263952241</v>
      </c>
      <c r="O201" s="8">
        <f t="shared" si="42"/>
        <v>540.18178067860663</v>
      </c>
      <c r="P201" s="8">
        <f t="shared" si="43"/>
        <v>537.35896214279853</v>
      </c>
      <c r="Q201" s="8">
        <f t="shared" si="41"/>
        <v>6.1734511263952241</v>
      </c>
      <c r="T201" s="8">
        <f t="shared" si="33"/>
        <v>6.1734511263952241</v>
      </c>
    </row>
    <row r="202" spans="2:20" x14ac:dyDescent="0.2">
      <c r="B202">
        <f t="shared" si="40"/>
        <v>199</v>
      </c>
      <c r="C202">
        <f t="shared" si="36"/>
        <v>31</v>
      </c>
      <c r="D202">
        <v>183</v>
      </c>
      <c r="E202">
        <v>214</v>
      </c>
      <c r="F202">
        <f>PMSPLINE!F$10</f>
        <v>5.527760076387521</v>
      </c>
      <c r="G202">
        <f>PMSPLINE!F$11</f>
        <v>6.7851074137560472</v>
      </c>
      <c r="H202" s="10">
        <f>PMSPLINE!K$10</f>
        <v>8.0787341965255096E-4</v>
      </c>
      <c r="I202" s="10">
        <f>PMSPLINE!K$11</f>
        <v>-1.4538122384009236E-3</v>
      </c>
      <c r="J202">
        <f t="shared" si="37"/>
        <v>0.4838709677419355</v>
      </c>
      <c r="K202">
        <f t="shared" si="38"/>
        <v>0.5161290322580645</v>
      </c>
      <c r="L202">
        <f t="shared" si="34"/>
        <v>153</v>
      </c>
      <c r="M202" s="8">
        <f t="shared" si="39"/>
        <v>6.1767135408357934</v>
      </c>
      <c r="N202" s="6">
        <f t="shared" si="35"/>
        <v>6.2169290219981495</v>
      </c>
      <c r="O202" s="8">
        <f t="shared" si="42"/>
        <v>546.35849421944238</v>
      </c>
      <c r="P202" s="8">
        <f t="shared" si="43"/>
        <v>543.57589116479664</v>
      </c>
      <c r="Q202" s="8">
        <f t="shared" si="41"/>
        <v>6.2169290219981495</v>
      </c>
      <c r="T202" s="8">
        <f t="shared" si="33"/>
        <v>6.2169290219981495</v>
      </c>
    </row>
    <row r="203" spans="2:20" x14ac:dyDescent="0.2">
      <c r="B203">
        <f t="shared" si="40"/>
        <v>200</v>
      </c>
      <c r="C203">
        <f t="shared" si="36"/>
        <v>31</v>
      </c>
      <c r="D203">
        <v>183</v>
      </c>
      <c r="E203">
        <v>214</v>
      </c>
      <c r="F203">
        <f>PMSPLINE!F$10</f>
        <v>5.527760076387521</v>
      </c>
      <c r="G203">
        <f>PMSPLINE!F$11</f>
        <v>6.7851074137560472</v>
      </c>
      <c r="H203" s="10">
        <f>PMSPLINE!K$10</f>
        <v>8.0787341965255096E-4</v>
      </c>
      <c r="I203" s="10">
        <f>PMSPLINE!K$11</f>
        <v>-1.4538122384009236E-3</v>
      </c>
      <c r="J203">
        <f t="shared" si="37"/>
        <v>0.45161290322580644</v>
      </c>
      <c r="K203">
        <f t="shared" si="38"/>
        <v>0.54838709677419351</v>
      </c>
      <c r="L203">
        <f t="shared" si="34"/>
        <v>154</v>
      </c>
      <c r="M203" s="8">
        <f t="shared" si="39"/>
        <v>6.2172731323638093</v>
      </c>
      <c r="N203" s="6">
        <f t="shared" si="35"/>
        <v>6.2600474693907628</v>
      </c>
      <c r="O203" s="8">
        <f t="shared" si="42"/>
        <v>552.57576735180623</v>
      </c>
      <c r="P203" s="8">
        <f t="shared" si="43"/>
        <v>549.83593863418741</v>
      </c>
      <c r="Q203" s="8">
        <f t="shared" si="41"/>
        <v>6.2600474693907628</v>
      </c>
      <c r="T203" s="8">
        <f t="shared" si="33"/>
        <v>6.2600474693907628</v>
      </c>
    </row>
    <row r="204" spans="2:20" x14ac:dyDescent="0.2">
      <c r="B204">
        <f t="shared" si="40"/>
        <v>201</v>
      </c>
      <c r="C204">
        <f t="shared" si="36"/>
        <v>31</v>
      </c>
      <c r="D204">
        <v>183</v>
      </c>
      <c r="E204">
        <v>214</v>
      </c>
      <c r="F204">
        <f>PMSPLINE!F$10</f>
        <v>5.527760076387521</v>
      </c>
      <c r="G204">
        <f>PMSPLINE!F$11</f>
        <v>6.7851074137560472</v>
      </c>
      <c r="H204" s="10">
        <f>PMSPLINE!K$10</f>
        <v>8.0787341965255096E-4</v>
      </c>
      <c r="I204" s="10">
        <f>PMSPLINE!K$11</f>
        <v>-1.4538122384009236E-3</v>
      </c>
      <c r="J204">
        <f t="shared" si="37"/>
        <v>0.41935483870967744</v>
      </c>
      <c r="K204">
        <f t="shared" si="38"/>
        <v>0.58064516129032262</v>
      </c>
      <c r="L204">
        <f t="shared" si="34"/>
        <v>155</v>
      </c>
      <c r="M204" s="8">
        <f t="shared" si="39"/>
        <v>6.257832723891827</v>
      </c>
      <c r="N204" s="6">
        <f t="shared" si="35"/>
        <v>6.3027335109711942</v>
      </c>
      <c r="O204" s="8">
        <f t="shared" si="42"/>
        <v>558.83360007569809</v>
      </c>
      <c r="P204" s="8">
        <f t="shared" si="43"/>
        <v>556.13867214515858</v>
      </c>
      <c r="Q204" s="8">
        <f t="shared" si="41"/>
        <v>6.3027335109711942</v>
      </c>
      <c r="T204" s="8">
        <f t="shared" si="33"/>
        <v>6.3027335109711942</v>
      </c>
    </row>
    <row r="205" spans="2:20" x14ac:dyDescent="0.2">
      <c r="B205">
        <f t="shared" si="40"/>
        <v>202</v>
      </c>
      <c r="C205">
        <f t="shared" si="36"/>
        <v>31</v>
      </c>
      <c r="D205">
        <v>183</v>
      </c>
      <c r="E205">
        <v>214</v>
      </c>
      <c r="F205">
        <f>PMSPLINE!F$10</f>
        <v>5.527760076387521</v>
      </c>
      <c r="G205">
        <f>PMSPLINE!F$11</f>
        <v>6.7851074137560472</v>
      </c>
      <c r="H205" s="10">
        <f>PMSPLINE!K$10</f>
        <v>8.0787341965255096E-4</v>
      </c>
      <c r="I205" s="10">
        <f>PMSPLINE!K$11</f>
        <v>-1.4538122384009236E-3</v>
      </c>
      <c r="J205">
        <f t="shared" si="37"/>
        <v>0.38709677419354838</v>
      </c>
      <c r="K205">
        <f t="shared" si="38"/>
        <v>0.61290322580645162</v>
      </c>
      <c r="L205">
        <f t="shared" si="34"/>
        <v>156</v>
      </c>
      <c r="M205" s="8">
        <f t="shared" si="39"/>
        <v>6.2983923154198438</v>
      </c>
      <c r="N205" s="6">
        <f t="shared" si="35"/>
        <v>6.3449141891375689</v>
      </c>
      <c r="O205" s="8">
        <f t="shared" si="42"/>
        <v>565.13199239111793</v>
      </c>
      <c r="P205" s="8">
        <f t="shared" si="43"/>
        <v>562.48358633429621</v>
      </c>
      <c r="Q205" s="8">
        <f t="shared" si="41"/>
        <v>6.3449141891375689</v>
      </c>
      <c r="T205" s="8">
        <f t="shared" si="33"/>
        <v>6.3449141891375689</v>
      </c>
    </row>
    <row r="206" spans="2:20" x14ac:dyDescent="0.2">
      <c r="B206">
        <f t="shared" si="40"/>
        <v>203</v>
      </c>
      <c r="C206">
        <f t="shared" si="36"/>
        <v>31</v>
      </c>
      <c r="D206">
        <v>183</v>
      </c>
      <c r="E206">
        <v>214</v>
      </c>
      <c r="F206">
        <f>PMSPLINE!F$10</f>
        <v>5.527760076387521</v>
      </c>
      <c r="G206">
        <f>PMSPLINE!F$11</f>
        <v>6.7851074137560472</v>
      </c>
      <c r="H206" s="10">
        <f>PMSPLINE!K$10</f>
        <v>8.0787341965255096E-4</v>
      </c>
      <c r="I206" s="10">
        <f>PMSPLINE!K$11</f>
        <v>-1.4538122384009236E-3</v>
      </c>
      <c r="J206">
        <f t="shared" si="37"/>
        <v>0.35483870967741937</v>
      </c>
      <c r="K206">
        <f t="shared" si="38"/>
        <v>0.64516129032258063</v>
      </c>
      <c r="L206">
        <f t="shared" si="34"/>
        <v>157</v>
      </c>
      <c r="M206" s="8">
        <f t="shared" si="39"/>
        <v>6.3389519069478606</v>
      </c>
      <c r="N206" s="6">
        <f t="shared" si="35"/>
        <v>6.3865165462880151</v>
      </c>
      <c r="O206" s="8">
        <f t="shared" si="42"/>
        <v>571.47094429806577</v>
      </c>
      <c r="P206" s="8">
        <f t="shared" si="43"/>
        <v>568.87010288058423</v>
      </c>
      <c r="Q206" s="8">
        <f t="shared" si="41"/>
        <v>6.3865165462880151</v>
      </c>
      <c r="T206" s="8">
        <f t="shared" si="33"/>
        <v>6.3865165462880151</v>
      </c>
    </row>
    <row r="207" spans="2:20" x14ac:dyDescent="0.2">
      <c r="B207">
        <f t="shared" si="40"/>
        <v>204</v>
      </c>
      <c r="C207">
        <f t="shared" si="36"/>
        <v>31</v>
      </c>
      <c r="D207">
        <v>183</v>
      </c>
      <c r="E207">
        <v>214</v>
      </c>
      <c r="F207">
        <f>PMSPLINE!F$10</f>
        <v>5.527760076387521</v>
      </c>
      <c r="G207">
        <f>PMSPLINE!F$11</f>
        <v>6.7851074137560472</v>
      </c>
      <c r="H207" s="10">
        <f>PMSPLINE!K$10</f>
        <v>8.0787341965255096E-4</v>
      </c>
      <c r="I207" s="10">
        <f>PMSPLINE!K$11</f>
        <v>-1.4538122384009236E-3</v>
      </c>
      <c r="J207">
        <f t="shared" si="37"/>
        <v>0.32258064516129031</v>
      </c>
      <c r="K207">
        <f t="shared" si="38"/>
        <v>0.67741935483870963</v>
      </c>
      <c r="L207">
        <f t="shared" si="34"/>
        <v>158</v>
      </c>
      <c r="M207" s="8">
        <f t="shared" si="39"/>
        <v>6.3795114984758774</v>
      </c>
      <c r="N207" s="6">
        <f t="shared" si="35"/>
        <v>6.4274676248206601</v>
      </c>
      <c r="O207" s="8">
        <f t="shared" si="42"/>
        <v>577.85045579654161</v>
      </c>
      <c r="P207" s="8">
        <f t="shared" si="43"/>
        <v>575.29757050540491</v>
      </c>
      <c r="Q207" s="8">
        <f t="shared" si="41"/>
        <v>6.4274676248206601</v>
      </c>
      <c r="T207" s="8">
        <f t="shared" si="33"/>
        <v>6.4274676248206601</v>
      </c>
    </row>
    <row r="208" spans="2:20" x14ac:dyDescent="0.2">
      <c r="B208">
        <f t="shared" si="40"/>
        <v>205</v>
      </c>
      <c r="C208">
        <f t="shared" si="36"/>
        <v>31</v>
      </c>
      <c r="D208">
        <v>183</v>
      </c>
      <c r="E208">
        <v>214</v>
      </c>
      <c r="F208">
        <f>PMSPLINE!F$10</f>
        <v>5.527760076387521</v>
      </c>
      <c r="G208">
        <f>PMSPLINE!F$11</f>
        <v>6.7851074137560472</v>
      </c>
      <c r="H208" s="10">
        <f>PMSPLINE!K$10</f>
        <v>8.0787341965255096E-4</v>
      </c>
      <c r="I208" s="10">
        <f>PMSPLINE!K$11</f>
        <v>-1.4538122384009236E-3</v>
      </c>
      <c r="J208">
        <f t="shared" si="37"/>
        <v>0.29032258064516131</v>
      </c>
      <c r="K208">
        <f t="shared" si="38"/>
        <v>0.70967741935483875</v>
      </c>
      <c r="L208">
        <f t="shared" si="34"/>
        <v>159</v>
      </c>
      <c r="M208" s="8">
        <f t="shared" si="39"/>
        <v>6.4200710900038942</v>
      </c>
      <c r="N208" s="6">
        <f t="shared" si="35"/>
        <v>6.4676944671336312</v>
      </c>
      <c r="O208" s="8">
        <f t="shared" si="42"/>
        <v>584.27052688654555</v>
      </c>
      <c r="P208" s="8">
        <f t="shared" si="43"/>
        <v>581.76526497253849</v>
      </c>
      <c r="Q208" s="8">
        <f t="shared" si="41"/>
        <v>6.4676944671336312</v>
      </c>
      <c r="T208" s="8">
        <f t="shared" si="33"/>
        <v>6.4676944671336312</v>
      </c>
    </row>
    <row r="209" spans="1:20" x14ac:dyDescent="0.2">
      <c r="B209">
        <f t="shared" si="40"/>
        <v>206</v>
      </c>
      <c r="C209">
        <f t="shared" si="36"/>
        <v>31</v>
      </c>
      <c r="D209">
        <v>183</v>
      </c>
      <c r="E209">
        <v>214</v>
      </c>
      <c r="F209">
        <f>PMSPLINE!F$10</f>
        <v>5.527760076387521</v>
      </c>
      <c r="G209">
        <f>PMSPLINE!F$11</f>
        <v>6.7851074137560472</v>
      </c>
      <c r="H209" s="10">
        <f>PMSPLINE!K$10</f>
        <v>8.0787341965255096E-4</v>
      </c>
      <c r="I209" s="10">
        <f>PMSPLINE!K$11</f>
        <v>-1.4538122384009236E-3</v>
      </c>
      <c r="J209">
        <f t="shared" si="37"/>
        <v>0.25806451612903225</v>
      </c>
      <c r="K209">
        <f t="shared" si="38"/>
        <v>0.74193548387096775</v>
      </c>
      <c r="L209">
        <f t="shared" si="34"/>
        <v>160</v>
      </c>
      <c r="M209" s="8">
        <f t="shared" si="39"/>
        <v>6.4606306815319119</v>
      </c>
      <c r="N209" s="6">
        <f t="shared" si="35"/>
        <v>6.5071241156250563</v>
      </c>
      <c r="O209" s="8">
        <f t="shared" si="42"/>
        <v>590.73115756807749</v>
      </c>
      <c r="P209" s="8">
        <f t="shared" si="43"/>
        <v>588.27238908816355</v>
      </c>
      <c r="Q209" s="8">
        <f t="shared" si="41"/>
        <v>6.5071241156250563</v>
      </c>
      <c r="T209" s="8">
        <f t="shared" si="33"/>
        <v>6.5071241156250563</v>
      </c>
    </row>
    <row r="210" spans="1:20" x14ac:dyDescent="0.2">
      <c r="B210">
        <f t="shared" si="40"/>
        <v>207</v>
      </c>
      <c r="C210">
        <f t="shared" si="36"/>
        <v>31</v>
      </c>
      <c r="D210">
        <v>183</v>
      </c>
      <c r="E210">
        <v>214</v>
      </c>
      <c r="F210">
        <f>PMSPLINE!F$10</f>
        <v>5.527760076387521</v>
      </c>
      <c r="G210">
        <f>PMSPLINE!F$11</f>
        <v>6.7851074137560472</v>
      </c>
      <c r="H210" s="10">
        <f>PMSPLINE!K$10</f>
        <v>8.0787341965255096E-4</v>
      </c>
      <c r="I210" s="10">
        <f>PMSPLINE!K$11</f>
        <v>-1.4538122384009236E-3</v>
      </c>
      <c r="J210">
        <f t="shared" si="37"/>
        <v>0.22580645161290322</v>
      </c>
      <c r="K210">
        <f t="shared" si="38"/>
        <v>0.77419354838709675</v>
      </c>
      <c r="L210">
        <f t="shared" si="34"/>
        <v>161</v>
      </c>
      <c r="M210" s="8">
        <f t="shared" si="39"/>
        <v>6.5011902730599278</v>
      </c>
      <c r="N210" s="6">
        <f t="shared" si="35"/>
        <v>6.5456836126930602</v>
      </c>
      <c r="O210" s="8">
        <f t="shared" si="42"/>
        <v>597.23234784113743</v>
      </c>
      <c r="P210" s="8">
        <f t="shared" si="43"/>
        <v>594.81807270085665</v>
      </c>
      <c r="Q210" s="8">
        <f t="shared" si="41"/>
        <v>6.5456836126930602</v>
      </c>
      <c r="T210" s="8">
        <f t="shared" si="33"/>
        <v>6.5456836126930602</v>
      </c>
    </row>
    <row r="211" spans="1:20" x14ac:dyDescent="0.2">
      <c r="B211">
        <f t="shared" si="40"/>
        <v>208</v>
      </c>
      <c r="C211">
        <f t="shared" si="36"/>
        <v>31</v>
      </c>
      <c r="D211">
        <v>183</v>
      </c>
      <c r="E211">
        <v>214</v>
      </c>
      <c r="F211">
        <f>PMSPLINE!F$10</f>
        <v>5.527760076387521</v>
      </c>
      <c r="G211">
        <f>PMSPLINE!F$11</f>
        <v>6.7851074137560472</v>
      </c>
      <c r="H211" s="10">
        <f>PMSPLINE!K$10</f>
        <v>8.0787341965255096E-4</v>
      </c>
      <c r="I211" s="10">
        <f>PMSPLINE!K$11</f>
        <v>-1.4538122384009236E-3</v>
      </c>
      <c r="J211">
        <f t="shared" si="37"/>
        <v>0.19354838709677419</v>
      </c>
      <c r="K211">
        <f t="shared" si="38"/>
        <v>0.80645161290322576</v>
      </c>
      <c r="L211">
        <f t="shared" si="34"/>
        <v>162</v>
      </c>
      <c r="M211" s="8">
        <f t="shared" si="39"/>
        <v>6.5417498645879455</v>
      </c>
      <c r="N211" s="6">
        <f t="shared" si="35"/>
        <v>6.5833000007357736</v>
      </c>
      <c r="O211" s="8">
        <f t="shared" si="42"/>
        <v>603.77409770572535</v>
      </c>
      <c r="P211" s="8">
        <f t="shared" si="43"/>
        <v>601.40137270159244</v>
      </c>
      <c r="Q211" s="8">
        <f t="shared" si="41"/>
        <v>6.5833000007357736</v>
      </c>
      <c r="T211" s="8">
        <f t="shared" si="33"/>
        <v>6.5833000007357736</v>
      </c>
    </row>
    <row r="212" spans="1:20" x14ac:dyDescent="0.2">
      <c r="B212">
        <f t="shared" si="40"/>
        <v>209</v>
      </c>
      <c r="C212">
        <f t="shared" si="36"/>
        <v>31</v>
      </c>
      <c r="D212">
        <v>183</v>
      </c>
      <c r="E212">
        <v>214</v>
      </c>
      <c r="F212">
        <f>PMSPLINE!F$10</f>
        <v>5.527760076387521</v>
      </c>
      <c r="G212">
        <f>PMSPLINE!F$11</f>
        <v>6.7851074137560472</v>
      </c>
      <c r="H212" s="10">
        <f>PMSPLINE!K$10</f>
        <v>8.0787341965255096E-4</v>
      </c>
      <c r="I212" s="10">
        <f>PMSPLINE!K$11</f>
        <v>-1.4538122384009236E-3</v>
      </c>
      <c r="J212">
        <f t="shared" si="37"/>
        <v>0.16129032258064516</v>
      </c>
      <c r="K212">
        <f t="shared" si="38"/>
        <v>0.83870967741935487</v>
      </c>
      <c r="L212">
        <f t="shared" si="34"/>
        <v>163</v>
      </c>
      <c r="M212" s="8">
        <f t="shared" si="39"/>
        <v>6.5823094561159623</v>
      </c>
      <c r="N212" s="6">
        <f t="shared" si="35"/>
        <v>6.619900322151322</v>
      </c>
      <c r="O212" s="8">
        <f t="shared" si="42"/>
        <v>610.35640716184128</v>
      </c>
      <c r="P212" s="8">
        <f t="shared" si="43"/>
        <v>608.02127302374379</v>
      </c>
      <c r="Q212" s="8">
        <f t="shared" si="41"/>
        <v>6.619900322151322</v>
      </c>
      <c r="T212" s="8">
        <f t="shared" si="33"/>
        <v>6.619900322151322</v>
      </c>
    </row>
    <row r="213" spans="1:20" x14ac:dyDescent="0.2">
      <c r="B213">
        <f t="shared" si="40"/>
        <v>210</v>
      </c>
      <c r="C213">
        <f t="shared" si="36"/>
        <v>31</v>
      </c>
      <c r="D213">
        <v>183</v>
      </c>
      <c r="E213">
        <v>214</v>
      </c>
      <c r="F213">
        <f>PMSPLINE!F$10</f>
        <v>5.527760076387521</v>
      </c>
      <c r="G213">
        <f>PMSPLINE!F$11</f>
        <v>6.7851074137560472</v>
      </c>
      <c r="H213" s="10">
        <f>PMSPLINE!K$10</f>
        <v>8.0787341965255096E-4</v>
      </c>
      <c r="I213" s="10">
        <f>PMSPLINE!K$11</f>
        <v>-1.4538122384009236E-3</v>
      </c>
      <c r="J213">
        <f t="shared" si="37"/>
        <v>0.12903225806451613</v>
      </c>
      <c r="K213">
        <f t="shared" si="38"/>
        <v>0.87096774193548387</v>
      </c>
      <c r="L213">
        <f t="shared" si="34"/>
        <v>164</v>
      </c>
      <c r="M213" s="8">
        <f t="shared" si="39"/>
        <v>6.6228690476439791</v>
      </c>
      <c r="N213" s="6">
        <f t="shared" si="35"/>
        <v>6.6554116193378325</v>
      </c>
      <c r="O213" s="8">
        <f t="shared" si="42"/>
        <v>616.97927620948531</v>
      </c>
      <c r="P213" s="8">
        <f t="shared" si="43"/>
        <v>614.67668464308167</v>
      </c>
      <c r="Q213" s="8">
        <f t="shared" si="41"/>
        <v>6.6554116193378325</v>
      </c>
      <c r="T213" s="8">
        <f t="shared" si="33"/>
        <v>6.6554116193378325</v>
      </c>
    </row>
    <row r="214" spans="1:20" x14ac:dyDescent="0.2">
      <c r="B214">
        <f t="shared" si="40"/>
        <v>211</v>
      </c>
      <c r="C214">
        <f t="shared" si="36"/>
        <v>31</v>
      </c>
      <c r="D214">
        <v>183</v>
      </c>
      <c r="E214">
        <v>214</v>
      </c>
      <c r="F214">
        <f>PMSPLINE!F$10</f>
        <v>5.527760076387521</v>
      </c>
      <c r="G214">
        <f>PMSPLINE!F$11</f>
        <v>6.7851074137560472</v>
      </c>
      <c r="H214" s="10">
        <f>PMSPLINE!K$10</f>
        <v>8.0787341965255096E-4</v>
      </c>
      <c r="I214" s="10">
        <f>PMSPLINE!K$11</f>
        <v>-1.4538122384009236E-3</v>
      </c>
      <c r="J214">
        <f t="shared" si="37"/>
        <v>9.6774193548387094E-2</v>
      </c>
      <c r="K214">
        <f t="shared" si="38"/>
        <v>0.90322580645161288</v>
      </c>
      <c r="L214">
        <f t="shared" si="34"/>
        <v>165</v>
      </c>
      <c r="M214" s="8">
        <f t="shared" si="39"/>
        <v>6.6634286391719959</v>
      </c>
      <c r="N214" s="6">
        <f t="shared" si="35"/>
        <v>6.6897609346934326</v>
      </c>
      <c r="O214" s="8">
        <f t="shared" si="42"/>
        <v>623.64270484865733</v>
      </c>
      <c r="P214" s="8">
        <f t="shared" si="43"/>
        <v>621.36644557777515</v>
      </c>
      <c r="Q214" s="8">
        <f t="shared" si="41"/>
        <v>6.6897609346934326</v>
      </c>
      <c r="T214" s="8">
        <f t="shared" si="33"/>
        <v>6.6897609346934326</v>
      </c>
    </row>
    <row r="215" spans="1:20" x14ac:dyDescent="0.2">
      <c r="B215">
        <f t="shared" si="40"/>
        <v>212</v>
      </c>
      <c r="C215">
        <f t="shared" si="36"/>
        <v>31</v>
      </c>
      <c r="D215">
        <v>183</v>
      </c>
      <c r="E215">
        <v>214</v>
      </c>
      <c r="F215">
        <f>PMSPLINE!F$10</f>
        <v>5.527760076387521</v>
      </c>
      <c r="G215">
        <f>PMSPLINE!F$11</f>
        <v>6.7851074137560472</v>
      </c>
      <c r="H215" s="10">
        <f>PMSPLINE!K$10</f>
        <v>8.0787341965255096E-4</v>
      </c>
      <c r="I215" s="10">
        <f>PMSPLINE!K$11</f>
        <v>-1.4538122384009236E-3</v>
      </c>
      <c r="J215">
        <f t="shared" si="37"/>
        <v>6.4516129032258063E-2</v>
      </c>
      <c r="K215">
        <f t="shared" si="38"/>
        <v>0.93548387096774188</v>
      </c>
      <c r="L215">
        <f t="shared" si="34"/>
        <v>166</v>
      </c>
      <c r="M215" s="8">
        <f t="shared" si="39"/>
        <v>6.7039882307000127</v>
      </c>
      <c r="N215" s="6">
        <f t="shared" si="35"/>
        <v>6.7228753106162502</v>
      </c>
      <c r="O215" s="8">
        <f t="shared" si="42"/>
        <v>630.34669307935735</v>
      </c>
      <c r="P215" s="8">
        <f t="shared" si="43"/>
        <v>628.0893208883914</v>
      </c>
      <c r="Q215" s="8">
        <f t="shared" si="41"/>
        <v>6.7228753106162502</v>
      </c>
      <c r="T215" s="8">
        <f t="shared" si="33"/>
        <v>6.7228753106162502</v>
      </c>
    </row>
    <row r="216" spans="1:20" x14ac:dyDescent="0.2">
      <c r="B216">
        <f t="shared" si="40"/>
        <v>213</v>
      </c>
      <c r="C216">
        <f t="shared" si="36"/>
        <v>31</v>
      </c>
      <c r="D216">
        <v>183</v>
      </c>
      <c r="E216">
        <v>214</v>
      </c>
      <c r="F216">
        <f>PMSPLINE!F$10</f>
        <v>5.527760076387521</v>
      </c>
      <c r="G216">
        <f>PMSPLINE!F$11</f>
        <v>6.7851074137560472</v>
      </c>
      <c r="H216" s="10">
        <f>PMSPLINE!K$10</f>
        <v>8.0787341965255096E-4</v>
      </c>
      <c r="I216" s="10">
        <f>PMSPLINE!K$11</f>
        <v>-1.4538122384009236E-3</v>
      </c>
      <c r="J216">
        <f t="shared" si="37"/>
        <v>3.2258064516129031E-2</v>
      </c>
      <c r="K216">
        <f t="shared" si="38"/>
        <v>0.967741935483871</v>
      </c>
      <c r="L216">
        <f t="shared" si="34"/>
        <v>167</v>
      </c>
      <c r="M216" s="8">
        <f t="shared" si="39"/>
        <v>6.7445478222280304</v>
      </c>
      <c r="N216" s="6">
        <f t="shared" si="35"/>
        <v>6.7546817895044136</v>
      </c>
      <c r="O216" s="8">
        <f t="shared" si="42"/>
        <v>637.09124090158537</v>
      </c>
      <c r="P216" s="8">
        <f t="shared" si="43"/>
        <v>634.84400267789579</v>
      </c>
      <c r="Q216" s="8">
        <f t="shared" si="41"/>
        <v>6.7546817895044136</v>
      </c>
      <c r="T216" s="8">
        <f t="shared" si="33"/>
        <v>6.7546817895044136</v>
      </c>
    </row>
    <row r="217" spans="1:20" x14ac:dyDescent="0.2">
      <c r="A217">
        <v>214</v>
      </c>
      <c r="B217">
        <f t="shared" si="40"/>
        <v>214</v>
      </c>
      <c r="C217">
        <f t="shared" si="36"/>
        <v>31</v>
      </c>
      <c r="D217">
        <v>183</v>
      </c>
      <c r="E217">
        <v>214</v>
      </c>
      <c r="F217">
        <f>PMSPLINE!F$10</f>
        <v>5.527760076387521</v>
      </c>
      <c r="G217">
        <f>PMSPLINE!F$11</f>
        <v>6.7851074137560472</v>
      </c>
      <c r="H217" s="10">
        <f>PMSPLINE!K$10</f>
        <v>8.0787341965255096E-4</v>
      </c>
      <c r="I217" s="10">
        <f>PMSPLINE!K$11</f>
        <v>-1.4538122384009236E-3</v>
      </c>
      <c r="J217">
        <f t="shared" si="37"/>
        <v>0</v>
      </c>
      <c r="K217">
        <f t="shared" si="38"/>
        <v>1</v>
      </c>
      <c r="L217">
        <f t="shared" si="34"/>
        <v>168</v>
      </c>
      <c r="M217" s="8">
        <f t="shared" si="39"/>
        <v>6.7851074137560472</v>
      </c>
      <c r="N217" s="6">
        <f t="shared" si="35"/>
        <v>6.7851074137560472</v>
      </c>
      <c r="O217" s="8">
        <f t="shared" si="42"/>
        <v>643.87634831534137</v>
      </c>
      <c r="P217" s="8">
        <f t="shared" si="43"/>
        <v>641.6291100916518</v>
      </c>
      <c r="Q217" s="8">
        <f t="shared" si="41"/>
        <v>6.7851074137560472</v>
      </c>
      <c r="T217" s="8">
        <f t="shared" si="33"/>
        <v>6.7851074137560472</v>
      </c>
    </row>
    <row r="218" spans="1:20" x14ac:dyDescent="0.2">
      <c r="B218">
        <f t="shared" si="40"/>
        <v>215</v>
      </c>
      <c r="C218">
        <f t="shared" si="36"/>
        <v>30</v>
      </c>
      <c r="D218">
        <v>214</v>
      </c>
      <c r="E218">
        <v>244</v>
      </c>
      <c r="F218">
        <f>PMSPLINE!F$11</f>
        <v>6.7851074137560472</v>
      </c>
      <c r="G218">
        <f>PMSPLINE!F$12</f>
        <v>7.0977138121507055</v>
      </c>
      <c r="H218" s="10">
        <f>PMSPLINE!K$11</f>
        <v>-1.4538122384009236E-3</v>
      </c>
      <c r="I218" s="10">
        <f>PMSPLINE!K$12</f>
        <v>-9.5050841378288608E-4</v>
      </c>
      <c r="J218">
        <f t="shared" si="37"/>
        <v>0.96666666666666667</v>
      </c>
      <c r="K218">
        <f t="shared" si="38"/>
        <v>3.3333333333333333E-2</v>
      </c>
      <c r="L218">
        <f t="shared" si="34"/>
        <v>169</v>
      </c>
      <c r="M218" s="8">
        <f t="shared" si="39"/>
        <v>6.7955276270358684</v>
      </c>
      <c r="N218" s="6">
        <f t="shared" si="35"/>
        <v>6.8140941815019502</v>
      </c>
      <c r="O218" s="8">
        <f t="shared" si="42"/>
        <v>650.67187594237726</v>
      </c>
      <c r="P218" s="8">
        <f t="shared" si="43"/>
        <v>648.4432042731537</v>
      </c>
      <c r="Q218" s="8">
        <f t="shared" si="41"/>
        <v>6.8140941815019502</v>
      </c>
      <c r="T218" s="8">
        <f t="shared" si="33"/>
        <v>6.8140941815019502</v>
      </c>
    </row>
    <row r="219" spans="1:20" x14ac:dyDescent="0.2">
      <c r="B219">
        <f t="shared" si="40"/>
        <v>216</v>
      </c>
      <c r="C219">
        <f t="shared" si="36"/>
        <v>30</v>
      </c>
      <c r="D219">
        <v>214</v>
      </c>
      <c r="E219">
        <v>244</v>
      </c>
      <c r="F219">
        <f>PMSPLINE!F$11</f>
        <v>6.7851074137560472</v>
      </c>
      <c r="G219">
        <f>PMSPLINE!F$12</f>
        <v>7.0977138121507055</v>
      </c>
      <c r="H219" s="10">
        <f>PMSPLINE!K$11</f>
        <v>-1.4538122384009236E-3</v>
      </c>
      <c r="I219" s="10">
        <f>PMSPLINE!K$12</f>
        <v>-9.5050841378288608E-4</v>
      </c>
      <c r="J219">
        <f t="shared" si="37"/>
        <v>0.93333333333333335</v>
      </c>
      <c r="K219">
        <f t="shared" si="38"/>
        <v>6.6666666666666666E-2</v>
      </c>
      <c r="L219">
        <f t="shared" si="34"/>
        <v>170</v>
      </c>
      <c r="M219" s="8">
        <f t="shared" si="39"/>
        <v>6.8059478403156914</v>
      </c>
      <c r="N219" s="6">
        <f t="shared" si="35"/>
        <v>6.8416439138036091</v>
      </c>
      <c r="O219" s="8">
        <f t="shared" si="42"/>
        <v>657.47782378269289</v>
      </c>
      <c r="P219" s="8">
        <f t="shared" si="43"/>
        <v>655.28484818695733</v>
      </c>
      <c r="Q219" s="8">
        <f t="shared" si="41"/>
        <v>6.8416439138036091</v>
      </c>
      <c r="T219" s="8">
        <f t="shared" si="33"/>
        <v>6.8416439138036091</v>
      </c>
    </row>
    <row r="220" spans="1:20" x14ac:dyDescent="0.2">
      <c r="B220">
        <f t="shared" si="40"/>
        <v>217</v>
      </c>
      <c r="C220">
        <f t="shared" si="36"/>
        <v>30</v>
      </c>
      <c r="D220">
        <v>214</v>
      </c>
      <c r="E220">
        <v>244</v>
      </c>
      <c r="F220">
        <f>PMSPLINE!F$11</f>
        <v>6.7851074137560472</v>
      </c>
      <c r="G220">
        <f>PMSPLINE!F$12</f>
        <v>7.0977138121507055</v>
      </c>
      <c r="H220" s="10">
        <f>PMSPLINE!K$11</f>
        <v>-1.4538122384009236E-3</v>
      </c>
      <c r="I220" s="10">
        <f>PMSPLINE!K$12</f>
        <v>-9.5050841378288608E-4</v>
      </c>
      <c r="J220">
        <f t="shared" si="37"/>
        <v>0.9</v>
      </c>
      <c r="K220">
        <f t="shared" si="38"/>
        <v>0.1</v>
      </c>
      <c r="L220">
        <f t="shared" si="34"/>
        <v>171</v>
      </c>
      <c r="M220" s="8">
        <f t="shared" si="39"/>
        <v>6.8163680535955127</v>
      </c>
      <c r="N220" s="6">
        <f t="shared" si="35"/>
        <v>6.8677733874551725</v>
      </c>
      <c r="O220" s="8">
        <f t="shared" si="42"/>
        <v>664.29419183628841</v>
      </c>
      <c r="P220" s="8">
        <f t="shared" si="43"/>
        <v>662.15262157441248</v>
      </c>
      <c r="Q220" s="8">
        <f t="shared" si="41"/>
        <v>6.8677733874551725</v>
      </c>
      <c r="T220" s="8">
        <f t="shared" si="33"/>
        <v>6.8677733874551725</v>
      </c>
    </row>
    <row r="221" spans="1:20" x14ac:dyDescent="0.2">
      <c r="B221">
        <f t="shared" si="40"/>
        <v>218</v>
      </c>
      <c r="C221">
        <f t="shared" si="36"/>
        <v>30</v>
      </c>
      <c r="D221">
        <v>214</v>
      </c>
      <c r="E221">
        <v>244</v>
      </c>
      <c r="F221">
        <f>PMSPLINE!F$11</f>
        <v>6.7851074137560472</v>
      </c>
      <c r="G221">
        <f>PMSPLINE!F$12</f>
        <v>7.0977138121507055</v>
      </c>
      <c r="H221" s="10">
        <f>PMSPLINE!K$11</f>
        <v>-1.4538122384009236E-3</v>
      </c>
      <c r="I221" s="10">
        <f>PMSPLINE!K$12</f>
        <v>-9.5050841378288608E-4</v>
      </c>
      <c r="J221">
        <f t="shared" si="37"/>
        <v>0.8666666666666667</v>
      </c>
      <c r="K221">
        <f t="shared" si="38"/>
        <v>0.13333333333333333</v>
      </c>
      <c r="L221">
        <f t="shared" si="34"/>
        <v>172</v>
      </c>
      <c r="M221" s="8">
        <f t="shared" si="39"/>
        <v>6.8267882668753348</v>
      </c>
      <c r="N221" s="6">
        <f t="shared" si="35"/>
        <v>6.8924993792507969</v>
      </c>
      <c r="O221" s="8">
        <f t="shared" si="42"/>
        <v>671.12098010316379</v>
      </c>
      <c r="P221" s="8">
        <f t="shared" si="43"/>
        <v>669.04512095366329</v>
      </c>
      <c r="Q221" s="8">
        <f t="shared" si="41"/>
        <v>6.8924993792507969</v>
      </c>
      <c r="T221" s="8">
        <f t="shared" si="33"/>
        <v>6.8924993792507969</v>
      </c>
    </row>
    <row r="222" spans="1:20" x14ac:dyDescent="0.2">
      <c r="B222">
        <f t="shared" si="40"/>
        <v>219</v>
      </c>
      <c r="C222">
        <f t="shared" si="36"/>
        <v>30</v>
      </c>
      <c r="D222">
        <v>214</v>
      </c>
      <c r="E222">
        <v>244</v>
      </c>
      <c r="F222">
        <f>PMSPLINE!F$11</f>
        <v>6.7851074137560472</v>
      </c>
      <c r="G222">
        <f>PMSPLINE!F$12</f>
        <v>7.0977138121507055</v>
      </c>
      <c r="H222" s="10">
        <f>PMSPLINE!K$11</f>
        <v>-1.4538122384009236E-3</v>
      </c>
      <c r="I222" s="10">
        <f>PMSPLINE!K$12</f>
        <v>-9.5050841378288608E-4</v>
      </c>
      <c r="J222">
        <f t="shared" si="37"/>
        <v>0.83333333333333337</v>
      </c>
      <c r="K222">
        <f t="shared" si="38"/>
        <v>0.16666666666666666</v>
      </c>
      <c r="L222">
        <f t="shared" si="34"/>
        <v>173</v>
      </c>
      <c r="M222" s="8">
        <f t="shared" si="39"/>
        <v>6.8372084801551569</v>
      </c>
      <c r="N222" s="6">
        <f t="shared" si="35"/>
        <v>6.9158386659846371</v>
      </c>
      <c r="O222" s="8">
        <f t="shared" si="42"/>
        <v>677.95818858331893</v>
      </c>
      <c r="P222" s="8">
        <f t="shared" si="43"/>
        <v>675.96095961964795</v>
      </c>
      <c r="Q222" s="8">
        <f t="shared" si="41"/>
        <v>6.9158386659846371</v>
      </c>
      <c r="T222" s="8">
        <f t="shared" si="33"/>
        <v>6.9158386659846371</v>
      </c>
    </row>
    <row r="223" spans="1:20" x14ac:dyDescent="0.2">
      <c r="B223">
        <f t="shared" si="40"/>
        <v>220</v>
      </c>
      <c r="C223">
        <f t="shared" si="36"/>
        <v>30</v>
      </c>
      <c r="D223">
        <v>214</v>
      </c>
      <c r="E223">
        <v>244</v>
      </c>
      <c r="F223">
        <f>PMSPLINE!F$11</f>
        <v>6.7851074137560472</v>
      </c>
      <c r="G223">
        <f>PMSPLINE!F$12</f>
        <v>7.0977138121507055</v>
      </c>
      <c r="H223" s="10">
        <f>PMSPLINE!K$11</f>
        <v>-1.4538122384009236E-3</v>
      </c>
      <c r="I223" s="10">
        <f>PMSPLINE!K$12</f>
        <v>-9.5050841378288608E-4</v>
      </c>
      <c r="J223">
        <f t="shared" si="37"/>
        <v>0.8</v>
      </c>
      <c r="K223">
        <f t="shared" si="38"/>
        <v>0.2</v>
      </c>
      <c r="L223">
        <f t="shared" si="34"/>
        <v>174</v>
      </c>
      <c r="M223" s="8">
        <f t="shared" si="39"/>
        <v>6.847628693434979</v>
      </c>
      <c r="N223" s="6">
        <f t="shared" si="35"/>
        <v>6.9378080244508462</v>
      </c>
      <c r="O223" s="8">
        <f t="shared" si="42"/>
        <v>684.80581727675394</v>
      </c>
      <c r="P223" s="8">
        <f t="shared" si="43"/>
        <v>682.89876764409883</v>
      </c>
      <c r="Q223" s="8">
        <f t="shared" si="41"/>
        <v>6.9378080244508462</v>
      </c>
      <c r="T223" s="8">
        <f t="shared" si="33"/>
        <v>6.9378080244508462</v>
      </c>
    </row>
    <row r="224" spans="1:20" x14ac:dyDescent="0.2">
      <c r="B224">
        <f t="shared" si="40"/>
        <v>221</v>
      </c>
      <c r="C224">
        <f t="shared" si="36"/>
        <v>30</v>
      </c>
      <c r="D224">
        <v>214</v>
      </c>
      <c r="E224">
        <v>244</v>
      </c>
      <c r="F224">
        <f>PMSPLINE!F$11</f>
        <v>6.7851074137560472</v>
      </c>
      <c r="G224">
        <f>PMSPLINE!F$12</f>
        <v>7.0977138121507055</v>
      </c>
      <c r="H224" s="10">
        <f>PMSPLINE!K$11</f>
        <v>-1.4538122384009236E-3</v>
      </c>
      <c r="I224" s="10">
        <f>PMSPLINE!K$12</f>
        <v>-9.5050841378288608E-4</v>
      </c>
      <c r="J224">
        <f t="shared" si="37"/>
        <v>0.76666666666666672</v>
      </c>
      <c r="K224">
        <f t="shared" si="38"/>
        <v>0.23333333333333334</v>
      </c>
      <c r="L224">
        <f t="shared" si="34"/>
        <v>175</v>
      </c>
      <c r="M224" s="8">
        <f t="shared" si="39"/>
        <v>6.8580489067148012</v>
      </c>
      <c r="N224" s="6">
        <f t="shared" si="35"/>
        <v>6.9584242314435771</v>
      </c>
      <c r="O224" s="8">
        <f t="shared" si="42"/>
        <v>691.66386618346871</v>
      </c>
      <c r="P224" s="8">
        <f t="shared" si="43"/>
        <v>689.85719187554241</v>
      </c>
      <c r="Q224" s="8">
        <f t="shared" si="41"/>
        <v>6.9584242314435771</v>
      </c>
      <c r="T224" s="8">
        <f t="shared" si="33"/>
        <v>6.9584242314435771</v>
      </c>
    </row>
    <row r="225" spans="2:20" x14ac:dyDescent="0.2">
      <c r="B225">
        <f t="shared" si="40"/>
        <v>222</v>
      </c>
      <c r="C225">
        <f t="shared" si="36"/>
        <v>30</v>
      </c>
      <c r="D225">
        <v>214</v>
      </c>
      <c r="E225">
        <v>244</v>
      </c>
      <c r="F225">
        <f>PMSPLINE!F$11</f>
        <v>6.7851074137560472</v>
      </c>
      <c r="G225">
        <f>PMSPLINE!F$12</f>
        <v>7.0977138121507055</v>
      </c>
      <c r="H225" s="10">
        <f>PMSPLINE!K$11</f>
        <v>-1.4538122384009236E-3</v>
      </c>
      <c r="I225" s="10">
        <f>PMSPLINE!K$12</f>
        <v>-9.5050841378288608E-4</v>
      </c>
      <c r="J225">
        <f t="shared" si="37"/>
        <v>0.73333333333333328</v>
      </c>
      <c r="K225">
        <f t="shared" si="38"/>
        <v>0.26666666666666666</v>
      </c>
      <c r="L225">
        <f t="shared" si="34"/>
        <v>176</v>
      </c>
      <c r="M225" s="8">
        <f t="shared" si="39"/>
        <v>6.8684691199946224</v>
      </c>
      <c r="N225" s="6">
        <f t="shared" si="35"/>
        <v>6.9777040637569847</v>
      </c>
      <c r="O225" s="8">
        <f t="shared" si="42"/>
        <v>698.53233530346336</v>
      </c>
      <c r="P225" s="8">
        <f t="shared" si="43"/>
        <v>696.83489593929937</v>
      </c>
      <c r="Q225" s="8">
        <f t="shared" si="41"/>
        <v>6.9777040637569847</v>
      </c>
      <c r="T225" s="8">
        <f t="shared" si="33"/>
        <v>6.9777040637569847</v>
      </c>
    </row>
    <row r="226" spans="2:20" x14ac:dyDescent="0.2">
      <c r="B226">
        <f t="shared" si="40"/>
        <v>223</v>
      </c>
      <c r="C226">
        <f t="shared" si="36"/>
        <v>30</v>
      </c>
      <c r="D226">
        <v>214</v>
      </c>
      <c r="E226">
        <v>244</v>
      </c>
      <c r="F226">
        <f>PMSPLINE!F$11</f>
        <v>6.7851074137560472</v>
      </c>
      <c r="G226">
        <f>PMSPLINE!F$12</f>
        <v>7.0977138121507055</v>
      </c>
      <c r="H226" s="10">
        <f>PMSPLINE!K$11</f>
        <v>-1.4538122384009236E-3</v>
      </c>
      <c r="I226" s="10">
        <f>PMSPLINE!K$12</f>
        <v>-9.5050841378288608E-4</v>
      </c>
      <c r="J226">
        <f t="shared" si="37"/>
        <v>0.7</v>
      </c>
      <c r="K226">
        <f t="shared" si="38"/>
        <v>0.3</v>
      </c>
      <c r="L226">
        <f t="shared" si="34"/>
        <v>177</v>
      </c>
      <c r="M226" s="8">
        <f t="shared" si="39"/>
        <v>6.8788893332744436</v>
      </c>
      <c r="N226" s="6">
        <f t="shared" si="35"/>
        <v>6.995664298185222</v>
      </c>
      <c r="O226" s="8">
        <f t="shared" si="42"/>
        <v>705.41122463673776</v>
      </c>
      <c r="P226" s="8">
        <f t="shared" si="43"/>
        <v>703.83056023748463</v>
      </c>
      <c r="Q226" s="8">
        <f t="shared" si="41"/>
        <v>6.995664298185222</v>
      </c>
      <c r="T226" s="8">
        <f t="shared" si="33"/>
        <v>6.995664298185222</v>
      </c>
    </row>
    <row r="227" spans="2:20" x14ac:dyDescent="0.2">
      <c r="B227">
        <f t="shared" si="40"/>
        <v>224</v>
      </c>
      <c r="C227">
        <f t="shared" si="36"/>
        <v>30</v>
      </c>
      <c r="D227">
        <v>214</v>
      </c>
      <c r="E227">
        <v>244</v>
      </c>
      <c r="F227">
        <f>PMSPLINE!F$11</f>
        <v>6.7851074137560472</v>
      </c>
      <c r="G227">
        <f>PMSPLINE!F$12</f>
        <v>7.0977138121507055</v>
      </c>
      <c r="H227" s="10">
        <f>PMSPLINE!K$11</f>
        <v>-1.4538122384009236E-3</v>
      </c>
      <c r="I227" s="10">
        <f>PMSPLINE!K$12</f>
        <v>-9.5050841378288608E-4</v>
      </c>
      <c r="J227">
        <f t="shared" si="37"/>
        <v>0.66666666666666663</v>
      </c>
      <c r="K227">
        <f t="shared" si="38"/>
        <v>0.33333333333333331</v>
      </c>
      <c r="L227">
        <f t="shared" si="34"/>
        <v>178</v>
      </c>
      <c r="M227" s="8">
        <f t="shared" si="39"/>
        <v>6.8893095465542666</v>
      </c>
      <c r="N227" s="6">
        <f t="shared" si="35"/>
        <v>7.0123217115224463</v>
      </c>
      <c r="O227" s="8">
        <f t="shared" si="42"/>
        <v>712.30053418329203</v>
      </c>
      <c r="P227" s="8">
        <f t="shared" si="43"/>
        <v>710.84288194900705</v>
      </c>
      <c r="Q227" s="8">
        <f t="shared" si="41"/>
        <v>7.0123217115224463</v>
      </c>
      <c r="T227" s="8">
        <f t="shared" si="33"/>
        <v>7.0123217115224463</v>
      </c>
    </row>
    <row r="228" spans="2:20" x14ac:dyDescent="0.2">
      <c r="B228">
        <f t="shared" si="40"/>
        <v>225</v>
      </c>
      <c r="C228">
        <f t="shared" si="36"/>
        <v>30</v>
      </c>
      <c r="D228">
        <v>214</v>
      </c>
      <c r="E228">
        <v>244</v>
      </c>
      <c r="F228">
        <f>PMSPLINE!F$11</f>
        <v>6.7851074137560472</v>
      </c>
      <c r="G228">
        <f>PMSPLINE!F$12</f>
        <v>7.0977138121507055</v>
      </c>
      <c r="H228" s="10">
        <f>PMSPLINE!K$11</f>
        <v>-1.4538122384009236E-3</v>
      </c>
      <c r="I228" s="10">
        <f>PMSPLINE!K$12</f>
        <v>-9.5050841378288608E-4</v>
      </c>
      <c r="J228">
        <f t="shared" si="37"/>
        <v>0.6333333333333333</v>
      </c>
      <c r="K228">
        <f t="shared" si="38"/>
        <v>0.36666666666666664</v>
      </c>
      <c r="L228">
        <f t="shared" si="34"/>
        <v>179</v>
      </c>
      <c r="M228" s="8">
        <f t="shared" si="39"/>
        <v>6.8997297598340879</v>
      </c>
      <c r="N228" s="6">
        <f t="shared" si="35"/>
        <v>7.0276930805628064</v>
      </c>
      <c r="O228" s="8">
        <f t="shared" si="42"/>
        <v>719.20026394312617</v>
      </c>
      <c r="P228" s="8">
        <f t="shared" si="43"/>
        <v>717.87057502956986</v>
      </c>
      <c r="Q228" s="8">
        <f t="shared" si="41"/>
        <v>7.0276930805628064</v>
      </c>
      <c r="T228" s="8">
        <f t="shared" si="33"/>
        <v>7.0276930805628064</v>
      </c>
    </row>
    <row r="229" spans="2:20" x14ac:dyDescent="0.2">
      <c r="B229">
        <f t="shared" si="40"/>
        <v>226</v>
      </c>
      <c r="C229">
        <f t="shared" si="36"/>
        <v>30</v>
      </c>
      <c r="D229">
        <v>214</v>
      </c>
      <c r="E229">
        <v>244</v>
      </c>
      <c r="F229">
        <f>PMSPLINE!F$11</f>
        <v>6.7851074137560472</v>
      </c>
      <c r="G229">
        <f>PMSPLINE!F$12</f>
        <v>7.0977138121507055</v>
      </c>
      <c r="H229" s="10">
        <f>PMSPLINE!K$11</f>
        <v>-1.4538122384009236E-3</v>
      </c>
      <c r="I229" s="10">
        <f>PMSPLINE!K$12</f>
        <v>-9.5050841378288608E-4</v>
      </c>
      <c r="J229">
        <f t="shared" si="37"/>
        <v>0.6</v>
      </c>
      <c r="K229">
        <f t="shared" si="38"/>
        <v>0.4</v>
      </c>
      <c r="L229">
        <f t="shared" si="34"/>
        <v>180</v>
      </c>
      <c r="M229" s="8">
        <f t="shared" si="39"/>
        <v>6.91014997311391</v>
      </c>
      <c r="N229" s="6">
        <f t="shared" si="35"/>
        <v>7.0417951821004605</v>
      </c>
      <c r="O229" s="8">
        <f t="shared" si="42"/>
        <v>726.11041391624008</v>
      </c>
      <c r="P229" s="8">
        <f t="shared" si="43"/>
        <v>724.91237021167035</v>
      </c>
      <c r="Q229" s="8">
        <f t="shared" si="41"/>
        <v>7.0417951821004605</v>
      </c>
      <c r="T229" s="8">
        <f t="shared" si="33"/>
        <v>7.0417951821004605</v>
      </c>
    </row>
    <row r="230" spans="2:20" x14ac:dyDescent="0.2">
      <c r="B230">
        <f t="shared" si="40"/>
        <v>227</v>
      </c>
      <c r="C230">
        <f t="shared" si="36"/>
        <v>30</v>
      </c>
      <c r="D230">
        <v>214</v>
      </c>
      <c r="E230">
        <v>244</v>
      </c>
      <c r="F230">
        <f>PMSPLINE!F$11</f>
        <v>6.7851074137560472</v>
      </c>
      <c r="G230">
        <f>PMSPLINE!F$12</f>
        <v>7.0977138121507055</v>
      </c>
      <c r="H230" s="10">
        <f>PMSPLINE!K$11</f>
        <v>-1.4538122384009236E-3</v>
      </c>
      <c r="I230" s="10">
        <f>PMSPLINE!K$12</f>
        <v>-9.5050841378288608E-4</v>
      </c>
      <c r="J230">
        <f t="shared" si="37"/>
        <v>0.56666666666666665</v>
      </c>
      <c r="K230">
        <f t="shared" si="38"/>
        <v>0.43333333333333335</v>
      </c>
      <c r="L230">
        <f t="shared" si="34"/>
        <v>181</v>
      </c>
      <c r="M230" s="8">
        <f t="shared" si="39"/>
        <v>6.9205701863937321</v>
      </c>
      <c r="N230" s="6">
        <f t="shared" si="35"/>
        <v>7.0546447929295608</v>
      </c>
      <c r="O230" s="8">
        <f t="shared" si="42"/>
        <v>733.03098410263385</v>
      </c>
      <c r="P230" s="8">
        <f t="shared" si="43"/>
        <v>731.96701500459994</v>
      </c>
      <c r="Q230" s="8">
        <f t="shared" si="41"/>
        <v>7.0546447929295608</v>
      </c>
      <c r="T230" s="8">
        <f t="shared" si="33"/>
        <v>7.0546447929295608</v>
      </c>
    </row>
    <row r="231" spans="2:20" x14ac:dyDescent="0.2">
      <c r="B231">
        <f t="shared" si="40"/>
        <v>228</v>
      </c>
      <c r="C231">
        <f t="shared" si="36"/>
        <v>30</v>
      </c>
      <c r="D231">
        <v>214</v>
      </c>
      <c r="E231">
        <v>244</v>
      </c>
      <c r="F231">
        <f>PMSPLINE!F$11</f>
        <v>6.7851074137560472</v>
      </c>
      <c r="G231">
        <f>PMSPLINE!F$12</f>
        <v>7.0977138121507055</v>
      </c>
      <c r="H231" s="10">
        <f>PMSPLINE!K$11</f>
        <v>-1.4538122384009236E-3</v>
      </c>
      <c r="I231" s="10">
        <f>PMSPLINE!K$12</f>
        <v>-9.5050841378288608E-4</v>
      </c>
      <c r="J231">
        <f t="shared" si="37"/>
        <v>0.53333333333333333</v>
      </c>
      <c r="K231">
        <f t="shared" si="38"/>
        <v>0.46666666666666667</v>
      </c>
      <c r="L231">
        <f t="shared" si="34"/>
        <v>182</v>
      </c>
      <c r="M231" s="8">
        <f t="shared" si="39"/>
        <v>6.9309903996735542</v>
      </c>
      <c r="N231" s="6">
        <f t="shared" si="35"/>
        <v>7.0662586898442612</v>
      </c>
      <c r="O231" s="8">
        <f t="shared" si="42"/>
        <v>739.96197450230738</v>
      </c>
      <c r="P231" s="8">
        <f t="shared" si="43"/>
        <v>739.03327369444423</v>
      </c>
      <c r="Q231" s="8">
        <f t="shared" si="41"/>
        <v>7.0662586898442612</v>
      </c>
      <c r="T231" s="8">
        <f t="shared" si="33"/>
        <v>7.0662586898442612</v>
      </c>
    </row>
    <row r="232" spans="2:20" x14ac:dyDescent="0.2">
      <c r="B232">
        <f t="shared" si="40"/>
        <v>229</v>
      </c>
      <c r="C232">
        <f t="shared" si="36"/>
        <v>30</v>
      </c>
      <c r="D232">
        <v>214</v>
      </c>
      <c r="E232">
        <v>244</v>
      </c>
      <c r="F232">
        <f>PMSPLINE!F$11</f>
        <v>6.7851074137560472</v>
      </c>
      <c r="G232">
        <f>PMSPLINE!F$12</f>
        <v>7.0977138121507055</v>
      </c>
      <c r="H232" s="10">
        <f>PMSPLINE!K$11</f>
        <v>-1.4538122384009236E-3</v>
      </c>
      <c r="I232" s="10">
        <f>PMSPLINE!K$12</f>
        <v>-9.5050841378288608E-4</v>
      </c>
      <c r="J232">
        <f t="shared" si="37"/>
        <v>0.5</v>
      </c>
      <c r="K232">
        <f t="shared" si="38"/>
        <v>0.5</v>
      </c>
      <c r="L232">
        <f t="shared" si="34"/>
        <v>183</v>
      </c>
      <c r="M232" s="8">
        <f t="shared" si="39"/>
        <v>6.9414106129533764</v>
      </c>
      <c r="N232" s="6">
        <f t="shared" si="35"/>
        <v>7.0766536496387156</v>
      </c>
      <c r="O232" s="8">
        <f t="shared" si="42"/>
        <v>746.90338511526079</v>
      </c>
      <c r="P232" s="8">
        <f t="shared" si="43"/>
        <v>746.10992734408296</v>
      </c>
      <c r="Q232" s="8">
        <f t="shared" si="41"/>
        <v>7.0766536496387156</v>
      </c>
      <c r="T232" s="8">
        <f t="shared" si="33"/>
        <v>7.0766536496387156</v>
      </c>
    </row>
    <row r="233" spans="2:20" x14ac:dyDescent="0.2">
      <c r="B233">
        <f t="shared" si="40"/>
        <v>230</v>
      </c>
      <c r="C233">
        <f t="shared" si="36"/>
        <v>30</v>
      </c>
      <c r="D233">
        <v>214</v>
      </c>
      <c r="E233">
        <v>244</v>
      </c>
      <c r="F233">
        <f>PMSPLINE!F$11</f>
        <v>6.7851074137560472</v>
      </c>
      <c r="G233">
        <f>PMSPLINE!F$12</f>
        <v>7.0977138121507055</v>
      </c>
      <c r="H233" s="10">
        <f>PMSPLINE!K$11</f>
        <v>-1.4538122384009236E-3</v>
      </c>
      <c r="I233" s="10">
        <f>PMSPLINE!K$12</f>
        <v>-9.5050841378288608E-4</v>
      </c>
      <c r="J233">
        <f t="shared" si="37"/>
        <v>0.46666666666666667</v>
      </c>
      <c r="K233">
        <f t="shared" si="38"/>
        <v>0.53333333333333333</v>
      </c>
      <c r="L233">
        <f t="shared" si="34"/>
        <v>184</v>
      </c>
      <c r="M233" s="8">
        <f t="shared" si="39"/>
        <v>6.9518308262331985</v>
      </c>
      <c r="N233" s="6">
        <f t="shared" si="35"/>
        <v>7.0858464491070778</v>
      </c>
      <c r="O233" s="8">
        <f t="shared" si="42"/>
        <v>753.85521594149395</v>
      </c>
      <c r="P233" s="8">
        <f t="shared" si="43"/>
        <v>753.19577379319003</v>
      </c>
      <c r="Q233" s="8">
        <f t="shared" si="41"/>
        <v>7.0858464491070778</v>
      </c>
      <c r="T233" s="8">
        <f t="shared" si="33"/>
        <v>7.0858464491070778</v>
      </c>
    </row>
    <row r="234" spans="2:20" x14ac:dyDescent="0.2">
      <c r="B234">
        <f t="shared" si="40"/>
        <v>231</v>
      </c>
      <c r="C234">
        <f t="shared" si="36"/>
        <v>30</v>
      </c>
      <c r="D234">
        <v>214</v>
      </c>
      <c r="E234">
        <v>244</v>
      </c>
      <c r="F234">
        <f>PMSPLINE!F$11</f>
        <v>6.7851074137560472</v>
      </c>
      <c r="G234">
        <f>PMSPLINE!F$12</f>
        <v>7.0977138121507055</v>
      </c>
      <c r="H234" s="10">
        <f>PMSPLINE!K$11</f>
        <v>-1.4538122384009236E-3</v>
      </c>
      <c r="I234" s="10">
        <f>PMSPLINE!K$12</f>
        <v>-9.5050841378288608E-4</v>
      </c>
      <c r="J234">
        <f t="shared" si="37"/>
        <v>0.43333333333333335</v>
      </c>
      <c r="K234">
        <f t="shared" si="38"/>
        <v>0.56666666666666665</v>
      </c>
      <c r="L234">
        <f t="shared" si="34"/>
        <v>185</v>
      </c>
      <c r="M234" s="8">
        <f t="shared" si="39"/>
        <v>6.9622510395130197</v>
      </c>
      <c r="N234" s="6">
        <f t="shared" si="35"/>
        <v>7.0938538650435019</v>
      </c>
      <c r="O234" s="8">
        <f t="shared" si="42"/>
        <v>760.81746698100699</v>
      </c>
      <c r="P234" s="8">
        <f t="shared" si="43"/>
        <v>760.28962765823348</v>
      </c>
      <c r="Q234" s="8">
        <f t="shared" si="41"/>
        <v>7.0938538650435019</v>
      </c>
      <c r="T234" s="8">
        <f t="shared" si="33"/>
        <v>7.0938538650435019</v>
      </c>
    </row>
    <row r="235" spans="2:20" x14ac:dyDescent="0.2">
      <c r="B235">
        <f t="shared" si="40"/>
        <v>232</v>
      </c>
      <c r="C235">
        <f t="shared" si="36"/>
        <v>30</v>
      </c>
      <c r="D235">
        <v>214</v>
      </c>
      <c r="E235">
        <v>244</v>
      </c>
      <c r="F235">
        <f>PMSPLINE!F$11</f>
        <v>6.7851074137560472</v>
      </c>
      <c r="G235">
        <f>PMSPLINE!F$12</f>
        <v>7.0977138121507055</v>
      </c>
      <c r="H235" s="10">
        <f>PMSPLINE!K$11</f>
        <v>-1.4538122384009236E-3</v>
      </c>
      <c r="I235" s="10">
        <f>PMSPLINE!K$12</f>
        <v>-9.5050841378288608E-4</v>
      </c>
      <c r="J235">
        <f t="shared" si="37"/>
        <v>0.4</v>
      </c>
      <c r="K235">
        <f t="shared" si="38"/>
        <v>0.6</v>
      </c>
      <c r="L235">
        <f t="shared" si="34"/>
        <v>186</v>
      </c>
      <c r="M235" s="8">
        <f t="shared" si="39"/>
        <v>6.9726712527928427</v>
      </c>
      <c r="N235" s="6">
        <f t="shared" si="35"/>
        <v>7.1006926742421435</v>
      </c>
      <c r="O235" s="8">
        <f t="shared" si="42"/>
        <v>767.79013823379978</v>
      </c>
      <c r="P235" s="8">
        <f t="shared" si="43"/>
        <v>767.39032033247565</v>
      </c>
      <c r="Q235" s="8">
        <f t="shared" si="41"/>
        <v>7.1006926742421435</v>
      </c>
      <c r="T235" s="8">
        <f t="shared" si="33"/>
        <v>7.1006926742421435</v>
      </c>
    </row>
    <row r="236" spans="2:20" x14ac:dyDescent="0.2">
      <c r="B236">
        <f t="shared" si="40"/>
        <v>233</v>
      </c>
      <c r="C236">
        <f t="shared" si="36"/>
        <v>30</v>
      </c>
      <c r="D236">
        <v>214</v>
      </c>
      <c r="E236">
        <v>244</v>
      </c>
      <c r="F236">
        <f>PMSPLINE!F$11</f>
        <v>6.7851074137560472</v>
      </c>
      <c r="G236">
        <f>PMSPLINE!F$12</f>
        <v>7.0977138121507055</v>
      </c>
      <c r="H236" s="10">
        <f>PMSPLINE!K$11</f>
        <v>-1.4538122384009236E-3</v>
      </c>
      <c r="I236" s="10">
        <f>PMSPLINE!K$12</f>
        <v>-9.5050841378288608E-4</v>
      </c>
      <c r="J236">
        <f t="shared" si="37"/>
        <v>0.36666666666666664</v>
      </c>
      <c r="K236">
        <f t="shared" si="38"/>
        <v>0.6333333333333333</v>
      </c>
      <c r="L236">
        <f t="shared" si="34"/>
        <v>187</v>
      </c>
      <c r="M236" s="8">
        <f t="shared" si="39"/>
        <v>6.9830914660726631</v>
      </c>
      <c r="N236" s="6">
        <f t="shared" si="35"/>
        <v>7.1063796534971519</v>
      </c>
      <c r="O236" s="8">
        <f t="shared" si="42"/>
        <v>774.77322969987245</v>
      </c>
      <c r="P236" s="8">
        <f t="shared" si="43"/>
        <v>774.49669998597278</v>
      </c>
      <c r="Q236" s="8">
        <f t="shared" si="41"/>
        <v>7.1063796534971519</v>
      </c>
      <c r="T236" s="8">
        <f t="shared" si="33"/>
        <v>7.1063796534971519</v>
      </c>
    </row>
    <row r="237" spans="2:20" x14ac:dyDescent="0.2">
      <c r="B237">
        <f t="shared" si="40"/>
        <v>234</v>
      </c>
      <c r="C237">
        <f t="shared" si="36"/>
        <v>30</v>
      </c>
      <c r="D237">
        <v>214</v>
      </c>
      <c r="E237">
        <v>244</v>
      </c>
      <c r="F237">
        <f>PMSPLINE!F$11</f>
        <v>6.7851074137560472</v>
      </c>
      <c r="G237">
        <f>PMSPLINE!F$12</f>
        <v>7.0977138121507055</v>
      </c>
      <c r="H237" s="10">
        <f>PMSPLINE!K$11</f>
        <v>-1.4538122384009236E-3</v>
      </c>
      <c r="I237" s="10">
        <f>PMSPLINE!K$12</f>
        <v>-9.5050841378288608E-4</v>
      </c>
      <c r="J237">
        <f t="shared" si="37"/>
        <v>0.33333333333333331</v>
      </c>
      <c r="K237">
        <f t="shared" si="38"/>
        <v>0.66666666666666663</v>
      </c>
      <c r="L237">
        <f t="shared" si="34"/>
        <v>188</v>
      </c>
      <c r="M237" s="8">
        <f t="shared" si="39"/>
        <v>6.9935116793524861</v>
      </c>
      <c r="N237" s="6">
        <f t="shared" si="35"/>
        <v>7.1109315796026875</v>
      </c>
      <c r="O237" s="8">
        <f t="shared" si="42"/>
        <v>781.76674137922498</v>
      </c>
      <c r="P237" s="8">
        <f t="shared" si="43"/>
        <v>781.6076315655755</v>
      </c>
      <c r="Q237" s="8">
        <f t="shared" si="41"/>
        <v>7.1109315796026875</v>
      </c>
      <c r="T237" s="8">
        <f t="shared" si="33"/>
        <v>7.1109315796026875</v>
      </c>
    </row>
    <row r="238" spans="2:20" x14ac:dyDescent="0.2">
      <c r="B238">
        <f t="shared" si="40"/>
        <v>235</v>
      </c>
      <c r="C238">
        <f t="shared" si="36"/>
        <v>30</v>
      </c>
      <c r="D238">
        <v>214</v>
      </c>
      <c r="E238">
        <v>244</v>
      </c>
      <c r="F238">
        <f>PMSPLINE!F$11</f>
        <v>6.7851074137560472</v>
      </c>
      <c r="G238">
        <f>PMSPLINE!F$12</f>
        <v>7.0977138121507055</v>
      </c>
      <c r="H238" s="10">
        <f>PMSPLINE!K$11</f>
        <v>-1.4538122384009236E-3</v>
      </c>
      <c r="I238" s="10">
        <f>PMSPLINE!K$12</f>
        <v>-9.5050841378288608E-4</v>
      </c>
      <c r="J238">
        <f t="shared" si="37"/>
        <v>0.3</v>
      </c>
      <c r="K238">
        <f t="shared" si="38"/>
        <v>0.7</v>
      </c>
      <c r="L238">
        <f t="shared" si="34"/>
        <v>189</v>
      </c>
      <c r="M238" s="8">
        <f t="shared" si="39"/>
        <v>7.0039318926323073</v>
      </c>
      <c r="N238" s="6">
        <f t="shared" si="35"/>
        <v>7.1143652293528987</v>
      </c>
      <c r="O238" s="8">
        <f t="shared" si="42"/>
        <v>788.77067327185728</v>
      </c>
      <c r="P238" s="8">
        <f t="shared" si="43"/>
        <v>788.72199679492837</v>
      </c>
      <c r="Q238" s="8">
        <f t="shared" si="41"/>
        <v>7.1143652293528987</v>
      </c>
      <c r="T238" s="8">
        <f t="shared" si="33"/>
        <v>7.1143652293528987</v>
      </c>
    </row>
    <row r="239" spans="2:20" x14ac:dyDescent="0.2">
      <c r="B239">
        <f t="shared" si="40"/>
        <v>236</v>
      </c>
      <c r="C239">
        <f t="shared" si="36"/>
        <v>30</v>
      </c>
      <c r="D239">
        <v>214</v>
      </c>
      <c r="E239">
        <v>244</v>
      </c>
      <c r="F239">
        <f>PMSPLINE!F$11</f>
        <v>6.7851074137560472</v>
      </c>
      <c r="G239">
        <f>PMSPLINE!F$12</f>
        <v>7.0977138121507055</v>
      </c>
      <c r="H239" s="10">
        <f>PMSPLINE!K$11</f>
        <v>-1.4538122384009236E-3</v>
      </c>
      <c r="I239" s="10">
        <f>PMSPLINE!K$12</f>
        <v>-9.5050841378288608E-4</v>
      </c>
      <c r="J239">
        <f t="shared" si="37"/>
        <v>0.26666666666666666</v>
      </c>
      <c r="K239">
        <f t="shared" si="38"/>
        <v>0.73333333333333328</v>
      </c>
      <c r="L239">
        <f t="shared" si="34"/>
        <v>190</v>
      </c>
      <c r="M239" s="8">
        <f t="shared" si="39"/>
        <v>7.0143521059121294</v>
      </c>
      <c r="N239" s="6">
        <f t="shared" si="35"/>
        <v>7.1166973795419421</v>
      </c>
      <c r="O239" s="8">
        <f t="shared" si="42"/>
        <v>795.78502537776944</v>
      </c>
      <c r="P239" s="8">
        <f t="shared" si="43"/>
        <v>795.83869417447033</v>
      </c>
      <c r="Q239" s="8">
        <f t="shared" si="41"/>
        <v>7.1166973795419421</v>
      </c>
      <c r="T239" s="8">
        <f t="shared" si="33"/>
        <v>7.1166973795419421</v>
      </c>
    </row>
    <row r="240" spans="2:20" x14ac:dyDescent="0.2">
      <c r="B240">
        <f t="shared" si="40"/>
        <v>237</v>
      </c>
      <c r="C240">
        <f t="shared" si="36"/>
        <v>30</v>
      </c>
      <c r="D240">
        <v>214</v>
      </c>
      <c r="E240">
        <v>244</v>
      </c>
      <c r="F240">
        <f>PMSPLINE!F$11</f>
        <v>6.7851074137560472</v>
      </c>
      <c r="G240">
        <f>PMSPLINE!F$12</f>
        <v>7.0977138121507055</v>
      </c>
      <c r="H240" s="10">
        <f>PMSPLINE!K$11</f>
        <v>-1.4538122384009236E-3</v>
      </c>
      <c r="I240" s="10">
        <f>PMSPLINE!K$12</f>
        <v>-9.5050841378288608E-4</v>
      </c>
      <c r="J240">
        <f t="shared" si="37"/>
        <v>0.23333333333333334</v>
      </c>
      <c r="K240">
        <f t="shared" si="38"/>
        <v>0.76666666666666672</v>
      </c>
      <c r="L240">
        <f t="shared" si="34"/>
        <v>191</v>
      </c>
      <c r="M240" s="8">
        <f t="shared" si="39"/>
        <v>7.0247723191919524</v>
      </c>
      <c r="N240" s="6">
        <f t="shared" si="35"/>
        <v>7.1179448069639726</v>
      </c>
      <c r="O240" s="8">
        <f t="shared" si="42"/>
        <v>802.80979769696137</v>
      </c>
      <c r="P240" s="8">
        <f t="shared" si="43"/>
        <v>802.95663898143425</v>
      </c>
      <c r="Q240" s="8">
        <f t="shared" si="41"/>
        <v>7.1179448069639726</v>
      </c>
      <c r="T240" s="8">
        <f t="shared" si="33"/>
        <v>7.1179448069639726</v>
      </c>
    </row>
    <row r="241" spans="1:20" x14ac:dyDescent="0.2">
      <c r="B241">
        <f t="shared" si="40"/>
        <v>238</v>
      </c>
      <c r="C241">
        <f t="shared" si="36"/>
        <v>30</v>
      </c>
      <c r="D241">
        <v>214</v>
      </c>
      <c r="E241">
        <v>244</v>
      </c>
      <c r="F241">
        <f>PMSPLINE!F$11</f>
        <v>6.7851074137560472</v>
      </c>
      <c r="G241">
        <f>PMSPLINE!F$12</f>
        <v>7.0977138121507055</v>
      </c>
      <c r="H241" s="10">
        <f>PMSPLINE!K$11</f>
        <v>-1.4538122384009236E-3</v>
      </c>
      <c r="I241" s="10">
        <f>PMSPLINE!K$12</f>
        <v>-9.5050841378288608E-4</v>
      </c>
      <c r="J241">
        <f t="shared" si="37"/>
        <v>0.2</v>
      </c>
      <c r="K241">
        <f t="shared" si="38"/>
        <v>0.8</v>
      </c>
      <c r="L241">
        <f t="shared" si="34"/>
        <v>192</v>
      </c>
      <c r="M241" s="8">
        <f t="shared" si="39"/>
        <v>7.0351925324717737</v>
      </c>
      <c r="N241" s="6">
        <f t="shared" si="35"/>
        <v>7.1181242884131413</v>
      </c>
      <c r="O241" s="8">
        <f t="shared" si="42"/>
        <v>809.84499022943317</v>
      </c>
      <c r="P241" s="8">
        <f t="shared" si="43"/>
        <v>810.07476326984738</v>
      </c>
      <c r="Q241" s="8">
        <f t="shared" si="41"/>
        <v>7.1181242884131413</v>
      </c>
      <c r="T241" s="8">
        <f t="shared" si="33"/>
        <v>7.1181242884131413</v>
      </c>
    </row>
    <row r="242" spans="1:20" x14ac:dyDescent="0.2">
      <c r="B242">
        <f t="shared" si="40"/>
        <v>239</v>
      </c>
      <c r="C242">
        <f t="shared" si="36"/>
        <v>30</v>
      </c>
      <c r="D242">
        <v>214</v>
      </c>
      <c r="E242">
        <v>244</v>
      </c>
      <c r="F242">
        <f>PMSPLINE!F$11</f>
        <v>6.7851074137560472</v>
      </c>
      <c r="G242">
        <f>PMSPLINE!F$12</f>
        <v>7.0977138121507055</v>
      </c>
      <c r="H242" s="10">
        <f>PMSPLINE!K$11</f>
        <v>-1.4538122384009236E-3</v>
      </c>
      <c r="I242" s="10">
        <f>PMSPLINE!K$12</f>
        <v>-9.5050841378288608E-4</v>
      </c>
      <c r="J242">
        <f t="shared" si="37"/>
        <v>0.16666666666666666</v>
      </c>
      <c r="K242">
        <f t="shared" si="38"/>
        <v>0.83333333333333337</v>
      </c>
      <c r="L242">
        <f t="shared" si="34"/>
        <v>193</v>
      </c>
      <c r="M242" s="8">
        <f t="shared" si="39"/>
        <v>7.0456127457515958</v>
      </c>
      <c r="N242" s="6">
        <f t="shared" si="35"/>
        <v>7.1172526006836039</v>
      </c>
      <c r="O242" s="8">
        <f t="shared" si="42"/>
        <v>816.89060297518472</v>
      </c>
      <c r="P242" s="8">
        <f t="shared" si="43"/>
        <v>817.19201587053101</v>
      </c>
      <c r="Q242" s="8">
        <f t="shared" si="41"/>
        <v>7.1172526006836039</v>
      </c>
      <c r="T242" s="8">
        <f t="shared" ref="T242:T305" si="44">N242</f>
        <v>7.1172526006836039</v>
      </c>
    </row>
    <row r="243" spans="1:20" x14ac:dyDescent="0.2">
      <c r="B243">
        <f t="shared" si="40"/>
        <v>240</v>
      </c>
      <c r="C243">
        <f t="shared" si="36"/>
        <v>30</v>
      </c>
      <c r="D243">
        <v>214</v>
      </c>
      <c r="E243">
        <v>244</v>
      </c>
      <c r="F243">
        <f>PMSPLINE!F$11</f>
        <v>6.7851074137560472</v>
      </c>
      <c r="G243">
        <f>PMSPLINE!F$12</f>
        <v>7.0977138121507055</v>
      </c>
      <c r="H243" s="10">
        <f>PMSPLINE!K$11</f>
        <v>-1.4538122384009236E-3</v>
      </c>
      <c r="I243" s="10">
        <f>PMSPLINE!K$12</f>
        <v>-9.5050841378288608E-4</v>
      </c>
      <c r="J243">
        <f t="shared" si="37"/>
        <v>0.13333333333333333</v>
      </c>
      <c r="K243">
        <f t="shared" si="38"/>
        <v>0.8666666666666667</v>
      </c>
      <c r="L243">
        <f t="shared" ref="L243:L306" si="45">B243-46</f>
        <v>194</v>
      </c>
      <c r="M243" s="8">
        <f t="shared" si="39"/>
        <v>7.0560329590314179</v>
      </c>
      <c r="N243" s="6">
        <f t="shared" si="35"/>
        <v>7.1153465205695134</v>
      </c>
      <c r="O243" s="8">
        <f t="shared" si="42"/>
        <v>823.94663593421615</v>
      </c>
      <c r="P243" s="8">
        <f t="shared" si="43"/>
        <v>824.30736239110047</v>
      </c>
      <c r="Q243" s="8">
        <f t="shared" si="41"/>
        <v>7.1153465205695134</v>
      </c>
      <c r="T243" s="8">
        <f t="shared" si="44"/>
        <v>7.1153465205695134</v>
      </c>
    </row>
    <row r="244" spans="1:20" x14ac:dyDescent="0.2">
      <c r="B244">
        <f t="shared" si="40"/>
        <v>241</v>
      </c>
      <c r="C244">
        <f t="shared" si="36"/>
        <v>30</v>
      </c>
      <c r="D244">
        <v>214</v>
      </c>
      <c r="E244">
        <v>244</v>
      </c>
      <c r="F244">
        <f>PMSPLINE!F$11</f>
        <v>6.7851074137560472</v>
      </c>
      <c r="G244">
        <f>PMSPLINE!F$12</f>
        <v>7.0977138121507055</v>
      </c>
      <c r="H244" s="10">
        <f>PMSPLINE!K$11</f>
        <v>-1.4538122384009236E-3</v>
      </c>
      <c r="I244" s="10">
        <f>PMSPLINE!K$12</f>
        <v>-9.5050841378288608E-4</v>
      </c>
      <c r="J244">
        <f t="shared" si="37"/>
        <v>0.1</v>
      </c>
      <c r="K244">
        <f t="shared" si="38"/>
        <v>0.9</v>
      </c>
      <c r="L244">
        <f t="shared" si="45"/>
        <v>195</v>
      </c>
      <c r="M244" s="8">
        <f t="shared" si="39"/>
        <v>7.06645317231124</v>
      </c>
      <c r="N244" s="6">
        <f t="shared" si="35"/>
        <v>7.1124228248650248</v>
      </c>
      <c r="O244" s="8">
        <f t="shared" si="42"/>
        <v>831.01308910652733</v>
      </c>
      <c r="P244" s="8">
        <f t="shared" si="43"/>
        <v>831.41978521596548</v>
      </c>
      <c r="Q244" s="8">
        <f t="shared" si="41"/>
        <v>7.1124228248650248</v>
      </c>
      <c r="T244" s="8">
        <f t="shared" si="44"/>
        <v>7.1124228248650248</v>
      </c>
    </row>
    <row r="245" spans="1:20" x14ac:dyDescent="0.2">
      <c r="B245">
        <f t="shared" si="40"/>
        <v>242</v>
      </c>
      <c r="C245">
        <f t="shared" si="36"/>
        <v>30</v>
      </c>
      <c r="D245">
        <v>214</v>
      </c>
      <c r="E245">
        <v>244</v>
      </c>
      <c r="F245">
        <f>PMSPLINE!F$11</f>
        <v>6.7851074137560472</v>
      </c>
      <c r="G245">
        <f>PMSPLINE!F$12</f>
        <v>7.0977138121507055</v>
      </c>
      <c r="H245" s="10">
        <f>PMSPLINE!K$11</f>
        <v>-1.4538122384009236E-3</v>
      </c>
      <c r="I245" s="10">
        <f>PMSPLINE!K$12</f>
        <v>-9.5050841378288608E-4</v>
      </c>
      <c r="J245">
        <f t="shared" si="37"/>
        <v>6.6666666666666666E-2</v>
      </c>
      <c r="K245">
        <f t="shared" si="38"/>
        <v>0.93333333333333335</v>
      </c>
      <c r="L245">
        <f t="shared" si="45"/>
        <v>196</v>
      </c>
      <c r="M245" s="8">
        <f t="shared" si="39"/>
        <v>7.0768733855910613</v>
      </c>
      <c r="N245" s="6">
        <f t="shared" si="35"/>
        <v>7.1084982903642908</v>
      </c>
      <c r="O245" s="8">
        <f t="shared" si="42"/>
        <v>838.08996249211839</v>
      </c>
      <c r="P245" s="8">
        <f t="shared" si="43"/>
        <v>838.52828350632979</v>
      </c>
      <c r="Q245" s="8">
        <f t="shared" si="41"/>
        <v>7.1084982903642908</v>
      </c>
      <c r="T245" s="8">
        <f t="shared" si="44"/>
        <v>7.1084982903642908</v>
      </c>
    </row>
    <row r="246" spans="1:20" x14ac:dyDescent="0.2">
      <c r="B246">
        <f t="shared" si="40"/>
        <v>243</v>
      </c>
      <c r="C246">
        <f t="shared" si="36"/>
        <v>30</v>
      </c>
      <c r="D246">
        <v>214</v>
      </c>
      <c r="E246">
        <v>244</v>
      </c>
      <c r="F246">
        <f>PMSPLINE!F$11</f>
        <v>6.7851074137560472</v>
      </c>
      <c r="G246">
        <f>PMSPLINE!F$12</f>
        <v>7.0977138121507055</v>
      </c>
      <c r="H246" s="10">
        <f>PMSPLINE!K$11</f>
        <v>-1.4538122384009236E-3</v>
      </c>
      <c r="I246" s="10">
        <f>PMSPLINE!K$12</f>
        <v>-9.5050841378288608E-4</v>
      </c>
      <c r="J246">
        <f t="shared" si="37"/>
        <v>3.3333333333333333E-2</v>
      </c>
      <c r="K246">
        <f t="shared" si="38"/>
        <v>0.96666666666666667</v>
      </c>
      <c r="L246">
        <f t="shared" si="45"/>
        <v>197</v>
      </c>
      <c r="M246" s="8">
        <f t="shared" si="39"/>
        <v>7.0872935988708843</v>
      </c>
      <c r="N246" s="6">
        <f t="shared" si="35"/>
        <v>7.1035896938614673</v>
      </c>
      <c r="O246" s="8">
        <f t="shared" si="42"/>
        <v>845.17725609098932</v>
      </c>
      <c r="P246" s="8">
        <f t="shared" si="43"/>
        <v>845.63187320019131</v>
      </c>
      <c r="Q246" s="8">
        <f t="shared" si="41"/>
        <v>7.1035896938614673</v>
      </c>
      <c r="T246" s="8">
        <f t="shared" si="44"/>
        <v>7.1035896938614673</v>
      </c>
    </row>
    <row r="247" spans="1:20" x14ac:dyDescent="0.2">
      <c r="A247">
        <v>244</v>
      </c>
      <c r="B247">
        <f t="shared" si="40"/>
        <v>244</v>
      </c>
      <c r="C247">
        <f t="shared" si="36"/>
        <v>30</v>
      </c>
      <c r="D247">
        <v>214</v>
      </c>
      <c r="E247">
        <v>244</v>
      </c>
      <c r="F247">
        <f>PMSPLINE!F$11</f>
        <v>6.7851074137560472</v>
      </c>
      <c r="G247">
        <f>PMSPLINE!F$12</f>
        <v>7.0977138121507055</v>
      </c>
      <c r="H247" s="10">
        <f>PMSPLINE!K$11</f>
        <v>-1.4538122384009236E-3</v>
      </c>
      <c r="I247" s="10">
        <f>PMSPLINE!K$12</f>
        <v>-9.5050841378288608E-4</v>
      </c>
      <c r="J247">
        <f t="shared" si="37"/>
        <v>0</v>
      </c>
      <c r="K247">
        <f t="shared" si="38"/>
        <v>1</v>
      </c>
      <c r="L247">
        <f t="shared" si="45"/>
        <v>198</v>
      </c>
      <c r="M247" s="8">
        <f t="shared" si="39"/>
        <v>7.0977138121507055</v>
      </c>
      <c r="N247" s="6">
        <f t="shared" ref="N247:N310" si="46">Q247</f>
        <v>7.0977138121507055</v>
      </c>
      <c r="O247" s="8">
        <f t="shared" si="42"/>
        <v>852.27496990314</v>
      </c>
      <c r="P247" s="8">
        <f t="shared" si="43"/>
        <v>852.72958701234199</v>
      </c>
      <c r="Q247" s="8">
        <f t="shared" si="41"/>
        <v>7.0977138121507055</v>
      </c>
      <c r="T247" s="8">
        <f t="shared" si="44"/>
        <v>7.0977138121507055</v>
      </c>
    </row>
    <row r="248" spans="1:20" x14ac:dyDescent="0.2">
      <c r="B248">
        <f t="shared" si="40"/>
        <v>245</v>
      </c>
      <c r="C248">
        <f t="shared" si="36"/>
        <v>31</v>
      </c>
      <c r="D248">
        <v>244</v>
      </c>
      <c r="E248">
        <v>275</v>
      </c>
      <c r="F248">
        <f>PMSPLINE!F$12</f>
        <v>7.0977138121507055</v>
      </c>
      <c r="G248">
        <f>PMSPLINE!F$13</f>
        <v>6.4935060468192152</v>
      </c>
      <c r="H248" s="10">
        <f>PMSPLINE!K$12</f>
        <v>-9.5050841378288608E-4</v>
      </c>
      <c r="I248" s="10">
        <f>PMSPLINE!K$13</f>
        <v>-6.4155885473058262E-4</v>
      </c>
      <c r="J248">
        <f t="shared" si="37"/>
        <v>0.967741935483871</v>
      </c>
      <c r="K248">
        <f t="shared" si="38"/>
        <v>3.2258064516129031E-2</v>
      </c>
      <c r="L248">
        <f t="shared" si="45"/>
        <v>199</v>
      </c>
      <c r="M248" s="8">
        <f t="shared" si="39"/>
        <v>7.0782232390754967</v>
      </c>
      <c r="N248" s="6">
        <f t="shared" si="46"/>
        <v>7.0908862869129381</v>
      </c>
      <c r="O248" s="8">
        <f t="shared" si="42"/>
        <v>859.35319314221545</v>
      </c>
      <c r="P248" s="8">
        <f t="shared" si="43"/>
        <v>859.8204732992549</v>
      </c>
      <c r="Q248" s="8">
        <f t="shared" si="41"/>
        <v>7.0908862869129381</v>
      </c>
      <c r="T248" s="8">
        <f t="shared" si="44"/>
        <v>7.0908862869129381</v>
      </c>
    </row>
    <row r="249" spans="1:20" x14ac:dyDescent="0.2">
      <c r="B249">
        <f t="shared" si="40"/>
        <v>246</v>
      </c>
      <c r="C249">
        <f t="shared" si="36"/>
        <v>31</v>
      </c>
      <c r="D249">
        <v>244</v>
      </c>
      <c r="E249">
        <v>275</v>
      </c>
      <c r="F249">
        <f>PMSPLINE!F$12</f>
        <v>7.0977138121507055</v>
      </c>
      <c r="G249">
        <f>PMSPLINE!F$13</f>
        <v>6.4935060468192152</v>
      </c>
      <c r="H249" s="10">
        <f>PMSPLINE!K$12</f>
        <v>-9.5050841378288608E-4</v>
      </c>
      <c r="I249" s="10">
        <f>PMSPLINE!K$13</f>
        <v>-6.4155885473058262E-4</v>
      </c>
      <c r="J249">
        <f t="shared" si="37"/>
        <v>0.93548387096774188</v>
      </c>
      <c r="K249">
        <f t="shared" si="38"/>
        <v>6.4516129032258063E-2</v>
      </c>
      <c r="L249">
        <f t="shared" si="45"/>
        <v>200</v>
      </c>
      <c r="M249" s="8">
        <f t="shared" si="39"/>
        <v>7.058732666000286</v>
      </c>
      <c r="N249" s="6">
        <f t="shared" si="46"/>
        <v>7.0831182193761935</v>
      </c>
      <c r="O249" s="8">
        <f t="shared" si="42"/>
        <v>866.41192580821576</v>
      </c>
      <c r="P249" s="8">
        <f t="shared" si="43"/>
        <v>866.90359151863106</v>
      </c>
      <c r="Q249" s="8">
        <f t="shared" si="41"/>
        <v>7.0831182193761935</v>
      </c>
      <c r="T249" s="8">
        <f t="shared" si="44"/>
        <v>7.0831182193761935</v>
      </c>
    </row>
    <row r="250" spans="1:20" x14ac:dyDescent="0.2">
      <c r="B250">
        <f t="shared" si="40"/>
        <v>247</v>
      </c>
      <c r="C250">
        <f t="shared" si="36"/>
        <v>31</v>
      </c>
      <c r="D250">
        <v>244</v>
      </c>
      <c r="E250">
        <v>275</v>
      </c>
      <c r="F250">
        <f>PMSPLINE!F$12</f>
        <v>7.0977138121507055</v>
      </c>
      <c r="G250">
        <f>PMSPLINE!F$13</f>
        <v>6.4935060468192152</v>
      </c>
      <c r="H250" s="10">
        <f>PMSPLINE!K$12</f>
        <v>-9.5050841378288608E-4</v>
      </c>
      <c r="I250" s="10">
        <f>PMSPLINE!K$13</f>
        <v>-6.4155885473058262E-4</v>
      </c>
      <c r="J250">
        <f t="shared" si="37"/>
        <v>0.90322580645161288</v>
      </c>
      <c r="K250">
        <f t="shared" si="38"/>
        <v>9.6774193548387094E-2</v>
      </c>
      <c r="L250">
        <f t="shared" si="45"/>
        <v>201</v>
      </c>
      <c r="M250" s="8">
        <f t="shared" si="39"/>
        <v>7.0392420929250772</v>
      </c>
      <c r="N250" s="6">
        <f t="shared" si="46"/>
        <v>7.0744195756552841</v>
      </c>
      <c r="O250" s="8">
        <f t="shared" si="42"/>
        <v>873.45116790114082</v>
      </c>
      <c r="P250" s="8">
        <f t="shared" si="43"/>
        <v>873.97801109428633</v>
      </c>
      <c r="Q250" s="8">
        <f t="shared" si="41"/>
        <v>7.0744195756552841</v>
      </c>
      <c r="T250" s="8">
        <f t="shared" si="44"/>
        <v>7.0744195756552841</v>
      </c>
    </row>
    <row r="251" spans="1:20" x14ac:dyDescent="0.2">
      <c r="B251">
        <f t="shared" si="40"/>
        <v>248</v>
      </c>
      <c r="C251">
        <f t="shared" si="36"/>
        <v>31</v>
      </c>
      <c r="D251">
        <v>244</v>
      </c>
      <c r="E251">
        <v>275</v>
      </c>
      <c r="F251">
        <f>PMSPLINE!F$12</f>
        <v>7.0977138121507055</v>
      </c>
      <c r="G251">
        <f>PMSPLINE!F$13</f>
        <v>6.4935060468192152</v>
      </c>
      <c r="H251" s="10">
        <f>PMSPLINE!K$12</f>
        <v>-9.5050841378288608E-4</v>
      </c>
      <c r="I251" s="10">
        <f>PMSPLINE!K$13</f>
        <v>-6.4155885473058262E-4</v>
      </c>
      <c r="J251">
        <f t="shared" si="37"/>
        <v>0.87096774193548387</v>
      </c>
      <c r="K251">
        <f t="shared" si="38"/>
        <v>0.12903225806451613</v>
      </c>
      <c r="L251">
        <f t="shared" si="45"/>
        <v>202</v>
      </c>
      <c r="M251" s="8">
        <f t="shared" si="39"/>
        <v>7.0197515198498674</v>
      </c>
      <c r="N251" s="6">
        <f t="shared" si="46"/>
        <v>7.0648003218650155</v>
      </c>
      <c r="O251" s="8">
        <f t="shared" si="42"/>
        <v>880.47091942099064</v>
      </c>
      <c r="P251" s="8">
        <f t="shared" si="43"/>
        <v>881.04281141615138</v>
      </c>
      <c r="Q251" s="8">
        <f t="shared" si="41"/>
        <v>7.0648003218650155</v>
      </c>
      <c r="T251" s="8">
        <f t="shared" si="44"/>
        <v>7.0648003218650155</v>
      </c>
    </row>
    <row r="252" spans="1:20" x14ac:dyDescent="0.2">
      <c r="B252">
        <f t="shared" si="40"/>
        <v>249</v>
      </c>
      <c r="C252">
        <f t="shared" si="36"/>
        <v>31</v>
      </c>
      <c r="D252">
        <v>244</v>
      </c>
      <c r="E252">
        <v>275</v>
      </c>
      <c r="F252">
        <f>PMSPLINE!F$12</f>
        <v>7.0977138121507055</v>
      </c>
      <c r="G252">
        <f>PMSPLINE!F$13</f>
        <v>6.4935060468192152</v>
      </c>
      <c r="H252" s="10">
        <f>PMSPLINE!K$12</f>
        <v>-9.5050841378288608E-4</v>
      </c>
      <c r="I252" s="10">
        <f>PMSPLINE!K$13</f>
        <v>-6.4155885473058262E-4</v>
      </c>
      <c r="J252">
        <f t="shared" si="37"/>
        <v>0.83870967741935487</v>
      </c>
      <c r="K252">
        <f t="shared" si="38"/>
        <v>0.16129032258064516</v>
      </c>
      <c r="L252">
        <f t="shared" si="45"/>
        <v>203</v>
      </c>
      <c r="M252" s="8">
        <f t="shared" si="39"/>
        <v>7.0002609467746586</v>
      </c>
      <c r="N252" s="6">
        <f t="shared" si="46"/>
        <v>7.0542704241201983</v>
      </c>
      <c r="O252" s="8">
        <f t="shared" si="42"/>
        <v>887.47118036776533</v>
      </c>
      <c r="P252" s="8">
        <f t="shared" si="43"/>
        <v>888.09708184027158</v>
      </c>
      <c r="Q252" s="8">
        <f t="shared" si="41"/>
        <v>7.0542704241201983</v>
      </c>
      <c r="T252" s="8">
        <f t="shared" si="44"/>
        <v>7.0542704241201983</v>
      </c>
    </row>
    <row r="253" spans="1:20" x14ac:dyDescent="0.2">
      <c r="B253">
        <f t="shared" si="40"/>
        <v>250</v>
      </c>
      <c r="C253">
        <f t="shared" si="36"/>
        <v>31</v>
      </c>
      <c r="D253">
        <v>244</v>
      </c>
      <c r="E253">
        <v>275</v>
      </c>
      <c r="F253">
        <f>PMSPLINE!F$12</f>
        <v>7.0977138121507055</v>
      </c>
      <c r="G253">
        <f>PMSPLINE!F$13</f>
        <v>6.4935060468192152</v>
      </c>
      <c r="H253" s="10">
        <f>PMSPLINE!K$12</f>
        <v>-9.5050841378288608E-4</v>
      </c>
      <c r="I253" s="10">
        <f>PMSPLINE!K$13</f>
        <v>-6.4155885473058262E-4</v>
      </c>
      <c r="J253">
        <f t="shared" si="37"/>
        <v>0.80645161290322576</v>
      </c>
      <c r="K253">
        <f t="shared" si="38"/>
        <v>0.19354838709677419</v>
      </c>
      <c r="L253">
        <f t="shared" si="45"/>
        <v>204</v>
      </c>
      <c r="M253" s="8">
        <f t="shared" si="39"/>
        <v>6.9807703736994489</v>
      </c>
      <c r="N253" s="6">
        <f t="shared" si="46"/>
        <v>7.0428398485356372</v>
      </c>
      <c r="O253" s="8">
        <f t="shared" si="42"/>
        <v>894.45195074146477</v>
      </c>
      <c r="P253" s="8">
        <f t="shared" si="43"/>
        <v>895.13992168880725</v>
      </c>
      <c r="Q253" s="8">
        <f t="shared" si="41"/>
        <v>7.0428398485356372</v>
      </c>
      <c r="T253" s="8">
        <f t="shared" si="44"/>
        <v>7.0428398485356372</v>
      </c>
    </row>
    <row r="254" spans="1:20" x14ac:dyDescent="0.2">
      <c r="B254">
        <f t="shared" si="40"/>
        <v>251</v>
      </c>
      <c r="C254">
        <f t="shared" si="36"/>
        <v>31</v>
      </c>
      <c r="D254">
        <v>244</v>
      </c>
      <c r="E254">
        <v>275</v>
      </c>
      <c r="F254">
        <f>PMSPLINE!F$12</f>
        <v>7.0977138121507055</v>
      </c>
      <c r="G254">
        <f>PMSPLINE!F$13</f>
        <v>6.4935060468192152</v>
      </c>
      <c r="H254" s="10">
        <f>PMSPLINE!K$12</f>
        <v>-9.5050841378288608E-4</v>
      </c>
      <c r="I254" s="10">
        <f>PMSPLINE!K$13</f>
        <v>-6.4155885473058262E-4</v>
      </c>
      <c r="J254">
        <f t="shared" si="37"/>
        <v>0.77419354838709675</v>
      </c>
      <c r="K254">
        <f t="shared" si="38"/>
        <v>0.22580645161290322</v>
      </c>
      <c r="L254">
        <f t="shared" si="45"/>
        <v>205</v>
      </c>
      <c r="M254" s="8">
        <f t="shared" si="39"/>
        <v>6.96127980062424</v>
      </c>
      <c r="N254" s="6">
        <f t="shared" si="46"/>
        <v>7.0305185612261427</v>
      </c>
      <c r="O254" s="8">
        <f t="shared" si="42"/>
        <v>901.41323054208897</v>
      </c>
      <c r="P254" s="8">
        <f t="shared" si="43"/>
        <v>902.17044025003338</v>
      </c>
      <c r="Q254" s="8">
        <f t="shared" si="41"/>
        <v>7.0305185612261427</v>
      </c>
      <c r="T254" s="8">
        <f t="shared" si="44"/>
        <v>7.0305185612261427</v>
      </c>
    </row>
    <row r="255" spans="1:20" x14ac:dyDescent="0.2">
      <c r="B255">
        <f t="shared" si="40"/>
        <v>252</v>
      </c>
      <c r="C255">
        <f t="shared" si="36"/>
        <v>31</v>
      </c>
      <c r="D255">
        <v>244</v>
      </c>
      <c r="E255">
        <v>275</v>
      </c>
      <c r="F255">
        <f>PMSPLINE!F$12</f>
        <v>7.0977138121507055</v>
      </c>
      <c r="G255">
        <f>PMSPLINE!F$13</f>
        <v>6.4935060468192152</v>
      </c>
      <c r="H255" s="10">
        <f>PMSPLINE!K$12</f>
        <v>-9.5050841378288608E-4</v>
      </c>
      <c r="I255" s="10">
        <f>PMSPLINE!K$13</f>
        <v>-6.4155885473058262E-4</v>
      </c>
      <c r="J255">
        <f t="shared" si="37"/>
        <v>0.74193548387096775</v>
      </c>
      <c r="K255">
        <f t="shared" si="38"/>
        <v>0.25806451612903225</v>
      </c>
      <c r="L255">
        <f t="shared" si="45"/>
        <v>206</v>
      </c>
      <c r="M255" s="8">
        <f t="shared" si="39"/>
        <v>6.9417892275490303</v>
      </c>
      <c r="N255" s="6">
        <f t="shared" si="46"/>
        <v>7.0173165283065222</v>
      </c>
      <c r="O255" s="8">
        <f t="shared" si="42"/>
        <v>908.35501976963803</v>
      </c>
      <c r="P255" s="8">
        <f t="shared" si="43"/>
        <v>909.18775677833992</v>
      </c>
      <c r="Q255" s="8">
        <f t="shared" si="41"/>
        <v>7.0173165283065222</v>
      </c>
      <c r="T255" s="8">
        <f t="shared" si="44"/>
        <v>7.0173165283065222</v>
      </c>
    </row>
    <row r="256" spans="1:20" x14ac:dyDescent="0.2">
      <c r="B256">
        <f t="shared" si="40"/>
        <v>253</v>
      </c>
      <c r="C256">
        <f t="shared" si="36"/>
        <v>31</v>
      </c>
      <c r="D256">
        <v>244</v>
      </c>
      <c r="E256">
        <v>275</v>
      </c>
      <c r="F256">
        <f>PMSPLINE!F$12</f>
        <v>7.0977138121507055</v>
      </c>
      <c r="G256">
        <f>PMSPLINE!F$13</f>
        <v>6.4935060468192152</v>
      </c>
      <c r="H256" s="10">
        <f>PMSPLINE!K$12</f>
        <v>-9.5050841378288608E-4</v>
      </c>
      <c r="I256" s="10">
        <f>PMSPLINE!K$13</f>
        <v>-6.4155885473058262E-4</v>
      </c>
      <c r="J256">
        <f t="shared" si="37"/>
        <v>0.70967741935483875</v>
      </c>
      <c r="K256">
        <f t="shared" si="38"/>
        <v>0.29032258064516131</v>
      </c>
      <c r="L256">
        <f t="shared" si="45"/>
        <v>207</v>
      </c>
      <c r="M256" s="8">
        <f t="shared" si="39"/>
        <v>6.9222986544738214</v>
      </c>
      <c r="N256" s="6">
        <f t="shared" si="46"/>
        <v>7.0032437158915837</v>
      </c>
      <c r="O256" s="8">
        <f t="shared" si="42"/>
        <v>915.27731842411185</v>
      </c>
      <c r="P256" s="8">
        <f t="shared" si="43"/>
        <v>916.1910004942315</v>
      </c>
      <c r="Q256" s="8">
        <f t="shared" si="41"/>
        <v>7.0032437158915837</v>
      </c>
      <c r="T256" s="8">
        <f t="shared" si="44"/>
        <v>7.0032437158915837</v>
      </c>
    </row>
    <row r="257" spans="2:20" x14ac:dyDescent="0.2">
      <c r="B257">
        <f t="shared" si="40"/>
        <v>254</v>
      </c>
      <c r="C257">
        <f t="shared" si="36"/>
        <v>31</v>
      </c>
      <c r="D257">
        <v>244</v>
      </c>
      <c r="E257">
        <v>275</v>
      </c>
      <c r="F257">
        <f>PMSPLINE!F$12</f>
        <v>7.0977138121507055</v>
      </c>
      <c r="G257">
        <f>PMSPLINE!F$13</f>
        <v>6.4935060468192152</v>
      </c>
      <c r="H257" s="10">
        <f>PMSPLINE!K$12</f>
        <v>-9.5050841378288608E-4</v>
      </c>
      <c r="I257" s="10">
        <f>PMSPLINE!K$13</f>
        <v>-6.4155885473058262E-4</v>
      </c>
      <c r="J257">
        <f t="shared" si="37"/>
        <v>0.67741935483870963</v>
      </c>
      <c r="K257">
        <f t="shared" si="38"/>
        <v>0.32258064516129031</v>
      </c>
      <c r="L257">
        <f t="shared" si="45"/>
        <v>208</v>
      </c>
      <c r="M257" s="8">
        <f t="shared" si="39"/>
        <v>6.9028080813986108</v>
      </c>
      <c r="N257" s="6">
        <f t="shared" si="46"/>
        <v>6.9883100900961344</v>
      </c>
      <c r="O257" s="8">
        <f t="shared" si="42"/>
        <v>922.18012650551043</v>
      </c>
      <c r="P257" s="8">
        <f t="shared" si="43"/>
        <v>923.1793105843276</v>
      </c>
      <c r="Q257" s="8">
        <f t="shared" si="41"/>
        <v>6.9883100900961344</v>
      </c>
      <c r="T257" s="8">
        <f t="shared" si="44"/>
        <v>6.9883100900961344</v>
      </c>
    </row>
    <row r="258" spans="2:20" x14ac:dyDescent="0.2">
      <c r="B258">
        <f t="shared" si="40"/>
        <v>255</v>
      </c>
      <c r="C258">
        <f t="shared" si="36"/>
        <v>31</v>
      </c>
      <c r="D258">
        <v>244</v>
      </c>
      <c r="E258">
        <v>275</v>
      </c>
      <c r="F258">
        <f>PMSPLINE!F$12</f>
        <v>7.0977138121507055</v>
      </c>
      <c r="G258">
        <f>PMSPLINE!F$13</f>
        <v>6.4935060468192152</v>
      </c>
      <c r="H258" s="10">
        <f>PMSPLINE!K$12</f>
        <v>-9.5050841378288608E-4</v>
      </c>
      <c r="I258" s="10">
        <f>PMSPLINE!K$13</f>
        <v>-6.4155885473058262E-4</v>
      </c>
      <c r="J258">
        <f t="shared" si="37"/>
        <v>0.64516129032258063</v>
      </c>
      <c r="K258">
        <f t="shared" si="38"/>
        <v>0.35483870967741937</v>
      </c>
      <c r="L258">
        <f t="shared" si="45"/>
        <v>209</v>
      </c>
      <c r="M258" s="8">
        <f t="shared" si="39"/>
        <v>6.8833175083234019</v>
      </c>
      <c r="N258" s="6">
        <f t="shared" si="46"/>
        <v>6.9725256170349859</v>
      </c>
      <c r="O258" s="8">
        <f t="shared" si="42"/>
        <v>929.06344401383387</v>
      </c>
      <c r="P258" s="8">
        <f t="shared" si="43"/>
        <v>930.15183620136258</v>
      </c>
      <c r="Q258" s="8">
        <f t="shared" si="41"/>
        <v>6.9725256170349859</v>
      </c>
      <c r="T258" s="8">
        <f t="shared" si="44"/>
        <v>6.9725256170349859</v>
      </c>
    </row>
    <row r="259" spans="2:20" x14ac:dyDescent="0.2">
      <c r="B259">
        <f t="shared" si="40"/>
        <v>256</v>
      </c>
      <c r="C259">
        <f t="shared" si="36"/>
        <v>31</v>
      </c>
      <c r="D259">
        <v>244</v>
      </c>
      <c r="E259">
        <v>275</v>
      </c>
      <c r="F259">
        <f>PMSPLINE!F$12</f>
        <v>7.0977138121507055</v>
      </c>
      <c r="G259">
        <f>PMSPLINE!F$13</f>
        <v>6.4935060468192152</v>
      </c>
      <c r="H259" s="10">
        <f>PMSPLINE!K$12</f>
        <v>-9.5050841378288608E-4</v>
      </c>
      <c r="I259" s="10">
        <f>PMSPLINE!K$13</f>
        <v>-6.4155885473058262E-4</v>
      </c>
      <c r="J259">
        <f t="shared" si="37"/>
        <v>0.61290322580645162</v>
      </c>
      <c r="K259">
        <f t="shared" si="38"/>
        <v>0.38709677419354838</v>
      </c>
      <c r="L259">
        <f t="shared" si="45"/>
        <v>210</v>
      </c>
      <c r="M259" s="8">
        <f t="shared" si="39"/>
        <v>6.8638269352481931</v>
      </c>
      <c r="N259" s="6">
        <f t="shared" si="46"/>
        <v>6.9559002628229436</v>
      </c>
      <c r="O259" s="8">
        <f t="shared" si="42"/>
        <v>935.92727094908207</v>
      </c>
      <c r="P259" s="8">
        <f t="shared" si="43"/>
        <v>937.10773646418556</v>
      </c>
      <c r="Q259" s="8">
        <f t="shared" si="41"/>
        <v>6.9559002628229436</v>
      </c>
      <c r="T259" s="8">
        <f t="shared" si="44"/>
        <v>6.9559002628229436</v>
      </c>
    </row>
    <row r="260" spans="2:20" x14ac:dyDescent="0.2">
      <c r="B260">
        <f t="shared" si="40"/>
        <v>257</v>
      </c>
      <c r="C260">
        <f t="shared" ref="C260:C323" si="47">E260-D260</f>
        <v>31</v>
      </c>
      <c r="D260">
        <v>244</v>
      </c>
      <c r="E260">
        <v>275</v>
      </c>
      <c r="F260">
        <f>PMSPLINE!F$12</f>
        <v>7.0977138121507055</v>
      </c>
      <c r="G260">
        <f>PMSPLINE!F$13</f>
        <v>6.4935060468192152</v>
      </c>
      <c r="H260" s="10">
        <f>PMSPLINE!K$12</f>
        <v>-9.5050841378288608E-4</v>
      </c>
      <c r="I260" s="10">
        <f>PMSPLINE!K$13</f>
        <v>-6.4155885473058262E-4</v>
      </c>
      <c r="J260">
        <f t="shared" ref="J260:J323" si="48">(E260-B260)/C260</f>
        <v>0.58064516129032262</v>
      </c>
      <c r="K260">
        <f t="shared" ref="K260:K323" si="49">(B260-D260)/C260</f>
        <v>0.41935483870967744</v>
      </c>
      <c r="L260">
        <f t="shared" si="45"/>
        <v>211</v>
      </c>
      <c r="M260" s="8">
        <f t="shared" ref="M260:M323" si="50">J260*F260+K260*G260</f>
        <v>6.8443363621729834</v>
      </c>
      <c r="N260" s="6">
        <f t="shared" si="46"/>
        <v>6.9384439935748148</v>
      </c>
      <c r="O260" s="8">
        <f t="shared" si="42"/>
        <v>942.77160731125502</v>
      </c>
      <c r="P260" s="8">
        <f t="shared" si="43"/>
        <v>944.04618045776033</v>
      </c>
      <c r="Q260" s="8">
        <f t="shared" si="41"/>
        <v>6.9384439935748148</v>
      </c>
      <c r="T260" s="8">
        <f t="shared" si="44"/>
        <v>6.9384439935748148</v>
      </c>
    </row>
    <row r="261" spans="2:20" x14ac:dyDescent="0.2">
      <c r="B261">
        <f t="shared" ref="B261:B324" si="51">B260+1</f>
        <v>258</v>
      </c>
      <c r="C261">
        <f t="shared" si="47"/>
        <v>31</v>
      </c>
      <c r="D261">
        <v>244</v>
      </c>
      <c r="E261">
        <v>275</v>
      </c>
      <c r="F261">
        <f>PMSPLINE!F$12</f>
        <v>7.0977138121507055</v>
      </c>
      <c r="G261">
        <f>PMSPLINE!F$13</f>
        <v>6.4935060468192152</v>
      </c>
      <c r="H261" s="10">
        <f>PMSPLINE!K$12</f>
        <v>-9.5050841378288608E-4</v>
      </c>
      <c r="I261" s="10">
        <f>PMSPLINE!K$13</f>
        <v>-6.4155885473058262E-4</v>
      </c>
      <c r="J261">
        <f t="shared" si="48"/>
        <v>0.54838709677419351</v>
      </c>
      <c r="K261">
        <f t="shared" si="49"/>
        <v>0.45161290322580644</v>
      </c>
      <c r="L261">
        <f t="shared" si="45"/>
        <v>212</v>
      </c>
      <c r="M261" s="8">
        <f t="shared" si="50"/>
        <v>6.8248457890977736</v>
      </c>
      <c r="N261" s="6">
        <f t="shared" si="46"/>
        <v>6.9201667754054093</v>
      </c>
      <c r="O261" s="8">
        <f t="shared" si="42"/>
        <v>949.59645310035285</v>
      </c>
      <c r="P261" s="8">
        <f t="shared" si="43"/>
        <v>950.96634723316572</v>
      </c>
      <c r="Q261" s="8">
        <f t="shared" ref="Q261:Q324" si="52">M261+(((J261^3-J261)*H261+(K261^3-K261)*I261))*(C261^2)/6</f>
        <v>6.9201667754054093</v>
      </c>
      <c r="T261" s="8">
        <f t="shared" si="44"/>
        <v>6.9201667754054093</v>
      </c>
    </row>
    <row r="262" spans="2:20" x14ac:dyDescent="0.2">
      <c r="B262">
        <f t="shared" si="51"/>
        <v>259</v>
      </c>
      <c r="C262">
        <f t="shared" si="47"/>
        <v>31</v>
      </c>
      <c r="D262">
        <v>244</v>
      </c>
      <c r="E262">
        <v>275</v>
      </c>
      <c r="F262">
        <f>PMSPLINE!F$12</f>
        <v>7.0977138121507055</v>
      </c>
      <c r="G262">
        <f>PMSPLINE!F$13</f>
        <v>6.4935060468192152</v>
      </c>
      <c r="H262" s="10">
        <f>PMSPLINE!K$12</f>
        <v>-9.5050841378288608E-4</v>
      </c>
      <c r="I262" s="10">
        <f>PMSPLINE!K$13</f>
        <v>-6.4155885473058262E-4</v>
      </c>
      <c r="J262">
        <f t="shared" si="48"/>
        <v>0.5161290322580645</v>
      </c>
      <c r="K262">
        <f t="shared" si="49"/>
        <v>0.4838709677419355</v>
      </c>
      <c r="L262">
        <f t="shared" si="45"/>
        <v>213</v>
      </c>
      <c r="M262" s="8">
        <f t="shared" si="50"/>
        <v>6.8053552160225657</v>
      </c>
      <c r="N262" s="6">
        <f t="shared" si="46"/>
        <v>6.9010785744295369</v>
      </c>
      <c r="O262" s="8">
        <f t="shared" ref="O262:O325" si="53">O261+M262</f>
        <v>956.40180831637542</v>
      </c>
      <c r="P262" s="8">
        <f t="shared" ref="P262:P325" si="54">P261+N262</f>
        <v>957.86742580759528</v>
      </c>
      <c r="Q262" s="8">
        <f t="shared" si="52"/>
        <v>6.9010785744295369</v>
      </c>
      <c r="T262" s="8">
        <f t="shared" si="44"/>
        <v>6.9010785744295369</v>
      </c>
    </row>
    <row r="263" spans="2:20" x14ac:dyDescent="0.2">
      <c r="B263">
        <f t="shared" si="51"/>
        <v>260</v>
      </c>
      <c r="C263">
        <f t="shared" si="47"/>
        <v>31</v>
      </c>
      <c r="D263">
        <v>244</v>
      </c>
      <c r="E263">
        <v>275</v>
      </c>
      <c r="F263">
        <f>PMSPLINE!F$12</f>
        <v>7.0977138121507055</v>
      </c>
      <c r="G263">
        <f>PMSPLINE!F$13</f>
        <v>6.4935060468192152</v>
      </c>
      <c r="H263" s="10">
        <f>PMSPLINE!K$12</f>
        <v>-9.5050841378288608E-4</v>
      </c>
      <c r="I263" s="10">
        <f>PMSPLINE!K$13</f>
        <v>-6.4155885473058262E-4</v>
      </c>
      <c r="J263">
        <f t="shared" si="48"/>
        <v>0.4838709677419355</v>
      </c>
      <c r="K263">
        <f t="shared" si="49"/>
        <v>0.5161290322580645</v>
      </c>
      <c r="L263">
        <f t="shared" si="45"/>
        <v>214</v>
      </c>
      <c r="M263" s="8">
        <f t="shared" si="50"/>
        <v>6.7858646429473559</v>
      </c>
      <c r="N263" s="6">
        <f t="shared" si="46"/>
        <v>6.8811893567620013</v>
      </c>
      <c r="O263" s="8">
        <f t="shared" si="53"/>
        <v>963.18767295932275</v>
      </c>
      <c r="P263" s="8">
        <f t="shared" si="54"/>
        <v>964.74861516435726</v>
      </c>
      <c r="Q263" s="8">
        <f t="shared" si="52"/>
        <v>6.8811893567620013</v>
      </c>
      <c r="T263" s="8">
        <f t="shared" si="44"/>
        <v>6.8811893567620013</v>
      </c>
    </row>
    <row r="264" spans="2:20" x14ac:dyDescent="0.2">
      <c r="B264">
        <f t="shared" si="51"/>
        <v>261</v>
      </c>
      <c r="C264">
        <f t="shared" si="47"/>
        <v>31</v>
      </c>
      <c r="D264">
        <v>244</v>
      </c>
      <c r="E264">
        <v>275</v>
      </c>
      <c r="F264">
        <f>PMSPLINE!F$12</f>
        <v>7.0977138121507055</v>
      </c>
      <c r="G264">
        <f>PMSPLINE!F$13</f>
        <v>6.4935060468192152</v>
      </c>
      <c r="H264" s="10">
        <f>PMSPLINE!K$12</f>
        <v>-9.5050841378288608E-4</v>
      </c>
      <c r="I264" s="10">
        <f>PMSPLINE!K$13</f>
        <v>-6.4155885473058262E-4</v>
      </c>
      <c r="J264">
        <f t="shared" si="48"/>
        <v>0.45161290322580644</v>
      </c>
      <c r="K264">
        <f t="shared" si="49"/>
        <v>0.54838709677419351</v>
      </c>
      <c r="L264">
        <f t="shared" si="45"/>
        <v>215</v>
      </c>
      <c r="M264" s="8">
        <f t="shared" si="50"/>
        <v>6.7663740698721462</v>
      </c>
      <c r="N264" s="6">
        <f t="shared" si="46"/>
        <v>6.8605090885176132</v>
      </c>
      <c r="O264" s="8">
        <f t="shared" si="53"/>
        <v>969.95404702919495</v>
      </c>
      <c r="P264" s="8">
        <f t="shared" si="54"/>
        <v>971.60912425287484</v>
      </c>
      <c r="Q264" s="8">
        <f t="shared" si="52"/>
        <v>6.8605090885176132</v>
      </c>
      <c r="T264" s="8">
        <f t="shared" si="44"/>
        <v>6.8605090885176132</v>
      </c>
    </row>
    <row r="265" spans="2:20" x14ac:dyDescent="0.2">
      <c r="B265">
        <f t="shared" si="51"/>
        <v>262</v>
      </c>
      <c r="C265">
        <f t="shared" si="47"/>
        <v>31</v>
      </c>
      <c r="D265">
        <v>244</v>
      </c>
      <c r="E265">
        <v>275</v>
      </c>
      <c r="F265">
        <f>PMSPLINE!F$12</f>
        <v>7.0977138121507055</v>
      </c>
      <c r="G265">
        <f>PMSPLINE!F$13</f>
        <v>6.4935060468192152</v>
      </c>
      <c r="H265" s="10">
        <f>PMSPLINE!K$12</f>
        <v>-9.5050841378288608E-4</v>
      </c>
      <c r="I265" s="10">
        <f>PMSPLINE!K$13</f>
        <v>-6.4155885473058262E-4</v>
      </c>
      <c r="J265">
        <f t="shared" si="48"/>
        <v>0.41935483870967744</v>
      </c>
      <c r="K265">
        <f t="shared" si="49"/>
        <v>0.58064516129032262</v>
      </c>
      <c r="L265">
        <f t="shared" si="45"/>
        <v>216</v>
      </c>
      <c r="M265" s="8">
        <f t="shared" si="50"/>
        <v>6.7468834967969373</v>
      </c>
      <c r="N265" s="6">
        <f t="shared" si="46"/>
        <v>6.8390477358111816</v>
      </c>
      <c r="O265" s="8">
        <f t="shared" si="53"/>
        <v>976.70093052599191</v>
      </c>
      <c r="P265" s="8">
        <f t="shared" si="54"/>
        <v>978.448171988686</v>
      </c>
      <c r="Q265" s="8">
        <f t="shared" si="52"/>
        <v>6.8390477358111816</v>
      </c>
      <c r="T265" s="8">
        <f t="shared" si="44"/>
        <v>6.8390477358111816</v>
      </c>
    </row>
    <row r="266" spans="2:20" x14ac:dyDescent="0.2">
      <c r="B266">
        <f t="shared" si="51"/>
        <v>263</v>
      </c>
      <c r="C266">
        <f t="shared" si="47"/>
        <v>31</v>
      </c>
      <c r="D266">
        <v>244</v>
      </c>
      <c r="E266">
        <v>275</v>
      </c>
      <c r="F266">
        <f>PMSPLINE!F$12</f>
        <v>7.0977138121507055</v>
      </c>
      <c r="G266">
        <f>PMSPLINE!F$13</f>
        <v>6.4935060468192152</v>
      </c>
      <c r="H266" s="10">
        <f>PMSPLINE!K$12</f>
        <v>-9.5050841378288608E-4</v>
      </c>
      <c r="I266" s="10">
        <f>PMSPLINE!K$13</f>
        <v>-6.4155885473058262E-4</v>
      </c>
      <c r="J266">
        <f t="shared" si="48"/>
        <v>0.38709677419354838</v>
      </c>
      <c r="K266">
        <f t="shared" si="49"/>
        <v>0.61290322580645162</v>
      </c>
      <c r="L266">
        <f t="shared" si="45"/>
        <v>217</v>
      </c>
      <c r="M266" s="8">
        <f t="shared" si="50"/>
        <v>6.7273929237217276</v>
      </c>
      <c r="N266" s="6">
        <f t="shared" si="46"/>
        <v>6.8168152647575129</v>
      </c>
      <c r="O266" s="8">
        <f t="shared" si="53"/>
        <v>983.42832344971362</v>
      </c>
      <c r="P266" s="8">
        <f t="shared" si="54"/>
        <v>985.26498725344356</v>
      </c>
      <c r="Q266" s="8">
        <f t="shared" si="52"/>
        <v>6.8168152647575129</v>
      </c>
      <c r="T266" s="8">
        <f t="shared" si="44"/>
        <v>6.8168152647575129</v>
      </c>
    </row>
    <row r="267" spans="2:20" x14ac:dyDescent="0.2">
      <c r="B267">
        <f t="shared" si="51"/>
        <v>264</v>
      </c>
      <c r="C267">
        <f t="shared" si="47"/>
        <v>31</v>
      </c>
      <c r="D267">
        <v>244</v>
      </c>
      <c r="E267">
        <v>275</v>
      </c>
      <c r="F267">
        <f>PMSPLINE!F$12</f>
        <v>7.0977138121507055</v>
      </c>
      <c r="G267">
        <f>PMSPLINE!F$13</f>
        <v>6.4935060468192152</v>
      </c>
      <c r="H267" s="10">
        <f>PMSPLINE!K$12</f>
        <v>-9.5050841378288608E-4</v>
      </c>
      <c r="I267" s="10">
        <f>PMSPLINE!K$13</f>
        <v>-6.4155885473058262E-4</v>
      </c>
      <c r="J267">
        <f t="shared" si="48"/>
        <v>0.35483870967741937</v>
      </c>
      <c r="K267">
        <f t="shared" si="49"/>
        <v>0.64516129032258063</v>
      </c>
      <c r="L267">
        <f t="shared" si="45"/>
        <v>218</v>
      </c>
      <c r="M267" s="8">
        <f t="shared" si="50"/>
        <v>6.7079023506465187</v>
      </c>
      <c r="N267" s="6">
        <f t="shared" si="46"/>
        <v>6.7938216414714168</v>
      </c>
      <c r="O267" s="8">
        <f t="shared" si="53"/>
        <v>990.13622580036008</v>
      </c>
      <c r="P267" s="8">
        <f t="shared" si="54"/>
        <v>992.05880889491493</v>
      </c>
      <c r="Q267" s="8">
        <f t="shared" si="52"/>
        <v>6.7938216414714168</v>
      </c>
      <c r="T267" s="8">
        <f t="shared" si="44"/>
        <v>6.7938216414714168</v>
      </c>
    </row>
    <row r="268" spans="2:20" x14ac:dyDescent="0.2">
      <c r="B268">
        <f t="shared" si="51"/>
        <v>265</v>
      </c>
      <c r="C268">
        <f t="shared" si="47"/>
        <v>31</v>
      </c>
      <c r="D268">
        <v>244</v>
      </c>
      <c r="E268">
        <v>275</v>
      </c>
      <c r="F268">
        <f>PMSPLINE!F$12</f>
        <v>7.0977138121507055</v>
      </c>
      <c r="G268">
        <f>PMSPLINE!F$13</f>
        <v>6.4935060468192152</v>
      </c>
      <c r="H268" s="10">
        <f>PMSPLINE!K$12</f>
        <v>-9.5050841378288608E-4</v>
      </c>
      <c r="I268" s="10">
        <f>PMSPLINE!K$13</f>
        <v>-6.4155885473058262E-4</v>
      </c>
      <c r="J268">
        <f t="shared" si="48"/>
        <v>0.32258064516129031</v>
      </c>
      <c r="K268">
        <f t="shared" si="49"/>
        <v>0.67741935483870963</v>
      </c>
      <c r="L268">
        <f t="shared" si="45"/>
        <v>219</v>
      </c>
      <c r="M268" s="8">
        <f t="shared" si="50"/>
        <v>6.6884117775713081</v>
      </c>
      <c r="N268" s="6">
        <f t="shared" si="46"/>
        <v>6.7700768320676987</v>
      </c>
      <c r="O268" s="8">
        <f t="shared" si="53"/>
        <v>996.82463757793141</v>
      </c>
      <c r="P268" s="8">
        <f t="shared" si="54"/>
        <v>998.82888572698266</v>
      </c>
      <c r="Q268" s="8">
        <f t="shared" si="52"/>
        <v>6.7700768320676987</v>
      </c>
      <c r="T268" s="8">
        <f t="shared" si="44"/>
        <v>6.7700768320676987</v>
      </c>
    </row>
    <row r="269" spans="2:20" x14ac:dyDescent="0.2">
      <c r="B269">
        <f t="shared" si="51"/>
        <v>266</v>
      </c>
      <c r="C269">
        <f t="shared" si="47"/>
        <v>31</v>
      </c>
      <c r="D269">
        <v>244</v>
      </c>
      <c r="E269">
        <v>275</v>
      </c>
      <c r="F269">
        <f>PMSPLINE!F$12</f>
        <v>7.0977138121507055</v>
      </c>
      <c r="G269">
        <f>PMSPLINE!F$13</f>
        <v>6.4935060468192152</v>
      </c>
      <c r="H269" s="10">
        <f>PMSPLINE!K$12</f>
        <v>-9.5050841378288608E-4</v>
      </c>
      <c r="I269" s="10">
        <f>PMSPLINE!K$13</f>
        <v>-6.4155885473058262E-4</v>
      </c>
      <c r="J269">
        <f t="shared" si="48"/>
        <v>0.29032258064516131</v>
      </c>
      <c r="K269">
        <f t="shared" si="49"/>
        <v>0.70967741935483875</v>
      </c>
      <c r="L269">
        <f t="shared" si="45"/>
        <v>220</v>
      </c>
      <c r="M269" s="8">
        <f t="shared" si="50"/>
        <v>6.6689212044960993</v>
      </c>
      <c r="N269" s="6">
        <f t="shared" si="46"/>
        <v>6.7455908026611704</v>
      </c>
      <c r="O269" s="8">
        <f t="shared" si="53"/>
        <v>1003.4935587824275</v>
      </c>
      <c r="P269" s="8">
        <f t="shared" si="54"/>
        <v>1005.5744765296438</v>
      </c>
      <c r="Q269" s="8">
        <f t="shared" si="52"/>
        <v>6.7455908026611704</v>
      </c>
      <c r="T269" s="8">
        <f t="shared" si="44"/>
        <v>6.7455908026611704</v>
      </c>
    </row>
    <row r="270" spans="2:20" x14ac:dyDescent="0.2">
      <c r="B270">
        <f t="shared" si="51"/>
        <v>267</v>
      </c>
      <c r="C270">
        <f t="shared" si="47"/>
        <v>31</v>
      </c>
      <c r="D270">
        <v>244</v>
      </c>
      <c r="E270">
        <v>275</v>
      </c>
      <c r="F270">
        <f>PMSPLINE!F$12</f>
        <v>7.0977138121507055</v>
      </c>
      <c r="G270">
        <f>PMSPLINE!F$13</f>
        <v>6.4935060468192152</v>
      </c>
      <c r="H270" s="10">
        <f>PMSPLINE!K$12</f>
        <v>-9.5050841378288608E-4</v>
      </c>
      <c r="I270" s="10">
        <f>PMSPLINE!K$13</f>
        <v>-6.4155885473058262E-4</v>
      </c>
      <c r="J270">
        <f t="shared" si="48"/>
        <v>0.25806451612903225</v>
      </c>
      <c r="K270">
        <f t="shared" si="49"/>
        <v>0.74193548387096775</v>
      </c>
      <c r="L270">
        <f t="shared" si="45"/>
        <v>221</v>
      </c>
      <c r="M270" s="8">
        <f t="shared" si="50"/>
        <v>6.6494306314208904</v>
      </c>
      <c r="N270" s="6">
        <f t="shared" si="46"/>
        <v>6.7203735193666381</v>
      </c>
      <c r="O270" s="8">
        <f t="shared" si="53"/>
        <v>1010.1429894138483</v>
      </c>
      <c r="P270" s="8">
        <f t="shared" si="54"/>
        <v>1012.2948500490104</v>
      </c>
      <c r="Q270" s="8">
        <f t="shared" si="52"/>
        <v>6.7203735193666381</v>
      </c>
      <c r="T270" s="8">
        <f t="shared" si="44"/>
        <v>6.7203735193666381</v>
      </c>
    </row>
    <row r="271" spans="2:20" x14ac:dyDescent="0.2">
      <c r="B271">
        <f t="shared" si="51"/>
        <v>268</v>
      </c>
      <c r="C271">
        <f t="shared" si="47"/>
        <v>31</v>
      </c>
      <c r="D271">
        <v>244</v>
      </c>
      <c r="E271">
        <v>275</v>
      </c>
      <c r="F271">
        <f>PMSPLINE!F$12</f>
        <v>7.0977138121507055</v>
      </c>
      <c r="G271">
        <f>PMSPLINE!F$13</f>
        <v>6.4935060468192152</v>
      </c>
      <c r="H271" s="10">
        <f>PMSPLINE!K$12</f>
        <v>-9.5050841378288608E-4</v>
      </c>
      <c r="I271" s="10">
        <f>PMSPLINE!K$13</f>
        <v>-6.4155885473058262E-4</v>
      </c>
      <c r="J271">
        <f t="shared" si="48"/>
        <v>0.22580645161290322</v>
      </c>
      <c r="K271">
        <f t="shared" si="49"/>
        <v>0.77419354838709675</v>
      </c>
      <c r="L271">
        <f t="shared" si="45"/>
        <v>222</v>
      </c>
      <c r="M271" s="8">
        <f t="shared" si="50"/>
        <v>6.6299400583456798</v>
      </c>
      <c r="N271" s="6">
        <f t="shared" si="46"/>
        <v>6.6944349482989081</v>
      </c>
      <c r="O271" s="8">
        <f t="shared" si="53"/>
        <v>1016.7729294721941</v>
      </c>
      <c r="P271" s="8">
        <f t="shared" si="54"/>
        <v>1018.9892849973093</v>
      </c>
      <c r="Q271" s="8">
        <f t="shared" si="52"/>
        <v>6.6944349482989081</v>
      </c>
      <c r="T271" s="8">
        <f t="shared" si="44"/>
        <v>6.6944349482989081</v>
      </c>
    </row>
    <row r="272" spans="2:20" x14ac:dyDescent="0.2">
      <c r="B272">
        <f t="shared" si="51"/>
        <v>269</v>
      </c>
      <c r="C272">
        <f t="shared" si="47"/>
        <v>31</v>
      </c>
      <c r="D272">
        <v>244</v>
      </c>
      <c r="E272">
        <v>275</v>
      </c>
      <c r="F272">
        <f>PMSPLINE!F$12</f>
        <v>7.0977138121507055</v>
      </c>
      <c r="G272">
        <f>PMSPLINE!F$13</f>
        <v>6.4935060468192152</v>
      </c>
      <c r="H272" s="10">
        <f>PMSPLINE!K$12</f>
        <v>-9.5050841378288608E-4</v>
      </c>
      <c r="I272" s="10">
        <f>PMSPLINE!K$13</f>
        <v>-6.4155885473058262E-4</v>
      </c>
      <c r="J272">
        <f t="shared" si="48"/>
        <v>0.19354838709677419</v>
      </c>
      <c r="K272">
        <f t="shared" si="49"/>
        <v>0.80645161290322576</v>
      </c>
      <c r="L272">
        <f t="shared" si="45"/>
        <v>223</v>
      </c>
      <c r="M272" s="8">
        <f t="shared" si="50"/>
        <v>6.6104494852704709</v>
      </c>
      <c r="N272" s="6">
        <f t="shared" si="46"/>
        <v>6.6677850555727929</v>
      </c>
      <c r="O272" s="8">
        <f t="shared" si="53"/>
        <v>1023.3833789574645</v>
      </c>
      <c r="P272" s="8">
        <f t="shared" si="54"/>
        <v>1025.6570700528821</v>
      </c>
      <c r="Q272" s="8">
        <f t="shared" si="52"/>
        <v>6.6677850555727929</v>
      </c>
      <c r="T272" s="8">
        <f t="shared" si="44"/>
        <v>6.6677850555727929</v>
      </c>
    </row>
    <row r="273" spans="1:20" x14ac:dyDescent="0.2">
      <c r="B273">
        <f t="shared" si="51"/>
        <v>270</v>
      </c>
      <c r="C273">
        <f t="shared" si="47"/>
        <v>31</v>
      </c>
      <c r="D273">
        <v>244</v>
      </c>
      <c r="E273">
        <v>275</v>
      </c>
      <c r="F273">
        <f>PMSPLINE!F$12</f>
        <v>7.0977138121507055</v>
      </c>
      <c r="G273">
        <f>PMSPLINE!F$13</f>
        <v>6.4935060468192152</v>
      </c>
      <c r="H273" s="10">
        <f>PMSPLINE!K$12</f>
        <v>-9.5050841378288608E-4</v>
      </c>
      <c r="I273" s="10">
        <f>PMSPLINE!K$13</f>
        <v>-6.4155885473058262E-4</v>
      </c>
      <c r="J273">
        <f t="shared" si="48"/>
        <v>0.16129032258064516</v>
      </c>
      <c r="K273">
        <f t="shared" si="49"/>
        <v>0.83870967741935487</v>
      </c>
      <c r="L273">
        <f t="shared" si="45"/>
        <v>224</v>
      </c>
      <c r="M273" s="8">
        <f t="shared" si="50"/>
        <v>6.5909589121952621</v>
      </c>
      <c r="N273" s="6">
        <f t="shared" si="46"/>
        <v>6.640433807303098</v>
      </c>
      <c r="O273" s="8">
        <f t="shared" si="53"/>
        <v>1029.9743378696598</v>
      </c>
      <c r="P273" s="8">
        <f t="shared" si="54"/>
        <v>1032.2975038601851</v>
      </c>
      <c r="Q273" s="8">
        <f t="shared" si="52"/>
        <v>6.640433807303098</v>
      </c>
      <c r="T273" s="8">
        <f t="shared" si="44"/>
        <v>6.640433807303098</v>
      </c>
    </row>
    <row r="274" spans="1:20" x14ac:dyDescent="0.2">
      <c r="B274">
        <f t="shared" si="51"/>
        <v>271</v>
      </c>
      <c r="C274">
        <f t="shared" si="47"/>
        <v>31</v>
      </c>
      <c r="D274">
        <v>244</v>
      </c>
      <c r="E274">
        <v>275</v>
      </c>
      <c r="F274">
        <f>PMSPLINE!F$12</f>
        <v>7.0977138121507055</v>
      </c>
      <c r="G274">
        <f>PMSPLINE!F$13</f>
        <v>6.4935060468192152</v>
      </c>
      <c r="H274" s="10">
        <f>PMSPLINE!K$12</f>
        <v>-9.5050841378288608E-4</v>
      </c>
      <c r="I274" s="10">
        <f>PMSPLINE!K$13</f>
        <v>-6.4155885473058262E-4</v>
      </c>
      <c r="J274">
        <f t="shared" si="48"/>
        <v>0.12903225806451613</v>
      </c>
      <c r="K274">
        <f t="shared" si="49"/>
        <v>0.87096774193548387</v>
      </c>
      <c r="L274">
        <f t="shared" si="45"/>
        <v>225</v>
      </c>
      <c r="M274" s="8">
        <f t="shared" si="50"/>
        <v>6.5714683391200523</v>
      </c>
      <c r="N274" s="6">
        <f t="shared" si="46"/>
        <v>6.6123911696046314</v>
      </c>
      <c r="O274" s="8">
        <f t="shared" si="53"/>
        <v>1036.5458062087798</v>
      </c>
      <c r="P274" s="8">
        <f t="shared" si="54"/>
        <v>1038.9098950297898</v>
      </c>
      <c r="Q274" s="8">
        <f t="shared" si="52"/>
        <v>6.6123911696046314</v>
      </c>
      <c r="T274" s="8">
        <f t="shared" si="44"/>
        <v>6.6123911696046314</v>
      </c>
    </row>
    <row r="275" spans="1:20" x14ac:dyDescent="0.2">
      <c r="B275">
        <f t="shared" si="51"/>
        <v>272</v>
      </c>
      <c r="C275">
        <f t="shared" si="47"/>
        <v>31</v>
      </c>
      <c r="D275">
        <v>244</v>
      </c>
      <c r="E275">
        <v>275</v>
      </c>
      <c r="F275">
        <f>PMSPLINE!F$12</f>
        <v>7.0977138121507055</v>
      </c>
      <c r="G275">
        <f>PMSPLINE!F$13</f>
        <v>6.4935060468192152</v>
      </c>
      <c r="H275" s="10">
        <f>PMSPLINE!K$12</f>
        <v>-9.5050841378288608E-4</v>
      </c>
      <c r="I275" s="10">
        <f>PMSPLINE!K$13</f>
        <v>-6.4155885473058262E-4</v>
      </c>
      <c r="J275">
        <f t="shared" si="48"/>
        <v>9.6774193548387094E-2</v>
      </c>
      <c r="K275">
        <f t="shared" si="49"/>
        <v>0.90322580645161288</v>
      </c>
      <c r="L275">
        <f t="shared" si="45"/>
        <v>226</v>
      </c>
      <c r="M275" s="8">
        <f t="shared" si="50"/>
        <v>6.5519777660448435</v>
      </c>
      <c r="N275" s="6">
        <f t="shared" si="46"/>
        <v>6.5836671085922021</v>
      </c>
      <c r="O275" s="8">
        <f t="shared" si="53"/>
        <v>1043.0977839748248</v>
      </c>
      <c r="P275" s="8">
        <f t="shared" si="54"/>
        <v>1045.493562138382</v>
      </c>
      <c r="Q275" s="8">
        <f t="shared" si="52"/>
        <v>6.5836671085922021</v>
      </c>
      <c r="T275" s="8">
        <f t="shared" si="44"/>
        <v>6.5836671085922021</v>
      </c>
    </row>
    <row r="276" spans="1:20" x14ac:dyDescent="0.2">
      <c r="B276">
        <f t="shared" si="51"/>
        <v>273</v>
      </c>
      <c r="C276">
        <f t="shared" si="47"/>
        <v>31</v>
      </c>
      <c r="D276">
        <v>244</v>
      </c>
      <c r="E276">
        <v>275</v>
      </c>
      <c r="F276">
        <f>PMSPLINE!F$12</f>
        <v>7.0977138121507055</v>
      </c>
      <c r="G276">
        <f>PMSPLINE!F$13</f>
        <v>6.4935060468192152</v>
      </c>
      <c r="H276" s="10">
        <f>PMSPLINE!K$12</f>
        <v>-9.5050841378288608E-4</v>
      </c>
      <c r="I276" s="10">
        <f>PMSPLINE!K$13</f>
        <v>-6.4155885473058262E-4</v>
      </c>
      <c r="J276">
        <f t="shared" si="48"/>
        <v>6.4516129032258063E-2</v>
      </c>
      <c r="K276">
        <f t="shared" si="49"/>
        <v>0.93548387096774188</v>
      </c>
      <c r="L276">
        <f t="shared" si="45"/>
        <v>227</v>
      </c>
      <c r="M276" s="8">
        <f t="shared" si="50"/>
        <v>6.5324871929696329</v>
      </c>
      <c r="N276" s="6">
        <f t="shared" si="46"/>
        <v>6.5542715903806164</v>
      </c>
      <c r="O276" s="8">
        <f t="shared" si="53"/>
        <v>1049.6302711677945</v>
      </c>
      <c r="P276" s="8">
        <f t="shared" si="54"/>
        <v>1052.0478337287627</v>
      </c>
      <c r="Q276" s="8">
        <f t="shared" si="52"/>
        <v>6.5542715903806164</v>
      </c>
      <c r="T276" s="8">
        <f t="shared" si="44"/>
        <v>6.5542715903806164</v>
      </c>
    </row>
    <row r="277" spans="1:20" x14ac:dyDescent="0.2">
      <c r="B277">
        <f t="shared" si="51"/>
        <v>274</v>
      </c>
      <c r="C277">
        <f t="shared" si="47"/>
        <v>31</v>
      </c>
      <c r="D277">
        <v>244</v>
      </c>
      <c r="E277">
        <v>275</v>
      </c>
      <c r="F277">
        <f>PMSPLINE!F$12</f>
        <v>7.0977138121507055</v>
      </c>
      <c r="G277">
        <f>PMSPLINE!F$13</f>
        <v>6.4935060468192152</v>
      </c>
      <c r="H277" s="10">
        <f>PMSPLINE!K$12</f>
        <v>-9.5050841378288608E-4</v>
      </c>
      <c r="I277" s="10">
        <f>PMSPLINE!K$13</f>
        <v>-6.4155885473058262E-4</v>
      </c>
      <c r="J277">
        <f t="shared" si="48"/>
        <v>3.2258064516129031E-2</v>
      </c>
      <c r="K277">
        <f t="shared" si="49"/>
        <v>0.967741935483871</v>
      </c>
      <c r="L277">
        <f t="shared" si="45"/>
        <v>228</v>
      </c>
      <c r="M277" s="8">
        <f t="shared" si="50"/>
        <v>6.5129966198944249</v>
      </c>
      <c r="N277" s="6">
        <f t="shared" si="46"/>
        <v>6.5242145810846859</v>
      </c>
      <c r="O277" s="8">
        <f t="shared" si="53"/>
        <v>1056.143267787689</v>
      </c>
      <c r="P277" s="8">
        <f t="shared" si="54"/>
        <v>1058.5720483098473</v>
      </c>
      <c r="Q277" s="8">
        <f t="shared" si="52"/>
        <v>6.5242145810846859</v>
      </c>
      <c r="T277" s="8">
        <f t="shared" si="44"/>
        <v>6.5242145810846859</v>
      </c>
    </row>
    <row r="278" spans="1:20" x14ac:dyDescent="0.2">
      <c r="A278">
        <v>275</v>
      </c>
      <c r="B278">
        <f t="shared" si="51"/>
        <v>275</v>
      </c>
      <c r="C278">
        <f t="shared" si="47"/>
        <v>31</v>
      </c>
      <c r="D278">
        <v>244</v>
      </c>
      <c r="E278">
        <v>275</v>
      </c>
      <c r="F278">
        <f>PMSPLINE!F$12</f>
        <v>7.0977138121507055</v>
      </c>
      <c r="G278">
        <f>PMSPLINE!F$13</f>
        <v>6.4935060468192152</v>
      </c>
      <c r="H278" s="10">
        <f>PMSPLINE!K$12</f>
        <v>-9.5050841378288608E-4</v>
      </c>
      <c r="I278" s="10">
        <f>PMSPLINE!K$13</f>
        <v>-6.4155885473058262E-4</v>
      </c>
      <c r="J278">
        <f t="shared" si="48"/>
        <v>0</v>
      </c>
      <c r="K278">
        <f t="shared" si="49"/>
        <v>1</v>
      </c>
      <c r="L278">
        <f t="shared" si="45"/>
        <v>229</v>
      </c>
      <c r="M278" s="8">
        <f t="shared" si="50"/>
        <v>6.4935060468192152</v>
      </c>
      <c r="N278" s="6">
        <f t="shared" si="46"/>
        <v>6.4935060468192152</v>
      </c>
      <c r="O278" s="8">
        <f t="shared" si="53"/>
        <v>1062.6367738345082</v>
      </c>
      <c r="P278" s="8">
        <f t="shared" si="54"/>
        <v>1065.0655543566666</v>
      </c>
      <c r="Q278" s="8">
        <f t="shared" si="52"/>
        <v>6.4935060468192152</v>
      </c>
      <c r="T278" s="8">
        <f t="shared" si="44"/>
        <v>6.4935060468192152</v>
      </c>
    </row>
    <row r="279" spans="1:20" x14ac:dyDescent="0.2">
      <c r="B279">
        <f t="shared" si="51"/>
        <v>276</v>
      </c>
      <c r="C279">
        <f t="shared" si="47"/>
        <v>30</v>
      </c>
      <c r="D279">
        <v>275</v>
      </c>
      <c r="E279">
        <v>305</v>
      </c>
      <c r="F279">
        <f>PMSPLINE!F$13</f>
        <v>6.4935060468192152</v>
      </c>
      <c r="G279">
        <f>PMSPLINE!F$14</f>
        <v>5.3483212804297589</v>
      </c>
      <c r="H279" s="10">
        <f>PMSPLINE!K$13</f>
        <v>-6.4155885473058262E-4</v>
      </c>
      <c r="I279" s="10">
        <f>PMSPLINE!K$14</f>
        <v>-1.4525245740781644E-4</v>
      </c>
      <c r="J279">
        <f t="shared" si="48"/>
        <v>0.96666666666666667</v>
      </c>
      <c r="K279">
        <f t="shared" si="49"/>
        <v>3.3333333333333333E-2</v>
      </c>
      <c r="L279">
        <f t="shared" si="45"/>
        <v>230</v>
      </c>
      <c r="M279" s="8">
        <f t="shared" si="50"/>
        <v>6.4553332212729</v>
      </c>
      <c r="N279" s="6">
        <f t="shared" si="46"/>
        <v>6.4621570499376428</v>
      </c>
      <c r="O279" s="8">
        <f t="shared" si="53"/>
        <v>1069.0921070557811</v>
      </c>
      <c r="P279" s="8">
        <f t="shared" si="54"/>
        <v>1071.5277114066041</v>
      </c>
      <c r="Q279" s="8">
        <f t="shared" si="52"/>
        <v>6.4621570499376428</v>
      </c>
      <c r="T279" s="8">
        <f t="shared" si="44"/>
        <v>6.4621570499376428</v>
      </c>
    </row>
    <row r="280" spans="1:20" x14ac:dyDescent="0.2">
      <c r="B280">
        <f t="shared" si="51"/>
        <v>277</v>
      </c>
      <c r="C280">
        <f t="shared" si="47"/>
        <v>30</v>
      </c>
      <c r="D280">
        <v>275</v>
      </c>
      <c r="E280">
        <v>305</v>
      </c>
      <c r="F280">
        <f>PMSPLINE!F$13</f>
        <v>6.4935060468192152</v>
      </c>
      <c r="G280">
        <f>PMSPLINE!F$14</f>
        <v>5.3483212804297589</v>
      </c>
      <c r="H280" s="10">
        <f>PMSPLINE!K$13</f>
        <v>-6.4155885473058262E-4</v>
      </c>
      <c r="I280" s="10">
        <f>PMSPLINE!K$14</f>
        <v>-1.4525245740781644E-4</v>
      </c>
      <c r="J280">
        <f t="shared" si="48"/>
        <v>0.93333333333333335</v>
      </c>
      <c r="K280">
        <f t="shared" si="49"/>
        <v>6.6666666666666666E-2</v>
      </c>
      <c r="L280">
        <f t="shared" si="45"/>
        <v>231</v>
      </c>
      <c r="M280" s="8">
        <f t="shared" si="50"/>
        <v>6.4171603957265848</v>
      </c>
      <c r="N280" s="6">
        <f t="shared" si="46"/>
        <v>6.4301830377479163</v>
      </c>
      <c r="O280" s="8">
        <f t="shared" si="53"/>
        <v>1075.5092674515076</v>
      </c>
      <c r="P280" s="8">
        <f t="shared" si="54"/>
        <v>1077.957894444352</v>
      </c>
      <c r="Q280" s="8">
        <f t="shared" si="52"/>
        <v>6.4301830377479163</v>
      </c>
      <c r="T280" s="8">
        <f t="shared" si="44"/>
        <v>6.4301830377479163</v>
      </c>
    </row>
    <row r="281" spans="1:20" x14ac:dyDescent="0.2">
      <c r="B281">
        <f t="shared" si="51"/>
        <v>278</v>
      </c>
      <c r="C281">
        <f t="shared" si="47"/>
        <v>30</v>
      </c>
      <c r="D281">
        <v>275</v>
      </c>
      <c r="E281">
        <v>305</v>
      </c>
      <c r="F281">
        <f>PMSPLINE!F$13</f>
        <v>6.4935060468192152</v>
      </c>
      <c r="G281">
        <f>PMSPLINE!F$14</f>
        <v>5.3483212804297589</v>
      </c>
      <c r="H281" s="10">
        <f>PMSPLINE!K$13</f>
        <v>-6.4155885473058262E-4</v>
      </c>
      <c r="I281" s="10">
        <f>PMSPLINE!K$14</f>
        <v>-1.4525245740781644E-4</v>
      </c>
      <c r="J281">
        <f t="shared" si="48"/>
        <v>0.9</v>
      </c>
      <c r="K281">
        <f t="shared" si="49"/>
        <v>0.1</v>
      </c>
      <c r="L281">
        <f t="shared" si="45"/>
        <v>232</v>
      </c>
      <c r="M281" s="8">
        <f t="shared" si="50"/>
        <v>6.3789875701802696</v>
      </c>
      <c r="N281" s="6">
        <f t="shared" si="46"/>
        <v>6.3976005537966154</v>
      </c>
      <c r="O281" s="8">
        <f t="shared" si="53"/>
        <v>1081.8882550216879</v>
      </c>
      <c r="P281" s="8">
        <f t="shared" si="54"/>
        <v>1084.3554949981485</v>
      </c>
      <c r="Q281" s="8">
        <f t="shared" si="52"/>
        <v>6.3976005537966154</v>
      </c>
      <c r="T281" s="8">
        <f t="shared" si="44"/>
        <v>6.3976005537966154</v>
      </c>
    </row>
    <row r="282" spans="1:20" x14ac:dyDescent="0.2">
      <c r="B282">
        <f t="shared" si="51"/>
        <v>279</v>
      </c>
      <c r="C282">
        <f t="shared" si="47"/>
        <v>30</v>
      </c>
      <c r="D282">
        <v>275</v>
      </c>
      <c r="E282">
        <v>305</v>
      </c>
      <c r="F282">
        <f>PMSPLINE!F$13</f>
        <v>6.4935060468192152</v>
      </c>
      <c r="G282">
        <f>PMSPLINE!F$14</f>
        <v>5.3483212804297589</v>
      </c>
      <c r="H282" s="10">
        <f>PMSPLINE!K$13</f>
        <v>-6.4155885473058262E-4</v>
      </c>
      <c r="I282" s="10">
        <f>PMSPLINE!K$14</f>
        <v>-1.4525245740781644E-4</v>
      </c>
      <c r="J282">
        <f t="shared" si="48"/>
        <v>0.8666666666666667</v>
      </c>
      <c r="K282">
        <f t="shared" si="49"/>
        <v>0.13333333333333333</v>
      </c>
      <c r="L282">
        <f t="shared" si="45"/>
        <v>233</v>
      </c>
      <c r="M282" s="8">
        <f t="shared" si="50"/>
        <v>6.3408147446339544</v>
      </c>
      <c r="N282" s="6">
        <f t="shared" si="46"/>
        <v>6.3644261416303154</v>
      </c>
      <c r="O282" s="8">
        <f t="shared" si="53"/>
        <v>1088.2290697663218</v>
      </c>
      <c r="P282" s="8">
        <f t="shared" si="54"/>
        <v>1090.7199211397788</v>
      </c>
      <c r="Q282" s="8">
        <f t="shared" si="52"/>
        <v>6.3644261416303154</v>
      </c>
      <c r="T282" s="8">
        <f t="shared" si="44"/>
        <v>6.3644261416303154</v>
      </c>
    </row>
    <row r="283" spans="1:20" x14ac:dyDescent="0.2">
      <c r="B283">
        <f t="shared" si="51"/>
        <v>280</v>
      </c>
      <c r="C283">
        <f t="shared" si="47"/>
        <v>30</v>
      </c>
      <c r="D283">
        <v>275</v>
      </c>
      <c r="E283">
        <v>305</v>
      </c>
      <c r="F283">
        <f>PMSPLINE!F$13</f>
        <v>6.4935060468192152</v>
      </c>
      <c r="G283">
        <f>PMSPLINE!F$14</f>
        <v>5.3483212804297589</v>
      </c>
      <c r="H283" s="10">
        <f>PMSPLINE!K$13</f>
        <v>-6.4155885473058262E-4</v>
      </c>
      <c r="I283" s="10">
        <f>PMSPLINE!K$14</f>
        <v>-1.4525245740781644E-4</v>
      </c>
      <c r="J283">
        <f t="shared" si="48"/>
        <v>0.83333333333333337</v>
      </c>
      <c r="K283">
        <f t="shared" si="49"/>
        <v>0.16666666666666666</v>
      </c>
      <c r="L283">
        <f t="shared" si="45"/>
        <v>234</v>
      </c>
      <c r="M283" s="8">
        <f t="shared" si="50"/>
        <v>6.3026419190876393</v>
      </c>
      <c r="N283" s="6">
        <f t="shared" si="46"/>
        <v>6.3306763447955943</v>
      </c>
      <c r="O283" s="8">
        <f t="shared" si="53"/>
        <v>1094.5317116854094</v>
      </c>
      <c r="P283" s="8">
        <f t="shared" si="54"/>
        <v>1097.0505974845744</v>
      </c>
      <c r="Q283" s="8">
        <f t="shared" si="52"/>
        <v>6.3306763447955943</v>
      </c>
      <c r="T283" s="8">
        <f t="shared" si="44"/>
        <v>6.3306763447955943</v>
      </c>
    </row>
    <row r="284" spans="1:20" x14ac:dyDescent="0.2">
      <c r="B284">
        <f t="shared" si="51"/>
        <v>281</v>
      </c>
      <c r="C284">
        <f t="shared" si="47"/>
        <v>30</v>
      </c>
      <c r="D284">
        <v>275</v>
      </c>
      <c r="E284">
        <v>305</v>
      </c>
      <c r="F284">
        <f>PMSPLINE!F$13</f>
        <v>6.4935060468192152</v>
      </c>
      <c r="G284">
        <f>PMSPLINE!F$14</f>
        <v>5.3483212804297589</v>
      </c>
      <c r="H284" s="10">
        <f>PMSPLINE!K$13</f>
        <v>-6.4155885473058262E-4</v>
      </c>
      <c r="I284" s="10">
        <f>PMSPLINE!K$14</f>
        <v>-1.4525245740781644E-4</v>
      </c>
      <c r="J284">
        <f t="shared" si="48"/>
        <v>0.8</v>
      </c>
      <c r="K284">
        <f t="shared" si="49"/>
        <v>0.2</v>
      </c>
      <c r="L284">
        <f t="shared" si="45"/>
        <v>235</v>
      </c>
      <c r="M284" s="8">
        <f t="shared" si="50"/>
        <v>6.2644690935413241</v>
      </c>
      <c r="N284" s="6">
        <f t="shared" si="46"/>
        <v>6.29636770683903</v>
      </c>
      <c r="O284" s="8">
        <f t="shared" si="53"/>
        <v>1100.7961807789507</v>
      </c>
      <c r="P284" s="8">
        <f t="shared" si="54"/>
        <v>1103.3469651914133</v>
      </c>
      <c r="Q284" s="8">
        <f t="shared" si="52"/>
        <v>6.29636770683903</v>
      </c>
      <c r="T284" s="8">
        <f t="shared" si="44"/>
        <v>6.29636770683903</v>
      </c>
    </row>
    <row r="285" spans="1:20" x14ac:dyDescent="0.2">
      <c r="B285">
        <f t="shared" si="51"/>
        <v>282</v>
      </c>
      <c r="C285">
        <f t="shared" si="47"/>
        <v>30</v>
      </c>
      <c r="D285">
        <v>275</v>
      </c>
      <c r="E285">
        <v>305</v>
      </c>
      <c r="F285">
        <f>PMSPLINE!F$13</f>
        <v>6.4935060468192152</v>
      </c>
      <c r="G285">
        <f>PMSPLINE!F$14</f>
        <v>5.3483212804297589</v>
      </c>
      <c r="H285" s="10">
        <f>PMSPLINE!K$13</f>
        <v>-6.4155885473058262E-4</v>
      </c>
      <c r="I285" s="10">
        <f>PMSPLINE!K$14</f>
        <v>-1.4525245740781644E-4</v>
      </c>
      <c r="J285">
        <f t="shared" si="48"/>
        <v>0.76666666666666672</v>
      </c>
      <c r="K285">
        <f t="shared" si="49"/>
        <v>0.23333333333333334</v>
      </c>
      <c r="L285">
        <f t="shared" si="45"/>
        <v>236</v>
      </c>
      <c r="M285" s="8">
        <f t="shared" si="50"/>
        <v>6.2262962679950089</v>
      </c>
      <c r="N285" s="6">
        <f t="shared" si="46"/>
        <v>6.2615167713071997</v>
      </c>
      <c r="O285" s="8">
        <f t="shared" si="53"/>
        <v>1107.0224770469456</v>
      </c>
      <c r="P285" s="8">
        <f t="shared" si="54"/>
        <v>1109.6084819627206</v>
      </c>
      <c r="Q285" s="8">
        <f t="shared" si="52"/>
        <v>6.2615167713071997</v>
      </c>
      <c r="T285" s="8">
        <f t="shared" si="44"/>
        <v>6.2615167713071997</v>
      </c>
    </row>
    <row r="286" spans="1:20" x14ac:dyDescent="0.2">
      <c r="B286">
        <f t="shared" si="51"/>
        <v>283</v>
      </c>
      <c r="C286">
        <f t="shared" si="47"/>
        <v>30</v>
      </c>
      <c r="D286">
        <v>275</v>
      </c>
      <c r="E286">
        <v>305</v>
      </c>
      <c r="F286">
        <f>PMSPLINE!F$13</f>
        <v>6.4935060468192152</v>
      </c>
      <c r="G286">
        <f>PMSPLINE!F$14</f>
        <v>5.3483212804297589</v>
      </c>
      <c r="H286" s="10">
        <f>PMSPLINE!K$13</f>
        <v>-6.4155885473058262E-4</v>
      </c>
      <c r="I286" s="10">
        <f>PMSPLINE!K$14</f>
        <v>-1.4525245740781644E-4</v>
      </c>
      <c r="J286">
        <f t="shared" si="48"/>
        <v>0.73333333333333328</v>
      </c>
      <c r="K286">
        <f t="shared" si="49"/>
        <v>0.26666666666666666</v>
      </c>
      <c r="L286">
        <f t="shared" si="45"/>
        <v>237</v>
      </c>
      <c r="M286" s="8">
        <f t="shared" si="50"/>
        <v>6.1881234424486937</v>
      </c>
      <c r="N286" s="6">
        <f t="shared" si="46"/>
        <v>6.2261400817466814</v>
      </c>
      <c r="O286" s="8">
        <f t="shared" si="53"/>
        <v>1113.2106004893942</v>
      </c>
      <c r="P286" s="8">
        <f t="shared" si="54"/>
        <v>1115.8346220444673</v>
      </c>
      <c r="Q286" s="8">
        <f t="shared" si="52"/>
        <v>6.2261400817466814</v>
      </c>
      <c r="T286" s="8">
        <f t="shared" si="44"/>
        <v>6.2261400817466814</v>
      </c>
    </row>
    <row r="287" spans="1:20" x14ac:dyDescent="0.2">
      <c r="B287">
        <f t="shared" si="51"/>
        <v>284</v>
      </c>
      <c r="C287">
        <f t="shared" si="47"/>
        <v>30</v>
      </c>
      <c r="D287">
        <v>275</v>
      </c>
      <c r="E287">
        <v>305</v>
      </c>
      <c r="F287">
        <f>PMSPLINE!F$13</f>
        <v>6.4935060468192152</v>
      </c>
      <c r="G287">
        <f>PMSPLINE!F$14</f>
        <v>5.3483212804297589</v>
      </c>
      <c r="H287" s="10">
        <f>PMSPLINE!K$13</f>
        <v>-6.4155885473058262E-4</v>
      </c>
      <c r="I287" s="10">
        <f>PMSPLINE!K$14</f>
        <v>-1.4525245740781644E-4</v>
      </c>
      <c r="J287">
        <f t="shared" si="48"/>
        <v>0.7</v>
      </c>
      <c r="K287">
        <f t="shared" si="49"/>
        <v>0.3</v>
      </c>
      <c r="L287">
        <f t="shared" si="45"/>
        <v>238</v>
      </c>
      <c r="M287" s="8">
        <f t="shared" si="50"/>
        <v>6.1499506169023785</v>
      </c>
      <c r="N287" s="6">
        <f t="shared" si="46"/>
        <v>6.1902541817040513</v>
      </c>
      <c r="O287" s="8">
        <f t="shared" si="53"/>
        <v>1119.3605511062965</v>
      </c>
      <c r="P287" s="8">
        <f t="shared" si="54"/>
        <v>1122.0248762261713</v>
      </c>
      <c r="Q287" s="8">
        <f t="shared" si="52"/>
        <v>6.1902541817040513</v>
      </c>
      <c r="T287" s="8">
        <f t="shared" si="44"/>
        <v>6.1902541817040513</v>
      </c>
    </row>
    <row r="288" spans="1:20" x14ac:dyDescent="0.2">
      <c r="B288">
        <f t="shared" si="51"/>
        <v>285</v>
      </c>
      <c r="C288">
        <f t="shared" si="47"/>
        <v>30</v>
      </c>
      <c r="D288">
        <v>275</v>
      </c>
      <c r="E288">
        <v>305</v>
      </c>
      <c r="F288">
        <f>PMSPLINE!F$13</f>
        <v>6.4935060468192152</v>
      </c>
      <c r="G288">
        <f>PMSPLINE!F$14</f>
        <v>5.3483212804297589</v>
      </c>
      <c r="H288" s="10">
        <f>PMSPLINE!K$13</f>
        <v>-6.4155885473058262E-4</v>
      </c>
      <c r="I288" s="10">
        <f>PMSPLINE!K$14</f>
        <v>-1.4525245740781644E-4</v>
      </c>
      <c r="J288">
        <f t="shared" si="48"/>
        <v>0.66666666666666663</v>
      </c>
      <c r="K288">
        <f t="shared" si="49"/>
        <v>0.33333333333333331</v>
      </c>
      <c r="L288">
        <f t="shared" si="45"/>
        <v>239</v>
      </c>
      <c r="M288" s="8">
        <f t="shared" si="50"/>
        <v>6.1117777913560625</v>
      </c>
      <c r="N288" s="6">
        <f t="shared" si="46"/>
        <v>6.1538756147258864</v>
      </c>
      <c r="O288" s="8">
        <f t="shared" si="53"/>
        <v>1125.4723288976525</v>
      </c>
      <c r="P288" s="8">
        <f t="shared" si="54"/>
        <v>1128.1787518408971</v>
      </c>
      <c r="Q288" s="8">
        <f t="shared" si="52"/>
        <v>6.1538756147258864</v>
      </c>
      <c r="T288" s="8">
        <f t="shared" si="44"/>
        <v>6.1538756147258864</v>
      </c>
    </row>
    <row r="289" spans="2:20" x14ac:dyDescent="0.2">
      <c r="B289">
        <f t="shared" si="51"/>
        <v>286</v>
      </c>
      <c r="C289">
        <f t="shared" si="47"/>
        <v>30</v>
      </c>
      <c r="D289">
        <v>275</v>
      </c>
      <c r="E289">
        <v>305</v>
      </c>
      <c r="F289">
        <f>PMSPLINE!F$13</f>
        <v>6.4935060468192152</v>
      </c>
      <c r="G289">
        <f>PMSPLINE!F$14</f>
        <v>5.3483212804297589</v>
      </c>
      <c r="H289" s="10">
        <f>PMSPLINE!K$13</f>
        <v>-6.4155885473058262E-4</v>
      </c>
      <c r="I289" s="10">
        <f>PMSPLINE!K$14</f>
        <v>-1.4525245740781644E-4</v>
      </c>
      <c r="J289">
        <f t="shared" si="48"/>
        <v>0.6333333333333333</v>
      </c>
      <c r="K289">
        <f t="shared" si="49"/>
        <v>0.36666666666666664</v>
      </c>
      <c r="L289">
        <f t="shared" si="45"/>
        <v>240</v>
      </c>
      <c r="M289" s="8">
        <f t="shared" si="50"/>
        <v>6.0736049658097473</v>
      </c>
      <c r="N289" s="6">
        <f t="shared" si="46"/>
        <v>6.1170209243587665</v>
      </c>
      <c r="O289" s="8">
        <f t="shared" si="53"/>
        <v>1131.5459338634621</v>
      </c>
      <c r="P289" s="8">
        <f t="shared" si="54"/>
        <v>1134.2957727652558</v>
      </c>
      <c r="Q289" s="8">
        <f t="shared" si="52"/>
        <v>6.1170209243587665</v>
      </c>
      <c r="T289" s="8">
        <f t="shared" si="44"/>
        <v>6.1170209243587665</v>
      </c>
    </row>
    <row r="290" spans="2:20" x14ac:dyDescent="0.2">
      <c r="B290">
        <f t="shared" si="51"/>
        <v>287</v>
      </c>
      <c r="C290">
        <f t="shared" si="47"/>
        <v>30</v>
      </c>
      <c r="D290">
        <v>275</v>
      </c>
      <c r="E290">
        <v>305</v>
      </c>
      <c r="F290">
        <f>PMSPLINE!F$13</f>
        <v>6.4935060468192152</v>
      </c>
      <c r="G290">
        <f>PMSPLINE!F$14</f>
        <v>5.3483212804297589</v>
      </c>
      <c r="H290" s="10">
        <f>PMSPLINE!K$13</f>
        <v>-6.4155885473058262E-4</v>
      </c>
      <c r="I290" s="10">
        <f>PMSPLINE!K$14</f>
        <v>-1.4525245740781644E-4</v>
      </c>
      <c r="J290">
        <f t="shared" si="48"/>
        <v>0.6</v>
      </c>
      <c r="K290">
        <f t="shared" si="49"/>
        <v>0.4</v>
      </c>
      <c r="L290">
        <f t="shared" si="45"/>
        <v>241</v>
      </c>
      <c r="M290" s="8">
        <f t="shared" si="50"/>
        <v>6.035432140263433</v>
      </c>
      <c r="N290" s="6">
        <f t="shared" si="46"/>
        <v>6.0797066541492688</v>
      </c>
      <c r="O290" s="8">
        <f t="shared" si="53"/>
        <v>1137.5813660037256</v>
      </c>
      <c r="P290" s="8">
        <f t="shared" si="54"/>
        <v>1140.3754794194051</v>
      </c>
      <c r="Q290" s="8">
        <f t="shared" si="52"/>
        <v>6.0797066541492688</v>
      </c>
      <c r="T290" s="8">
        <f t="shared" si="44"/>
        <v>6.0797066541492688</v>
      </c>
    </row>
    <row r="291" spans="2:20" x14ac:dyDescent="0.2">
      <c r="B291">
        <f t="shared" si="51"/>
        <v>288</v>
      </c>
      <c r="C291">
        <f t="shared" si="47"/>
        <v>30</v>
      </c>
      <c r="D291">
        <v>275</v>
      </c>
      <c r="E291">
        <v>305</v>
      </c>
      <c r="F291">
        <f>PMSPLINE!F$13</f>
        <v>6.4935060468192152</v>
      </c>
      <c r="G291">
        <f>PMSPLINE!F$14</f>
        <v>5.3483212804297589</v>
      </c>
      <c r="H291" s="10">
        <f>PMSPLINE!K$13</f>
        <v>-6.4155885473058262E-4</v>
      </c>
      <c r="I291" s="10">
        <f>PMSPLINE!K$14</f>
        <v>-1.4525245740781644E-4</v>
      </c>
      <c r="J291">
        <f t="shared" si="48"/>
        <v>0.56666666666666665</v>
      </c>
      <c r="K291">
        <f t="shared" si="49"/>
        <v>0.43333333333333335</v>
      </c>
      <c r="L291">
        <f t="shared" si="45"/>
        <v>242</v>
      </c>
      <c r="M291" s="8">
        <f t="shared" si="50"/>
        <v>5.9972593147171178</v>
      </c>
      <c r="N291" s="6">
        <f t="shared" si="46"/>
        <v>6.0419493476439676</v>
      </c>
      <c r="O291" s="8">
        <f t="shared" si="53"/>
        <v>1143.5786253184428</v>
      </c>
      <c r="P291" s="8">
        <f t="shared" si="54"/>
        <v>1146.4174287670492</v>
      </c>
      <c r="Q291" s="8">
        <f t="shared" si="52"/>
        <v>6.0419493476439676</v>
      </c>
      <c r="T291" s="8">
        <f t="shared" si="44"/>
        <v>6.0419493476439676</v>
      </c>
    </row>
    <row r="292" spans="2:20" x14ac:dyDescent="0.2">
      <c r="B292">
        <f t="shared" si="51"/>
        <v>289</v>
      </c>
      <c r="C292">
        <f t="shared" si="47"/>
        <v>30</v>
      </c>
      <c r="D292">
        <v>275</v>
      </c>
      <c r="E292">
        <v>305</v>
      </c>
      <c r="F292">
        <f>PMSPLINE!F$13</f>
        <v>6.4935060468192152</v>
      </c>
      <c r="G292">
        <f>PMSPLINE!F$14</f>
        <v>5.3483212804297589</v>
      </c>
      <c r="H292" s="10">
        <f>PMSPLINE!K$13</f>
        <v>-6.4155885473058262E-4</v>
      </c>
      <c r="I292" s="10">
        <f>PMSPLINE!K$14</f>
        <v>-1.4525245740781644E-4</v>
      </c>
      <c r="J292">
        <f t="shared" si="48"/>
        <v>0.53333333333333333</v>
      </c>
      <c r="K292">
        <f t="shared" si="49"/>
        <v>0.46666666666666667</v>
      </c>
      <c r="L292">
        <f t="shared" si="45"/>
        <v>243</v>
      </c>
      <c r="M292" s="8">
        <f t="shared" si="50"/>
        <v>5.9590864891708026</v>
      </c>
      <c r="N292" s="6">
        <f t="shared" si="46"/>
        <v>6.0037655483894437</v>
      </c>
      <c r="O292" s="8">
        <f t="shared" si="53"/>
        <v>1149.5377118076137</v>
      </c>
      <c r="P292" s="8">
        <f t="shared" si="54"/>
        <v>1152.4211943154387</v>
      </c>
      <c r="Q292" s="8">
        <f t="shared" si="52"/>
        <v>6.0037655483894437</v>
      </c>
      <c r="T292" s="8">
        <f t="shared" si="44"/>
        <v>6.0037655483894437</v>
      </c>
    </row>
    <row r="293" spans="2:20" x14ac:dyDescent="0.2">
      <c r="B293">
        <f t="shared" si="51"/>
        <v>290</v>
      </c>
      <c r="C293">
        <f t="shared" si="47"/>
        <v>30</v>
      </c>
      <c r="D293">
        <v>275</v>
      </c>
      <c r="E293">
        <v>305</v>
      </c>
      <c r="F293">
        <f>PMSPLINE!F$13</f>
        <v>6.4935060468192152</v>
      </c>
      <c r="G293">
        <f>PMSPLINE!F$14</f>
        <v>5.3483212804297589</v>
      </c>
      <c r="H293" s="10">
        <f>PMSPLINE!K$13</f>
        <v>-6.4155885473058262E-4</v>
      </c>
      <c r="I293" s="10">
        <f>PMSPLINE!K$14</f>
        <v>-1.4525245740781644E-4</v>
      </c>
      <c r="J293">
        <f t="shared" si="48"/>
        <v>0.5</v>
      </c>
      <c r="K293">
        <f t="shared" si="49"/>
        <v>0.5</v>
      </c>
      <c r="L293">
        <f t="shared" si="45"/>
        <v>244</v>
      </c>
      <c r="M293" s="8">
        <f t="shared" si="50"/>
        <v>5.9209136636244875</v>
      </c>
      <c r="N293" s="6">
        <f t="shared" si="46"/>
        <v>5.9651717999322722</v>
      </c>
      <c r="O293" s="8">
        <f t="shared" si="53"/>
        <v>1155.4586254712383</v>
      </c>
      <c r="P293" s="8">
        <f t="shared" si="54"/>
        <v>1158.3863661153709</v>
      </c>
      <c r="Q293" s="8">
        <f t="shared" si="52"/>
        <v>5.9651717999322722</v>
      </c>
      <c r="T293" s="8">
        <f t="shared" si="44"/>
        <v>5.9651717999322722</v>
      </c>
    </row>
    <row r="294" spans="2:20" x14ac:dyDescent="0.2">
      <c r="B294">
        <f t="shared" si="51"/>
        <v>291</v>
      </c>
      <c r="C294">
        <f t="shared" si="47"/>
        <v>30</v>
      </c>
      <c r="D294">
        <v>275</v>
      </c>
      <c r="E294">
        <v>305</v>
      </c>
      <c r="F294">
        <f>PMSPLINE!F$13</f>
        <v>6.4935060468192152</v>
      </c>
      <c r="G294">
        <f>PMSPLINE!F$14</f>
        <v>5.3483212804297589</v>
      </c>
      <c r="H294" s="10">
        <f>PMSPLINE!K$13</f>
        <v>-6.4155885473058262E-4</v>
      </c>
      <c r="I294" s="10">
        <f>PMSPLINE!K$14</f>
        <v>-1.4525245740781644E-4</v>
      </c>
      <c r="J294">
        <f t="shared" si="48"/>
        <v>0.46666666666666667</v>
      </c>
      <c r="K294">
        <f t="shared" si="49"/>
        <v>0.53333333333333333</v>
      </c>
      <c r="L294">
        <f t="shared" si="45"/>
        <v>245</v>
      </c>
      <c r="M294" s="8">
        <f t="shared" si="50"/>
        <v>5.8827408380781723</v>
      </c>
      <c r="N294" s="6">
        <f t="shared" si="46"/>
        <v>5.9261846458190321</v>
      </c>
      <c r="O294" s="8">
        <f t="shared" si="53"/>
        <v>1161.3413663093165</v>
      </c>
      <c r="P294" s="8">
        <f t="shared" si="54"/>
        <v>1164.3125507611899</v>
      </c>
      <c r="Q294" s="8">
        <f t="shared" si="52"/>
        <v>5.9261846458190321</v>
      </c>
      <c r="T294" s="8">
        <f t="shared" si="44"/>
        <v>5.9261846458190321</v>
      </c>
    </row>
    <row r="295" spans="2:20" x14ac:dyDescent="0.2">
      <c r="B295">
        <f t="shared" si="51"/>
        <v>292</v>
      </c>
      <c r="C295">
        <f t="shared" si="47"/>
        <v>30</v>
      </c>
      <c r="D295">
        <v>275</v>
      </c>
      <c r="E295">
        <v>305</v>
      </c>
      <c r="F295">
        <f>PMSPLINE!F$13</f>
        <v>6.4935060468192152</v>
      </c>
      <c r="G295">
        <f>PMSPLINE!F$14</f>
        <v>5.3483212804297589</v>
      </c>
      <c r="H295" s="10">
        <f>PMSPLINE!K$13</f>
        <v>-6.4155885473058262E-4</v>
      </c>
      <c r="I295" s="10">
        <f>PMSPLINE!K$14</f>
        <v>-1.4525245740781644E-4</v>
      </c>
      <c r="J295">
        <f t="shared" si="48"/>
        <v>0.43333333333333335</v>
      </c>
      <c r="K295">
        <f t="shared" si="49"/>
        <v>0.56666666666666665</v>
      </c>
      <c r="L295">
        <f t="shared" si="45"/>
        <v>246</v>
      </c>
      <c r="M295" s="8">
        <f t="shared" si="50"/>
        <v>5.8445680125318571</v>
      </c>
      <c r="N295" s="6">
        <f t="shared" si="46"/>
        <v>5.8868206295962997</v>
      </c>
      <c r="O295" s="8">
        <f t="shared" si="53"/>
        <v>1167.1859343218484</v>
      </c>
      <c r="P295" s="8">
        <f t="shared" si="54"/>
        <v>1170.1993713907862</v>
      </c>
      <c r="Q295" s="8">
        <f t="shared" si="52"/>
        <v>5.8868206295962997</v>
      </c>
      <c r="T295" s="8">
        <f t="shared" si="44"/>
        <v>5.8868206295962997</v>
      </c>
    </row>
    <row r="296" spans="2:20" x14ac:dyDescent="0.2">
      <c r="B296">
        <f t="shared" si="51"/>
        <v>293</v>
      </c>
      <c r="C296">
        <f t="shared" si="47"/>
        <v>30</v>
      </c>
      <c r="D296">
        <v>275</v>
      </c>
      <c r="E296">
        <v>305</v>
      </c>
      <c r="F296">
        <f>PMSPLINE!F$13</f>
        <v>6.4935060468192152</v>
      </c>
      <c r="G296">
        <f>PMSPLINE!F$14</f>
        <v>5.3483212804297589</v>
      </c>
      <c r="H296" s="10">
        <f>PMSPLINE!K$13</f>
        <v>-6.4155885473058262E-4</v>
      </c>
      <c r="I296" s="10">
        <f>PMSPLINE!K$14</f>
        <v>-1.4525245740781644E-4</v>
      </c>
      <c r="J296">
        <f t="shared" si="48"/>
        <v>0.4</v>
      </c>
      <c r="K296">
        <f t="shared" si="49"/>
        <v>0.6</v>
      </c>
      <c r="L296">
        <f t="shared" si="45"/>
        <v>247</v>
      </c>
      <c r="M296" s="8">
        <f t="shared" si="50"/>
        <v>5.8063951869855419</v>
      </c>
      <c r="N296" s="6">
        <f t="shared" si="46"/>
        <v>5.8470962948106537</v>
      </c>
      <c r="O296" s="8">
        <f t="shared" si="53"/>
        <v>1172.992329508834</v>
      </c>
      <c r="P296" s="8">
        <f t="shared" si="54"/>
        <v>1176.0464676855968</v>
      </c>
      <c r="Q296" s="8">
        <f t="shared" si="52"/>
        <v>5.8470962948106537</v>
      </c>
      <c r="T296" s="8">
        <f t="shared" si="44"/>
        <v>5.8470962948106537</v>
      </c>
    </row>
    <row r="297" spans="2:20" x14ac:dyDescent="0.2">
      <c r="B297">
        <f t="shared" si="51"/>
        <v>294</v>
      </c>
      <c r="C297">
        <f t="shared" si="47"/>
        <v>30</v>
      </c>
      <c r="D297">
        <v>275</v>
      </c>
      <c r="E297">
        <v>305</v>
      </c>
      <c r="F297">
        <f>PMSPLINE!F$13</f>
        <v>6.4935060468192152</v>
      </c>
      <c r="G297">
        <f>PMSPLINE!F$14</f>
        <v>5.3483212804297589</v>
      </c>
      <c r="H297" s="10">
        <f>PMSPLINE!K$13</f>
        <v>-6.4155885473058262E-4</v>
      </c>
      <c r="I297" s="10">
        <f>PMSPLINE!K$14</f>
        <v>-1.4525245740781644E-4</v>
      </c>
      <c r="J297">
        <f t="shared" si="48"/>
        <v>0.36666666666666664</v>
      </c>
      <c r="K297">
        <f t="shared" si="49"/>
        <v>0.6333333333333333</v>
      </c>
      <c r="L297">
        <f t="shared" si="45"/>
        <v>248</v>
      </c>
      <c r="M297" s="8">
        <f t="shared" si="50"/>
        <v>5.7682223614392258</v>
      </c>
      <c r="N297" s="6">
        <f t="shared" si="46"/>
        <v>5.8070281850086696</v>
      </c>
      <c r="O297" s="8">
        <f t="shared" si="53"/>
        <v>1178.7605518702733</v>
      </c>
      <c r="P297" s="8">
        <f t="shared" si="54"/>
        <v>1181.8534958706055</v>
      </c>
      <c r="Q297" s="8">
        <f t="shared" si="52"/>
        <v>5.8070281850086696</v>
      </c>
      <c r="T297" s="8">
        <f t="shared" si="44"/>
        <v>5.8070281850086696</v>
      </c>
    </row>
    <row r="298" spans="2:20" x14ac:dyDescent="0.2">
      <c r="B298">
        <f t="shared" si="51"/>
        <v>295</v>
      </c>
      <c r="C298">
        <f t="shared" si="47"/>
        <v>30</v>
      </c>
      <c r="D298">
        <v>275</v>
      </c>
      <c r="E298">
        <v>305</v>
      </c>
      <c r="F298">
        <f>PMSPLINE!F$13</f>
        <v>6.4935060468192152</v>
      </c>
      <c r="G298">
        <f>PMSPLINE!F$14</f>
        <v>5.3483212804297589</v>
      </c>
      <c r="H298" s="10">
        <f>PMSPLINE!K$13</f>
        <v>-6.4155885473058262E-4</v>
      </c>
      <c r="I298" s="10">
        <f>PMSPLINE!K$14</f>
        <v>-1.4525245740781644E-4</v>
      </c>
      <c r="J298">
        <f t="shared" si="48"/>
        <v>0.33333333333333331</v>
      </c>
      <c r="K298">
        <f t="shared" si="49"/>
        <v>0.66666666666666663</v>
      </c>
      <c r="L298">
        <f t="shared" si="45"/>
        <v>249</v>
      </c>
      <c r="M298" s="8">
        <f t="shared" si="50"/>
        <v>5.7300495358929107</v>
      </c>
      <c r="N298" s="6">
        <f t="shared" si="46"/>
        <v>5.7666328437369261</v>
      </c>
      <c r="O298" s="8">
        <f t="shared" si="53"/>
        <v>1184.4906014061662</v>
      </c>
      <c r="P298" s="8">
        <f t="shared" si="54"/>
        <v>1187.6201287143424</v>
      </c>
      <c r="Q298" s="8">
        <f t="shared" si="52"/>
        <v>5.7666328437369261</v>
      </c>
      <c r="T298" s="8">
        <f t="shared" si="44"/>
        <v>5.7666328437369261</v>
      </c>
    </row>
    <row r="299" spans="2:20" x14ac:dyDescent="0.2">
      <c r="B299">
        <f t="shared" si="51"/>
        <v>296</v>
      </c>
      <c r="C299">
        <f t="shared" si="47"/>
        <v>30</v>
      </c>
      <c r="D299">
        <v>275</v>
      </c>
      <c r="E299">
        <v>305</v>
      </c>
      <c r="F299">
        <f>PMSPLINE!F$13</f>
        <v>6.4935060468192152</v>
      </c>
      <c r="G299">
        <f>PMSPLINE!F$14</f>
        <v>5.3483212804297589</v>
      </c>
      <c r="H299" s="10">
        <f>PMSPLINE!K$13</f>
        <v>-6.4155885473058262E-4</v>
      </c>
      <c r="I299" s="10">
        <f>PMSPLINE!K$14</f>
        <v>-1.4525245740781644E-4</v>
      </c>
      <c r="J299">
        <f t="shared" si="48"/>
        <v>0.3</v>
      </c>
      <c r="K299">
        <f t="shared" si="49"/>
        <v>0.7</v>
      </c>
      <c r="L299">
        <f t="shared" si="45"/>
        <v>250</v>
      </c>
      <c r="M299" s="8">
        <f t="shared" si="50"/>
        <v>5.6918767103465955</v>
      </c>
      <c r="N299" s="6">
        <f t="shared" si="46"/>
        <v>5.7259268145420013</v>
      </c>
      <c r="O299" s="8">
        <f t="shared" si="53"/>
        <v>1190.1824781165128</v>
      </c>
      <c r="P299" s="8">
        <f t="shared" si="54"/>
        <v>1193.3460555288843</v>
      </c>
      <c r="Q299" s="8">
        <f t="shared" si="52"/>
        <v>5.7259268145420013</v>
      </c>
      <c r="T299" s="8">
        <f t="shared" si="44"/>
        <v>5.7259268145420013</v>
      </c>
    </row>
    <row r="300" spans="2:20" x14ac:dyDescent="0.2">
      <c r="B300">
        <f t="shared" si="51"/>
        <v>297</v>
      </c>
      <c r="C300">
        <f t="shared" si="47"/>
        <v>30</v>
      </c>
      <c r="D300">
        <v>275</v>
      </c>
      <c r="E300">
        <v>305</v>
      </c>
      <c r="F300">
        <f>PMSPLINE!F$13</f>
        <v>6.4935060468192152</v>
      </c>
      <c r="G300">
        <f>PMSPLINE!F$14</f>
        <v>5.3483212804297589</v>
      </c>
      <c r="H300" s="10">
        <f>PMSPLINE!K$13</f>
        <v>-6.4155885473058262E-4</v>
      </c>
      <c r="I300" s="10">
        <f>PMSPLINE!K$14</f>
        <v>-1.4525245740781644E-4</v>
      </c>
      <c r="J300">
        <f t="shared" si="48"/>
        <v>0.26666666666666666</v>
      </c>
      <c r="K300">
        <f t="shared" si="49"/>
        <v>0.73333333333333328</v>
      </c>
      <c r="L300">
        <f t="shared" si="45"/>
        <v>251</v>
      </c>
      <c r="M300" s="8">
        <f t="shared" si="50"/>
        <v>5.6537038848002803</v>
      </c>
      <c r="N300" s="6">
        <f t="shared" si="46"/>
        <v>5.6849266409704722</v>
      </c>
      <c r="O300" s="8">
        <f t="shared" si="53"/>
        <v>1195.8361820013131</v>
      </c>
      <c r="P300" s="8">
        <f t="shared" si="54"/>
        <v>1199.0309821698547</v>
      </c>
      <c r="Q300" s="8">
        <f t="shared" si="52"/>
        <v>5.6849266409704722</v>
      </c>
      <c r="T300" s="8">
        <f t="shared" si="44"/>
        <v>5.6849266409704722</v>
      </c>
    </row>
    <row r="301" spans="2:20" x14ac:dyDescent="0.2">
      <c r="B301">
        <f t="shared" si="51"/>
        <v>298</v>
      </c>
      <c r="C301">
        <f t="shared" si="47"/>
        <v>30</v>
      </c>
      <c r="D301">
        <v>275</v>
      </c>
      <c r="E301">
        <v>305</v>
      </c>
      <c r="F301">
        <f>PMSPLINE!F$13</f>
        <v>6.4935060468192152</v>
      </c>
      <c r="G301">
        <f>PMSPLINE!F$14</f>
        <v>5.3483212804297589</v>
      </c>
      <c r="H301" s="10">
        <f>PMSPLINE!K$13</f>
        <v>-6.4155885473058262E-4</v>
      </c>
      <c r="I301" s="10">
        <f>PMSPLINE!K$14</f>
        <v>-1.4525245740781644E-4</v>
      </c>
      <c r="J301">
        <f t="shared" si="48"/>
        <v>0.23333333333333334</v>
      </c>
      <c r="K301">
        <f t="shared" si="49"/>
        <v>0.76666666666666672</v>
      </c>
      <c r="L301">
        <f t="shared" si="45"/>
        <v>252</v>
      </c>
      <c r="M301" s="8">
        <f t="shared" si="50"/>
        <v>5.6155310592539651</v>
      </c>
      <c r="N301" s="6">
        <f t="shared" si="46"/>
        <v>5.6436488665689151</v>
      </c>
      <c r="O301" s="8">
        <f t="shared" si="53"/>
        <v>1201.451713060567</v>
      </c>
      <c r="P301" s="8">
        <f t="shared" si="54"/>
        <v>1204.6746310364235</v>
      </c>
      <c r="Q301" s="8">
        <f t="shared" si="52"/>
        <v>5.6436488665689151</v>
      </c>
      <c r="T301" s="8">
        <f t="shared" si="44"/>
        <v>5.6436488665689151</v>
      </c>
    </row>
    <row r="302" spans="2:20" x14ac:dyDescent="0.2">
      <c r="B302">
        <f t="shared" si="51"/>
        <v>299</v>
      </c>
      <c r="C302">
        <f t="shared" si="47"/>
        <v>30</v>
      </c>
      <c r="D302">
        <v>275</v>
      </c>
      <c r="E302">
        <v>305</v>
      </c>
      <c r="F302">
        <f>PMSPLINE!F$13</f>
        <v>6.4935060468192152</v>
      </c>
      <c r="G302">
        <f>PMSPLINE!F$14</f>
        <v>5.3483212804297589</v>
      </c>
      <c r="H302" s="10">
        <f>PMSPLINE!K$13</f>
        <v>-6.4155885473058262E-4</v>
      </c>
      <c r="I302" s="10">
        <f>PMSPLINE!K$14</f>
        <v>-1.4525245740781644E-4</v>
      </c>
      <c r="J302">
        <f t="shared" si="48"/>
        <v>0.2</v>
      </c>
      <c r="K302">
        <f t="shared" si="49"/>
        <v>0.8</v>
      </c>
      <c r="L302">
        <f t="shared" si="45"/>
        <v>253</v>
      </c>
      <c r="M302" s="8">
        <f t="shared" si="50"/>
        <v>5.5773582337076499</v>
      </c>
      <c r="N302" s="6">
        <f t="shared" si="46"/>
        <v>5.6021100348839088</v>
      </c>
      <c r="O302" s="8">
        <f t="shared" si="53"/>
        <v>1207.0290712942747</v>
      </c>
      <c r="P302" s="8">
        <f t="shared" si="54"/>
        <v>1210.2767410713075</v>
      </c>
      <c r="Q302" s="8">
        <f t="shared" si="52"/>
        <v>5.6021100348839088</v>
      </c>
      <c r="T302" s="8">
        <f t="shared" si="44"/>
        <v>5.6021100348839088</v>
      </c>
    </row>
    <row r="303" spans="2:20" x14ac:dyDescent="0.2">
      <c r="B303">
        <f t="shared" si="51"/>
        <v>300</v>
      </c>
      <c r="C303">
        <f t="shared" si="47"/>
        <v>30</v>
      </c>
      <c r="D303">
        <v>275</v>
      </c>
      <c r="E303">
        <v>305</v>
      </c>
      <c r="F303">
        <f>PMSPLINE!F$13</f>
        <v>6.4935060468192152</v>
      </c>
      <c r="G303">
        <f>PMSPLINE!F$14</f>
        <v>5.3483212804297589</v>
      </c>
      <c r="H303" s="10">
        <f>PMSPLINE!K$13</f>
        <v>-6.4155885473058262E-4</v>
      </c>
      <c r="I303" s="10">
        <f>PMSPLINE!K$14</f>
        <v>-1.4525245740781644E-4</v>
      </c>
      <c r="J303">
        <f t="shared" si="48"/>
        <v>0.16666666666666666</v>
      </c>
      <c r="K303">
        <f t="shared" si="49"/>
        <v>0.83333333333333337</v>
      </c>
      <c r="L303">
        <f t="shared" si="45"/>
        <v>254</v>
      </c>
      <c r="M303" s="8">
        <f t="shared" si="50"/>
        <v>5.5391854081613356</v>
      </c>
      <c r="N303" s="6">
        <f t="shared" si="46"/>
        <v>5.5603266894620305</v>
      </c>
      <c r="O303" s="8">
        <f t="shared" si="53"/>
        <v>1212.568256702436</v>
      </c>
      <c r="P303" s="8">
        <f t="shared" si="54"/>
        <v>1215.8370677607695</v>
      </c>
      <c r="Q303" s="8">
        <f t="shared" si="52"/>
        <v>5.5603266894620305</v>
      </c>
      <c r="T303" s="8">
        <f t="shared" si="44"/>
        <v>5.5603266894620305</v>
      </c>
    </row>
    <row r="304" spans="2:20" x14ac:dyDescent="0.2">
      <c r="B304">
        <f t="shared" si="51"/>
        <v>301</v>
      </c>
      <c r="C304">
        <f t="shared" si="47"/>
        <v>30</v>
      </c>
      <c r="D304">
        <v>275</v>
      </c>
      <c r="E304">
        <v>305</v>
      </c>
      <c r="F304">
        <f>PMSPLINE!F$13</f>
        <v>6.4935060468192152</v>
      </c>
      <c r="G304">
        <f>PMSPLINE!F$14</f>
        <v>5.3483212804297589</v>
      </c>
      <c r="H304" s="10">
        <f>PMSPLINE!K$13</f>
        <v>-6.4155885473058262E-4</v>
      </c>
      <c r="I304" s="10">
        <f>PMSPLINE!K$14</f>
        <v>-1.4525245740781644E-4</v>
      </c>
      <c r="J304">
        <f t="shared" si="48"/>
        <v>0.13333333333333333</v>
      </c>
      <c r="K304">
        <f t="shared" si="49"/>
        <v>0.8666666666666667</v>
      </c>
      <c r="L304">
        <f t="shared" si="45"/>
        <v>255</v>
      </c>
      <c r="M304" s="8">
        <f t="shared" si="50"/>
        <v>5.5010125826150196</v>
      </c>
      <c r="N304" s="6">
        <f t="shared" si="46"/>
        <v>5.5183153738498554</v>
      </c>
      <c r="O304" s="8">
        <f t="shared" si="53"/>
        <v>1218.069269285051</v>
      </c>
      <c r="P304" s="8">
        <f t="shared" si="54"/>
        <v>1221.3553831346194</v>
      </c>
      <c r="Q304" s="8">
        <f t="shared" si="52"/>
        <v>5.5183153738498554</v>
      </c>
      <c r="T304" s="8">
        <f t="shared" si="44"/>
        <v>5.5183153738498554</v>
      </c>
    </row>
    <row r="305" spans="1:20" x14ac:dyDescent="0.2">
      <c r="B305">
        <f t="shared" si="51"/>
        <v>302</v>
      </c>
      <c r="C305">
        <f t="shared" si="47"/>
        <v>30</v>
      </c>
      <c r="D305">
        <v>275</v>
      </c>
      <c r="E305">
        <v>305</v>
      </c>
      <c r="F305">
        <f>PMSPLINE!F$13</f>
        <v>6.4935060468192152</v>
      </c>
      <c r="G305">
        <f>PMSPLINE!F$14</f>
        <v>5.3483212804297589</v>
      </c>
      <c r="H305" s="10">
        <f>PMSPLINE!K$13</f>
        <v>-6.4155885473058262E-4</v>
      </c>
      <c r="I305" s="10">
        <f>PMSPLINE!K$14</f>
        <v>-1.4525245740781644E-4</v>
      </c>
      <c r="J305">
        <f t="shared" si="48"/>
        <v>0.1</v>
      </c>
      <c r="K305">
        <f t="shared" si="49"/>
        <v>0.9</v>
      </c>
      <c r="L305">
        <f t="shared" si="45"/>
        <v>256</v>
      </c>
      <c r="M305" s="8">
        <f t="shared" si="50"/>
        <v>5.4628397570687044</v>
      </c>
      <c r="N305" s="6">
        <f t="shared" si="46"/>
        <v>5.4760926315939642</v>
      </c>
      <c r="O305" s="8">
        <f t="shared" si="53"/>
        <v>1223.5321090421196</v>
      </c>
      <c r="P305" s="8">
        <f t="shared" si="54"/>
        <v>1226.8314757662133</v>
      </c>
      <c r="Q305" s="8">
        <f t="shared" si="52"/>
        <v>5.4760926315939642</v>
      </c>
      <c r="T305" s="8">
        <f t="shared" si="44"/>
        <v>5.4760926315939642</v>
      </c>
    </row>
    <row r="306" spans="1:20" x14ac:dyDescent="0.2">
      <c r="B306">
        <f t="shared" si="51"/>
        <v>303</v>
      </c>
      <c r="C306">
        <f t="shared" si="47"/>
        <v>30</v>
      </c>
      <c r="D306">
        <v>275</v>
      </c>
      <c r="E306">
        <v>305</v>
      </c>
      <c r="F306">
        <f>PMSPLINE!F$13</f>
        <v>6.4935060468192152</v>
      </c>
      <c r="G306">
        <f>PMSPLINE!F$14</f>
        <v>5.3483212804297589</v>
      </c>
      <c r="H306" s="10">
        <f>PMSPLINE!K$13</f>
        <v>-6.4155885473058262E-4</v>
      </c>
      <c r="I306" s="10">
        <f>PMSPLINE!K$14</f>
        <v>-1.4525245740781644E-4</v>
      </c>
      <c r="J306">
        <f t="shared" si="48"/>
        <v>6.6666666666666666E-2</v>
      </c>
      <c r="K306">
        <f t="shared" si="49"/>
        <v>0.93333333333333335</v>
      </c>
      <c r="L306">
        <f t="shared" si="45"/>
        <v>257</v>
      </c>
      <c r="M306" s="8">
        <f t="shared" si="50"/>
        <v>5.4246669315223892</v>
      </c>
      <c r="N306" s="6">
        <f t="shared" si="46"/>
        <v>5.4336750062409322</v>
      </c>
      <c r="O306" s="8">
        <f t="shared" si="53"/>
        <v>1228.9567759736419</v>
      </c>
      <c r="P306" s="8">
        <f t="shared" si="54"/>
        <v>1232.2651507724543</v>
      </c>
      <c r="Q306" s="8">
        <f t="shared" si="52"/>
        <v>5.4336750062409322</v>
      </c>
      <c r="T306" s="8">
        <f t="shared" ref="T306:T369" si="55">N306</f>
        <v>5.4336750062409322</v>
      </c>
    </row>
    <row r="307" spans="1:20" x14ac:dyDescent="0.2">
      <c r="B307">
        <f t="shared" si="51"/>
        <v>304</v>
      </c>
      <c r="C307">
        <f t="shared" si="47"/>
        <v>30</v>
      </c>
      <c r="D307">
        <v>275</v>
      </c>
      <c r="E307">
        <v>305</v>
      </c>
      <c r="F307">
        <f>PMSPLINE!F$13</f>
        <v>6.4935060468192152</v>
      </c>
      <c r="G307">
        <f>PMSPLINE!F$14</f>
        <v>5.3483212804297589</v>
      </c>
      <c r="H307" s="10">
        <f>PMSPLINE!K$13</f>
        <v>-6.4155885473058262E-4</v>
      </c>
      <c r="I307" s="10">
        <f>PMSPLINE!K$14</f>
        <v>-1.4525245740781644E-4</v>
      </c>
      <c r="J307">
        <f t="shared" si="48"/>
        <v>3.3333333333333333E-2</v>
      </c>
      <c r="K307">
        <f t="shared" si="49"/>
        <v>0.96666666666666667</v>
      </c>
      <c r="L307">
        <f t="shared" ref="L307:L370" si="56">B307-46</f>
        <v>258</v>
      </c>
      <c r="M307" s="8">
        <f t="shared" si="50"/>
        <v>5.386494105976074</v>
      </c>
      <c r="N307" s="6">
        <f t="shared" si="46"/>
        <v>5.3910790413373384</v>
      </c>
      <c r="O307" s="8">
        <f t="shared" si="53"/>
        <v>1234.3432700796179</v>
      </c>
      <c r="P307" s="8">
        <f t="shared" si="54"/>
        <v>1237.6562298137917</v>
      </c>
      <c r="Q307" s="8">
        <f t="shared" si="52"/>
        <v>5.3910790413373384</v>
      </c>
      <c r="T307" s="8">
        <f t="shared" si="55"/>
        <v>5.3910790413373384</v>
      </c>
    </row>
    <row r="308" spans="1:20" x14ac:dyDescent="0.2">
      <c r="A308">
        <v>305</v>
      </c>
      <c r="B308">
        <f t="shared" si="51"/>
        <v>305</v>
      </c>
      <c r="C308">
        <f t="shared" si="47"/>
        <v>30</v>
      </c>
      <c r="D308">
        <v>275</v>
      </c>
      <c r="E308">
        <v>305</v>
      </c>
      <c r="F308">
        <f>PMSPLINE!F$13</f>
        <v>6.4935060468192152</v>
      </c>
      <c r="G308">
        <f>PMSPLINE!F$14</f>
        <v>5.3483212804297589</v>
      </c>
      <c r="H308" s="10">
        <f>PMSPLINE!K$13</f>
        <v>-6.4155885473058262E-4</v>
      </c>
      <c r="I308" s="10">
        <f>PMSPLINE!K$14</f>
        <v>-1.4525245740781644E-4</v>
      </c>
      <c r="J308">
        <f t="shared" si="48"/>
        <v>0</v>
      </c>
      <c r="K308">
        <f t="shared" si="49"/>
        <v>1</v>
      </c>
      <c r="L308">
        <f t="shared" si="56"/>
        <v>259</v>
      </c>
      <c r="M308" s="8">
        <f t="shared" si="50"/>
        <v>5.3483212804297589</v>
      </c>
      <c r="N308" s="6">
        <f t="shared" si="46"/>
        <v>5.3483212804297589</v>
      </c>
      <c r="O308" s="8">
        <f t="shared" si="53"/>
        <v>1239.6915913600476</v>
      </c>
      <c r="P308" s="8">
        <f t="shared" si="54"/>
        <v>1243.0045510942214</v>
      </c>
      <c r="Q308" s="8">
        <f t="shared" si="52"/>
        <v>5.3483212804297589</v>
      </c>
      <c r="T308" s="8">
        <f t="shared" si="55"/>
        <v>5.3483212804297589</v>
      </c>
    </row>
    <row r="309" spans="1:20" x14ac:dyDescent="0.2">
      <c r="B309">
        <f t="shared" si="51"/>
        <v>306</v>
      </c>
      <c r="C309">
        <f t="shared" si="47"/>
        <v>31</v>
      </c>
      <c r="D309">
        <v>305</v>
      </c>
      <c r="E309">
        <v>336</v>
      </c>
      <c r="F309">
        <f>PMSPLINE!F$14</f>
        <v>5.3483212804297589</v>
      </c>
      <c r="G309">
        <f>PMSPLINE!F$15</f>
        <v>3.8466271034086219</v>
      </c>
      <c r="H309" s="10">
        <f>PMSPLINE!K$14</f>
        <v>-1.4525245740781644E-4</v>
      </c>
      <c r="I309" s="10">
        <f>PMSPLINE!K$15</f>
        <v>-7.9503119843536913E-4</v>
      </c>
      <c r="J309">
        <f t="shared" si="48"/>
        <v>0.967741935483871</v>
      </c>
      <c r="K309">
        <f t="shared" si="49"/>
        <v>3.2258064516129031E-2</v>
      </c>
      <c r="L309">
        <f t="shared" si="56"/>
        <v>260</v>
      </c>
      <c r="M309" s="8">
        <f t="shared" si="50"/>
        <v>5.2998795327839154</v>
      </c>
      <c r="N309" s="6">
        <f t="shared" si="46"/>
        <v>5.3054120163729168</v>
      </c>
      <c r="O309" s="8">
        <f t="shared" si="53"/>
        <v>1244.9914708928316</v>
      </c>
      <c r="P309" s="8">
        <f t="shared" si="54"/>
        <v>1248.3099631105943</v>
      </c>
      <c r="Q309" s="8">
        <f t="shared" si="52"/>
        <v>5.3054120163729168</v>
      </c>
      <c r="T309" s="8">
        <f t="shared" si="55"/>
        <v>5.3054120163729168</v>
      </c>
    </row>
    <row r="310" spans="1:20" x14ac:dyDescent="0.2">
      <c r="B310">
        <f t="shared" si="51"/>
        <v>307</v>
      </c>
      <c r="C310">
        <f t="shared" si="47"/>
        <v>31</v>
      </c>
      <c r="D310">
        <v>305</v>
      </c>
      <c r="E310">
        <v>336</v>
      </c>
      <c r="F310">
        <f>PMSPLINE!F$14</f>
        <v>5.3483212804297589</v>
      </c>
      <c r="G310">
        <f>PMSPLINE!F$15</f>
        <v>3.8466271034086219</v>
      </c>
      <c r="H310" s="10">
        <f>PMSPLINE!K$14</f>
        <v>-1.4525245740781644E-4</v>
      </c>
      <c r="I310" s="10">
        <f>PMSPLINE!K$15</f>
        <v>-7.9503119843536913E-4</v>
      </c>
      <c r="J310">
        <f t="shared" si="48"/>
        <v>0.93548387096774188</v>
      </c>
      <c r="K310">
        <f t="shared" si="49"/>
        <v>6.4516129032258063E-2</v>
      </c>
      <c r="L310">
        <f t="shared" si="56"/>
        <v>261</v>
      </c>
      <c r="M310" s="8">
        <f t="shared" si="50"/>
        <v>5.251437785138072</v>
      </c>
      <c r="N310" s="6">
        <f t="shared" si="46"/>
        <v>5.2623365392541182</v>
      </c>
      <c r="O310" s="8">
        <f t="shared" si="53"/>
        <v>1250.2429086779696</v>
      </c>
      <c r="P310" s="8">
        <f t="shared" si="54"/>
        <v>1253.5722996498484</v>
      </c>
      <c r="Q310" s="8">
        <f t="shared" si="52"/>
        <v>5.2623365392541182</v>
      </c>
      <c r="T310" s="8">
        <f t="shared" si="55"/>
        <v>5.2623365392541182</v>
      </c>
    </row>
    <row r="311" spans="1:20" x14ac:dyDescent="0.2">
      <c r="B311">
        <f t="shared" si="51"/>
        <v>308</v>
      </c>
      <c r="C311">
        <f t="shared" si="47"/>
        <v>31</v>
      </c>
      <c r="D311">
        <v>305</v>
      </c>
      <c r="E311">
        <v>336</v>
      </c>
      <c r="F311">
        <f>PMSPLINE!F$14</f>
        <v>5.3483212804297589</v>
      </c>
      <c r="G311">
        <f>PMSPLINE!F$15</f>
        <v>3.8466271034086219</v>
      </c>
      <c r="H311" s="10">
        <f>PMSPLINE!K$14</f>
        <v>-1.4525245740781644E-4</v>
      </c>
      <c r="I311" s="10">
        <f>PMSPLINE!K$15</f>
        <v>-7.9503119843536913E-4</v>
      </c>
      <c r="J311">
        <f t="shared" si="48"/>
        <v>0.90322580645161288</v>
      </c>
      <c r="K311">
        <f t="shared" si="49"/>
        <v>9.6774193548387094E-2</v>
      </c>
      <c r="L311">
        <f t="shared" si="56"/>
        <v>262</v>
      </c>
      <c r="M311" s="8">
        <f t="shared" si="50"/>
        <v>5.2029960374922286</v>
      </c>
      <c r="N311" s="6">
        <f t="shared" ref="N311:N374" si="57">Q311</f>
        <v>5.2190738884688122</v>
      </c>
      <c r="O311" s="8">
        <f t="shared" si="53"/>
        <v>1255.4459047154619</v>
      </c>
      <c r="P311" s="8">
        <f t="shared" si="54"/>
        <v>1258.7913735383172</v>
      </c>
      <c r="Q311" s="8">
        <f t="shared" si="52"/>
        <v>5.2190738884688122</v>
      </c>
      <c r="T311" s="8">
        <f t="shared" si="55"/>
        <v>5.2190738884688122</v>
      </c>
    </row>
    <row r="312" spans="1:20" x14ac:dyDescent="0.2">
      <c r="B312">
        <f t="shared" si="51"/>
        <v>309</v>
      </c>
      <c r="C312">
        <f t="shared" si="47"/>
        <v>31</v>
      </c>
      <c r="D312">
        <v>305</v>
      </c>
      <c r="E312">
        <v>336</v>
      </c>
      <c r="F312">
        <f>PMSPLINE!F$14</f>
        <v>5.3483212804297589</v>
      </c>
      <c r="G312">
        <f>PMSPLINE!F$15</f>
        <v>3.8466271034086219</v>
      </c>
      <c r="H312" s="10">
        <f>PMSPLINE!K$14</f>
        <v>-1.4525245740781644E-4</v>
      </c>
      <c r="I312" s="10">
        <f>PMSPLINE!K$15</f>
        <v>-7.9503119843536913E-4</v>
      </c>
      <c r="J312">
        <f t="shared" si="48"/>
        <v>0.87096774193548387</v>
      </c>
      <c r="K312">
        <f t="shared" si="49"/>
        <v>0.12903225806451613</v>
      </c>
      <c r="L312">
        <f t="shared" si="56"/>
        <v>263</v>
      </c>
      <c r="M312" s="8">
        <f t="shared" si="50"/>
        <v>5.154554289846387</v>
      </c>
      <c r="N312" s="6">
        <f t="shared" si="57"/>
        <v>5.1756031034124526</v>
      </c>
      <c r="O312" s="8">
        <f t="shared" si="53"/>
        <v>1260.6004590053083</v>
      </c>
      <c r="P312" s="8">
        <f t="shared" si="54"/>
        <v>1263.9669766417296</v>
      </c>
      <c r="Q312" s="8">
        <f t="shared" si="52"/>
        <v>5.1756031034124526</v>
      </c>
      <c r="T312" s="8">
        <f t="shared" si="55"/>
        <v>5.1756031034124526</v>
      </c>
    </row>
    <row r="313" spans="1:20" x14ac:dyDescent="0.2">
      <c r="B313">
        <f t="shared" si="51"/>
        <v>310</v>
      </c>
      <c r="C313">
        <f t="shared" si="47"/>
        <v>31</v>
      </c>
      <c r="D313">
        <v>305</v>
      </c>
      <c r="E313">
        <v>336</v>
      </c>
      <c r="F313">
        <f>PMSPLINE!F$14</f>
        <v>5.3483212804297589</v>
      </c>
      <c r="G313">
        <f>PMSPLINE!F$15</f>
        <v>3.8466271034086219</v>
      </c>
      <c r="H313" s="10">
        <f>PMSPLINE!K$14</f>
        <v>-1.4525245740781644E-4</v>
      </c>
      <c r="I313" s="10">
        <f>PMSPLINE!K$15</f>
        <v>-7.9503119843536913E-4</v>
      </c>
      <c r="J313">
        <f t="shared" si="48"/>
        <v>0.83870967741935487</v>
      </c>
      <c r="K313">
        <f t="shared" si="49"/>
        <v>0.16129032258064516</v>
      </c>
      <c r="L313">
        <f t="shared" si="56"/>
        <v>264</v>
      </c>
      <c r="M313" s="8">
        <f t="shared" si="50"/>
        <v>5.1061125422005436</v>
      </c>
      <c r="N313" s="6">
        <f t="shared" si="57"/>
        <v>5.1319032234804869</v>
      </c>
      <c r="O313" s="8">
        <f t="shared" si="53"/>
        <v>1265.7065715475087</v>
      </c>
      <c r="P313" s="8">
        <f t="shared" si="54"/>
        <v>1269.0988798652102</v>
      </c>
      <c r="Q313" s="8">
        <f t="shared" si="52"/>
        <v>5.1319032234804869</v>
      </c>
      <c r="T313" s="8">
        <f t="shared" si="55"/>
        <v>5.1319032234804869</v>
      </c>
    </row>
    <row r="314" spans="1:20" x14ac:dyDescent="0.2">
      <c r="B314">
        <f t="shared" si="51"/>
        <v>311</v>
      </c>
      <c r="C314">
        <f t="shared" si="47"/>
        <v>31</v>
      </c>
      <c r="D314">
        <v>305</v>
      </c>
      <c r="E314">
        <v>336</v>
      </c>
      <c r="F314">
        <f>PMSPLINE!F$14</f>
        <v>5.3483212804297589</v>
      </c>
      <c r="G314">
        <f>PMSPLINE!F$15</f>
        <v>3.8466271034086219</v>
      </c>
      <c r="H314" s="10">
        <f>PMSPLINE!K$14</f>
        <v>-1.4525245740781644E-4</v>
      </c>
      <c r="I314" s="10">
        <f>PMSPLINE!K$15</f>
        <v>-7.9503119843536913E-4</v>
      </c>
      <c r="J314">
        <f t="shared" si="48"/>
        <v>0.80645161290322576</v>
      </c>
      <c r="K314">
        <f t="shared" si="49"/>
        <v>0.19354838709677419</v>
      </c>
      <c r="L314">
        <f t="shared" si="56"/>
        <v>265</v>
      </c>
      <c r="M314" s="8">
        <f t="shared" si="50"/>
        <v>5.0576707945547001</v>
      </c>
      <c r="N314" s="6">
        <f t="shared" si="57"/>
        <v>5.0879532880683662</v>
      </c>
      <c r="O314" s="8">
        <f t="shared" si="53"/>
        <v>1270.7642423420634</v>
      </c>
      <c r="P314" s="8">
        <f t="shared" si="54"/>
        <v>1274.1868331532785</v>
      </c>
      <c r="Q314" s="8">
        <f t="shared" si="52"/>
        <v>5.0879532880683662</v>
      </c>
      <c r="T314" s="8">
        <f t="shared" si="55"/>
        <v>5.0879532880683662</v>
      </c>
    </row>
    <row r="315" spans="1:20" x14ac:dyDescent="0.2">
      <c r="B315">
        <f t="shared" si="51"/>
        <v>312</v>
      </c>
      <c r="C315">
        <f t="shared" si="47"/>
        <v>31</v>
      </c>
      <c r="D315">
        <v>305</v>
      </c>
      <c r="E315">
        <v>336</v>
      </c>
      <c r="F315">
        <f>PMSPLINE!F$14</f>
        <v>5.3483212804297589</v>
      </c>
      <c r="G315">
        <f>PMSPLINE!F$15</f>
        <v>3.8466271034086219</v>
      </c>
      <c r="H315" s="10">
        <f>PMSPLINE!K$14</f>
        <v>-1.4525245740781644E-4</v>
      </c>
      <c r="I315" s="10">
        <f>PMSPLINE!K$15</f>
        <v>-7.9503119843536913E-4</v>
      </c>
      <c r="J315">
        <f t="shared" si="48"/>
        <v>0.77419354838709675</v>
      </c>
      <c r="K315">
        <f t="shared" si="49"/>
        <v>0.22580645161290322</v>
      </c>
      <c r="L315">
        <f t="shared" si="56"/>
        <v>266</v>
      </c>
      <c r="M315" s="8">
        <f t="shared" si="50"/>
        <v>5.0092290469088567</v>
      </c>
      <c r="N315" s="6">
        <f t="shared" si="57"/>
        <v>5.0437323365715425</v>
      </c>
      <c r="O315" s="8">
        <f t="shared" si="53"/>
        <v>1275.7734713889722</v>
      </c>
      <c r="P315" s="8">
        <f t="shared" si="54"/>
        <v>1279.2305654898501</v>
      </c>
      <c r="Q315" s="8">
        <f t="shared" si="52"/>
        <v>5.0437323365715425</v>
      </c>
      <c r="T315" s="8">
        <f t="shared" si="55"/>
        <v>5.0437323365715425</v>
      </c>
    </row>
    <row r="316" spans="1:20" x14ac:dyDescent="0.2">
      <c r="B316">
        <f t="shared" si="51"/>
        <v>313</v>
      </c>
      <c r="C316">
        <f t="shared" si="47"/>
        <v>31</v>
      </c>
      <c r="D316">
        <v>305</v>
      </c>
      <c r="E316">
        <v>336</v>
      </c>
      <c r="F316">
        <f>PMSPLINE!F$14</f>
        <v>5.3483212804297589</v>
      </c>
      <c r="G316">
        <f>PMSPLINE!F$15</f>
        <v>3.8466271034086219</v>
      </c>
      <c r="H316" s="10">
        <f>PMSPLINE!K$14</f>
        <v>-1.4525245740781644E-4</v>
      </c>
      <c r="I316" s="10">
        <f>PMSPLINE!K$15</f>
        <v>-7.9503119843536913E-4</v>
      </c>
      <c r="J316">
        <f t="shared" si="48"/>
        <v>0.74193548387096775</v>
      </c>
      <c r="K316">
        <f t="shared" si="49"/>
        <v>0.25806451612903225</v>
      </c>
      <c r="L316">
        <f t="shared" si="56"/>
        <v>267</v>
      </c>
      <c r="M316" s="8">
        <f t="shared" si="50"/>
        <v>4.9607872992630142</v>
      </c>
      <c r="N316" s="6">
        <f t="shared" si="57"/>
        <v>4.9992194083854669</v>
      </c>
      <c r="O316" s="8">
        <f t="shared" si="53"/>
        <v>1280.7342586882353</v>
      </c>
      <c r="P316" s="8">
        <f t="shared" si="54"/>
        <v>1284.2297848982355</v>
      </c>
      <c r="Q316" s="8">
        <f t="shared" si="52"/>
        <v>4.9992194083854669</v>
      </c>
      <c r="T316" s="8">
        <f t="shared" si="55"/>
        <v>4.9992194083854669</v>
      </c>
    </row>
    <row r="317" spans="1:20" x14ac:dyDescent="0.2">
      <c r="B317">
        <f t="shared" si="51"/>
        <v>314</v>
      </c>
      <c r="C317">
        <f t="shared" si="47"/>
        <v>31</v>
      </c>
      <c r="D317">
        <v>305</v>
      </c>
      <c r="E317">
        <v>336</v>
      </c>
      <c r="F317">
        <f>PMSPLINE!F$14</f>
        <v>5.3483212804297589</v>
      </c>
      <c r="G317">
        <f>PMSPLINE!F$15</f>
        <v>3.8466271034086219</v>
      </c>
      <c r="H317" s="10">
        <f>PMSPLINE!K$14</f>
        <v>-1.4525245740781644E-4</v>
      </c>
      <c r="I317" s="10">
        <f>PMSPLINE!K$15</f>
        <v>-7.9503119843536913E-4</v>
      </c>
      <c r="J317">
        <f t="shared" si="48"/>
        <v>0.70967741935483875</v>
      </c>
      <c r="K317">
        <f t="shared" si="49"/>
        <v>0.29032258064516131</v>
      </c>
      <c r="L317">
        <f t="shared" si="56"/>
        <v>268</v>
      </c>
      <c r="M317" s="8">
        <f t="shared" si="50"/>
        <v>4.9123455516171708</v>
      </c>
      <c r="N317" s="6">
        <f t="shared" si="57"/>
        <v>4.9543935429055885</v>
      </c>
      <c r="O317" s="8">
        <f t="shared" si="53"/>
        <v>1285.6466042398524</v>
      </c>
      <c r="P317" s="8">
        <f t="shared" si="54"/>
        <v>1289.1841784411411</v>
      </c>
      <c r="Q317" s="8">
        <f t="shared" si="52"/>
        <v>4.9543935429055885</v>
      </c>
      <c r="T317" s="8">
        <f t="shared" si="55"/>
        <v>4.9543935429055885</v>
      </c>
    </row>
    <row r="318" spans="1:20" x14ac:dyDescent="0.2">
      <c r="B318">
        <f t="shared" si="51"/>
        <v>315</v>
      </c>
      <c r="C318">
        <f t="shared" si="47"/>
        <v>31</v>
      </c>
      <c r="D318">
        <v>305</v>
      </c>
      <c r="E318">
        <v>336</v>
      </c>
      <c r="F318">
        <f>PMSPLINE!F$14</f>
        <v>5.3483212804297589</v>
      </c>
      <c r="G318">
        <f>PMSPLINE!F$15</f>
        <v>3.8466271034086219</v>
      </c>
      <c r="H318" s="10">
        <f>PMSPLINE!K$14</f>
        <v>-1.4525245740781644E-4</v>
      </c>
      <c r="I318" s="10">
        <f>PMSPLINE!K$15</f>
        <v>-7.9503119843536913E-4</v>
      </c>
      <c r="J318">
        <f t="shared" si="48"/>
        <v>0.67741935483870963</v>
      </c>
      <c r="K318">
        <f t="shared" si="49"/>
        <v>0.32258064516129031</v>
      </c>
      <c r="L318">
        <f t="shared" si="56"/>
        <v>269</v>
      </c>
      <c r="M318" s="8">
        <f t="shared" si="50"/>
        <v>4.8639038039713274</v>
      </c>
      <c r="N318" s="6">
        <f t="shared" si="57"/>
        <v>4.9092337795273586</v>
      </c>
      <c r="O318" s="8">
        <f t="shared" si="53"/>
        <v>1290.5105080438238</v>
      </c>
      <c r="P318" s="8">
        <f t="shared" si="54"/>
        <v>1294.0934122206684</v>
      </c>
      <c r="Q318" s="8">
        <f t="shared" si="52"/>
        <v>4.9092337795273586</v>
      </c>
      <c r="T318" s="8">
        <f t="shared" si="55"/>
        <v>4.9092337795273586</v>
      </c>
    </row>
    <row r="319" spans="1:20" x14ac:dyDescent="0.2">
      <c r="B319">
        <f t="shared" si="51"/>
        <v>316</v>
      </c>
      <c r="C319">
        <f t="shared" si="47"/>
        <v>31</v>
      </c>
      <c r="D319">
        <v>305</v>
      </c>
      <c r="E319">
        <v>336</v>
      </c>
      <c r="F319">
        <f>PMSPLINE!F$14</f>
        <v>5.3483212804297589</v>
      </c>
      <c r="G319">
        <f>PMSPLINE!F$15</f>
        <v>3.8466271034086219</v>
      </c>
      <c r="H319" s="10">
        <f>PMSPLINE!K$14</f>
        <v>-1.4525245740781644E-4</v>
      </c>
      <c r="I319" s="10">
        <f>PMSPLINE!K$15</f>
        <v>-7.9503119843536913E-4</v>
      </c>
      <c r="J319">
        <f t="shared" si="48"/>
        <v>0.64516129032258063</v>
      </c>
      <c r="K319">
        <f t="shared" si="49"/>
        <v>0.35483870967741937</v>
      </c>
      <c r="L319">
        <f t="shared" si="56"/>
        <v>270</v>
      </c>
      <c r="M319" s="8">
        <f t="shared" si="50"/>
        <v>4.8154620563254849</v>
      </c>
      <c r="N319" s="6">
        <f t="shared" si="57"/>
        <v>4.86371915764623</v>
      </c>
      <c r="O319" s="8">
        <f t="shared" si="53"/>
        <v>1295.3259701001493</v>
      </c>
      <c r="P319" s="8">
        <f t="shared" si="54"/>
        <v>1298.9571313783147</v>
      </c>
      <c r="Q319" s="8">
        <f t="shared" si="52"/>
        <v>4.86371915764623</v>
      </c>
      <c r="T319" s="8">
        <f t="shared" si="55"/>
        <v>4.86371915764623</v>
      </c>
    </row>
    <row r="320" spans="1:20" x14ac:dyDescent="0.2">
      <c r="B320">
        <f t="shared" si="51"/>
        <v>317</v>
      </c>
      <c r="C320">
        <f t="shared" si="47"/>
        <v>31</v>
      </c>
      <c r="D320">
        <v>305</v>
      </c>
      <c r="E320">
        <v>336</v>
      </c>
      <c r="F320">
        <f>PMSPLINE!F$14</f>
        <v>5.3483212804297589</v>
      </c>
      <c r="G320">
        <f>PMSPLINE!F$15</f>
        <v>3.8466271034086219</v>
      </c>
      <c r="H320" s="10">
        <f>PMSPLINE!K$14</f>
        <v>-1.4525245740781644E-4</v>
      </c>
      <c r="I320" s="10">
        <f>PMSPLINE!K$15</f>
        <v>-7.9503119843536913E-4</v>
      </c>
      <c r="J320">
        <f t="shared" si="48"/>
        <v>0.61290322580645162</v>
      </c>
      <c r="K320">
        <f t="shared" si="49"/>
        <v>0.38709677419354838</v>
      </c>
      <c r="L320">
        <f t="shared" si="56"/>
        <v>271</v>
      </c>
      <c r="M320" s="8">
        <f t="shared" si="50"/>
        <v>4.7670203086796414</v>
      </c>
      <c r="N320" s="6">
        <f t="shared" si="57"/>
        <v>4.8178287166576492</v>
      </c>
      <c r="O320" s="8">
        <f t="shared" si="53"/>
        <v>1300.0929904088289</v>
      </c>
      <c r="P320" s="8">
        <f t="shared" si="54"/>
        <v>1303.7749600949724</v>
      </c>
      <c r="Q320" s="8">
        <f t="shared" si="52"/>
        <v>4.8178287166576492</v>
      </c>
      <c r="T320" s="8">
        <f t="shared" si="55"/>
        <v>4.8178287166576492</v>
      </c>
    </row>
    <row r="321" spans="2:20" x14ac:dyDescent="0.2">
      <c r="B321">
        <f t="shared" si="51"/>
        <v>318</v>
      </c>
      <c r="C321">
        <f t="shared" si="47"/>
        <v>31</v>
      </c>
      <c r="D321">
        <v>305</v>
      </c>
      <c r="E321">
        <v>336</v>
      </c>
      <c r="F321">
        <f>PMSPLINE!F$14</f>
        <v>5.3483212804297589</v>
      </c>
      <c r="G321">
        <f>PMSPLINE!F$15</f>
        <v>3.8466271034086219</v>
      </c>
      <c r="H321" s="10">
        <f>PMSPLINE!K$14</f>
        <v>-1.4525245740781644E-4</v>
      </c>
      <c r="I321" s="10">
        <f>PMSPLINE!K$15</f>
        <v>-7.9503119843536913E-4</v>
      </c>
      <c r="J321">
        <f t="shared" si="48"/>
        <v>0.58064516129032262</v>
      </c>
      <c r="K321">
        <f t="shared" si="49"/>
        <v>0.41935483870967744</v>
      </c>
      <c r="L321">
        <f t="shared" si="56"/>
        <v>272</v>
      </c>
      <c r="M321" s="8">
        <f t="shared" si="50"/>
        <v>4.718578561033798</v>
      </c>
      <c r="N321" s="6">
        <f t="shared" si="57"/>
        <v>4.7715414959570701</v>
      </c>
      <c r="O321" s="8">
        <f t="shared" si="53"/>
        <v>1304.8115689698627</v>
      </c>
      <c r="P321" s="8">
        <f t="shared" si="54"/>
        <v>1308.5465015909294</v>
      </c>
      <c r="Q321" s="8">
        <f t="shared" si="52"/>
        <v>4.7715414959570701</v>
      </c>
      <c r="T321" s="8">
        <f t="shared" si="55"/>
        <v>4.7715414959570701</v>
      </c>
    </row>
    <row r="322" spans="2:20" x14ac:dyDescent="0.2">
      <c r="B322">
        <f t="shared" si="51"/>
        <v>319</v>
      </c>
      <c r="C322">
        <f t="shared" si="47"/>
        <v>31</v>
      </c>
      <c r="D322">
        <v>305</v>
      </c>
      <c r="E322">
        <v>336</v>
      </c>
      <c r="F322">
        <f>PMSPLINE!F$14</f>
        <v>5.3483212804297589</v>
      </c>
      <c r="G322">
        <f>PMSPLINE!F$15</f>
        <v>3.8466271034086219</v>
      </c>
      <c r="H322" s="10">
        <f>PMSPLINE!K$14</f>
        <v>-1.4525245740781644E-4</v>
      </c>
      <c r="I322" s="10">
        <f>PMSPLINE!K$15</f>
        <v>-7.9503119843536913E-4</v>
      </c>
      <c r="J322">
        <f t="shared" si="48"/>
        <v>0.54838709677419351</v>
      </c>
      <c r="K322">
        <f t="shared" si="49"/>
        <v>0.45161290322580644</v>
      </c>
      <c r="L322">
        <f t="shared" si="56"/>
        <v>273</v>
      </c>
      <c r="M322" s="8">
        <f t="shared" si="50"/>
        <v>4.6701368133879546</v>
      </c>
      <c r="N322" s="6">
        <f t="shared" si="57"/>
        <v>4.7248365349399419</v>
      </c>
      <c r="O322" s="8">
        <f t="shared" si="53"/>
        <v>1309.4817057832506</v>
      </c>
      <c r="P322" s="8">
        <f t="shared" si="54"/>
        <v>1313.2713381258693</v>
      </c>
      <c r="Q322" s="8">
        <f t="shared" si="52"/>
        <v>4.7248365349399419</v>
      </c>
      <c r="T322" s="8">
        <f t="shared" si="55"/>
        <v>4.7248365349399419</v>
      </c>
    </row>
    <row r="323" spans="2:20" x14ac:dyDescent="0.2">
      <c r="B323">
        <f t="shared" si="51"/>
        <v>320</v>
      </c>
      <c r="C323">
        <f t="shared" si="47"/>
        <v>31</v>
      </c>
      <c r="D323">
        <v>305</v>
      </c>
      <c r="E323">
        <v>336</v>
      </c>
      <c r="F323">
        <f>PMSPLINE!F$14</f>
        <v>5.3483212804297589</v>
      </c>
      <c r="G323">
        <f>PMSPLINE!F$15</f>
        <v>3.8466271034086219</v>
      </c>
      <c r="H323" s="10">
        <f>PMSPLINE!K$14</f>
        <v>-1.4525245740781644E-4</v>
      </c>
      <c r="I323" s="10">
        <f>PMSPLINE!K$15</f>
        <v>-7.9503119843536913E-4</v>
      </c>
      <c r="J323">
        <f t="shared" si="48"/>
        <v>0.5161290322580645</v>
      </c>
      <c r="K323">
        <f t="shared" si="49"/>
        <v>0.4838709677419355</v>
      </c>
      <c r="L323">
        <f t="shared" si="56"/>
        <v>274</v>
      </c>
      <c r="M323" s="8">
        <f t="shared" si="50"/>
        <v>4.6216950657421121</v>
      </c>
      <c r="N323" s="6">
        <f t="shared" si="57"/>
        <v>4.6776928730017175</v>
      </c>
      <c r="O323" s="8">
        <f t="shared" si="53"/>
        <v>1314.1034008489928</v>
      </c>
      <c r="P323" s="8">
        <f t="shared" si="54"/>
        <v>1317.949030998871</v>
      </c>
      <c r="Q323" s="8">
        <f t="shared" si="52"/>
        <v>4.6776928730017175</v>
      </c>
      <c r="T323" s="8">
        <f t="shared" si="55"/>
        <v>4.6776928730017175</v>
      </c>
    </row>
    <row r="324" spans="2:20" x14ac:dyDescent="0.2">
      <c r="B324">
        <f t="shared" si="51"/>
        <v>321</v>
      </c>
      <c r="C324">
        <f t="shared" ref="C324:C368" si="58">E324-D324</f>
        <v>31</v>
      </c>
      <c r="D324">
        <v>305</v>
      </c>
      <c r="E324">
        <v>336</v>
      </c>
      <c r="F324">
        <f>PMSPLINE!F$14</f>
        <v>5.3483212804297589</v>
      </c>
      <c r="G324">
        <f>PMSPLINE!F$15</f>
        <v>3.8466271034086219</v>
      </c>
      <c r="H324" s="10">
        <f>PMSPLINE!K$14</f>
        <v>-1.4525245740781644E-4</v>
      </c>
      <c r="I324" s="10">
        <f>PMSPLINE!K$15</f>
        <v>-7.9503119843536913E-4</v>
      </c>
      <c r="J324">
        <f t="shared" ref="J324:J368" si="59">(E324-B324)/C324</f>
        <v>0.4838709677419355</v>
      </c>
      <c r="K324">
        <f t="shared" ref="K324:K368" si="60">(B324-D324)/C324</f>
        <v>0.5161290322580645</v>
      </c>
      <c r="L324">
        <f t="shared" si="56"/>
        <v>275</v>
      </c>
      <c r="M324" s="8">
        <f t="shared" ref="M324:M368" si="61">J324*F324+K324*G324</f>
        <v>4.5732533180962687</v>
      </c>
      <c r="N324" s="6">
        <f t="shared" si="57"/>
        <v>4.6300895495378454</v>
      </c>
      <c r="O324" s="8">
        <f t="shared" si="53"/>
        <v>1318.6766541670891</v>
      </c>
      <c r="P324" s="8">
        <f t="shared" si="54"/>
        <v>1322.5791205484088</v>
      </c>
      <c r="Q324" s="8">
        <f t="shared" si="52"/>
        <v>4.6300895495378454</v>
      </c>
      <c r="T324" s="8">
        <f t="shared" si="55"/>
        <v>4.6300895495378454</v>
      </c>
    </row>
    <row r="325" spans="2:20" x14ac:dyDescent="0.2">
      <c r="B325">
        <f t="shared" ref="B325:B368" si="62">B324+1</f>
        <v>322</v>
      </c>
      <c r="C325">
        <f t="shared" si="58"/>
        <v>31</v>
      </c>
      <c r="D325">
        <v>305</v>
      </c>
      <c r="E325">
        <v>336</v>
      </c>
      <c r="F325">
        <f>PMSPLINE!F$14</f>
        <v>5.3483212804297589</v>
      </c>
      <c r="G325">
        <f>PMSPLINE!F$15</f>
        <v>3.8466271034086219</v>
      </c>
      <c r="H325" s="10">
        <f>PMSPLINE!K$14</f>
        <v>-1.4525245740781644E-4</v>
      </c>
      <c r="I325" s="10">
        <f>PMSPLINE!K$15</f>
        <v>-7.9503119843536913E-4</v>
      </c>
      <c r="J325">
        <f t="shared" si="59"/>
        <v>0.45161290322580644</v>
      </c>
      <c r="K325">
        <f t="shared" si="60"/>
        <v>0.54838709677419351</v>
      </c>
      <c r="L325">
        <f t="shared" si="56"/>
        <v>276</v>
      </c>
      <c r="M325" s="8">
        <f t="shared" si="61"/>
        <v>4.5248115704504253</v>
      </c>
      <c r="N325" s="6">
        <f t="shared" si="57"/>
        <v>4.5820056039437764</v>
      </c>
      <c r="O325" s="8">
        <f t="shared" si="53"/>
        <v>1323.2014657375396</v>
      </c>
      <c r="P325" s="8">
        <f t="shared" si="54"/>
        <v>1327.1611261523526</v>
      </c>
      <c r="Q325" s="8">
        <f t="shared" ref="Q325:Q388" si="63">M325+(((J325^3-J325)*H325+(K325^3-K325)*I325))*(C325^2)/6</f>
        <v>4.5820056039437764</v>
      </c>
      <c r="T325" s="8">
        <f t="shared" si="55"/>
        <v>4.5820056039437764</v>
      </c>
    </row>
    <row r="326" spans="2:20" x14ac:dyDescent="0.2">
      <c r="B326">
        <f t="shared" si="62"/>
        <v>323</v>
      </c>
      <c r="C326">
        <f t="shared" si="58"/>
        <v>31</v>
      </c>
      <c r="D326">
        <v>305</v>
      </c>
      <c r="E326">
        <v>336</v>
      </c>
      <c r="F326">
        <f>PMSPLINE!F$14</f>
        <v>5.3483212804297589</v>
      </c>
      <c r="G326">
        <f>PMSPLINE!F$15</f>
        <v>3.8466271034086219</v>
      </c>
      <c r="H326" s="10">
        <f>PMSPLINE!K$14</f>
        <v>-1.4525245740781644E-4</v>
      </c>
      <c r="I326" s="10">
        <f>PMSPLINE!K$15</f>
        <v>-7.9503119843536913E-4</v>
      </c>
      <c r="J326">
        <f t="shared" si="59"/>
        <v>0.41935483870967744</v>
      </c>
      <c r="K326">
        <f t="shared" si="60"/>
        <v>0.58064516129032262</v>
      </c>
      <c r="L326">
        <f t="shared" si="56"/>
        <v>277</v>
      </c>
      <c r="M326" s="8">
        <f t="shared" si="61"/>
        <v>4.4763698228045836</v>
      </c>
      <c r="N326" s="6">
        <f t="shared" si="57"/>
        <v>4.5334200756149645</v>
      </c>
      <c r="O326" s="8">
        <f t="shared" ref="O326:O368" si="64">O325+M326</f>
        <v>1327.6778355603442</v>
      </c>
      <c r="P326" s="8">
        <f t="shared" ref="P326:P368" si="65">P325+N326</f>
        <v>1331.6945462279675</v>
      </c>
      <c r="Q326" s="8">
        <f t="shared" si="63"/>
        <v>4.5334200756149645</v>
      </c>
      <c r="T326" s="8">
        <f t="shared" si="55"/>
        <v>4.5334200756149645</v>
      </c>
    </row>
    <row r="327" spans="2:20" x14ac:dyDescent="0.2">
      <c r="B327">
        <f t="shared" si="62"/>
        <v>324</v>
      </c>
      <c r="C327">
        <f t="shared" si="58"/>
        <v>31</v>
      </c>
      <c r="D327">
        <v>305</v>
      </c>
      <c r="E327">
        <v>336</v>
      </c>
      <c r="F327">
        <f>PMSPLINE!F$14</f>
        <v>5.3483212804297589</v>
      </c>
      <c r="G327">
        <f>PMSPLINE!F$15</f>
        <v>3.8466271034086219</v>
      </c>
      <c r="H327" s="10">
        <f>PMSPLINE!K$14</f>
        <v>-1.4525245740781644E-4</v>
      </c>
      <c r="I327" s="10">
        <f>PMSPLINE!K$15</f>
        <v>-7.9503119843536913E-4</v>
      </c>
      <c r="J327">
        <f t="shared" si="59"/>
        <v>0.38709677419354838</v>
      </c>
      <c r="K327">
        <f t="shared" si="60"/>
        <v>0.61290322580645162</v>
      </c>
      <c r="L327">
        <f t="shared" si="56"/>
        <v>278</v>
      </c>
      <c r="M327" s="8">
        <f t="shared" si="61"/>
        <v>4.4279280751587393</v>
      </c>
      <c r="N327" s="6">
        <f t="shared" si="57"/>
        <v>4.4843120039468545</v>
      </c>
      <c r="O327" s="8">
        <f t="shared" si="64"/>
        <v>1332.1057636355029</v>
      </c>
      <c r="P327" s="8">
        <f t="shared" si="65"/>
        <v>1336.1788582319143</v>
      </c>
      <c r="Q327" s="8">
        <f t="shared" si="63"/>
        <v>4.4843120039468545</v>
      </c>
      <c r="T327" s="8">
        <f t="shared" si="55"/>
        <v>4.4843120039468545</v>
      </c>
    </row>
    <row r="328" spans="2:20" x14ac:dyDescent="0.2">
      <c r="B328">
        <f t="shared" si="62"/>
        <v>325</v>
      </c>
      <c r="C328">
        <f t="shared" si="58"/>
        <v>31</v>
      </c>
      <c r="D328">
        <v>305</v>
      </c>
      <c r="E328">
        <v>336</v>
      </c>
      <c r="F328">
        <f>PMSPLINE!F$14</f>
        <v>5.3483212804297589</v>
      </c>
      <c r="G328">
        <f>PMSPLINE!F$15</f>
        <v>3.8466271034086219</v>
      </c>
      <c r="H328" s="10">
        <f>PMSPLINE!K$14</f>
        <v>-1.4525245740781644E-4</v>
      </c>
      <c r="I328" s="10">
        <f>PMSPLINE!K$15</f>
        <v>-7.9503119843536913E-4</v>
      </c>
      <c r="J328">
        <f t="shared" si="59"/>
        <v>0.35483870967741937</v>
      </c>
      <c r="K328">
        <f t="shared" si="60"/>
        <v>0.64516129032258063</v>
      </c>
      <c r="L328">
        <f t="shared" si="56"/>
        <v>279</v>
      </c>
      <c r="M328" s="8">
        <f t="shared" si="61"/>
        <v>4.3794863275128968</v>
      </c>
      <c r="N328" s="6">
        <f t="shared" si="57"/>
        <v>4.4346604283349027</v>
      </c>
      <c r="O328" s="8">
        <f t="shared" si="64"/>
        <v>1336.4852499630158</v>
      </c>
      <c r="P328" s="8">
        <f t="shared" si="65"/>
        <v>1340.6135186602492</v>
      </c>
      <c r="Q328" s="8">
        <f t="shared" si="63"/>
        <v>4.4346604283349027</v>
      </c>
      <c r="T328" s="8">
        <f t="shared" si="55"/>
        <v>4.4346604283349027</v>
      </c>
    </row>
    <row r="329" spans="2:20" x14ac:dyDescent="0.2">
      <c r="B329">
        <f t="shared" si="62"/>
        <v>326</v>
      </c>
      <c r="C329">
        <f t="shared" si="58"/>
        <v>31</v>
      </c>
      <c r="D329">
        <v>305</v>
      </c>
      <c r="E329">
        <v>336</v>
      </c>
      <c r="F329">
        <f>PMSPLINE!F$14</f>
        <v>5.3483212804297589</v>
      </c>
      <c r="G329">
        <f>PMSPLINE!F$15</f>
        <v>3.8466271034086219</v>
      </c>
      <c r="H329" s="10">
        <f>PMSPLINE!K$14</f>
        <v>-1.4525245740781644E-4</v>
      </c>
      <c r="I329" s="10">
        <f>PMSPLINE!K$15</f>
        <v>-7.9503119843536913E-4</v>
      </c>
      <c r="J329">
        <f t="shared" si="59"/>
        <v>0.32258064516129031</v>
      </c>
      <c r="K329">
        <f t="shared" si="60"/>
        <v>0.67741935483870963</v>
      </c>
      <c r="L329">
        <f t="shared" si="56"/>
        <v>280</v>
      </c>
      <c r="M329" s="8">
        <f t="shared" si="61"/>
        <v>4.3310445798670534</v>
      </c>
      <c r="N329" s="6">
        <f t="shared" si="57"/>
        <v>4.3844443881745558</v>
      </c>
      <c r="O329" s="8">
        <f t="shared" si="64"/>
        <v>1340.8162945428828</v>
      </c>
      <c r="P329" s="8">
        <f t="shared" si="65"/>
        <v>1344.9979630484238</v>
      </c>
      <c r="Q329" s="8">
        <f t="shared" si="63"/>
        <v>4.3844443881745558</v>
      </c>
      <c r="T329" s="8">
        <f t="shared" si="55"/>
        <v>4.3844443881745558</v>
      </c>
    </row>
    <row r="330" spans="2:20" x14ac:dyDescent="0.2">
      <c r="B330">
        <f t="shared" si="62"/>
        <v>327</v>
      </c>
      <c r="C330">
        <f t="shared" si="58"/>
        <v>31</v>
      </c>
      <c r="D330">
        <v>305</v>
      </c>
      <c r="E330">
        <v>336</v>
      </c>
      <c r="F330">
        <f>PMSPLINE!F$14</f>
        <v>5.3483212804297589</v>
      </c>
      <c r="G330">
        <f>PMSPLINE!F$15</f>
        <v>3.8466271034086219</v>
      </c>
      <c r="H330" s="10">
        <f>PMSPLINE!K$14</f>
        <v>-1.4525245740781644E-4</v>
      </c>
      <c r="I330" s="10">
        <f>PMSPLINE!K$15</f>
        <v>-7.9503119843536913E-4</v>
      </c>
      <c r="J330">
        <f t="shared" si="59"/>
        <v>0.29032258064516131</v>
      </c>
      <c r="K330">
        <f t="shared" si="60"/>
        <v>0.70967741935483875</v>
      </c>
      <c r="L330">
        <f t="shared" si="56"/>
        <v>281</v>
      </c>
      <c r="M330" s="8">
        <f t="shared" si="61"/>
        <v>4.28260283222121</v>
      </c>
      <c r="N330" s="6">
        <f t="shared" si="57"/>
        <v>4.3336429228612676</v>
      </c>
      <c r="O330" s="8">
        <f t="shared" si="64"/>
        <v>1345.0988973751041</v>
      </c>
      <c r="P330" s="8">
        <f t="shared" si="65"/>
        <v>1349.3316059712852</v>
      </c>
      <c r="Q330" s="8">
        <f t="shared" si="63"/>
        <v>4.3336429228612676</v>
      </c>
      <c r="T330" s="8">
        <f t="shared" si="55"/>
        <v>4.3336429228612676</v>
      </c>
    </row>
    <row r="331" spans="2:20" x14ac:dyDescent="0.2">
      <c r="B331">
        <f t="shared" si="62"/>
        <v>328</v>
      </c>
      <c r="C331">
        <f t="shared" si="58"/>
        <v>31</v>
      </c>
      <c r="D331">
        <v>305</v>
      </c>
      <c r="E331">
        <v>336</v>
      </c>
      <c r="F331">
        <f>PMSPLINE!F$14</f>
        <v>5.3483212804297589</v>
      </c>
      <c r="G331">
        <f>PMSPLINE!F$15</f>
        <v>3.8466271034086219</v>
      </c>
      <c r="H331" s="10">
        <f>PMSPLINE!K$14</f>
        <v>-1.4525245740781644E-4</v>
      </c>
      <c r="I331" s="10">
        <f>PMSPLINE!K$15</f>
        <v>-7.9503119843536913E-4</v>
      </c>
      <c r="J331">
        <f t="shared" si="59"/>
        <v>0.25806451612903225</v>
      </c>
      <c r="K331">
        <f t="shared" si="60"/>
        <v>0.74193548387096775</v>
      </c>
      <c r="L331">
        <f t="shared" si="56"/>
        <v>282</v>
      </c>
      <c r="M331" s="8">
        <f t="shared" si="61"/>
        <v>4.2341610845753674</v>
      </c>
      <c r="N331" s="6">
        <f t="shared" si="57"/>
        <v>4.2822350717904873</v>
      </c>
      <c r="O331" s="8">
        <f t="shared" si="64"/>
        <v>1349.3330584596795</v>
      </c>
      <c r="P331" s="8">
        <f t="shared" si="65"/>
        <v>1353.6138410430756</v>
      </c>
      <c r="Q331" s="8">
        <f t="shared" si="63"/>
        <v>4.2822350717904873</v>
      </c>
      <c r="T331" s="8">
        <f t="shared" si="55"/>
        <v>4.2822350717904873</v>
      </c>
    </row>
    <row r="332" spans="2:20" x14ac:dyDescent="0.2">
      <c r="B332">
        <f t="shared" si="62"/>
        <v>329</v>
      </c>
      <c r="C332">
        <f t="shared" si="58"/>
        <v>31</v>
      </c>
      <c r="D332">
        <v>305</v>
      </c>
      <c r="E332">
        <v>336</v>
      </c>
      <c r="F332">
        <f>PMSPLINE!F$14</f>
        <v>5.3483212804297589</v>
      </c>
      <c r="G332">
        <f>PMSPLINE!F$15</f>
        <v>3.8466271034086219</v>
      </c>
      <c r="H332" s="10">
        <f>PMSPLINE!K$14</f>
        <v>-1.4525245740781644E-4</v>
      </c>
      <c r="I332" s="10">
        <f>PMSPLINE!K$15</f>
        <v>-7.9503119843536913E-4</v>
      </c>
      <c r="J332">
        <f t="shared" si="59"/>
        <v>0.22580645161290322</v>
      </c>
      <c r="K332">
        <f t="shared" si="60"/>
        <v>0.77419354838709675</v>
      </c>
      <c r="L332">
        <f t="shared" si="56"/>
        <v>283</v>
      </c>
      <c r="M332" s="8">
        <f t="shared" si="61"/>
        <v>4.1857193369295231</v>
      </c>
      <c r="N332" s="6">
        <f t="shared" si="57"/>
        <v>4.2301998743576643</v>
      </c>
      <c r="O332" s="8">
        <f t="shared" si="64"/>
        <v>1353.5187777966089</v>
      </c>
      <c r="P332" s="8">
        <f t="shared" si="65"/>
        <v>1357.8440409174332</v>
      </c>
      <c r="Q332" s="8">
        <f t="shared" si="63"/>
        <v>4.2301998743576643</v>
      </c>
      <c r="T332" s="8">
        <f t="shared" si="55"/>
        <v>4.2301998743576643</v>
      </c>
    </row>
    <row r="333" spans="2:20" x14ac:dyDescent="0.2">
      <c r="B333">
        <f t="shared" si="62"/>
        <v>330</v>
      </c>
      <c r="C333">
        <f t="shared" si="58"/>
        <v>31</v>
      </c>
      <c r="D333">
        <v>305</v>
      </c>
      <c r="E333">
        <v>336</v>
      </c>
      <c r="F333">
        <f>PMSPLINE!F$14</f>
        <v>5.3483212804297589</v>
      </c>
      <c r="G333">
        <f>PMSPLINE!F$15</f>
        <v>3.8466271034086219</v>
      </c>
      <c r="H333" s="10">
        <f>PMSPLINE!K$14</f>
        <v>-1.4525245740781644E-4</v>
      </c>
      <c r="I333" s="10">
        <f>PMSPLINE!K$15</f>
        <v>-7.9503119843536913E-4</v>
      </c>
      <c r="J333">
        <f t="shared" si="59"/>
        <v>0.19354838709677419</v>
      </c>
      <c r="K333">
        <f t="shared" si="60"/>
        <v>0.80645161290322576</v>
      </c>
      <c r="L333">
        <f t="shared" si="56"/>
        <v>284</v>
      </c>
      <c r="M333" s="8">
        <f t="shared" si="61"/>
        <v>4.1372775892836806</v>
      </c>
      <c r="N333" s="6">
        <f t="shared" si="57"/>
        <v>4.1775163699582532</v>
      </c>
      <c r="O333" s="8">
        <f t="shared" si="64"/>
        <v>1357.6560553858926</v>
      </c>
      <c r="P333" s="8">
        <f t="shared" si="65"/>
        <v>1362.0215572873915</v>
      </c>
      <c r="Q333" s="8">
        <f t="shared" si="63"/>
        <v>4.1775163699582532</v>
      </c>
      <c r="T333" s="8">
        <f t="shared" si="55"/>
        <v>4.1775163699582532</v>
      </c>
    </row>
    <row r="334" spans="2:20" x14ac:dyDescent="0.2">
      <c r="B334">
        <f t="shared" si="62"/>
        <v>331</v>
      </c>
      <c r="C334">
        <f t="shared" si="58"/>
        <v>31</v>
      </c>
      <c r="D334">
        <v>305</v>
      </c>
      <c r="E334">
        <v>336</v>
      </c>
      <c r="F334">
        <f>PMSPLINE!F$14</f>
        <v>5.3483212804297589</v>
      </c>
      <c r="G334">
        <f>PMSPLINE!F$15</f>
        <v>3.8466271034086219</v>
      </c>
      <c r="H334" s="10">
        <f>PMSPLINE!K$14</f>
        <v>-1.4525245740781644E-4</v>
      </c>
      <c r="I334" s="10">
        <f>PMSPLINE!K$15</f>
        <v>-7.9503119843536913E-4</v>
      </c>
      <c r="J334">
        <f t="shared" si="59"/>
        <v>0.16129032258064516</v>
      </c>
      <c r="K334">
        <f t="shared" si="60"/>
        <v>0.83870967741935487</v>
      </c>
      <c r="L334">
        <f t="shared" si="56"/>
        <v>285</v>
      </c>
      <c r="M334" s="8">
        <f t="shared" si="61"/>
        <v>4.0888358416378381</v>
      </c>
      <c r="N334" s="6">
        <f t="shared" si="57"/>
        <v>4.1241635979877023</v>
      </c>
      <c r="O334" s="8">
        <f t="shared" si="64"/>
        <v>1361.7448912275304</v>
      </c>
      <c r="P334" s="8">
        <f t="shared" si="65"/>
        <v>1366.1457208853792</v>
      </c>
      <c r="Q334" s="8">
        <f t="shared" si="63"/>
        <v>4.1241635979877023</v>
      </c>
      <c r="T334" s="8">
        <f t="shared" si="55"/>
        <v>4.1241635979877023</v>
      </c>
    </row>
    <row r="335" spans="2:20" x14ac:dyDescent="0.2">
      <c r="B335">
        <f t="shared" si="62"/>
        <v>332</v>
      </c>
      <c r="C335">
        <f t="shared" si="58"/>
        <v>31</v>
      </c>
      <c r="D335">
        <v>305</v>
      </c>
      <c r="E335">
        <v>336</v>
      </c>
      <c r="F335">
        <f>PMSPLINE!F$14</f>
        <v>5.3483212804297589</v>
      </c>
      <c r="G335">
        <f>PMSPLINE!F$15</f>
        <v>3.8466271034086219</v>
      </c>
      <c r="H335" s="10">
        <f>PMSPLINE!K$14</f>
        <v>-1.4525245740781644E-4</v>
      </c>
      <c r="I335" s="10">
        <f>PMSPLINE!K$15</f>
        <v>-7.9503119843536913E-4</v>
      </c>
      <c r="J335">
        <f t="shared" si="59"/>
        <v>0.12903225806451613</v>
      </c>
      <c r="K335">
        <f t="shared" si="60"/>
        <v>0.87096774193548387</v>
      </c>
      <c r="L335">
        <f t="shared" si="56"/>
        <v>286</v>
      </c>
      <c r="M335" s="8">
        <f t="shared" si="61"/>
        <v>4.0403940939919938</v>
      </c>
      <c r="N335" s="6">
        <f t="shared" si="57"/>
        <v>4.0701205978414601</v>
      </c>
      <c r="O335" s="8">
        <f t="shared" si="64"/>
        <v>1365.7852853215225</v>
      </c>
      <c r="P335" s="8">
        <f t="shared" si="65"/>
        <v>1370.2158414832206</v>
      </c>
      <c r="Q335" s="8">
        <f t="shared" si="63"/>
        <v>4.0701205978414601</v>
      </c>
      <c r="T335" s="8">
        <f t="shared" si="55"/>
        <v>4.0701205978414601</v>
      </c>
    </row>
    <row r="336" spans="2:20" x14ac:dyDescent="0.2">
      <c r="B336">
        <f t="shared" si="62"/>
        <v>333</v>
      </c>
      <c r="C336">
        <f t="shared" si="58"/>
        <v>31</v>
      </c>
      <c r="D336">
        <v>305</v>
      </c>
      <c r="E336">
        <v>336</v>
      </c>
      <c r="F336">
        <f>PMSPLINE!F$14</f>
        <v>5.3483212804297589</v>
      </c>
      <c r="G336">
        <f>PMSPLINE!F$15</f>
        <v>3.8466271034086219</v>
      </c>
      <c r="H336" s="10">
        <f>PMSPLINE!K$14</f>
        <v>-1.4525245740781644E-4</v>
      </c>
      <c r="I336" s="10">
        <f>PMSPLINE!K$15</f>
        <v>-7.9503119843536913E-4</v>
      </c>
      <c r="J336">
        <f t="shared" si="59"/>
        <v>9.6774193548387094E-2</v>
      </c>
      <c r="K336">
        <f t="shared" si="60"/>
        <v>0.90322580645161288</v>
      </c>
      <c r="L336">
        <f t="shared" si="56"/>
        <v>287</v>
      </c>
      <c r="M336" s="8">
        <f t="shared" si="61"/>
        <v>3.9919523463461513</v>
      </c>
      <c r="N336" s="6">
        <f t="shared" si="57"/>
        <v>4.0153664089149812</v>
      </c>
      <c r="O336" s="8">
        <f t="shared" si="64"/>
        <v>1369.7772376678686</v>
      </c>
      <c r="P336" s="8">
        <f t="shared" si="65"/>
        <v>1374.2312078921357</v>
      </c>
      <c r="Q336" s="8">
        <f t="shared" si="63"/>
        <v>4.0153664089149812</v>
      </c>
      <c r="T336" s="8">
        <f t="shared" si="55"/>
        <v>4.0153664089149812</v>
      </c>
    </row>
    <row r="337" spans="1:20" x14ac:dyDescent="0.2">
      <c r="B337">
        <f t="shared" si="62"/>
        <v>334</v>
      </c>
      <c r="C337">
        <f t="shared" si="58"/>
        <v>31</v>
      </c>
      <c r="D337">
        <v>305</v>
      </c>
      <c r="E337">
        <v>336</v>
      </c>
      <c r="F337">
        <f>PMSPLINE!F$14</f>
        <v>5.3483212804297589</v>
      </c>
      <c r="G337">
        <f>PMSPLINE!F$15</f>
        <v>3.8466271034086219</v>
      </c>
      <c r="H337" s="10">
        <f>PMSPLINE!K$14</f>
        <v>-1.4525245740781644E-4</v>
      </c>
      <c r="I337" s="10">
        <f>PMSPLINE!K$15</f>
        <v>-7.9503119843536913E-4</v>
      </c>
      <c r="J337">
        <f t="shared" si="59"/>
        <v>6.4516129032258063E-2</v>
      </c>
      <c r="K337">
        <f t="shared" si="60"/>
        <v>0.93548387096774188</v>
      </c>
      <c r="L337">
        <f t="shared" si="56"/>
        <v>288</v>
      </c>
      <c r="M337" s="8">
        <f t="shared" si="61"/>
        <v>3.9435105987003078</v>
      </c>
      <c r="N337" s="6">
        <f t="shared" si="57"/>
        <v>3.9598800706037145</v>
      </c>
      <c r="O337" s="8">
        <f t="shared" si="64"/>
        <v>1373.720748266569</v>
      </c>
      <c r="P337" s="8">
        <f t="shared" si="65"/>
        <v>1378.1910879627394</v>
      </c>
      <c r="Q337" s="8">
        <f t="shared" si="63"/>
        <v>3.9598800706037145</v>
      </c>
      <c r="T337" s="8">
        <f t="shared" si="55"/>
        <v>3.9598800706037145</v>
      </c>
    </row>
    <row r="338" spans="1:20" x14ac:dyDescent="0.2">
      <c r="B338">
        <f t="shared" si="62"/>
        <v>335</v>
      </c>
      <c r="C338">
        <f t="shared" si="58"/>
        <v>31</v>
      </c>
      <c r="D338">
        <v>305</v>
      </c>
      <c r="E338">
        <v>336</v>
      </c>
      <c r="F338">
        <f>PMSPLINE!F$14</f>
        <v>5.3483212804297589</v>
      </c>
      <c r="G338">
        <f>PMSPLINE!F$15</f>
        <v>3.8466271034086219</v>
      </c>
      <c r="H338" s="10">
        <f>PMSPLINE!K$14</f>
        <v>-1.4525245740781644E-4</v>
      </c>
      <c r="I338" s="10">
        <f>PMSPLINE!K$15</f>
        <v>-7.9503119843536913E-4</v>
      </c>
      <c r="J338">
        <f t="shared" si="59"/>
        <v>3.2258064516129031E-2</v>
      </c>
      <c r="K338">
        <f t="shared" si="60"/>
        <v>0.967741935483871</v>
      </c>
      <c r="L338">
        <f t="shared" si="56"/>
        <v>289</v>
      </c>
      <c r="M338" s="8">
        <f t="shared" si="61"/>
        <v>3.8950688510544649</v>
      </c>
      <c r="N338" s="6">
        <f t="shared" si="57"/>
        <v>3.9036406223031115</v>
      </c>
      <c r="O338" s="8">
        <f t="shared" si="64"/>
        <v>1377.6158171176235</v>
      </c>
      <c r="P338" s="8">
        <f t="shared" si="65"/>
        <v>1382.0947285850425</v>
      </c>
      <c r="Q338" s="8">
        <f t="shared" si="63"/>
        <v>3.9036406223031115</v>
      </c>
      <c r="T338" s="8">
        <f t="shared" si="55"/>
        <v>3.9036406223031115</v>
      </c>
    </row>
    <row r="339" spans="1:20" x14ac:dyDescent="0.2">
      <c r="A339">
        <v>336</v>
      </c>
      <c r="B339">
        <f t="shared" si="62"/>
        <v>336</v>
      </c>
      <c r="C339">
        <f t="shared" si="58"/>
        <v>31</v>
      </c>
      <c r="D339">
        <v>305</v>
      </c>
      <c r="E339">
        <v>336</v>
      </c>
      <c r="F339">
        <f>PMSPLINE!F$14</f>
        <v>5.3483212804297589</v>
      </c>
      <c r="G339">
        <f>PMSPLINE!F$15</f>
        <v>3.8466271034086219</v>
      </c>
      <c r="H339" s="10">
        <f>PMSPLINE!K$14</f>
        <v>-1.4525245740781644E-4</v>
      </c>
      <c r="I339" s="10">
        <f>PMSPLINE!K$15</f>
        <v>-7.9503119843536913E-4</v>
      </c>
      <c r="J339">
        <f t="shared" si="59"/>
        <v>0</v>
      </c>
      <c r="K339">
        <f t="shared" si="60"/>
        <v>1</v>
      </c>
      <c r="L339">
        <f t="shared" si="56"/>
        <v>290</v>
      </c>
      <c r="M339" s="8">
        <f t="shared" si="61"/>
        <v>3.8466271034086219</v>
      </c>
      <c r="N339" s="6">
        <f t="shared" si="57"/>
        <v>3.8466271034086219</v>
      </c>
      <c r="O339" s="8">
        <f t="shared" si="64"/>
        <v>1381.462444221032</v>
      </c>
      <c r="P339" s="8">
        <f t="shared" si="65"/>
        <v>1385.941355688451</v>
      </c>
      <c r="Q339" s="8">
        <f t="shared" si="63"/>
        <v>3.8466271034086219</v>
      </c>
      <c r="T339" s="8">
        <f t="shared" si="55"/>
        <v>3.8466271034086219</v>
      </c>
    </row>
    <row r="340" spans="1:20" x14ac:dyDescent="0.2">
      <c r="B340">
        <f t="shared" si="62"/>
        <v>337</v>
      </c>
      <c r="C340">
        <f t="shared" si="58"/>
        <v>30</v>
      </c>
      <c r="D340">
        <v>336</v>
      </c>
      <c r="E340">
        <v>366</v>
      </c>
      <c r="F340">
        <f>PMSPLINE!F$15</f>
        <v>3.8466271034086219</v>
      </c>
      <c r="G340">
        <f>PMSPLINE!F$16</f>
        <v>2.0987687517840574</v>
      </c>
      <c r="H340" s="10">
        <f>PMSPLINE!K$15</f>
        <v>-7.9503119843536913E-4</v>
      </c>
      <c r="I340" s="10">
        <f>PMSPLINE!K$16</f>
        <v>1.4191815979634407E-3</v>
      </c>
      <c r="J340">
        <f t="shared" si="59"/>
        <v>0.96666666666666667</v>
      </c>
      <c r="K340">
        <f t="shared" si="60"/>
        <v>3.3333333333333333E-2</v>
      </c>
      <c r="L340">
        <f t="shared" si="56"/>
        <v>291</v>
      </c>
      <c r="M340" s="8">
        <f t="shared" si="61"/>
        <v>3.7883651583544697</v>
      </c>
      <c r="N340" s="6">
        <f t="shared" si="57"/>
        <v>3.7888343479319908</v>
      </c>
      <c r="O340" s="8">
        <f t="shared" si="64"/>
        <v>1385.2508093793865</v>
      </c>
      <c r="P340" s="8">
        <f t="shared" si="65"/>
        <v>1389.730190036383</v>
      </c>
      <c r="Q340" s="8">
        <f t="shared" si="63"/>
        <v>3.7888343479319908</v>
      </c>
      <c r="T340" s="8">
        <f t="shared" si="55"/>
        <v>3.7888343479319908</v>
      </c>
    </row>
    <row r="341" spans="1:20" x14ac:dyDescent="0.2">
      <c r="B341">
        <f t="shared" si="62"/>
        <v>338</v>
      </c>
      <c r="C341">
        <f t="shared" si="58"/>
        <v>30</v>
      </c>
      <c r="D341">
        <v>336</v>
      </c>
      <c r="E341">
        <v>366</v>
      </c>
      <c r="F341">
        <f>PMSPLINE!F$15</f>
        <v>3.8466271034086219</v>
      </c>
      <c r="G341">
        <f>PMSPLINE!F$16</f>
        <v>2.0987687517840574</v>
      </c>
      <c r="H341" s="10">
        <f>PMSPLINE!K$15</f>
        <v>-7.9503119843536913E-4</v>
      </c>
      <c r="I341" s="10">
        <f>PMSPLINE!K$16</f>
        <v>1.4191815979634407E-3</v>
      </c>
      <c r="J341">
        <f t="shared" si="59"/>
        <v>0.93333333333333335</v>
      </c>
      <c r="K341">
        <f t="shared" si="60"/>
        <v>6.6666666666666666E-2</v>
      </c>
      <c r="L341">
        <f t="shared" si="56"/>
        <v>292</v>
      </c>
      <c r="M341" s="8">
        <f t="shared" si="61"/>
        <v>3.7301032133003176</v>
      </c>
      <c r="N341" s="6">
        <f t="shared" si="57"/>
        <v>3.7303203683501374</v>
      </c>
      <c r="O341" s="8">
        <f t="shared" si="64"/>
        <v>1388.9809125926868</v>
      </c>
      <c r="P341" s="8">
        <f t="shared" si="65"/>
        <v>1393.4605104047332</v>
      </c>
      <c r="Q341" s="8">
        <f t="shared" si="63"/>
        <v>3.7303203683501374</v>
      </c>
      <c r="T341" s="8">
        <f t="shared" si="55"/>
        <v>3.7303203683501374</v>
      </c>
    </row>
    <row r="342" spans="1:20" x14ac:dyDescent="0.2">
      <c r="B342">
        <f t="shared" si="62"/>
        <v>339</v>
      </c>
      <c r="C342">
        <f t="shared" si="58"/>
        <v>30</v>
      </c>
      <c r="D342">
        <v>336</v>
      </c>
      <c r="E342">
        <v>366</v>
      </c>
      <c r="F342">
        <f>PMSPLINE!F$15</f>
        <v>3.8466271034086219</v>
      </c>
      <c r="G342">
        <f>PMSPLINE!F$16</f>
        <v>2.0987687517840574</v>
      </c>
      <c r="H342" s="10">
        <f>PMSPLINE!K$15</f>
        <v>-7.9503119843536913E-4</v>
      </c>
      <c r="I342" s="10">
        <f>PMSPLINE!K$16</f>
        <v>1.4191815979634407E-3</v>
      </c>
      <c r="J342">
        <f t="shared" si="59"/>
        <v>0.9</v>
      </c>
      <c r="K342">
        <f t="shared" si="60"/>
        <v>0.1</v>
      </c>
      <c r="L342">
        <f t="shared" si="56"/>
        <v>293</v>
      </c>
      <c r="M342" s="8">
        <f t="shared" si="61"/>
        <v>3.6718412682461654</v>
      </c>
      <c r="N342" s="6">
        <f t="shared" si="57"/>
        <v>3.6711589717562756</v>
      </c>
      <c r="O342" s="8">
        <f t="shared" si="64"/>
        <v>1392.652753860933</v>
      </c>
      <c r="P342" s="8">
        <f t="shared" si="65"/>
        <v>1397.1316693764895</v>
      </c>
      <c r="Q342" s="8">
        <f t="shared" si="63"/>
        <v>3.6711589717562756</v>
      </c>
      <c r="T342" s="8">
        <f t="shared" si="55"/>
        <v>3.6711589717562756</v>
      </c>
    </row>
    <row r="343" spans="1:20" x14ac:dyDescent="0.2">
      <c r="B343">
        <f t="shared" si="62"/>
        <v>340</v>
      </c>
      <c r="C343">
        <f t="shared" si="58"/>
        <v>30</v>
      </c>
      <c r="D343">
        <v>336</v>
      </c>
      <c r="E343">
        <v>366</v>
      </c>
      <c r="F343">
        <f>PMSPLINE!F$15</f>
        <v>3.8466271034086219</v>
      </c>
      <c r="G343">
        <f>PMSPLINE!F$16</f>
        <v>2.0987687517840574</v>
      </c>
      <c r="H343" s="10">
        <f>PMSPLINE!K$15</f>
        <v>-7.9503119843536913E-4</v>
      </c>
      <c r="I343" s="10">
        <f>PMSPLINE!K$16</f>
        <v>1.4191815979634407E-3</v>
      </c>
      <c r="J343">
        <f t="shared" si="59"/>
        <v>0.8666666666666667</v>
      </c>
      <c r="K343">
        <f t="shared" si="60"/>
        <v>0.13333333333333333</v>
      </c>
      <c r="L343">
        <f t="shared" si="56"/>
        <v>294</v>
      </c>
      <c r="M343" s="8">
        <f t="shared" si="61"/>
        <v>3.6135793231920132</v>
      </c>
      <c r="N343" s="6">
        <f t="shared" si="57"/>
        <v>3.6114239652436182</v>
      </c>
      <c r="O343" s="8">
        <f t="shared" si="64"/>
        <v>1396.266333184125</v>
      </c>
      <c r="P343" s="8">
        <f t="shared" si="65"/>
        <v>1400.7430933417331</v>
      </c>
      <c r="Q343" s="8">
        <f t="shared" si="63"/>
        <v>3.6114239652436182</v>
      </c>
      <c r="T343" s="8">
        <f t="shared" si="55"/>
        <v>3.6114239652436182</v>
      </c>
    </row>
    <row r="344" spans="1:20" x14ac:dyDescent="0.2">
      <c r="B344">
        <f t="shared" si="62"/>
        <v>341</v>
      </c>
      <c r="C344">
        <f t="shared" si="58"/>
        <v>30</v>
      </c>
      <c r="D344">
        <v>336</v>
      </c>
      <c r="E344">
        <v>366</v>
      </c>
      <c r="F344">
        <f>PMSPLINE!F$15</f>
        <v>3.8466271034086219</v>
      </c>
      <c r="G344">
        <f>PMSPLINE!F$16</f>
        <v>2.0987687517840574</v>
      </c>
      <c r="H344" s="10">
        <f>PMSPLINE!K$15</f>
        <v>-7.9503119843536913E-4</v>
      </c>
      <c r="I344" s="10">
        <f>PMSPLINE!K$16</f>
        <v>1.4191815979634407E-3</v>
      </c>
      <c r="J344">
        <f t="shared" si="59"/>
        <v>0.83333333333333337</v>
      </c>
      <c r="K344">
        <f t="shared" si="60"/>
        <v>0.16666666666666666</v>
      </c>
      <c r="L344">
        <f t="shared" si="56"/>
        <v>295</v>
      </c>
      <c r="M344" s="8">
        <f t="shared" si="61"/>
        <v>3.5553173781378615</v>
      </c>
      <c r="N344" s="6">
        <f t="shared" si="57"/>
        <v>3.5511891559053788</v>
      </c>
      <c r="O344" s="8">
        <f t="shared" si="64"/>
        <v>1399.8216505622629</v>
      </c>
      <c r="P344" s="8">
        <f t="shared" si="65"/>
        <v>1404.2942824976385</v>
      </c>
      <c r="Q344" s="8">
        <f t="shared" si="63"/>
        <v>3.5511891559053788</v>
      </c>
      <c r="T344" s="8">
        <f t="shared" si="55"/>
        <v>3.5511891559053788</v>
      </c>
    </row>
    <row r="345" spans="1:20" x14ac:dyDescent="0.2">
      <c r="B345">
        <f t="shared" si="62"/>
        <v>342</v>
      </c>
      <c r="C345">
        <f t="shared" si="58"/>
        <v>30</v>
      </c>
      <c r="D345">
        <v>336</v>
      </c>
      <c r="E345">
        <v>366</v>
      </c>
      <c r="F345">
        <f>PMSPLINE!F$15</f>
        <v>3.8466271034086219</v>
      </c>
      <c r="G345">
        <f>PMSPLINE!F$16</f>
        <v>2.0987687517840574</v>
      </c>
      <c r="H345" s="10">
        <f>PMSPLINE!K$15</f>
        <v>-7.9503119843536913E-4</v>
      </c>
      <c r="I345" s="10">
        <f>PMSPLINE!K$16</f>
        <v>1.4191815979634407E-3</v>
      </c>
      <c r="J345">
        <f t="shared" si="59"/>
        <v>0.8</v>
      </c>
      <c r="K345">
        <f t="shared" si="60"/>
        <v>0.2</v>
      </c>
      <c r="L345">
        <f t="shared" si="56"/>
        <v>296</v>
      </c>
      <c r="M345" s="8">
        <f t="shared" si="61"/>
        <v>3.4970554330837089</v>
      </c>
      <c r="N345" s="6">
        <f t="shared" si="57"/>
        <v>3.49052835083477</v>
      </c>
      <c r="O345" s="8">
        <f t="shared" si="64"/>
        <v>1403.3187059953466</v>
      </c>
      <c r="P345" s="8">
        <f t="shared" si="65"/>
        <v>1407.7848108484732</v>
      </c>
      <c r="Q345" s="8">
        <f t="shared" si="63"/>
        <v>3.49052835083477</v>
      </c>
      <c r="T345" s="8">
        <f t="shared" si="55"/>
        <v>3.49052835083477</v>
      </c>
    </row>
    <row r="346" spans="1:20" x14ac:dyDescent="0.2">
      <c r="B346">
        <f t="shared" si="62"/>
        <v>343</v>
      </c>
      <c r="C346">
        <f t="shared" si="58"/>
        <v>30</v>
      </c>
      <c r="D346">
        <v>336</v>
      </c>
      <c r="E346">
        <v>366</v>
      </c>
      <c r="F346">
        <f>PMSPLINE!F$15</f>
        <v>3.8466271034086219</v>
      </c>
      <c r="G346">
        <f>PMSPLINE!F$16</f>
        <v>2.0987687517840574</v>
      </c>
      <c r="H346" s="10">
        <f>PMSPLINE!K$15</f>
        <v>-7.9503119843536913E-4</v>
      </c>
      <c r="I346" s="10">
        <f>PMSPLINE!K$16</f>
        <v>1.4191815979634407E-3</v>
      </c>
      <c r="J346">
        <f t="shared" si="59"/>
        <v>0.76666666666666672</v>
      </c>
      <c r="K346">
        <f t="shared" si="60"/>
        <v>0.23333333333333334</v>
      </c>
      <c r="L346">
        <f t="shared" si="56"/>
        <v>297</v>
      </c>
      <c r="M346" s="8">
        <f t="shared" si="61"/>
        <v>3.4387934880295572</v>
      </c>
      <c r="N346" s="6">
        <f t="shared" si="57"/>
        <v>3.4295153571250059</v>
      </c>
      <c r="O346" s="8">
        <f t="shared" si="64"/>
        <v>1406.7574994833763</v>
      </c>
      <c r="P346" s="8">
        <f t="shared" si="65"/>
        <v>1411.2143262055981</v>
      </c>
      <c r="Q346" s="8">
        <f t="shared" si="63"/>
        <v>3.4295153571250059</v>
      </c>
      <c r="T346" s="8">
        <f t="shared" si="55"/>
        <v>3.4295153571250059</v>
      </c>
    </row>
    <row r="347" spans="1:20" x14ac:dyDescent="0.2">
      <c r="B347">
        <f t="shared" si="62"/>
        <v>344</v>
      </c>
      <c r="C347">
        <f t="shared" si="58"/>
        <v>30</v>
      </c>
      <c r="D347">
        <v>336</v>
      </c>
      <c r="E347">
        <v>366</v>
      </c>
      <c r="F347">
        <f>PMSPLINE!F$15</f>
        <v>3.8466271034086219</v>
      </c>
      <c r="G347">
        <f>PMSPLINE!F$16</f>
        <v>2.0987687517840574</v>
      </c>
      <c r="H347" s="10">
        <f>PMSPLINE!K$15</f>
        <v>-7.9503119843536913E-4</v>
      </c>
      <c r="I347" s="10">
        <f>PMSPLINE!K$16</f>
        <v>1.4191815979634407E-3</v>
      </c>
      <c r="J347">
        <f t="shared" si="59"/>
        <v>0.73333333333333328</v>
      </c>
      <c r="K347">
        <f t="shared" si="60"/>
        <v>0.26666666666666666</v>
      </c>
      <c r="L347">
        <f t="shared" si="56"/>
        <v>298</v>
      </c>
      <c r="M347" s="8">
        <f t="shared" si="61"/>
        <v>3.3805315429754046</v>
      </c>
      <c r="N347" s="6">
        <f t="shared" si="57"/>
        <v>3.3682239818692992</v>
      </c>
      <c r="O347" s="8">
        <f t="shared" si="64"/>
        <v>1410.1380310263517</v>
      </c>
      <c r="P347" s="8">
        <f t="shared" si="65"/>
        <v>1414.5825501874674</v>
      </c>
      <c r="Q347" s="8">
        <f t="shared" si="63"/>
        <v>3.3682239818692992</v>
      </c>
      <c r="T347" s="8">
        <f t="shared" si="55"/>
        <v>3.3682239818692992</v>
      </c>
    </row>
    <row r="348" spans="1:20" x14ac:dyDescent="0.2">
      <c r="B348">
        <f t="shared" si="62"/>
        <v>345</v>
      </c>
      <c r="C348">
        <f t="shared" si="58"/>
        <v>30</v>
      </c>
      <c r="D348">
        <v>336</v>
      </c>
      <c r="E348">
        <v>366</v>
      </c>
      <c r="F348">
        <f>PMSPLINE!F$15</f>
        <v>3.8466271034086219</v>
      </c>
      <c r="G348">
        <f>PMSPLINE!F$16</f>
        <v>2.0987687517840574</v>
      </c>
      <c r="H348" s="10">
        <f>PMSPLINE!K$15</f>
        <v>-7.9503119843536913E-4</v>
      </c>
      <c r="I348" s="10">
        <f>PMSPLINE!K$16</f>
        <v>1.4191815979634407E-3</v>
      </c>
      <c r="J348">
        <f t="shared" si="59"/>
        <v>0.7</v>
      </c>
      <c r="K348">
        <f t="shared" si="60"/>
        <v>0.3</v>
      </c>
      <c r="L348">
        <f t="shared" si="56"/>
        <v>299</v>
      </c>
      <c r="M348" s="8">
        <f t="shared" si="61"/>
        <v>3.3222695979212524</v>
      </c>
      <c r="N348" s="6">
        <f t="shared" si="57"/>
        <v>3.3067280321608634</v>
      </c>
      <c r="O348" s="8">
        <f t="shared" si="64"/>
        <v>1413.4603006242728</v>
      </c>
      <c r="P348" s="8">
        <f t="shared" si="65"/>
        <v>1417.8892782196283</v>
      </c>
      <c r="Q348" s="8">
        <f t="shared" si="63"/>
        <v>3.3067280321608634</v>
      </c>
      <c r="T348" s="8">
        <f t="shared" si="55"/>
        <v>3.3067280321608634</v>
      </c>
    </row>
    <row r="349" spans="1:20" x14ac:dyDescent="0.2">
      <c r="B349">
        <f t="shared" si="62"/>
        <v>346</v>
      </c>
      <c r="C349">
        <f t="shared" si="58"/>
        <v>30</v>
      </c>
      <c r="D349">
        <v>336</v>
      </c>
      <c r="E349">
        <v>366</v>
      </c>
      <c r="F349">
        <f>PMSPLINE!F$15</f>
        <v>3.8466271034086219</v>
      </c>
      <c r="G349">
        <f>PMSPLINE!F$16</f>
        <v>2.0987687517840574</v>
      </c>
      <c r="H349" s="10">
        <f>PMSPLINE!K$15</f>
        <v>-7.9503119843536913E-4</v>
      </c>
      <c r="I349" s="10">
        <f>PMSPLINE!K$16</f>
        <v>1.4191815979634407E-3</v>
      </c>
      <c r="J349">
        <f t="shared" si="59"/>
        <v>0.66666666666666663</v>
      </c>
      <c r="K349">
        <f t="shared" si="60"/>
        <v>0.33333333333333331</v>
      </c>
      <c r="L349">
        <f t="shared" si="56"/>
        <v>300</v>
      </c>
      <c r="M349" s="8">
        <f t="shared" si="61"/>
        <v>3.2640076528671003</v>
      </c>
      <c r="N349" s="6">
        <f t="shared" si="57"/>
        <v>3.2451013150929122</v>
      </c>
      <c r="O349" s="8">
        <f t="shared" si="64"/>
        <v>1416.7243082771399</v>
      </c>
      <c r="P349" s="8">
        <f t="shared" si="65"/>
        <v>1421.1343795347211</v>
      </c>
      <c r="Q349" s="8">
        <f t="shared" si="63"/>
        <v>3.2451013150929122</v>
      </c>
      <c r="T349" s="8">
        <f t="shared" si="55"/>
        <v>3.2451013150929122</v>
      </c>
    </row>
    <row r="350" spans="1:20" x14ac:dyDescent="0.2">
      <c r="B350">
        <f t="shared" si="62"/>
        <v>347</v>
      </c>
      <c r="C350">
        <f t="shared" si="58"/>
        <v>30</v>
      </c>
      <c r="D350">
        <v>336</v>
      </c>
      <c r="E350">
        <v>366</v>
      </c>
      <c r="F350">
        <f>PMSPLINE!F$15</f>
        <v>3.8466271034086219</v>
      </c>
      <c r="G350">
        <f>PMSPLINE!F$16</f>
        <v>2.0987687517840574</v>
      </c>
      <c r="H350" s="10">
        <f>PMSPLINE!K$15</f>
        <v>-7.9503119843536913E-4</v>
      </c>
      <c r="I350" s="10">
        <f>PMSPLINE!K$16</f>
        <v>1.4191815979634407E-3</v>
      </c>
      <c r="J350">
        <f t="shared" si="59"/>
        <v>0.6333333333333333</v>
      </c>
      <c r="K350">
        <f t="shared" si="60"/>
        <v>0.36666666666666664</v>
      </c>
      <c r="L350">
        <f t="shared" si="56"/>
        <v>301</v>
      </c>
      <c r="M350" s="8">
        <f t="shared" si="61"/>
        <v>3.2057457078129481</v>
      </c>
      <c r="N350" s="6">
        <f t="shared" si="57"/>
        <v>3.1834176377586587</v>
      </c>
      <c r="O350" s="8">
        <f t="shared" si="64"/>
        <v>1419.9300539849528</v>
      </c>
      <c r="P350" s="8">
        <f t="shared" si="65"/>
        <v>1424.3177971724797</v>
      </c>
      <c r="Q350" s="8">
        <f t="shared" si="63"/>
        <v>3.1834176377586587</v>
      </c>
      <c r="T350" s="8">
        <f t="shared" si="55"/>
        <v>3.1834176377586587</v>
      </c>
    </row>
    <row r="351" spans="1:20" x14ac:dyDescent="0.2">
      <c r="B351">
        <f t="shared" si="62"/>
        <v>348</v>
      </c>
      <c r="C351">
        <f t="shared" si="58"/>
        <v>30</v>
      </c>
      <c r="D351">
        <v>336</v>
      </c>
      <c r="E351">
        <v>366</v>
      </c>
      <c r="F351">
        <f>PMSPLINE!F$15</f>
        <v>3.8466271034086219</v>
      </c>
      <c r="G351">
        <f>PMSPLINE!F$16</f>
        <v>2.0987687517840574</v>
      </c>
      <c r="H351" s="10">
        <f>PMSPLINE!K$15</f>
        <v>-7.9503119843536913E-4</v>
      </c>
      <c r="I351" s="10">
        <f>PMSPLINE!K$16</f>
        <v>1.4191815979634407E-3</v>
      </c>
      <c r="J351">
        <f t="shared" si="59"/>
        <v>0.6</v>
      </c>
      <c r="K351">
        <f t="shared" si="60"/>
        <v>0.4</v>
      </c>
      <c r="L351">
        <f t="shared" si="56"/>
        <v>302</v>
      </c>
      <c r="M351" s="8">
        <f t="shared" si="61"/>
        <v>3.1474837627587959</v>
      </c>
      <c r="N351" s="6">
        <f t="shared" si="57"/>
        <v>3.1217508072513156</v>
      </c>
      <c r="O351" s="8">
        <f t="shared" si="64"/>
        <v>1423.0775377477116</v>
      </c>
      <c r="P351" s="8">
        <f t="shared" si="65"/>
        <v>1427.4395479797311</v>
      </c>
      <c r="Q351" s="8">
        <f t="shared" si="63"/>
        <v>3.1217508072513156</v>
      </c>
      <c r="T351" s="8">
        <f t="shared" si="55"/>
        <v>3.1217508072513156</v>
      </c>
    </row>
    <row r="352" spans="1:20" x14ac:dyDescent="0.2">
      <c r="B352">
        <f t="shared" si="62"/>
        <v>349</v>
      </c>
      <c r="C352">
        <f t="shared" si="58"/>
        <v>30</v>
      </c>
      <c r="D352">
        <v>336</v>
      </c>
      <c r="E352">
        <v>366</v>
      </c>
      <c r="F352">
        <f>PMSPLINE!F$15</f>
        <v>3.8466271034086219</v>
      </c>
      <c r="G352">
        <f>PMSPLINE!F$16</f>
        <v>2.0987687517840574</v>
      </c>
      <c r="H352" s="10">
        <f>PMSPLINE!K$15</f>
        <v>-7.9503119843536913E-4</v>
      </c>
      <c r="I352" s="10">
        <f>PMSPLINE!K$16</f>
        <v>1.4191815979634407E-3</v>
      </c>
      <c r="J352">
        <f t="shared" si="59"/>
        <v>0.56666666666666665</v>
      </c>
      <c r="K352">
        <f t="shared" si="60"/>
        <v>0.43333333333333335</v>
      </c>
      <c r="L352">
        <f t="shared" si="56"/>
        <v>303</v>
      </c>
      <c r="M352" s="8">
        <f t="shared" si="61"/>
        <v>3.0892218177046442</v>
      </c>
      <c r="N352" s="6">
        <f t="shared" si="57"/>
        <v>3.0601746306640973</v>
      </c>
      <c r="O352" s="8">
        <f t="shared" si="64"/>
        <v>1426.1667595654162</v>
      </c>
      <c r="P352" s="8">
        <f t="shared" si="65"/>
        <v>1430.4997226103951</v>
      </c>
      <c r="Q352" s="8">
        <f t="shared" si="63"/>
        <v>3.0601746306640973</v>
      </c>
      <c r="T352" s="8">
        <f t="shared" si="55"/>
        <v>3.0601746306640973</v>
      </c>
    </row>
    <row r="353" spans="2:20" x14ac:dyDescent="0.2">
      <c r="B353">
        <f t="shared" si="62"/>
        <v>350</v>
      </c>
      <c r="C353">
        <f t="shared" si="58"/>
        <v>30</v>
      </c>
      <c r="D353">
        <v>336</v>
      </c>
      <c r="E353">
        <v>366</v>
      </c>
      <c r="F353">
        <f>PMSPLINE!F$15</f>
        <v>3.8466271034086219</v>
      </c>
      <c r="G353">
        <f>PMSPLINE!F$16</f>
        <v>2.0987687517840574</v>
      </c>
      <c r="H353" s="10">
        <f>PMSPLINE!K$15</f>
        <v>-7.9503119843536913E-4</v>
      </c>
      <c r="I353" s="10">
        <f>PMSPLINE!K$16</f>
        <v>1.4191815979634407E-3</v>
      </c>
      <c r="J353">
        <f t="shared" si="59"/>
        <v>0.53333333333333333</v>
      </c>
      <c r="K353">
        <f t="shared" si="60"/>
        <v>0.46666666666666667</v>
      </c>
      <c r="L353">
        <f t="shared" si="56"/>
        <v>304</v>
      </c>
      <c r="M353" s="8">
        <f t="shared" si="61"/>
        <v>3.0309598726504916</v>
      </c>
      <c r="N353" s="6">
        <f t="shared" si="57"/>
        <v>2.9987629150902158</v>
      </c>
      <c r="O353" s="8">
        <f t="shared" si="64"/>
        <v>1429.1977194380668</v>
      </c>
      <c r="P353" s="8">
        <f t="shared" si="65"/>
        <v>1433.4984855254854</v>
      </c>
      <c r="Q353" s="8">
        <f t="shared" si="63"/>
        <v>2.9987629150902158</v>
      </c>
      <c r="T353" s="8">
        <f t="shared" si="55"/>
        <v>2.9987629150902158</v>
      </c>
    </row>
    <row r="354" spans="2:20" x14ac:dyDescent="0.2">
      <c r="B354">
        <f t="shared" si="62"/>
        <v>351</v>
      </c>
      <c r="C354">
        <f t="shared" si="58"/>
        <v>30</v>
      </c>
      <c r="D354">
        <v>336</v>
      </c>
      <c r="E354">
        <v>366</v>
      </c>
      <c r="F354">
        <f>PMSPLINE!F$15</f>
        <v>3.8466271034086219</v>
      </c>
      <c r="G354">
        <f>PMSPLINE!F$16</f>
        <v>2.0987687517840574</v>
      </c>
      <c r="H354" s="10">
        <f>PMSPLINE!K$15</f>
        <v>-7.9503119843536913E-4</v>
      </c>
      <c r="I354" s="10">
        <f>PMSPLINE!K$16</f>
        <v>1.4191815979634407E-3</v>
      </c>
      <c r="J354">
        <f t="shared" si="59"/>
        <v>0.5</v>
      </c>
      <c r="K354">
        <f t="shared" si="60"/>
        <v>0.5</v>
      </c>
      <c r="L354">
        <f t="shared" si="56"/>
        <v>305</v>
      </c>
      <c r="M354" s="8">
        <f t="shared" si="61"/>
        <v>2.9726979275963394</v>
      </c>
      <c r="N354" s="6">
        <f t="shared" si="57"/>
        <v>2.9375894676228853</v>
      </c>
      <c r="O354" s="8">
        <f t="shared" si="64"/>
        <v>1432.1704173656631</v>
      </c>
      <c r="P354" s="8">
        <f t="shared" si="65"/>
        <v>1436.4360749931084</v>
      </c>
      <c r="Q354" s="8">
        <f t="shared" si="63"/>
        <v>2.9375894676228853</v>
      </c>
      <c r="T354" s="8">
        <f t="shared" si="55"/>
        <v>2.9375894676228853</v>
      </c>
    </row>
    <row r="355" spans="2:20" x14ac:dyDescent="0.2">
      <c r="B355">
        <f t="shared" si="62"/>
        <v>352</v>
      </c>
      <c r="C355">
        <f t="shared" si="58"/>
        <v>30</v>
      </c>
      <c r="D355">
        <v>336</v>
      </c>
      <c r="E355">
        <v>366</v>
      </c>
      <c r="F355">
        <f>PMSPLINE!F$15</f>
        <v>3.8466271034086219</v>
      </c>
      <c r="G355">
        <f>PMSPLINE!F$16</f>
        <v>2.0987687517840574</v>
      </c>
      <c r="H355" s="10">
        <f>PMSPLINE!K$15</f>
        <v>-7.9503119843536913E-4</v>
      </c>
      <c r="I355" s="10">
        <f>PMSPLINE!K$16</f>
        <v>1.4191815979634407E-3</v>
      </c>
      <c r="J355">
        <f t="shared" si="59"/>
        <v>0.46666666666666667</v>
      </c>
      <c r="K355">
        <f t="shared" si="60"/>
        <v>0.53333333333333333</v>
      </c>
      <c r="L355">
        <f t="shared" si="56"/>
        <v>306</v>
      </c>
      <c r="M355" s="8">
        <f t="shared" si="61"/>
        <v>2.9144359825421873</v>
      </c>
      <c r="N355" s="6">
        <f t="shared" si="57"/>
        <v>2.8767280953553191</v>
      </c>
      <c r="O355" s="8">
        <f t="shared" si="64"/>
        <v>1435.0848533482053</v>
      </c>
      <c r="P355" s="8">
        <f t="shared" si="65"/>
        <v>1439.3128030884636</v>
      </c>
      <c r="Q355" s="8">
        <f t="shared" si="63"/>
        <v>2.8767280953553191</v>
      </c>
      <c r="T355" s="8">
        <f t="shared" si="55"/>
        <v>2.8767280953553191</v>
      </c>
    </row>
    <row r="356" spans="2:20" x14ac:dyDescent="0.2">
      <c r="B356">
        <f t="shared" si="62"/>
        <v>353</v>
      </c>
      <c r="C356">
        <f t="shared" si="58"/>
        <v>30</v>
      </c>
      <c r="D356">
        <v>336</v>
      </c>
      <c r="E356">
        <v>366</v>
      </c>
      <c r="F356">
        <f>PMSPLINE!F$15</f>
        <v>3.8466271034086219</v>
      </c>
      <c r="G356">
        <f>PMSPLINE!F$16</f>
        <v>2.0987687517840574</v>
      </c>
      <c r="H356" s="10">
        <f>PMSPLINE!K$15</f>
        <v>-7.9503119843536913E-4</v>
      </c>
      <c r="I356" s="10">
        <f>PMSPLINE!K$16</f>
        <v>1.4191815979634407E-3</v>
      </c>
      <c r="J356">
        <f t="shared" si="59"/>
        <v>0.43333333333333335</v>
      </c>
      <c r="K356">
        <f t="shared" si="60"/>
        <v>0.56666666666666665</v>
      </c>
      <c r="L356">
        <f t="shared" si="56"/>
        <v>307</v>
      </c>
      <c r="M356" s="8">
        <f t="shared" si="61"/>
        <v>2.8561740374880351</v>
      </c>
      <c r="N356" s="6">
        <f t="shared" si="57"/>
        <v>2.81625260538073</v>
      </c>
      <c r="O356" s="8">
        <f t="shared" si="64"/>
        <v>1437.9410273856934</v>
      </c>
      <c r="P356" s="8">
        <f t="shared" si="65"/>
        <v>1442.1290556938443</v>
      </c>
      <c r="Q356" s="8">
        <f t="shared" si="63"/>
        <v>2.81625260538073</v>
      </c>
      <c r="T356" s="8">
        <f t="shared" si="55"/>
        <v>2.81625260538073</v>
      </c>
    </row>
    <row r="357" spans="2:20" x14ac:dyDescent="0.2">
      <c r="B357">
        <f t="shared" si="62"/>
        <v>354</v>
      </c>
      <c r="C357">
        <f t="shared" si="58"/>
        <v>30</v>
      </c>
      <c r="D357">
        <v>336</v>
      </c>
      <c r="E357">
        <v>366</v>
      </c>
      <c r="F357">
        <f>PMSPLINE!F$15</f>
        <v>3.8466271034086219</v>
      </c>
      <c r="G357">
        <f>PMSPLINE!F$16</f>
        <v>2.0987687517840574</v>
      </c>
      <c r="H357" s="10">
        <f>PMSPLINE!K$15</f>
        <v>-7.9503119843536913E-4</v>
      </c>
      <c r="I357" s="10">
        <f>PMSPLINE!K$16</f>
        <v>1.4191815979634407E-3</v>
      </c>
      <c r="J357">
        <f t="shared" si="59"/>
        <v>0.4</v>
      </c>
      <c r="K357">
        <f t="shared" si="60"/>
        <v>0.6</v>
      </c>
      <c r="L357">
        <f t="shared" si="56"/>
        <v>308</v>
      </c>
      <c r="M357" s="8">
        <f t="shared" si="61"/>
        <v>2.7979120924338829</v>
      </c>
      <c r="N357" s="6">
        <f t="shared" si="57"/>
        <v>2.7562368047923314</v>
      </c>
      <c r="O357" s="8">
        <f t="shared" si="64"/>
        <v>1440.7389394781273</v>
      </c>
      <c r="P357" s="8">
        <f t="shared" si="65"/>
        <v>1444.8852924986365</v>
      </c>
      <c r="Q357" s="8">
        <f t="shared" si="63"/>
        <v>2.7562368047923314</v>
      </c>
      <c r="T357" s="8">
        <f t="shared" si="55"/>
        <v>2.7562368047923314</v>
      </c>
    </row>
    <row r="358" spans="2:20" x14ac:dyDescent="0.2">
      <c r="B358">
        <f t="shared" si="62"/>
        <v>355</v>
      </c>
      <c r="C358">
        <f t="shared" si="58"/>
        <v>30</v>
      </c>
      <c r="D358">
        <v>336</v>
      </c>
      <c r="E358">
        <v>366</v>
      </c>
      <c r="F358">
        <f>PMSPLINE!F$15</f>
        <v>3.8466271034086219</v>
      </c>
      <c r="G358">
        <f>PMSPLINE!F$16</f>
        <v>2.0987687517840574</v>
      </c>
      <c r="H358" s="10">
        <f>PMSPLINE!K$15</f>
        <v>-7.9503119843536913E-4</v>
      </c>
      <c r="I358" s="10">
        <f>PMSPLINE!K$16</f>
        <v>1.4191815979634407E-3</v>
      </c>
      <c r="J358">
        <f t="shared" si="59"/>
        <v>0.36666666666666664</v>
      </c>
      <c r="K358">
        <f t="shared" si="60"/>
        <v>0.6333333333333333</v>
      </c>
      <c r="L358">
        <f t="shared" si="56"/>
        <v>309</v>
      </c>
      <c r="M358" s="8">
        <f t="shared" si="61"/>
        <v>2.7396501473797308</v>
      </c>
      <c r="N358" s="6">
        <f t="shared" si="57"/>
        <v>2.6967545006833369</v>
      </c>
      <c r="O358" s="8">
        <f t="shared" si="64"/>
        <v>1443.4785896255071</v>
      </c>
      <c r="P358" s="8">
        <f t="shared" si="65"/>
        <v>1447.5820469993198</v>
      </c>
      <c r="Q358" s="8">
        <f t="shared" si="63"/>
        <v>2.6967545006833369</v>
      </c>
      <c r="T358" s="8">
        <f t="shared" si="55"/>
        <v>2.6967545006833369</v>
      </c>
    </row>
    <row r="359" spans="2:20" x14ac:dyDescent="0.2">
      <c r="B359">
        <f t="shared" si="62"/>
        <v>356</v>
      </c>
      <c r="C359">
        <f t="shared" si="58"/>
        <v>30</v>
      </c>
      <c r="D359">
        <v>336</v>
      </c>
      <c r="E359">
        <v>366</v>
      </c>
      <c r="F359">
        <f>PMSPLINE!F$15</f>
        <v>3.8466271034086219</v>
      </c>
      <c r="G359">
        <f>PMSPLINE!F$16</f>
        <v>2.0987687517840574</v>
      </c>
      <c r="H359" s="10">
        <f>PMSPLINE!K$15</f>
        <v>-7.9503119843536913E-4</v>
      </c>
      <c r="I359" s="10">
        <f>PMSPLINE!K$16</f>
        <v>1.4191815979634407E-3</v>
      </c>
      <c r="J359">
        <f t="shared" si="59"/>
        <v>0.33333333333333331</v>
      </c>
      <c r="K359">
        <f t="shared" si="60"/>
        <v>0.66666666666666663</v>
      </c>
      <c r="L359">
        <f t="shared" si="56"/>
        <v>310</v>
      </c>
      <c r="M359" s="8">
        <f t="shared" si="61"/>
        <v>2.6813882023255786</v>
      </c>
      <c r="N359" s="6">
        <f t="shared" si="57"/>
        <v>2.6378795001469593</v>
      </c>
      <c r="O359" s="8">
        <f t="shared" si="64"/>
        <v>1446.1599778278326</v>
      </c>
      <c r="P359" s="8">
        <f t="shared" si="65"/>
        <v>1450.2199264994667</v>
      </c>
      <c r="Q359" s="8">
        <f t="shared" si="63"/>
        <v>2.6378795001469593</v>
      </c>
      <c r="T359" s="8">
        <f t="shared" si="55"/>
        <v>2.6378795001469593</v>
      </c>
    </row>
    <row r="360" spans="2:20" x14ac:dyDescent="0.2">
      <c r="B360">
        <f t="shared" si="62"/>
        <v>357</v>
      </c>
      <c r="C360">
        <f t="shared" si="58"/>
        <v>30</v>
      </c>
      <c r="D360">
        <v>336</v>
      </c>
      <c r="E360">
        <v>366</v>
      </c>
      <c r="F360">
        <f>PMSPLINE!F$15</f>
        <v>3.8466271034086219</v>
      </c>
      <c r="G360">
        <f>PMSPLINE!F$16</f>
        <v>2.0987687517840574</v>
      </c>
      <c r="H360" s="10">
        <f>PMSPLINE!K$15</f>
        <v>-7.9503119843536913E-4</v>
      </c>
      <c r="I360" s="10">
        <f>PMSPLINE!K$16</f>
        <v>1.4191815979634407E-3</v>
      </c>
      <c r="J360">
        <f t="shared" si="59"/>
        <v>0.3</v>
      </c>
      <c r="K360">
        <f t="shared" si="60"/>
        <v>0.7</v>
      </c>
      <c r="L360">
        <f t="shared" si="56"/>
        <v>311</v>
      </c>
      <c r="M360" s="8">
        <f t="shared" si="61"/>
        <v>2.6231262572714265</v>
      </c>
      <c r="N360" s="6">
        <f t="shared" si="57"/>
        <v>2.5796856102764125</v>
      </c>
      <c r="O360" s="8">
        <f t="shared" si="64"/>
        <v>1448.783104085104</v>
      </c>
      <c r="P360" s="8">
        <f t="shared" si="65"/>
        <v>1452.7996121097431</v>
      </c>
      <c r="Q360" s="8">
        <f t="shared" si="63"/>
        <v>2.5796856102764125</v>
      </c>
      <c r="T360" s="8">
        <f t="shared" si="55"/>
        <v>2.5796856102764125</v>
      </c>
    </row>
    <row r="361" spans="2:20" x14ac:dyDescent="0.2">
      <c r="B361">
        <f t="shared" si="62"/>
        <v>358</v>
      </c>
      <c r="C361">
        <f t="shared" si="58"/>
        <v>30</v>
      </c>
      <c r="D361">
        <v>336</v>
      </c>
      <c r="E361">
        <v>366</v>
      </c>
      <c r="F361">
        <f>PMSPLINE!F$15</f>
        <v>3.8466271034086219</v>
      </c>
      <c r="G361">
        <f>PMSPLINE!F$16</f>
        <v>2.0987687517840574</v>
      </c>
      <c r="H361" s="10">
        <f>PMSPLINE!K$15</f>
        <v>-7.9503119843536913E-4</v>
      </c>
      <c r="I361" s="10">
        <f>PMSPLINE!K$16</f>
        <v>1.4191815979634407E-3</v>
      </c>
      <c r="J361">
        <f t="shared" si="59"/>
        <v>0.26666666666666666</v>
      </c>
      <c r="K361">
        <f t="shared" si="60"/>
        <v>0.73333333333333328</v>
      </c>
      <c r="L361">
        <f t="shared" si="56"/>
        <v>312</v>
      </c>
      <c r="M361" s="8">
        <f t="shared" si="61"/>
        <v>2.5648643122172743</v>
      </c>
      <c r="N361" s="6">
        <f t="shared" si="57"/>
        <v>2.5222466381649093</v>
      </c>
      <c r="O361" s="8">
        <f t="shared" si="64"/>
        <v>1451.3479683973212</v>
      </c>
      <c r="P361" s="8">
        <f t="shared" si="65"/>
        <v>1455.321858747908</v>
      </c>
      <c r="Q361" s="8">
        <f t="shared" si="63"/>
        <v>2.5222466381649093</v>
      </c>
      <c r="T361" s="8">
        <f t="shared" si="55"/>
        <v>2.5222466381649093</v>
      </c>
    </row>
    <row r="362" spans="2:20" x14ac:dyDescent="0.2">
      <c r="B362">
        <f t="shared" si="62"/>
        <v>359</v>
      </c>
      <c r="C362">
        <f t="shared" si="58"/>
        <v>30</v>
      </c>
      <c r="D362">
        <v>336</v>
      </c>
      <c r="E362">
        <v>366</v>
      </c>
      <c r="F362">
        <f>PMSPLINE!F$15</f>
        <v>3.8466271034086219</v>
      </c>
      <c r="G362">
        <f>PMSPLINE!F$16</f>
        <v>2.0987687517840574</v>
      </c>
      <c r="H362" s="10">
        <f>PMSPLINE!K$15</f>
        <v>-7.9503119843536913E-4</v>
      </c>
      <c r="I362" s="10">
        <f>PMSPLINE!K$16</f>
        <v>1.4191815979634407E-3</v>
      </c>
      <c r="J362">
        <f t="shared" si="59"/>
        <v>0.23333333333333334</v>
      </c>
      <c r="K362">
        <f t="shared" si="60"/>
        <v>0.76666666666666672</v>
      </c>
      <c r="L362">
        <f t="shared" si="56"/>
        <v>313</v>
      </c>
      <c r="M362" s="8">
        <f t="shared" si="61"/>
        <v>2.5066023671631226</v>
      </c>
      <c r="N362" s="6">
        <f t="shared" si="57"/>
        <v>2.4656363909056638</v>
      </c>
      <c r="O362" s="8">
        <f t="shared" si="64"/>
        <v>1453.8545707644844</v>
      </c>
      <c r="P362" s="8">
        <f t="shared" si="65"/>
        <v>1457.7874951388137</v>
      </c>
      <c r="Q362" s="8">
        <f t="shared" si="63"/>
        <v>2.4656363909056638</v>
      </c>
      <c r="T362" s="8">
        <f t="shared" si="55"/>
        <v>2.4656363909056638</v>
      </c>
    </row>
    <row r="363" spans="2:20" x14ac:dyDescent="0.2">
      <c r="B363">
        <f t="shared" si="62"/>
        <v>360</v>
      </c>
      <c r="C363">
        <f t="shared" si="58"/>
        <v>30</v>
      </c>
      <c r="D363">
        <v>336</v>
      </c>
      <c r="E363">
        <v>366</v>
      </c>
      <c r="F363">
        <f>PMSPLINE!F$15</f>
        <v>3.8466271034086219</v>
      </c>
      <c r="G363">
        <f>PMSPLINE!F$16</f>
        <v>2.0987687517840574</v>
      </c>
      <c r="H363" s="10">
        <f>PMSPLINE!K$15</f>
        <v>-7.9503119843536913E-4</v>
      </c>
      <c r="I363" s="10">
        <f>PMSPLINE!K$16</f>
        <v>1.4191815979634407E-3</v>
      </c>
      <c r="J363">
        <f t="shared" si="59"/>
        <v>0.2</v>
      </c>
      <c r="K363">
        <f t="shared" si="60"/>
        <v>0.8</v>
      </c>
      <c r="L363">
        <f t="shared" si="56"/>
        <v>314</v>
      </c>
      <c r="M363" s="8">
        <f t="shared" si="61"/>
        <v>2.4483404221089704</v>
      </c>
      <c r="N363" s="6">
        <f t="shared" si="57"/>
        <v>2.4099286755918885</v>
      </c>
      <c r="O363" s="8">
        <f t="shared" si="64"/>
        <v>1456.3029111865933</v>
      </c>
      <c r="P363" s="8">
        <f t="shared" si="65"/>
        <v>1460.1974238144055</v>
      </c>
      <c r="Q363" s="8">
        <f t="shared" si="63"/>
        <v>2.4099286755918885</v>
      </c>
      <c r="T363" s="8">
        <f t="shared" si="55"/>
        <v>2.4099286755918885</v>
      </c>
    </row>
    <row r="364" spans="2:20" x14ac:dyDescent="0.2">
      <c r="B364">
        <f t="shared" si="62"/>
        <v>361</v>
      </c>
      <c r="C364">
        <f t="shared" si="58"/>
        <v>30</v>
      </c>
      <c r="D364">
        <v>336</v>
      </c>
      <c r="E364">
        <v>366</v>
      </c>
      <c r="F364">
        <f>PMSPLINE!F$15</f>
        <v>3.8466271034086219</v>
      </c>
      <c r="G364">
        <f>PMSPLINE!F$16</f>
        <v>2.0987687517840574</v>
      </c>
      <c r="H364" s="10">
        <f>PMSPLINE!K$15</f>
        <v>-7.9503119843536913E-4</v>
      </c>
      <c r="I364" s="10">
        <f>PMSPLINE!K$16</f>
        <v>1.4191815979634407E-3</v>
      </c>
      <c r="J364">
        <f t="shared" si="59"/>
        <v>0.16666666666666666</v>
      </c>
      <c r="K364">
        <f t="shared" si="60"/>
        <v>0.83333333333333337</v>
      </c>
      <c r="L364">
        <f t="shared" si="56"/>
        <v>315</v>
      </c>
      <c r="M364" s="8">
        <f t="shared" si="61"/>
        <v>2.3900784770548182</v>
      </c>
      <c r="N364" s="6">
        <f t="shared" si="57"/>
        <v>2.3551972993167967</v>
      </c>
      <c r="O364" s="8">
        <f t="shared" si="64"/>
        <v>1458.6929896636482</v>
      </c>
      <c r="P364" s="8">
        <f t="shared" si="65"/>
        <v>1462.5526211137224</v>
      </c>
      <c r="Q364" s="8">
        <f t="shared" si="63"/>
        <v>2.3551972993167967</v>
      </c>
      <c r="T364" s="8">
        <f t="shared" si="55"/>
        <v>2.3551972993167967</v>
      </c>
    </row>
    <row r="365" spans="2:20" x14ac:dyDescent="0.2">
      <c r="B365">
        <f t="shared" si="62"/>
        <v>362</v>
      </c>
      <c r="C365">
        <f t="shared" si="58"/>
        <v>30</v>
      </c>
      <c r="D365">
        <v>336</v>
      </c>
      <c r="E365">
        <v>366</v>
      </c>
      <c r="F365">
        <f>PMSPLINE!F$15</f>
        <v>3.8466271034086219</v>
      </c>
      <c r="G365">
        <f>PMSPLINE!F$16</f>
        <v>2.0987687517840574</v>
      </c>
      <c r="H365" s="10">
        <f>PMSPLINE!K$15</f>
        <v>-7.9503119843536913E-4</v>
      </c>
      <c r="I365" s="10">
        <f>PMSPLINE!K$16</f>
        <v>1.4191815979634407E-3</v>
      </c>
      <c r="J365">
        <f t="shared" si="59"/>
        <v>0.13333333333333333</v>
      </c>
      <c r="K365">
        <f t="shared" si="60"/>
        <v>0.8666666666666667</v>
      </c>
      <c r="L365">
        <f t="shared" si="56"/>
        <v>316</v>
      </c>
      <c r="M365" s="8">
        <f t="shared" si="61"/>
        <v>2.3318165320006661</v>
      </c>
      <c r="N365" s="6">
        <f t="shared" si="57"/>
        <v>2.3015160691736014</v>
      </c>
      <c r="O365" s="8">
        <f t="shared" si="64"/>
        <v>1461.0248061956488</v>
      </c>
      <c r="P365" s="8">
        <f t="shared" si="65"/>
        <v>1464.854137182896</v>
      </c>
      <c r="Q365" s="8">
        <f t="shared" si="63"/>
        <v>2.3015160691736014</v>
      </c>
      <c r="T365" s="8">
        <f t="shared" si="55"/>
        <v>2.3015160691736014</v>
      </c>
    </row>
    <row r="366" spans="2:20" x14ac:dyDescent="0.2">
      <c r="B366">
        <f t="shared" si="62"/>
        <v>363</v>
      </c>
      <c r="C366">
        <f t="shared" si="58"/>
        <v>30</v>
      </c>
      <c r="D366">
        <v>336</v>
      </c>
      <c r="E366">
        <v>366</v>
      </c>
      <c r="F366">
        <f>PMSPLINE!F$15</f>
        <v>3.8466271034086219</v>
      </c>
      <c r="G366">
        <f>PMSPLINE!F$16</f>
        <v>2.0987687517840574</v>
      </c>
      <c r="H366" s="10">
        <f>PMSPLINE!K$15</f>
        <v>-7.9503119843536913E-4</v>
      </c>
      <c r="I366" s="10">
        <f>PMSPLINE!K$16</f>
        <v>1.4191815979634407E-3</v>
      </c>
      <c r="J366">
        <f t="shared" si="59"/>
        <v>0.1</v>
      </c>
      <c r="K366">
        <f t="shared" si="60"/>
        <v>0.9</v>
      </c>
      <c r="L366">
        <f t="shared" si="56"/>
        <v>317</v>
      </c>
      <c r="M366" s="8">
        <f t="shared" si="61"/>
        <v>2.2735545869465139</v>
      </c>
      <c r="N366" s="6">
        <f t="shared" si="57"/>
        <v>2.2489587922555168</v>
      </c>
      <c r="O366" s="8">
        <f t="shared" si="64"/>
        <v>1463.2983607825954</v>
      </c>
      <c r="P366" s="8">
        <f t="shared" si="65"/>
        <v>1467.1030959751515</v>
      </c>
      <c r="Q366" s="8">
        <f t="shared" si="63"/>
        <v>2.2489587922555168</v>
      </c>
      <c r="T366" s="8">
        <f t="shared" si="55"/>
        <v>2.2489587922555168</v>
      </c>
    </row>
    <row r="367" spans="2:20" x14ac:dyDescent="0.2">
      <c r="B367">
        <f t="shared" si="62"/>
        <v>364</v>
      </c>
      <c r="C367">
        <f t="shared" si="58"/>
        <v>30</v>
      </c>
      <c r="D367">
        <v>336</v>
      </c>
      <c r="E367">
        <v>366</v>
      </c>
      <c r="F367">
        <f>PMSPLINE!F$15</f>
        <v>3.8466271034086219</v>
      </c>
      <c r="G367">
        <f>PMSPLINE!F$16</f>
        <v>2.0987687517840574</v>
      </c>
      <c r="H367" s="10">
        <f>PMSPLINE!K$15</f>
        <v>-7.9503119843536913E-4</v>
      </c>
      <c r="I367" s="10">
        <f>PMSPLINE!K$16</f>
        <v>1.4191815979634407E-3</v>
      </c>
      <c r="J367">
        <f t="shared" si="59"/>
        <v>6.6666666666666666E-2</v>
      </c>
      <c r="K367">
        <f t="shared" si="60"/>
        <v>0.93333333333333335</v>
      </c>
      <c r="L367">
        <f t="shared" si="56"/>
        <v>318</v>
      </c>
      <c r="M367" s="8">
        <f t="shared" si="61"/>
        <v>2.2152926418923617</v>
      </c>
      <c r="N367" s="6">
        <f t="shared" si="57"/>
        <v>2.1975992756557559</v>
      </c>
      <c r="O367" s="8">
        <f t="shared" si="64"/>
        <v>1465.5136534244878</v>
      </c>
      <c r="P367" s="8">
        <f t="shared" si="65"/>
        <v>1469.3006952508072</v>
      </c>
      <c r="Q367" s="8">
        <f t="shared" si="63"/>
        <v>2.1975992756557559</v>
      </c>
      <c r="T367" s="8">
        <f t="shared" si="55"/>
        <v>2.1975992756557559</v>
      </c>
    </row>
    <row r="368" spans="2:20" x14ac:dyDescent="0.2">
      <c r="B368">
        <f t="shared" si="62"/>
        <v>365</v>
      </c>
      <c r="C368">
        <f t="shared" si="58"/>
        <v>30</v>
      </c>
      <c r="D368">
        <v>336</v>
      </c>
      <c r="E368">
        <v>366</v>
      </c>
      <c r="F368">
        <f>PMSPLINE!F$15</f>
        <v>3.8466271034086219</v>
      </c>
      <c r="G368">
        <f>PMSPLINE!F$16</f>
        <v>2.0987687517840574</v>
      </c>
      <c r="H368" s="10">
        <f>PMSPLINE!K$15</f>
        <v>-7.9503119843536913E-4</v>
      </c>
      <c r="I368" s="10">
        <f>PMSPLINE!K$16</f>
        <v>1.4191815979634407E-3</v>
      </c>
      <c r="J368">
        <f t="shared" si="59"/>
        <v>3.3333333333333333E-2</v>
      </c>
      <c r="K368">
        <f t="shared" si="60"/>
        <v>0.96666666666666667</v>
      </c>
      <c r="L368">
        <f t="shared" si="56"/>
        <v>319</v>
      </c>
      <c r="M368" s="8">
        <f t="shared" si="61"/>
        <v>2.1570306968382096</v>
      </c>
      <c r="N368" s="6">
        <f t="shared" si="57"/>
        <v>2.1475113264675314</v>
      </c>
      <c r="O368" s="8">
        <f t="shared" si="64"/>
        <v>1467.6706841213261</v>
      </c>
      <c r="P368" s="8">
        <f t="shared" si="65"/>
        <v>1471.4482065772747</v>
      </c>
      <c r="Q368" s="8">
        <f t="shared" si="63"/>
        <v>2.1475113264675314</v>
      </c>
      <c r="T368" s="8">
        <f t="shared" si="55"/>
        <v>2.1475113264675314</v>
      </c>
    </row>
    <row r="369" spans="1:20" x14ac:dyDescent="0.2">
      <c r="A369">
        <v>366</v>
      </c>
      <c r="B369">
        <f t="shared" ref="B369:B432" si="66">B368+1</f>
        <v>366</v>
      </c>
      <c r="C369">
        <f t="shared" ref="C369:C432" si="67">E369-D369</f>
        <v>30</v>
      </c>
      <c r="D369">
        <v>336</v>
      </c>
      <c r="E369">
        <v>366</v>
      </c>
      <c r="F369">
        <f>PMSPLINE!F$15</f>
        <v>3.8466271034086219</v>
      </c>
      <c r="G369">
        <f>PMSPLINE!F$16</f>
        <v>2.0987687517840574</v>
      </c>
      <c r="H369" s="10">
        <f>PMSPLINE!K$15</f>
        <v>-7.9503119843536913E-4</v>
      </c>
      <c r="I369" s="10">
        <f>PMSPLINE!K$16</f>
        <v>1.4191815979634407E-3</v>
      </c>
      <c r="J369">
        <f t="shared" ref="J369:J432" si="68">(E369-B369)/C369</f>
        <v>0</v>
      </c>
      <c r="K369">
        <f t="shared" ref="K369:K432" si="69">(B369-D369)/C369</f>
        <v>1</v>
      </c>
      <c r="L369">
        <f t="shared" si="56"/>
        <v>320</v>
      </c>
      <c r="M369" s="8">
        <f t="shared" ref="M369:M432" si="70">J369*F369+K369*G369</f>
        <v>2.0987687517840574</v>
      </c>
      <c r="N369" s="6">
        <f t="shared" si="57"/>
        <v>2.0987687517840574</v>
      </c>
      <c r="O369" s="8">
        <f t="shared" ref="O369:O432" si="71">O368+M369</f>
        <v>1469.7694528731101</v>
      </c>
      <c r="P369" s="8">
        <f t="shared" ref="P369:P432" si="72">P368+N369</f>
        <v>1473.5469753290588</v>
      </c>
      <c r="Q369" s="8">
        <f t="shared" si="63"/>
        <v>2.0987687517840574</v>
      </c>
      <c r="T369" s="8">
        <f t="shared" si="55"/>
        <v>2.0987687517840574</v>
      </c>
    </row>
    <row r="370" spans="1:20" x14ac:dyDescent="0.2">
      <c r="B370">
        <f t="shared" si="66"/>
        <v>367</v>
      </c>
      <c r="C370">
        <f t="shared" si="67"/>
        <v>31</v>
      </c>
      <c r="D370">
        <v>366</v>
      </c>
      <c r="E370">
        <v>397</v>
      </c>
      <c r="F370">
        <f>PMSPLINE!F$16</f>
        <v>2.0987687517840574</v>
      </c>
      <c r="G370">
        <f>PMSPLINE!F$17</f>
        <v>1.144113017729536</v>
      </c>
      <c r="H370" s="10">
        <f>PMSPLINE!K$16</f>
        <v>1.4191815979634407E-3</v>
      </c>
      <c r="I370" s="10">
        <f>PMSPLINE!K$17</f>
        <v>5.0033463766111625E-4</v>
      </c>
      <c r="J370">
        <f t="shared" si="68"/>
        <v>0.967741935483871</v>
      </c>
      <c r="K370">
        <f t="shared" si="69"/>
        <v>3.2258064516129031E-2</v>
      </c>
      <c r="L370">
        <f t="shared" si="56"/>
        <v>321</v>
      </c>
      <c r="M370" s="8">
        <f t="shared" si="70"/>
        <v>2.067973405524234</v>
      </c>
      <c r="N370" s="6">
        <f t="shared" si="57"/>
        <v>2.0514281174789235</v>
      </c>
      <c r="O370" s="8">
        <f t="shared" si="71"/>
        <v>1471.8374262786344</v>
      </c>
      <c r="P370" s="8">
        <f t="shared" si="72"/>
        <v>1475.5984034465378</v>
      </c>
      <c r="Q370" s="8">
        <f t="shared" si="63"/>
        <v>2.0514281174789235</v>
      </c>
      <c r="T370" s="8">
        <f t="shared" ref="T370:T413" si="73">N370</f>
        <v>2.0514281174789235</v>
      </c>
    </row>
    <row r="371" spans="1:20" x14ac:dyDescent="0.2">
      <c r="B371">
        <f t="shared" si="66"/>
        <v>368</v>
      </c>
      <c r="C371">
        <f t="shared" si="67"/>
        <v>31</v>
      </c>
      <c r="D371">
        <v>366</v>
      </c>
      <c r="E371">
        <v>397</v>
      </c>
      <c r="F371">
        <f>PMSPLINE!F$16</f>
        <v>2.0987687517840574</v>
      </c>
      <c r="G371">
        <f>PMSPLINE!F$17</f>
        <v>1.144113017729536</v>
      </c>
      <c r="H371" s="10">
        <f>PMSPLINE!K$16</f>
        <v>1.4191815979634407E-3</v>
      </c>
      <c r="I371" s="10">
        <f>PMSPLINE!K$17</f>
        <v>5.0033463766111625E-4</v>
      </c>
      <c r="J371">
        <f t="shared" si="68"/>
        <v>0.93548387096774188</v>
      </c>
      <c r="K371">
        <f t="shared" si="69"/>
        <v>6.4516129032258063E-2</v>
      </c>
      <c r="L371">
        <f t="shared" ref="L371:L414" si="74">B371-46</f>
        <v>322</v>
      </c>
      <c r="M371" s="8">
        <f t="shared" si="70"/>
        <v>2.0371780592644106</v>
      </c>
      <c r="N371" s="6">
        <f t="shared" si="57"/>
        <v>2.0054770245472269</v>
      </c>
      <c r="O371" s="8">
        <f t="shared" si="71"/>
        <v>1473.8746043378987</v>
      </c>
      <c r="P371" s="8">
        <f t="shared" si="72"/>
        <v>1477.6038804710849</v>
      </c>
      <c r="Q371" s="8">
        <f t="shared" si="63"/>
        <v>2.0054770245472269</v>
      </c>
      <c r="T371" s="8">
        <f t="shared" si="73"/>
        <v>2.0054770245472269</v>
      </c>
    </row>
    <row r="372" spans="1:20" x14ac:dyDescent="0.2">
      <c r="B372">
        <f t="shared" si="66"/>
        <v>369</v>
      </c>
      <c r="C372">
        <f t="shared" si="67"/>
        <v>31</v>
      </c>
      <c r="D372">
        <v>366</v>
      </c>
      <c r="E372">
        <v>397</v>
      </c>
      <c r="F372">
        <f>PMSPLINE!F$16</f>
        <v>2.0987687517840574</v>
      </c>
      <c r="G372">
        <f>PMSPLINE!F$17</f>
        <v>1.144113017729536</v>
      </c>
      <c r="H372" s="10">
        <f>PMSPLINE!K$16</f>
        <v>1.4191815979634407E-3</v>
      </c>
      <c r="I372" s="10">
        <f>PMSPLINE!K$17</f>
        <v>5.0033463766111625E-4</v>
      </c>
      <c r="J372">
        <f t="shared" si="68"/>
        <v>0.90322580645161288</v>
      </c>
      <c r="K372">
        <f t="shared" si="69"/>
        <v>9.6774193548387094E-2</v>
      </c>
      <c r="L372">
        <f t="shared" si="74"/>
        <v>323</v>
      </c>
      <c r="M372" s="8">
        <f t="shared" si="70"/>
        <v>2.0063827130045877</v>
      </c>
      <c r="N372" s="6">
        <f t="shared" si="57"/>
        <v>1.9608858327644427</v>
      </c>
      <c r="O372" s="8">
        <f t="shared" si="71"/>
        <v>1475.8809870509033</v>
      </c>
      <c r="P372" s="8">
        <f t="shared" si="72"/>
        <v>1479.5647663038494</v>
      </c>
      <c r="Q372" s="8">
        <f t="shared" si="63"/>
        <v>1.9608858327644427</v>
      </c>
      <c r="T372" s="8">
        <f t="shared" si="73"/>
        <v>1.9608858327644427</v>
      </c>
    </row>
    <row r="373" spans="1:20" x14ac:dyDescent="0.2">
      <c r="B373">
        <f t="shared" si="66"/>
        <v>370</v>
      </c>
      <c r="C373">
        <f t="shared" si="67"/>
        <v>31</v>
      </c>
      <c r="D373">
        <v>366</v>
      </c>
      <c r="E373">
        <v>397</v>
      </c>
      <c r="F373">
        <f>PMSPLINE!F$16</f>
        <v>2.0987687517840574</v>
      </c>
      <c r="G373">
        <f>PMSPLINE!F$17</f>
        <v>1.144113017729536</v>
      </c>
      <c r="H373" s="10">
        <f>PMSPLINE!K$16</f>
        <v>1.4191815979634407E-3</v>
      </c>
      <c r="I373" s="10">
        <f>PMSPLINE!K$17</f>
        <v>5.0033463766111625E-4</v>
      </c>
      <c r="J373">
        <f t="shared" si="68"/>
        <v>0.87096774193548387</v>
      </c>
      <c r="K373">
        <f t="shared" si="69"/>
        <v>0.12903225806451613</v>
      </c>
      <c r="L373">
        <f t="shared" si="74"/>
        <v>324</v>
      </c>
      <c r="M373" s="8">
        <f t="shared" si="70"/>
        <v>1.9755873667447643</v>
      </c>
      <c r="N373" s="6">
        <f t="shared" si="57"/>
        <v>1.9176249019060438</v>
      </c>
      <c r="O373" s="8">
        <f t="shared" si="71"/>
        <v>1477.8565744176481</v>
      </c>
      <c r="P373" s="8">
        <f t="shared" si="72"/>
        <v>1481.4823912057554</v>
      </c>
      <c r="Q373" s="8">
        <f t="shared" si="63"/>
        <v>1.9176249019060438</v>
      </c>
      <c r="T373" s="8">
        <f t="shared" si="73"/>
        <v>1.9176249019060438</v>
      </c>
    </row>
    <row r="374" spans="1:20" x14ac:dyDescent="0.2">
      <c r="B374">
        <f t="shared" si="66"/>
        <v>371</v>
      </c>
      <c r="C374">
        <f t="shared" si="67"/>
        <v>31</v>
      </c>
      <c r="D374">
        <v>366</v>
      </c>
      <c r="E374">
        <v>397</v>
      </c>
      <c r="F374">
        <f>PMSPLINE!F$16</f>
        <v>2.0987687517840574</v>
      </c>
      <c r="G374">
        <f>PMSPLINE!F$17</f>
        <v>1.144113017729536</v>
      </c>
      <c r="H374" s="10">
        <f>PMSPLINE!K$16</f>
        <v>1.4191815979634407E-3</v>
      </c>
      <c r="I374" s="10">
        <f>PMSPLINE!K$17</f>
        <v>5.0033463766111625E-4</v>
      </c>
      <c r="J374">
        <f t="shared" si="68"/>
        <v>0.83870967741935487</v>
      </c>
      <c r="K374">
        <f t="shared" si="69"/>
        <v>0.16129032258064516</v>
      </c>
      <c r="L374">
        <f t="shared" si="74"/>
        <v>325</v>
      </c>
      <c r="M374" s="8">
        <f t="shared" si="70"/>
        <v>1.9447920204849412</v>
      </c>
      <c r="N374" s="6">
        <f t="shared" si="57"/>
        <v>1.875664591747505</v>
      </c>
      <c r="O374" s="8">
        <f t="shared" si="71"/>
        <v>1479.8013664381331</v>
      </c>
      <c r="P374" s="8">
        <f t="shared" si="72"/>
        <v>1483.3580557975029</v>
      </c>
      <c r="Q374" s="8">
        <f t="shared" si="63"/>
        <v>1.875664591747505</v>
      </c>
      <c r="T374" s="8">
        <f t="shared" si="73"/>
        <v>1.875664591747505</v>
      </c>
    </row>
    <row r="375" spans="1:20" x14ac:dyDescent="0.2">
      <c r="B375">
        <f t="shared" si="66"/>
        <v>372</v>
      </c>
      <c r="C375">
        <f t="shared" si="67"/>
        <v>31</v>
      </c>
      <c r="D375">
        <v>366</v>
      </c>
      <c r="E375">
        <v>397</v>
      </c>
      <c r="F375">
        <f>PMSPLINE!F$16</f>
        <v>2.0987687517840574</v>
      </c>
      <c r="G375">
        <f>PMSPLINE!F$17</f>
        <v>1.144113017729536</v>
      </c>
      <c r="H375" s="10">
        <f>PMSPLINE!K$16</f>
        <v>1.4191815979634407E-3</v>
      </c>
      <c r="I375" s="10">
        <f>PMSPLINE!K$17</f>
        <v>5.0033463766111625E-4</v>
      </c>
      <c r="J375">
        <f t="shared" si="68"/>
        <v>0.80645161290322576</v>
      </c>
      <c r="K375">
        <f t="shared" si="69"/>
        <v>0.19354838709677419</v>
      </c>
      <c r="L375">
        <f t="shared" si="74"/>
        <v>326</v>
      </c>
      <c r="M375" s="8">
        <f t="shared" si="70"/>
        <v>1.9139966742251175</v>
      </c>
      <c r="N375" s="6">
        <f t="shared" ref="N375:N407" si="75">Q375</f>
        <v>1.8349752620642998</v>
      </c>
      <c r="O375" s="8">
        <f t="shared" si="71"/>
        <v>1481.7153631123581</v>
      </c>
      <c r="P375" s="8">
        <f t="shared" si="72"/>
        <v>1485.1930310595671</v>
      </c>
      <c r="Q375" s="8">
        <f t="shared" si="63"/>
        <v>1.8349752620642998</v>
      </c>
      <c r="T375" s="8">
        <f t="shared" si="73"/>
        <v>1.8349752620642998</v>
      </c>
    </row>
    <row r="376" spans="1:20" x14ac:dyDescent="0.2">
      <c r="B376">
        <f t="shared" si="66"/>
        <v>373</v>
      </c>
      <c r="C376">
        <f t="shared" si="67"/>
        <v>31</v>
      </c>
      <c r="D376">
        <v>366</v>
      </c>
      <c r="E376">
        <v>397</v>
      </c>
      <c r="F376">
        <f>PMSPLINE!F$16</f>
        <v>2.0987687517840574</v>
      </c>
      <c r="G376">
        <f>PMSPLINE!F$17</f>
        <v>1.144113017729536</v>
      </c>
      <c r="H376" s="10">
        <f>PMSPLINE!K$16</f>
        <v>1.4191815979634407E-3</v>
      </c>
      <c r="I376" s="10">
        <f>PMSPLINE!K$17</f>
        <v>5.0033463766111625E-4</v>
      </c>
      <c r="J376">
        <f t="shared" si="68"/>
        <v>0.77419354838709675</v>
      </c>
      <c r="K376">
        <f t="shared" si="69"/>
        <v>0.22580645161290322</v>
      </c>
      <c r="L376">
        <f t="shared" si="74"/>
        <v>327</v>
      </c>
      <c r="M376" s="8">
        <f t="shared" si="70"/>
        <v>1.8832013279652944</v>
      </c>
      <c r="N376" s="6">
        <f t="shared" si="75"/>
        <v>1.7955272726319031</v>
      </c>
      <c r="O376" s="8">
        <f t="shared" si="71"/>
        <v>1483.5985644403233</v>
      </c>
      <c r="P376" s="8">
        <f t="shared" si="72"/>
        <v>1486.9885583321991</v>
      </c>
      <c r="Q376" s="8">
        <f t="shared" si="63"/>
        <v>1.7955272726319031</v>
      </c>
      <c r="T376" s="8">
        <f t="shared" si="73"/>
        <v>1.7955272726319031</v>
      </c>
    </row>
    <row r="377" spans="1:20" x14ac:dyDescent="0.2">
      <c r="B377">
        <f t="shared" si="66"/>
        <v>374</v>
      </c>
      <c r="C377">
        <f t="shared" si="67"/>
        <v>31</v>
      </c>
      <c r="D377">
        <v>366</v>
      </c>
      <c r="E377">
        <v>397</v>
      </c>
      <c r="F377">
        <f>PMSPLINE!F$16</f>
        <v>2.0987687517840574</v>
      </c>
      <c r="G377">
        <f>PMSPLINE!F$17</f>
        <v>1.144113017729536</v>
      </c>
      <c r="H377" s="10">
        <f>PMSPLINE!K$16</f>
        <v>1.4191815979634407E-3</v>
      </c>
      <c r="I377" s="10">
        <f>PMSPLINE!K$17</f>
        <v>5.0033463766111625E-4</v>
      </c>
      <c r="J377">
        <f t="shared" si="68"/>
        <v>0.74193548387096775</v>
      </c>
      <c r="K377">
        <f t="shared" si="69"/>
        <v>0.25806451612903225</v>
      </c>
      <c r="L377">
        <f t="shared" si="74"/>
        <v>328</v>
      </c>
      <c r="M377" s="8">
        <f t="shared" si="70"/>
        <v>1.8524059817054712</v>
      </c>
      <c r="N377" s="6">
        <f t="shared" si="75"/>
        <v>1.7572909832257888</v>
      </c>
      <c r="O377" s="8">
        <f t="shared" si="71"/>
        <v>1485.4509704220288</v>
      </c>
      <c r="P377" s="8">
        <f t="shared" si="72"/>
        <v>1488.7458493154249</v>
      </c>
      <c r="Q377" s="8">
        <f t="shared" si="63"/>
        <v>1.7572909832257888</v>
      </c>
      <c r="T377" s="8">
        <f t="shared" si="73"/>
        <v>1.7572909832257888</v>
      </c>
    </row>
    <row r="378" spans="1:20" x14ac:dyDescent="0.2">
      <c r="B378">
        <f t="shared" si="66"/>
        <v>375</v>
      </c>
      <c r="C378">
        <f t="shared" si="67"/>
        <v>31</v>
      </c>
      <c r="D378">
        <v>366</v>
      </c>
      <c r="E378">
        <v>397</v>
      </c>
      <c r="F378">
        <f>PMSPLINE!F$16</f>
        <v>2.0987687517840574</v>
      </c>
      <c r="G378">
        <f>PMSPLINE!F$17</f>
        <v>1.144113017729536</v>
      </c>
      <c r="H378" s="10">
        <f>PMSPLINE!K$16</f>
        <v>1.4191815979634407E-3</v>
      </c>
      <c r="I378" s="10">
        <f>PMSPLINE!K$17</f>
        <v>5.0033463766111625E-4</v>
      </c>
      <c r="J378">
        <f t="shared" si="68"/>
        <v>0.70967741935483875</v>
      </c>
      <c r="K378">
        <f t="shared" si="69"/>
        <v>0.29032258064516131</v>
      </c>
      <c r="L378">
        <f t="shared" si="74"/>
        <v>329</v>
      </c>
      <c r="M378" s="8">
        <f t="shared" si="70"/>
        <v>1.8216106354456481</v>
      </c>
      <c r="N378" s="6">
        <f t="shared" si="75"/>
        <v>1.7202367536214309</v>
      </c>
      <c r="O378" s="8">
        <f t="shared" si="71"/>
        <v>1487.2725810574746</v>
      </c>
      <c r="P378" s="8">
        <f t="shared" si="72"/>
        <v>1490.4660860690465</v>
      </c>
      <c r="Q378" s="8">
        <f t="shared" si="63"/>
        <v>1.7202367536214309</v>
      </c>
      <c r="T378" s="8">
        <f t="shared" si="73"/>
        <v>1.7202367536214309</v>
      </c>
    </row>
    <row r="379" spans="1:20" x14ac:dyDescent="0.2">
      <c r="B379">
        <f t="shared" si="66"/>
        <v>376</v>
      </c>
      <c r="C379">
        <f t="shared" si="67"/>
        <v>31</v>
      </c>
      <c r="D379">
        <v>366</v>
      </c>
      <c r="E379">
        <v>397</v>
      </c>
      <c r="F379">
        <f>PMSPLINE!F$16</f>
        <v>2.0987687517840574</v>
      </c>
      <c r="G379">
        <f>PMSPLINE!F$17</f>
        <v>1.144113017729536</v>
      </c>
      <c r="H379" s="10">
        <f>PMSPLINE!K$16</f>
        <v>1.4191815979634407E-3</v>
      </c>
      <c r="I379" s="10">
        <f>PMSPLINE!K$17</f>
        <v>5.0033463766111625E-4</v>
      </c>
      <c r="J379">
        <f t="shared" si="68"/>
        <v>0.67741935483870963</v>
      </c>
      <c r="K379">
        <f t="shared" si="69"/>
        <v>0.32258064516129031</v>
      </c>
      <c r="L379">
        <f t="shared" si="74"/>
        <v>330</v>
      </c>
      <c r="M379" s="8">
        <f t="shared" si="70"/>
        <v>1.7908152891858247</v>
      </c>
      <c r="N379" s="6">
        <f t="shared" si="75"/>
        <v>1.6843349435943031</v>
      </c>
      <c r="O379" s="8">
        <f t="shared" si="71"/>
        <v>1489.0633963466603</v>
      </c>
      <c r="P379" s="8">
        <f t="shared" si="72"/>
        <v>1492.1504210126407</v>
      </c>
      <c r="Q379" s="8">
        <f t="shared" si="63"/>
        <v>1.6843349435943031</v>
      </c>
      <c r="T379" s="8">
        <f t="shared" si="73"/>
        <v>1.6843349435943031</v>
      </c>
    </row>
    <row r="380" spans="1:20" x14ac:dyDescent="0.2">
      <c r="B380">
        <f t="shared" si="66"/>
        <v>377</v>
      </c>
      <c r="C380">
        <f t="shared" si="67"/>
        <v>31</v>
      </c>
      <c r="D380">
        <v>366</v>
      </c>
      <c r="E380">
        <v>397</v>
      </c>
      <c r="F380">
        <f>PMSPLINE!F$16</f>
        <v>2.0987687517840574</v>
      </c>
      <c r="G380">
        <f>PMSPLINE!F$17</f>
        <v>1.144113017729536</v>
      </c>
      <c r="H380" s="10">
        <f>PMSPLINE!K$16</f>
        <v>1.4191815979634407E-3</v>
      </c>
      <c r="I380" s="10">
        <f>PMSPLINE!K$17</f>
        <v>5.0033463766111625E-4</v>
      </c>
      <c r="J380">
        <f t="shared" si="68"/>
        <v>0.64516129032258063</v>
      </c>
      <c r="K380">
        <f t="shared" si="69"/>
        <v>0.35483870967741937</v>
      </c>
      <c r="L380">
        <f t="shared" si="74"/>
        <v>331</v>
      </c>
      <c r="M380" s="8">
        <f t="shared" si="70"/>
        <v>1.7600199429260015</v>
      </c>
      <c r="N380" s="6">
        <f t="shared" si="75"/>
        <v>1.6495559129198805</v>
      </c>
      <c r="O380" s="8">
        <f t="shared" si="71"/>
        <v>1490.8234162895862</v>
      </c>
      <c r="P380" s="8">
        <f t="shared" si="72"/>
        <v>1493.7999769255605</v>
      </c>
      <c r="Q380" s="8">
        <f t="shared" si="63"/>
        <v>1.6495559129198805</v>
      </c>
      <c r="T380" s="8">
        <f t="shared" si="73"/>
        <v>1.6495559129198805</v>
      </c>
    </row>
    <row r="381" spans="1:20" x14ac:dyDescent="0.2">
      <c r="B381">
        <f t="shared" si="66"/>
        <v>378</v>
      </c>
      <c r="C381">
        <f t="shared" si="67"/>
        <v>31</v>
      </c>
      <c r="D381">
        <v>366</v>
      </c>
      <c r="E381">
        <v>397</v>
      </c>
      <c r="F381">
        <f>PMSPLINE!F$16</f>
        <v>2.0987687517840574</v>
      </c>
      <c r="G381">
        <f>PMSPLINE!F$17</f>
        <v>1.144113017729536</v>
      </c>
      <c r="H381" s="10">
        <f>PMSPLINE!K$16</f>
        <v>1.4191815979634407E-3</v>
      </c>
      <c r="I381" s="10">
        <f>PMSPLINE!K$17</f>
        <v>5.0033463766111625E-4</v>
      </c>
      <c r="J381">
        <f t="shared" si="68"/>
        <v>0.61290322580645162</v>
      </c>
      <c r="K381">
        <f t="shared" si="69"/>
        <v>0.38709677419354838</v>
      </c>
      <c r="L381">
        <f t="shared" si="74"/>
        <v>332</v>
      </c>
      <c r="M381" s="8">
        <f t="shared" si="70"/>
        <v>1.7292245966661781</v>
      </c>
      <c r="N381" s="6">
        <f t="shared" si="75"/>
        <v>1.6158700213736361</v>
      </c>
      <c r="O381" s="8">
        <f t="shared" si="71"/>
        <v>1492.5526408862524</v>
      </c>
      <c r="P381" s="8">
        <f t="shared" si="72"/>
        <v>1495.4158469469342</v>
      </c>
      <c r="Q381" s="8">
        <f t="shared" si="63"/>
        <v>1.6158700213736361</v>
      </c>
      <c r="T381" s="8">
        <f t="shared" si="73"/>
        <v>1.6158700213736361</v>
      </c>
    </row>
    <row r="382" spans="1:20" x14ac:dyDescent="0.2">
      <c r="B382">
        <f t="shared" si="66"/>
        <v>379</v>
      </c>
      <c r="C382">
        <f t="shared" si="67"/>
        <v>31</v>
      </c>
      <c r="D382">
        <v>366</v>
      </c>
      <c r="E382">
        <v>397</v>
      </c>
      <c r="F382">
        <f>PMSPLINE!F$16</f>
        <v>2.0987687517840574</v>
      </c>
      <c r="G382">
        <f>PMSPLINE!F$17</f>
        <v>1.144113017729536</v>
      </c>
      <c r="H382" s="10">
        <f>PMSPLINE!K$16</f>
        <v>1.4191815979634407E-3</v>
      </c>
      <c r="I382" s="10">
        <f>PMSPLINE!K$17</f>
        <v>5.0033463766111625E-4</v>
      </c>
      <c r="J382">
        <f t="shared" si="68"/>
        <v>0.58064516129032262</v>
      </c>
      <c r="K382">
        <f t="shared" si="69"/>
        <v>0.41935483870967744</v>
      </c>
      <c r="L382">
        <f t="shared" si="74"/>
        <v>333</v>
      </c>
      <c r="M382" s="8">
        <f t="shared" si="70"/>
        <v>1.6984292504063552</v>
      </c>
      <c r="N382" s="6">
        <f t="shared" si="75"/>
        <v>1.5832476287310451</v>
      </c>
      <c r="O382" s="8">
        <f t="shared" si="71"/>
        <v>1494.2510701366589</v>
      </c>
      <c r="P382" s="8">
        <f t="shared" si="72"/>
        <v>1496.9990945756651</v>
      </c>
      <c r="Q382" s="8">
        <f t="shared" si="63"/>
        <v>1.5832476287310451</v>
      </c>
      <c r="T382" s="8">
        <f t="shared" si="73"/>
        <v>1.5832476287310451</v>
      </c>
    </row>
    <row r="383" spans="1:20" x14ac:dyDescent="0.2">
      <c r="B383">
        <f t="shared" si="66"/>
        <v>380</v>
      </c>
      <c r="C383">
        <f t="shared" si="67"/>
        <v>31</v>
      </c>
      <c r="D383">
        <v>366</v>
      </c>
      <c r="E383">
        <v>397</v>
      </c>
      <c r="F383">
        <f>PMSPLINE!F$16</f>
        <v>2.0987687517840574</v>
      </c>
      <c r="G383">
        <f>PMSPLINE!F$17</f>
        <v>1.144113017729536</v>
      </c>
      <c r="H383" s="10">
        <f>PMSPLINE!K$16</f>
        <v>1.4191815979634407E-3</v>
      </c>
      <c r="I383" s="10">
        <f>PMSPLINE!K$17</f>
        <v>5.0033463766111625E-4</v>
      </c>
      <c r="J383">
        <f t="shared" si="68"/>
        <v>0.54838709677419351</v>
      </c>
      <c r="K383">
        <f t="shared" si="69"/>
        <v>0.45161290322580644</v>
      </c>
      <c r="L383">
        <f t="shared" si="74"/>
        <v>334</v>
      </c>
      <c r="M383" s="8">
        <f t="shared" si="70"/>
        <v>1.6676339041465316</v>
      </c>
      <c r="N383" s="6">
        <f t="shared" si="75"/>
        <v>1.5516590947675806</v>
      </c>
      <c r="O383" s="8">
        <f t="shared" si="71"/>
        <v>1495.9187040408053</v>
      </c>
      <c r="P383" s="8">
        <f t="shared" si="72"/>
        <v>1498.5507536704326</v>
      </c>
      <c r="Q383" s="8">
        <f t="shared" si="63"/>
        <v>1.5516590947675806</v>
      </c>
      <c r="T383" s="8">
        <f t="shared" si="73"/>
        <v>1.5516590947675806</v>
      </c>
    </row>
    <row r="384" spans="1:20" x14ac:dyDescent="0.2">
      <c r="B384">
        <f t="shared" si="66"/>
        <v>381</v>
      </c>
      <c r="C384">
        <f t="shared" si="67"/>
        <v>31</v>
      </c>
      <c r="D384">
        <v>366</v>
      </c>
      <c r="E384">
        <v>397</v>
      </c>
      <c r="F384">
        <f>PMSPLINE!F$16</f>
        <v>2.0987687517840574</v>
      </c>
      <c r="G384">
        <f>PMSPLINE!F$17</f>
        <v>1.144113017729536</v>
      </c>
      <c r="H384" s="10">
        <f>PMSPLINE!K$16</f>
        <v>1.4191815979634407E-3</v>
      </c>
      <c r="I384" s="10">
        <f>PMSPLINE!K$17</f>
        <v>5.0033463766111625E-4</v>
      </c>
      <c r="J384">
        <f t="shared" si="68"/>
        <v>0.5161290322580645</v>
      </c>
      <c r="K384">
        <f t="shared" si="69"/>
        <v>0.4838709677419355</v>
      </c>
      <c r="L384">
        <f t="shared" si="74"/>
        <v>335</v>
      </c>
      <c r="M384" s="8">
        <f t="shared" si="70"/>
        <v>1.6368385578867084</v>
      </c>
      <c r="N384" s="6">
        <f t="shared" si="75"/>
        <v>1.5210747792587174</v>
      </c>
      <c r="O384" s="8">
        <f t="shared" si="71"/>
        <v>1497.555542598692</v>
      </c>
      <c r="P384" s="8">
        <f t="shared" si="72"/>
        <v>1500.0718284496913</v>
      </c>
      <c r="Q384" s="8">
        <f t="shared" si="63"/>
        <v>1.5210747792587174</v>
      </c>
      <c r="T384" s="8">
        <f t="shared" si="73"/>
        <v>1.5210747792587174</v>
      </c>
    </row>
    <row r="385" spans="1:20" x14ac:dyDescent="0.2">
      <c r="B385">
        <f t="shared" si="66"/>
        <v>382</v>
      </c>
      <c r="C385">
        <f t="shared" si="67"/>
        <v>31</v>
      </c>
      <c r="D385">
        <v>366</v>
      </c>
      <c r="E385">
        <v>397</v>
      </c>
      <c r="F385">
        <f>PMSPLINE!F$16</f>
        <v>2.0987687517840574</v>
      </c>
      <c r="G385">
        <f>PMSPLINE!F$17</f>
        <v>1.144113017729536</v>
      </c>
      <c r="H385" s="10">
        <f>PMSPLINE!K$16</f>
        <v>1.4191815979634407E-3</v>
      </c>
      <c r="I385" s="10">
        <f>PMSPLINE!K$17</f>
        <v>5.0033463766111625E-4</v>
      </c>
      <c r="J385">
        <f t="shared" si="68"/>
        <v>0.4838709677419355</v>
      </c>
      <c r="K385">
        <f t="shared" si="69"/>
        <v>0.5161290322580645</v>
      </c>
      <c r="L385">
        <f t="shared" si="74"/>
        <v>336</v>
      </c>
      <c r="M385" s="8">
        <f t="shared" si="70"/>
        <v>1.606043211626885</v>
      </c>
      <c r="N385" s="6">
        <f t="shared" si="75"/>
        <v>1.4914650419799291</v>
      </c>
      <c r="O385" s="8">
        <f t="shared" si="71"/>
        <v>1499.1615858103189</v>
      </c>
      <c r="P385" s="8">
        <f t="shared" si="72"/>
        <v>1501.5632934916712</v>
      </c>
      <c r="Q385" s="8">
        <f t="shared" si="63"/>
        <v>1.4914650419799291</v>
      </c>
      <c r="T385" s="8">
        <f t="shared" si="73"/>
        <v>1.4914650419799291</v>
      </c>
    </row>
    <row r="386" spans="1:20" x14ac:dyDescent="0.2">
      <c r="B386">
        <f t="shared" si="66"/>
        <v>383</v>
      </c>
      <c r="C386">
        <f t="shared" si="67"/>
        <v>31</v>
      </c>
      <c r="D386">
        <v>366</v>
      </c>
      <c r="E386">
        <v>397</v>
      </c>
      <c r="F386">
        <f>PMSPLINE!F$16</f>
        <v>2.0987687517840574</v>
      </c>
      <c r="G386">
        <f>PMSPLINE!F$17</f>
        <v>1.144113017729536</v>
      </c>
      <c r="H386" s="10">
        <f>PMSPLINE!K$16</f>
        <v>1.4191815979634407E-3</v>
      </c>
      <c r="I386" s="10">
        <f>PMSPLINE!K$17</f>
        <v>5.0033463766111625E-4</v>
      </c>
      <c r="J386">
        <f t="shared" si="68"/>
        <v>0.45161290322580644</v>
      </c>
      <c r="K386">
        <f t="shared" si="69"/>
        <v>0.54838709677419351</v>
      </c>
      <c r="L386">
        <f t="shared" si="74"/>
        <v>337</v>
      </c>
      <c r="M386" s="8">
        <f t="shared" si="70"/>
        <v>1.5752478653670616</v>
      </c>
      <c r="N386" s="6">
        <f t="shared" si="75"/>
        <v>1.4628002427066904</v>
      </c>
      <c r="O386" s="8">
        <f t="shared" si="71"/>
        <v>1500.7368336756861</v>
      </c>
      <c r="P386" s="8">
        <f t="shared" si="72"/>
        <v>1503.0260937343778</v>
      </c>
      <c r="Q386" s="8">
        <f t="shared" si="63"/>
        <v>1.4628002427066904</v>
      </c>
      <c r="T386" s="8">
        <f t="shared" si="73"/>
        <v>1.4628002427066904</v>
      </c>
    </row>
    <row r="387" spans="1:20" x14ac:dyDescent="0.2">
      <c r="B387">
        <f t="shared" si="66"/>
        <v>384</v>
      </c>
      <c r="C387">
        <f t="shared" si="67"/>
        <v>31</v>
      </c>
      <c r="D387">
        <v>366</v>
      </c>
      <c r="E387">
        <v>397</v>
      </c>
      <c r="F387">
        <f>PMSPLINE!F$16</f>
        <v>2.0987687517840574</v>
      </c>
      <c r="G387">
        <f>PMSPLINE!F$17</f>
        <v>1.144113017729536</v>
      </c>
      <c r="H387" s="10">
        <f>PMSPLINE!K$16</f>
        <v>1.4191815979634407E-3</v>
      </c>
      <c r="I387" s="10">
        <f>PMSPLINE!K$17</f>
        <v>5.0033463766111625E-4</v>
      </c>
      <c r="J387">
        <f t="shared" si="68"/>
        <v>0.41935483870967744</v>
      </c>
      <c r="K387">
        <f t="shared" si="69"/>
        <v>0.58064516129032262</v>
      </c>
      <c r="L387">
        <f t="shared" si="74"/>
        <v>338</v>
      </c>
      <c r="M387" s="8">
        <f t="shared" si="70"/>
        <v>1.5444525191072387</v>
      </c>
      <c r="N387" s="6">
        <f t="shared" si="75"/>
        <v>1.4350507412144755</v>
      </c>
      <c r="O387" s="8">
        <f t="shared" si="71"/>
        <v>1502.2812861947932</v>
      </c>
      <c r="P387" s="8">
        <f t="shared" si="72"/>
        <v>1504.4611444755924</v>
      </c>
      <c r="Q387" s="8">
        <f t="shared" si="63"/>
        <v>1.4350507412144755</v>
      </c>
      <c r="T387" s="8">
        <f t="shared" si="73"/>
        <v>1.4350507412144755</v>
      </c>
    </row>
    <row r="388" spans="1:20" x14ac:dyDescent="0.2">
      <c r="B388">
        <f t="shared" si="66"/>
        <v>385</v>
      </c>
      <c r="C388">
        <f t="shared" si="67"/>
        <v>31</v>
      </c>
      <c r="D388">
        <v>366</v>
      </c>
      <c r="E388">
        <v>397</v>
      </c>
      <c r="F388">
        <f>PMSPLINE!F$16</f>
        <v>2.0987687517840574</v>
      </c>
      <c r="G388">
        <f>PMSPLINE!F$17</f>
        <v>1.144113017729536</v>
      </c>
      <c r="H388" s="10">
        <f>PMSPLINE!K$16</f>
        <v>1.4191815979634407E-3</v>
      </c>
      <c r="I388" s="10">
        <f>PMSPLINE!K$17</f>
        <v>5.0033463766111625E-4</v>
      </c>
      <c r="J388">
        <f t="shared" si="68"/>
        <v>0.38709677419354838</v>
      </c>
      <c r="K388">
        <f t="shared" si="69"/>
        <v>0.61290322580645162</v>
      </c>
      <c r="L388">
        <f t="shared" si="74"/>
        <v>339</v>
      </c>
      <c r="M388" s="8">
        <f t="shared" si="70"/>
        <v>1.5136571728474153</v>
      </c>
      <c r="N388" s="6">
        <f t="shared" si="75"/>
        <v>1.4081868972787577</v>
      </c>
      <c r="O388" s="8">
        <f t="shared" si="71"/>
        <v>1503.7949433676406</v>
      </c>
      <c r="P388" s="8">
        <f t="shared" si="72"/>
        <v>1505.8693313728711</v>
      </c>
      <c r="Q388" s="8">
        <f t="shared" si="63"/>
        <v>1.4081868972787577</v>
      </c>
      <c r="T388" s="8">
        <f t="shared" si="73"/>
        <v>1.4081868972787577</v>
      </c>
    </row>
    <row r="389" spans="1:20" x14ac:dyDescent="0.2">
      <c r="B389">
        <f t="shared" si="66"/>
        <v>386</v>
      </c>
      <c r="C389">
        <f t="shared" si="67"/>
        <v>31</v>
      </c>
      <c r="D389">
        <v>366</v>
      </c>
      <c r="E389">
        <v>397</v>
      </c>
      <c r="F389">
        <f>PMSPLINE!F$16</f>
        <v>2.0987687517840574</v>
      </c>
      <c r="G389">
        <f>PMSPLINE!F$17</f>
        <v>1.144113017729536</v>
      </c>
      <c r="H389" s="10">
        <f>PMSPLINE!K$16</f>
        <v>1.4191815979634407E-3</v>
      </c>
      <c r="I389" s="10">
        <f>PMSPLINE!K$17</f>
        <v>5.0033463766111625E-4</v>
      </c>
      <c r="J389">
        <f t="shared" si="68"/>
        <v>0.35483870967741937</v>
      </c>
      <c r="K389">
        <f t="shared" si="69"/>
        <v>0.64516129032258063</v>
      </c>
      <c r="L389">
        <f t="shared" si="74"/>
        <v>340</v>
      </c>
      <c r="M389" s="8">
        <f t="shared" si="70"/>
        <v>1.4828618265875919</v>
      </c>
      <c r="N389" s="6">
        <f t="shared" si="75"/>
        <v>1.3821790706750117</v>
      </c>
      <c r="O389" s="8">
        <f t="shared" si="71"/>
        <v>1505.2778051942282</v>
      </c>
      <c r="P389" s="8">
        <f t="shared" si="72"/>
        <v>1507.2515104435461</v>
      </c>
      <c r="Q389" s="8">
        <f t="shared" ref="Q389:Q452" si="76">M389+(((J389^3-J389)*H389+(K389^3-K389)*I389))*(C389^2)/6</f>
        <v>1.3821790706750117</v>
      </c>
      <c r="T389" s="8">
        <f t="shared" si="73"/>
        <v>1.3821790706750117</v>
      </c>
    </row>
    <row r="390" spans="1:20" x14ac:dyDescent="0.2">
      <c r="B390">
        <f t="shared" si="66"/>
        <v>387</v>
      </c>
      <c r="C390">
        <f t="shared" si="67"/>
        <v>31</v>
      </c>
      <c r="D390">
        <v>366</v>
      </c>
      <c r="E390">
        <v>397</v>
      </c>
      <c r="F390">
        <f>PMSPLINE!F$16</f>
        <v>2.0987687517840574</v>
      </c>
      <c r="G390">
        <f>PMSPLINE!F$17</f>
        <v>1.144113017729536</v>
      </c>
      <c r="H390" s="10">
        <f>PMSPLINE!K$16</f>
        <v>1.4191815979634407E-3</v>
      </c>
      <c r="I390" s="10">
        <f>PMSPLINE!K$17</f>
        <v>5.0033463766111625E-4</v>
      </c>
      <c r="J390">
        <f t="shared" si="68"/>
        <v>0.32258064516129031</v>
      </c>
      <c r="K390">
        <f t="shared" si="69"/>
        <v>0.67741935483870963</v>
      </c>
      <c r="L390">
        <f t="shared" si="74"/>
        <v>341</v>
      </c>
      <c r="M390" s="8">
        <f t="shared" si="70"/>
        <v>1.4520664803277685</v>
      </c>
      <c r="N390" s="6">
        <f t="shared" si="75"/>
        <v>1.3569976211787114</v>
      </c>
      <c r="O390" s="8">
        <f t="shared" si="71"/>
        <v>1506.7298716745561</v>
      </c>
      <c r="P390" s="8">
        <f t="shared" si="72"/>
        <v>1508.6085080647247</v>
      </c>
      <c r="Q390" s="8">
        <f t="shared" si="76"/>
        <v>1.3569976211787114</v>
      </c>
      <c r="T390" s="8">
        <f t="shared" si="73"/>
        <v>1.3569976211787114</v>
      </c>
    </row>
    <row r="391" spans="1:20" x14ac:dyDescent="0.2">
      <c r="B391">
        <f t="shared" si="66"/>
        <v>388</v>
      </c>
      <c r="C391">
        <f t="shared" si="67"/>
        <v>31</v>
      </c>
      <c r="D391">
        <v>366</v>
      </c>
      <c r="E391">
        <v>397</v>
      </c>
      <c r="F391">
        <f>PMSPLINE!F$16</f>
        <v>2.0987687517840574</v>
      </c>
      <c r="G391">
        <f>PMSPLINE!F$17</f>
        <v>1.144113017729536</v>
      </c>
      <c r="H391" s="10">
        <f>PMSPLINE!K$16</f>
        <v>1.4191815979634407E-3</v>
      </c>
      <c r="I391" s="10">
        <f>PMSPLINE!K$17</f>
        <v>5.0033463766111625E-4</v>
      </c>
      <c r="J391">
        <f t="shared" si="68"/>
        <v>0.29032258064516131</v>
      </c>
      <c r="K391">
        <f t="shared" si="69"/>
        <v>0.70967741935483875</v>
      </c>
      <c r="L391">
        <f t="shared" si="74"/>
        <v>342</v>
      </c>
      <c r="M391" s="8">
        <f t="shared" si="70"/>
        <v>1.4212711340679456</v>
      </c>
      <c r="N391" s="6">
        <f t="shared" si="75"/>
        <v>1.3326129085653315</v>
      </c>
      <c r="O391" s="8">
        <f t="shared" si="71"/>
        <v>1508.1511428086239</v>
      </c>
      <c r="P391" s="8">
        <f t="shared" si="72"/>
        <v>1509.94112097329</v>
      </c>
      <c r="Q391" s="8">
        <f t="shared" si="76"/>
        <v>1.3326129085653315</v>
      </c>
      <c r="T391" s="8">
        <f t="shared" si="73"/>
        <v>1.3326129085653315</v>
      </c>
    </row>
    <row r="392" spans="1:20" x14ac:dyDescent="0.2">
      <c r="B392">
        <f t="shared" si="66"/>
        <v>389</v>
      </c>
      <c r="C392">
        <f t="shared" si="67"/>
        <v>31</v>
      </c>
      <c r="D392">
        <v>366</v>
      </c>
      <c r="E392">
        <v>397</v>
      </c>
      <c r="F392">
        <f>PMSPLINE!F$16</f>
        <v>2.0987687517840574</v>
      </c>
      <c r="G392">
        <f>PMSPLINE!F$17</f>
        <v>1.144113017729536</v>
      </c>
      <c r="H392" s="10">
        <f>PMSPLINE!K$16</f>
        <v>1.4191815979634407E-3</v>
      </c>
      <c r="I392" s="10">
        <f>PMSPLINE!K$17</f>
        <v>5.0033463766111625E-4</v>
      </c>
      <c r="J392">
        <f t="shared" si="68"/>
        <v>0.25806451612903225</v>
      </c>
      <c r="K392">
        <f t="shared" si="69"/>
        <v>0.74193548387096775</v>
      </c>
      <c r="L392">
        <f t="shared" si="74"/>
        <v>343</v>
      </c>
      <c r="M392" s="8">
        <f t="shared" si="70"/>
        <v>1.3904757878081222</v>
      </c>
      <c r="N392" s="6">
        <f t="shared" si="75"/>
        <v>1.3089952926103454</v>
      </c>
      <c r="O392" s="8">
        <f t="shared" si="71"/>
        <v>1509.541618596432</v>
      </c>
      <c r="P392" s="8">
        <f t="shared" si="72"/>
        <v>1511.2501162659003</v>
      </c>
      <c r="Q392" s="8">
        <f t="shared" si="76"/>
        <v>1.3089952926103454</v>
      </c>
      <c r="T392" s="8">
        <f t="shared" si="73"/>
        <v>1.3089952926103454</v>
      </c>
    </row>
    <row r="393" spans="1:20" x14ac:dyDescent="0.2">
      <c r="B393">
        <f t="shared" si="66"/>
        <v>390</v>
      </c>
      <c r="C393">
        <f t="shared" si="67"/>
        <v>31</v>
      </c>
      <c r="D393">
        <v>366</v>
      </c>
      <c r="E393">
        <v>397</v>
      </c>
      <c r="F393">
        <f>PMSPLINE!F$16</f>
        <v>2.0987687517840574</v>
      </c>
      <c r="G393">
        <f>PMSPLINE!F$17</f>
        <v>1.144113017729536</v>
      </c>
      <c r="H393" s="10">
        <f>PMSPLINE!K$16</f>
        <v>1.4191815979634407E-3</v>
      </c>
      <c r="I393" s="10">
        <f>PMSPLINE!K$17</f>
        <v>5.0033463766111625E-4</v>
      </c>
      <c r="J393">
        <f t="shared" si="68"/>
        <v>0.22580645161290322</v>
      </c>
      <c r="K393">
        <f t="shared" si="69"/>
        <v>0.77419354838709675</v>
      </c>
      <c r="L393">
        <f t="shared" si="74"/>
        <v>344</v>
      </c>
      <c r="M393" s="8">
        <f t="shared" si="70"/>
        <v>1.3596804415482988</v>
      </c>
      <c r="N393" s="6">
        <f t="shared" si="75"/>
        <v>1.2861151330892273</v>
      </c>
      <c r="O393" s="8">
        <f t="shared" si="71"/>
        <v>1510.9012990379804</v>
      </c>
      <c r="P393" s="8">
        <f t="shared" si="72"/>
        <v>1512.5362313989895</v>
      </c>
      <c r="Q393" s="8">
        <f t="shared" si="76"/>
        <v>1.2861151330892273</v>
      </c>
      <c r="T393" s="8">
        <f t="shared" si="73"/>
        <v>1.2861151330892273</v>
      </c>
    </row>
    <row r="394" spans="1:20" x14ac:dyDescent="0.2">
      <c r="B394">
        <f t="shared" si="66"/>
        <v>391</v>
      </c>
      <c r="C394">
        <f t="shared" si="67"/>
        <v>31</v>
      </c>
      <c r="D394">
        <v>366</v>
      </c>
      <c r="E394">
        <v>397</v>
      </c>
      <c r="F394">
        <f>PMSPLINE!F$16</f>
        <v>2.0987687517840574</v>
      </c>
      <c r="G394">
        <f>PMSPLINE!F$17</f>
        <v>1.144113017729536</v>
      </c>
      <c r="H394" s="10">
        <f>PMSPLINE!K$16</f>
        <v>1.4191815979634407E-3</v>
      </c>
      <c r="I394" s="10">
        <f>PMSPLINE!K$17</f>
        <v>5.0033463766111625E-4</v>
      </c>
      <c r="J394">
        <f t="shared" si="68"/>
        <v>0.19354838709677419</v>
      </c>
      <c r="K394">
        <f t="shared" si="69"/>
        <v>0.80645161290322576</v>
      </c>
      <c r="L394">
        <f t="shared" si="74"/>
        <v>345</v>
      </c>
      <c r="M394" s="8">
        <f t="shared" si="70"/>
        <v>1.3288850952884756</v>
      </c>
      <c r="N394" s="6">
        <f t="shared" si="75"/>
        <v>1.2639427897774516</v>
      </c>
      <c r="O394" s="8">
        <f t="shared" si="71"/>
        <v>1512.2301841332689</v>
      </c>
      <c r="P394" s="8">
        <f t="shared" si="72"/>
        <v>1513.800174188767</v>
      </c>
      <c r="Q394" s="8">
        <f t="shared" si="76"/>
        <v>1.2639427897774516</v>
      </c>
      <c r="T394" s="8">
        <f t="shared" si="73"/>
        <v>1.2639427897774516</v>
      </c>
    </row>
    <row r="395" spans="1:20" x14ac:dyDescent="0.2">
      <c r="B395">
        <f t="shared" si="66"/>
        <v>392</v>
      </c>
      <c r="C395">
        <f t="shared" si="67"/>
        <v>31</v>
      </c>
      <c r="D395">
        <v>366</v>
      </c>
      <c r="E395">
        <v>397</v>
      </c>
      <c r="F395">
        <f>PMSPLINE!F$16</f>
        <v>2.0987687517840574</v>
      </c>
      <c r="G395">
        <f>PMSPLINE!F$17</f>
        <v>1.144113017729536</v>
      </c>
      <c r="H395" s="10">
        <f>PMSPLINE!K$16</f>
        <v>1.4191815979634407E-3</v>
      </c>
      <c r="I395" s="10">
        <f>PMSPLINE!K$17</f>
        <v>5.0033463766111625E-4</v>
      </c>
      <c r="J395">
        <f t="shared" si="68"/>
        <v>0.16129032258064516</v>
      </c>
      <c r="K395">
        <f t="shared" si="69"/>
        <v>0.83870967741935487</v>
      </c>
      <c r="L395">
        <f t="shared" si="74"/>
        <v>346</v>
      </c>
      <c r="M395" s="8">
        <f t="shared" si="70"/>
        <v>1.2980897490286525</v>
      </c>
      <c r="N395" s="6">
        <f t="shared" si="75"/>
        <v>1.2424486224504925</v>
      </c>
      <c r="O395" s="8">
        <f t="shared" si="71"/>
        <v>1513.5282738822975</v>
      </c>
      <c r="P395" s="8">
        <f t="shared" si="72"/>
        <v>1515.0426228112174</v>
      </c>
      <c r="Q395" s="8">
        <f t="shared" si="76"/>
        <v>1.2424486224504925</v>
      </c>
      <c r="T395" s="8">
        <f t="shared" si="73"/>
        <v>1.2424486224504925</v>
      </c>
    </row>
    <row r="396" spans="1:20" x14ac:dyDescent="0.2">
      <c r="B396">
        <f t="shared" si="66"/>
        <v>393</v>
      </c>
      <c r="C396">
        <f t="shared" si="67"/>
        <v>31</v>
      </c>
      <c r="D396">
        <v>366</v>
      </c>
      <c r="E396">
        <v>397</v>
      </c>
      <c r="F396">
        <f>PMSPLINE!F$16</f>
        <v>2.0987687517840574</v>
      </c>
      <c r="G396">
        <f>PMSPLINE!F$17</f>
        <v>1.144113017729536</v>
      </c>
      <c r="H396" s="10">
        <f>PMSPLINE!K$16</f>
        <v>1.4191815979634407E-3</v>
      </c>
      <c r="I396" s="10">
        <f>PMSPLINE!K$17</f>
        <v>5.0033463766111625E-4</v>
      </c>
      <c r="J396">
        <f t="shared" si="68"/>
        <v>0.12903225806451613</v>
      </c>
      <c r="K396">
        <f t="shared" si="69"/>
        <v>0.87096774193548387</v>
      </c>
      <c r="L396">
        <f t="shared" si="74"/>
        <v>347</v>
      </c>
      <c r="M396" s="8">
        <f t="shared" si="70"/>
        <v>1.2672944027688291</v>
      </c>
      <c r="N396" s="6">
        <f t="shared" si="75"/>
        <v>1.2216029908838235</v>
      </c>
      <c r="O396" s="8">
        <f t="shared" si="71"/>
        <v>1514.7955682850663</v>
      </c>
      <c r="P396" s="8">
        <f t="shared" si="72"/>
        <v>1516.2642258021012</v>
      </c>
      <c r="Q396" s="8">
        <f t="shared" si="76"/>
        <v>1.2216029908838235</v>
      </c>
      <c r="T396" s="8">
        <f t="shared" si="73"/>
        <v>1.2216029908838235</v>
      </c>
    </row>
    <row r="397" spans="1:20" x14ac:dyDescent="0.2">
      <c r="B397">
        <f t="shared" si="66"/>
        <v>394</v>
      </c>
      <c r="C397">
        <f t="shared" si="67"/>
        <v>31</v>
      </c>
      <c r="D397">
        <v>366</v>
      </c>
      <c r="E397">
        <v>397</v>
      </c>
      <c r="F397">
        <f>PMSPLINE!F$16</f>
        <v>2.0987687517840574</v>
      </c>
      <c r="G397">
        <f>PMSPLINE!F$17</f>
        <v>1.144113017729536</v>
      </c>
      <c r="H397" s="10">
        <f>PMSPLINE!K$16</f>
        <v>1.4191815979634407E-3</v>
      </c>
      <c r="I397" s="10">
        <f>PMSPLINE!K$17</f>
        <v>5.0033463766111625E-4</v>
      </c>
      <c r="J397">
        <f t="shared" si="68"/>
        <v>9.6774193548387094E-2</v>
      </c>
      <c r="K397">
        <f t="shared" si="69"/>
        <v>0.90322580645161288</v>
      </c>
      <c r="L397">
        <f t="shared" si="74"/>
        <v>348</v>
      </c>
      <c r="M397" s="8">
        <f t="shared" si="70"/>
        <v>1.2364990565090057</v>
      </c>
      <c r="N397" s="6">
        <f t="shared" si="75"/>
        <v>1.2013762548529192</v>
      </c>
      <c r="O397" s="8">
        <f t="shared" si="71"/>
        <v>1516.0320673415754</v>
      </c>
      <c r="P397" s="8">
        <f t="shared" si="72"/>
        <v>1517.4656020569541</v>
      </c>
      <c r="Q397" s="8">
        <f t="shared" si="76"/>
        <v>1.2013762548529192</v>
      </c>
      <c r="T397" s="8">
        <f t="shared" si="73"/>
        <v>1.2013762548529192</v>
      </c>
    </row>
    <row r="398" spans="1:20" x14ac:dyDescent="0.2">
      <c r="B398">
        <f t="shared" si="66"/>
        <v>395</v>
      </c>
      <c r="C398">
        <f t="shared" si="67"/>
        <v>31</v>
      </c>
      <c r="D398">
        <v>366</v>
      </c>
      <c r="E398">
        <v>397</v>
      </c>
      <c r="F398">
        <f>PMSPLINE!F$16</f>
        <v>2.0987687517840574</v>
      </c>
      <c r="G398">
        <f>PMSPLINE!F$17</f>
        <v>1.144113017729536</v>
      </c>
      <c r="H398" s="10">
        <f>PMSPLINE!K$16</f>
        <v>1.4191815979634407E-3</v>
      </c>
      <c r="I398" s="10">
        <f>PMSPLINE!K$17</f>
        <v>5.0033463766111625E-4</v>
      </c>
      <c r="J398">
        <f t="shared" si="68"/>
        <v>6.4516129032258063E-2</v>
      </c>
      <c r="K398">
        <f t="shared" si="69"/>
        <v>0.93548387096774188</v>
      </c>
      <c r="L398">
        <f t="shared" si="74"/>
        <v>349</v>
      </c>
      <c r="M398" s="8">
        <f t="shared" si="70"/>
        <v>1.2057037102491825</v>
      </c>
      <c r="N398" s="6">
        <f t="shared" si="75"/>
        <v>1.1817387741332539</v>
      </c>
      <c r="O398" s="8">
        <f t="shared" si="71"/>
        <v>1517.2377710518247</v>
      </c>
      <c r="P398" s="8">
        <f t="shared" si="72"/>
        <v>1518.6473408310874</v>
      </c>
      <c r="Q398" s="8">
        <f t="shared" si="76"/>
        <v>1.1817387741332539</v>
      </c>
      <c r="T398" s="8">
        <f t="shared" si="73"/>
        <v>1.1817387741332539</v>
      </c>
    </row>
    <row r="399" spans="1:20" x14ac:dyDescent="0.2">
      <c r="B399">
        <f t="shared" si="66"/>
        <v>396</v>
      </c>
      <c r="C399">
        <f t="shared" si="67"/>
        <v>31</v>
      </c>
      <c r="D399">
        <v>366</v>
      </c>
      <c r="E399">
        <v>397</v>
      </c>
      <c r="F399">
        <f>PMSPLINE!F$16</f>
        <v>2.0987687517840574</v>
      </c>
      <c r="G399">
        <f>PMSPLINE!F$17</f>
        <v>1.144113017729536</v>
      </c>
      <c r="H399" s="10">
        <f>PMSPLINE!K$16</f>
        <v>1.4191815979634407E-3</v>
      </c>
      <c r="I399" s="10">
        <f>PMSPLINE!K$17</f>
        <v>5.0033463766111625E-4</v>
      </c>
      <c r="J399">
        <f t="shared" si="68"/>
        <v>3.2258064516129031E-2</v>
      </c>
      <c r="K399">
        <f t="shared" si="69"/>
        <v>0.967741935483871</v>
      </c>
      <c r="L399">
        <f t="shared" si="74"/>
        <v>350</v>
      </c>
      <c r="M399" s="8">
        <f t="shared" si="70"/>
        <v>1.1749083639893594</v>
      </c>
      <c r="N399" s="6">
        <f t="shared" si="75"/>
        <v>1.1626609085003017</v>
      </c>
      <c r="O399" s="8">
        <f t="shared" si="71"/>
        <v>1518.412679415814</v>
      </c>
      <c r="P399" s="8">
        <f t="shared" si="72"/>
        <v>1519.8100017395877</v>
      </c>
      <c r="Q399" s="8">
        <f t="shared" si="76"/>
        <v>1.1626609085003017</v>
      </c>
      <c r="T399" s="8">
        <f t="shared" si="73"/>
        <v>1.1626609085003017</v>
      </c>
    </row>
    <row r="400" spans="1:20" x14ac:dyDescent="0.2">
      <c r="A400">
        <v>397</v>
      </c>
      <c r="B400">
        <f t="shared" si="66"/>
        <v>397</v>
      </c>
      <c r="C400">
        <f t="shared" si="67"/>
        <v>31</v>
      </c>
      <c r="D400">
        <v>366</v>
      </c>
      <c r="E400">
        <v>397</v>
      </c>
      <c r="F400">
        <f>PMSPLINE!F$16</f>
        <v>2.0987687517840574</v>
      </c>
      <c r="G400">
        <f>PMSPLINE!F$17</f>
        <v>1.144113017729536</v>
      </c>
      <c r="H400" s="10">
        <f>PMSPLINE!K$16</f>
        <v>1.4191815979634407E-3</v>
      </c>
      <c r="I400" s="10">
        <f>PMSPLINE!K$17</f>
        <v>5.0033463766111625E-4</v>
      </c>
      <c r="J400">
        <f t="shared" si="68"/>
        <v>0</v>
      </c>
      <c r="K400">
        <f t="shared" si="69"/>
        <v>1</v>
      </c>
      <c r="L400">
        <f t="shared" si="74"/>
        <v>351</v>
      </c>
      <c r="M400" s="8">
        <f t="shared" si="70"/>
        <v>1.144113017729536</v>
      </c>
      <c r="N400" s="6">
        <f t="shared" si="75"/>
        <v>1.144113017729536</v>
      </c>
      <c r="O400" s="8">
        <f t="shared" si="71"/>
        <v>1519.5567924335435</v>
      </c>
      <c r="P400" s="8">
        <f t="shared" si="72"/>
        <v>1520.9541147573173</v>
      </c>
      <c r="Q400" s="8">
        <f t="shared" si="76"/>
        <v>1.144113017729536</v>
      </c>
      <c r="T400" s="8">
        <f t="shared" si="73"/>
        <v>1.144113017729536</v>
      </c>
    </row>
    <row r="401" spans="1:20" x14ac:dyDescent="0.2">
      <c r="B401">
        <f t="shared" si="66"/>
        <v>398</v>
      </c>
      <c r="C401">
        <f t="shared" si="67"/>
        <v>29</v>
      </c>
      <c r="D401">
        <v>397</v>
      </c>
      <c r="E401">
        <v>426</v>
      </c>
      <c r="F401">
        <f>PMSPLINE!F$17</f>
        <v>1.144113017729536</v>
      </c>
      <c r="G401">
        <f>PMSPLINE!F$18</f>
        <v>1.0045022758082387</v>
      </c>
      <c r="H401" s="10">
        <f>PMSPLINE!K$17</f>
        <v>5.0033463766111625E-4</v>
      </c>
      <c r="I401" s="10">
        <f>PMSPLINE!K$18</f>
        <v>1.7880107039853124E-3</v>
      </c>
      <c r="J401">
        <f t="shared" si="68"/>
        <v>0.96551724137931039</v>
      </c>
      <c r="K401">
        <f t="shared" si="69"/>
        <v>3.4482758620689655E-2</v>
      </c>
      <c r="L401">
        <f t="shared" si="74"/>
        <v>352</v>
      </c>
      <c r="M401" s="8">
        <f t="shared" si="70"/>
        <v>1.1392988542150084</v>
      </c>
      <c r="N401" s="6">
        <f t="shared" si="75"/>
        <v>1.1260778020710154</v>
      </c>
      <c r="O401" s="8">
        <f t="shared" si="71"/>
        <v>1520.6960912877585</v>
      </c>
      <c r="P401" s="8">
        <f t="shared" si="72"/>
        <v>1522.0801925593883</v>
      </c>
      <c r="Q401" s="8">
        <f t="shared" si="76"/>
        <v>1.1260778020710154</v>
      </c>
      <c r="T401" s="8">
        <f t="shared" si="73"/>
        <v>1.1260778020710154</v>
      </c>
    </row>
    <row r="402" spans="1:20" x14ac:dyDescent="0.2">
      <c r="B402">
        <f t="shared" si="66"/>
        <v>399</v>
      </c>
      <c r="C402">
        <f t="shared" si="67"/>
        <v>29</v>
      </c>
      <c r="D402">
        <v>397</v>
      </c>
      <c r="E402">
        <v>426</v>
      </c>
      <c r="F402">
        <f>PMSPLINE!F$17</f>
        <v>1.144113017729536</v>
      </c>
      <c r="G402">
        <f>PMSPLINE!F$18</f>
        <v>1.0045022758082387</v>
      </c>
      <c r="H402" s="10">
        <f>PMSPLINE!K$17</f>
        <v>5.0033463766111625E-4</v>
      </c>
      <c r="I402" s="10">
        <f>PMSPLINE!K$18</f>
        <v>1.7880107039853124E-3</v>
      </c>
      <c r="J402">
        <f t="shared" si="68"/>
        <v>0.93103448275862066</v>
      </c>
      <c r="K402">
        <f t="shared" si="69"/>
        <v>6.8965517241379309E-2</v>
      </c>
      <c r="L402">
        <f t="shared" si="74"/>
        <v>353</v>
      </c>
      <c r="M402" s="8">
        <f t="shared" si="70"/>
        <v>1.1344846907004809</v>
      </c>
      <c r="N402" s="6">
        <f t="shared" si="75"/>
        <v>1.1085873236731325</v>
      </c>
      <c r="O402" s="8">
        <f t="shared" si="71"/>
        <v>1521.8305759784589</v>
      </c>
      <c r="P402" s="8">
        <f t="shared" si="72"/>
        <v>1523.1887798830614</v>
      </c>
      <c r="Q402" s="8">
        <f t="shared" si="76"/>
        <v>1.1085873236731325</v>
      </c>
      <c r="T402" s="8">
        <f t="shared" si="73"/>
        <v>1.1085873236731325</v>
      </c>
    </row>
    <row r="403" spans="1:20" x14ac:dyDescent="0.2">
      <c r="B403">
        <f t="shared" si="66"/>
        <v>400</v>
      </c>
      <c r="C403">
        <f t="shared" si="67"/>
        <v>29</v>
      </c>
      <c r="D403">
        <v>397</v>
      </c>
      <c r="E403">
        <v>426</v>
      </c>
      <c r="F403">
        <f>PMSPLINE!F$17</f>
        <v>1.144113017729536</v>
      </c>
      <c r="G403">
        <f>PMSPLINE!F$18</f>
        <v>1.0045022758082387</v>
      </c>
      <c r="H403" s="10">
        <f>PMSPLINE!K$17</f>
        <v>5.0033463766111625E-4</v>
      </c>
      <c r="I403" s="10">
        <f>PMSPLINE!K$18</f>
        <v>1.7880107039853124E-3</v>
      </c>
      <c r="J403">
        <f t="shared" si="68"/>
        <v>0.89655172413793105</v>
      </c>
      <c r="K403">
        <f t="shared" si="69"/>
        <v>0.10344827586206896</v>
      </c>
      <c r="L403">
        <f t="shared" si="74"/>
        <v>354</v>
      </c>
      <c r="M403" s="8">
        <f t="shared" si="70"/>
        <v>1.1296705271859535</v>
      </c>
      <c r="N403" s="6">
        <f t="shared" si="75"/>
        <v>1.0916859851588643</v>
      </c>
      <c r="O403" s="8">
        <f t="shared" si="71"/>
        <v>1522.9602465056448</v>
      </c>
      <c r="P403" s="8">
        <f t="shared" si="72"/>
        <v>1524.2804658682203</v>
      </c>
      <c r="Q403" s="8">
        <f t="shared" si="76"/>
        <v>1.0916859851588643</v>
      </c>
      <c r="T403" s="8">
        <f t="shared" si="73"/>
        <v>1.0916859851588643</v>
      </c>
    </row>
    <row r="404" spans="1:20" x14ac:dyDescent="0.2">
      <c r="B404">
        <f t="shared" si="66"/>
        <v>401</v>
      </c>
      <c r="C404">
        <f t="shared" si="67"/>
        <v>29</v>
      </c>
      <c r="D404">
        <v>397</v>
      </c>
      <c r="E404">
        <v>426</v>
      </c>
      <c r="F404">
        <f>PMSPLINE!F$17</f>
        <v>1.144113017729536</v>
      </c>
      <c r="G404">
        <f>PMSPLINE!F$18</f>
        <v>1.0045022758082387</v>
      </c>
      <c r="H404" s="10">
        <f>PMSPLINE!K$17</f>
        <v>5.0033463766111625E-4</v>
      </c>
      <c r="I404" s="10">
        <f>PMSPLINE!K$18</f>
        <v>1.7880107039853124E-3</v>
      </c>
      <c r="J404">
        <f t="shared" si="68"/>
        <v>0.86206896551724133</v>
      </c>
      <c r="K404">
        <f t="shared" si="69"/>
        <v>0.13793103448275862</v>
      </c>
      <c r="L404">
        <f t="shared" si="74"/>
        <v>355</v>
      </c>
      <c r="M404" s="8">
        <f t="shared" si="70"/>
        <v>1.1248563636714259</v>
      </c>
      <c r="N404" s="6">
        <f t="shared" si="75"/>
        <v>1.0754181891511871</v>
      </c>
      <c r="O404" s="8">
        <f t="shared" si="71"/>
        <v>1524.0851028693162</v>
      </c>
      <c r="P404" s="8">
        <f t="shared" si="72"/>
        <v>1525.3558840573714</v>
      </c>
      <c r="Q404" s="8">
        <f t="shared" si="76"/>
        <v>1.0754181891511871</v>
      </c>
      <c r="T404" s="8">
        <f t="shared" si="73"/>
        <v>1.0754181891511871</v>
      </c>
    </row>
    <row r="405" spans="1:20" x14ac:dyDescent="0.2">
      <c r="B405">
        <f t="shared" si="66"/>
        <v>402</v>
      </c>
      <c r="C405">
        <f t="shared" si="67"/>
        <v>29</v>
      </c>
      <c r="D405">
        <v>397</v>
      </c>
      <c r="E405">
        <v>426</v>
      </c>
      <c r="F405">
        <f>PMSPLINE!F$17</f>
        <v>1.144113017729536</v>
      </c>
      <c r="G405">
        <f>PMSPLINE!F$18</f>
        <v>1.0045022758082387</v>
      </c>
      <c r="H405" s="10">
        <f>PMSPLINE!K$17</f>
        <v>5.0033463766111625E-4</v>
      </c>
      <c r="I405" s="10">
        <f>PMSPLINE!K$18</f>
        <v>1.7880107039853124E-3</v>
      </c>
      <c r="J405">
        <f t="shared" si="68"/>
        <v>0.82758620689655171</v>
      </c>
      <c r="K405">
        <f t="shared" si="69"/>
        <v>0.17241379310344829</v>
      </c>
      <c r="L405">
        <f t="shared" si="74"/>
        <v>356</v>
      </c>
      <c r="M405" s="8">
        <f t="shared" si="70"/>
        <v>1.1200422001568986</v>
      </c>
      <c r="N405" s="6">
        <f t="shared" si="75"/>
        <v>1.059828338273078</v>
      </c>
      <c r="O405" s="8">
        <f t="shared" si="71"/>
        <v>1525.205145069473</v>
      </c>
      <c r="P405" s="8">
        <f t="shared" si="72"/>
        <v>1526.4157123956445</v>
      </c>
      <c r="Q405" s="8">
        <f t="shared" si="76"/>
        <v>1.059828338273078</v>
      </c>
      <c r="T405" s="8">
        <f t="shared" si="73"/>
        <v>1.059828338273078</v>
      </c>
    </row>
    <row r="406" spans="1:20" x14ac:dyDescent="0.2">
      <c r="B406">
        <f t="shared" si="66"/>
        <v>403</v>
      </c>
      <c r="C406">
        <f t="shared" si="67"/>
        <v>29</v>
      </c>
      <c r="D406">
        <v>397</v>
      </c>
      <c r="E406">
        <v>426</v>
      </c>
      <c r="F406">
        <f>PMSPLINE!F$17</f>
        <v>1.144113017729536</v>
      </c>
      <c r="G406">
        <f>PMSPLINE!F$18</f>
        <v>1.0045022758082387</v>
      </c>
      <c r="H406" s="10">
        <f>PMSPLINE!K$17</f>
        <v>5.0033463766111625E-4</v>
      </c>
      <c r="I406" s="10">
        <f>PMSPLINE!K$18</f>
        <v>1.7880107039853124E-3</v>
      </c>
      <c r="J406">
        <f t="shared" si="68"/>
        <v>0.7931034482758621</v>
      </c>
      <c r="K406">
        <f t="shared" si="69"/>
        <v>0.20689655172413793</v>
      </c>
      <c r="L406">
        <f t="shared" si="74"/>
        <v>357</v>
      </c>
      <c r="M406" s="8">
        <f t="shared" si="70"/>
        <v>1.115228036642371</v>
      </c>
      <c r="N406" s="6">
        <f t="shared" si="75"/>
        <v>1.0449608351475135</v>
      </c>
      <c r="O406" s="8">
        <f t="shared" si="71"/>
        <v>1526.3203731061153</v>
      </c>
      <c r="P406" s="8">
        <f t="shared" si="72"/>
        <v>1527.4606732307921</v>
      </c>
      <c r="Q406" s="8">
        <f t="shared" si="76"/>
        <v>1.0449608351475135</v>
      </c>
      <c r="T406" s="8">
        <f t="shared" si="73"/>
        <v>1.0449608351475135</v>
      </c>
    </row>
    <row r="407" spans="1:20" x14ac:dyDescent="0.2">
      <c r="B407">
        <f t="shared" si="66"/>
        <v>404</v>
      </c>
      <c r="C407">
        <f t="shared" si="67"/>
        <v>29</v>
      </c>
      <c r="D407">
        <v>397</v>
      </c>
      <c r="E407">
        <v>426</v>
      </c>
      <c r="F407">
        <f>PMSPLINE!F$17</f>
        <v>1.144113017729536</v>
      </c>
      <c r="G407">
        <f>PMSPLINE!F$18</f>
        <v>1.0045022758082387</v>
      </c>
      <c r="H407" s="10">
        <f>PMSPLINE!K$17</f>
        <v>5.0033463766111625E-4</v>
      </c>
      <c r="I407" s="10">
        <f>PMSPLINE!K$18</f>
        <v>1.7880107039853124E-3</v>
      </c>
      <c r="J407">
        <f t="shared" si="68"/>
        <v>0.75862068965517238</v>
      </c>
      <c r="K407">
        <f t="shared" si="69"/>
        <v>0.2413793103448276</v>
      </c>
      <c r="L407">
        <f t="shared" si="74"/>
        <v>358</v>
      </c>
      <c r="M407" s="8">
        <f t="shared" si="70"/>
        <v>1.1104138731278435</v>
      </c>
      <c r="N407" s="6">
        <f t="shared" si="75"/>
        <v>1.0308600823974701</v>
      </c>
      <c r="O407" s="8">
        <f t="shared" si="71"/>
        <v>1527.4307869792431</v>
      </c>
      <c r="P407" s="8">
        <f t="shared" si="72"/>
        <v>1528.4915333131896</v>
      </c>
      <c r="Q407" s="8">
        <f t="shared" si="76"/>
        <v>1.0308600823974701</v>
      </c>
      <c r="T407" s="8">
        <f t="shared" si="73"/>
        <v>1.0308600823974701</v>
      </c>
    </row>
    <row r="408" spans="1:20" x14ac:dyDescent="0.2">
      <c r="B408">
        <f t="shared" si="66"/>
        <v>405</v>
      </c>
      <c r="C408">
        <f t="shared" si="67"/>
        <v>29</v>
      </c>
      <c r="D408">
        <v>397</v>
      </c>
      <c r="E408">
        <v>426</v>
      </c>
      <c r="F408">
        <f>PMSPLINE!F$17</f>
        <v>1.144113017729536</v>
      </c>
      <c r="G408">
        <f>PMSPLINE!F$18</f>
        <v>1.0045022758082387</v>
      </c>
      <c r="H408" s="10">
        <f>PMSPLINE!K$17</f>
        <v>5.0033463766111625E-4</v>
      </c>
      <c r="I408" s="10">
        <f>PMSPLINE!K$18</f>
        <v>1.7880107039853124E-3</v>
      </c>
      <c r="J408">
        <f t="shared" si="68"/>
        <v>0.72413793103448276</v>
      </c>
      <c r="K408">
        <f t="shared" si="69"/>
        <v>0.27586206896551724</v>
      </c>
      <c r="L408">
        <f t="shared" si="74"/>
        <v>359</v>
      </c>
      <c r="M408" s="8">
        <f t="shared" si="70"/>
        <v>1.1055997096133161</v>
      </c>
      <c r="N408" s="6">
        <f>Q408</f>
        <v>1.0175704826459249</v>
      </c>
      <c r="O408" s="8">
        <f t="shared" si="71"/>
        <v>1528.5363866888563</v>
      </c>
      <c r="P408" s="8">
        <f t="shared" si="72"/>
        <v>1529.5091037958355</v>
      </c>
      <c r="Q408" s="8">
        <f t="shared" si="76"/>
        <v>1.0175704826459249</v>
      </c>
      <c r="T408" s="8">
        <f t="shared" si="73"/>
        <v>1.0175704826459249</v>
      </c>
    </row>
    <row r="409" spans="1:20" x14ac:dyDescent="0.2">
      <c r="B409">
        <f t="shared" si="66"/>
        <v>406</v>
      </c>
      <c r="C409">
        <f t="shared" si="67"/>
        <v>29</v>
      </c>
      <c r="D409">
        <v>397</v>
      </c>
      <c r="E409">
        <v>426</v>
      </c>
      <c r="F409">
        <f>PMSPLINE!F$17</f>
        <v>1.144113017729536</v>
      </c>
      <c r="G409">
        <f>PMSPLINE!F$18</f>
        <v>1.0045022758082387</v>
      </c>
      <c r="H409" s="10">
        <f>PMSPLINE!K$17</f>
        <v>5.0033463766111625E-4</v>
      </c>
      <c r="I409" s="10">
        <f>PMSPLINE!K$18</f>
        <v>1.7880107039853124E-3</v>
      </c>
      <c r="J409">
        <f t="shared" si="68"/>
        <v>0.68965517241379315</v>
      </c>
      <c r="K409">
        <f t="shared" si="69"/>
        <v>0.31034482758620691</v>
      </c>
      <c r="L409">
        <f t="shared" si="74"/>
        <v>360</v>
      </c>
      <c r="M409" s="8">
        <f t="shared" si="70"/>
        <v>1.1007855460987885</v>
      </c>
      <c r="N409" s="9">
        <f>N408+R$414</f>
        <v>1.0021258947344049</v>
      </c>
      <c r="O409" s="8">
        <f t="shared" si="71"/>
        <v>1529.637172234955</v>
      </c>
      <c r="P409" s="8">
        <f t="shared" si="72"/>
        <v>1530.51122969057</v>
      </c>
      <c r="Q409" s="8">
        <f t="shared" si="76"/>
        <v>1.0051364385158541</v>
      </c>
      <c r="T409" s="8">
        <f t="shared" si="73"/>
        <v>1.0021258947344049</v>
      </c>
    </row>
    <row r="410" spans="1:20" x14ac:dyDescent="0.2">
      <c r="B410">
        <f t="shared" si="66"/>
        <v>407</v>
      </c>
      <c r="C410">
        <f t="shared" si="67"/>
        <v>29</v>
      </c>
      <c r="D410">
        <v>397</v>
      </c>
      <c r="E410">
        <v>426</v>
      </c>
      <c r="F410">
        <f>PMSPLINE!F$17</f>
        <v>1.144113017729536</v>
      </c>
      <c r="G410">
        <f>PMSPLINE!F$18</f>
        <v>1.0045022758082387</v>
      </c>
      <c r="H410" s="10">
        <f>PMSPLINE!K$17</f>
        <v>5.0033463766111625E-4</v>
      </c>
      <c r="I410" s="10">
        <f>PMSPLINE!K$18</f>
        <v>1.7880107039853124E-3</v>
      </c>
      <c r="J410">
        <f t="shared" si="68"/>
        <v>0.65517241379310343</v>
      </c>
      <c r="K410">
        <f t="shared" si="69"/>
        <v>0.34482758620689657</v>
      </c>
      <c r="L410">
        <f t="shared" si="74"/>
        <v>361</v>
      </c>
      <c r="M410" s="8">
        <f t="shared" si="70"/>
        <v>1.0959713825842612</v>
      </c>
      <c r="N410" s="9">
        <f>N409+R$414</f>
        <v>0.98668130682288502</v>
      </c>
      <c r="O410" s="8">
        <f t="shared" si="71"/>
        <v>1530.7331436175393</v>
      </c>
      <c r="P410" s="8">
        <f t="shared" si="72"/>
        <v>1531.4979109973929</v>
      </c>
      <c r="Q410" s="8">
        <f t="shared" si="76"/>
        <v>0.99360235263023511</v>
      </c>
      <c r="T410" s="8">
        <f t="shared" si="73"/>
        <v>0.98668130682288502</v>
      </c>
    </row>
    <row r="411" spans="1:20" x14ac:dyDescent="0.2">
      <c r="B411">
        <f t="shared" si="66"/>
        <v>408</v>
      </c>
      <c r="C411">
        <f t="shared" si="67"/>
        <v>29</v>
      </c>
      <c r="D411">
        <v>397</v>
      </c>
      <c r="E411">
        <v>426</v>
      </c>
      <c r="F411">
        <f>PMSPLINE!F$17</f>
        <v>1.144113017729536</v>
      </c>
      <c r="G411">
        <f>PMSPLINE!F$18</f>
        <v>1.0045022758082387</v>
      </c>
      <c r="H411" s="10">
        <f>PMSPLINE!K$17</f>
        <v>5.0033463766111625E-4</v>
      </c>
      <c r="I411" s="10">
        <f>PMSPLINE!K$18</f>
        <v>1.7880107039853124E-3</v>
      </c>
      <c r="J411">
        <f t="shared" si="68"/>
        <v>0.62068965517241381</v>
      </c>
      <c r="K411">
        <f t="shared" si="69"/>
        <v>0.37931034482758619</v>
      </c>
      <c r="L411">
        <f t="shared" si="74"/>
        <v>362</v>
      </c>
      <c r="M411" s="8">
        <f t="shared" si="70"/>
        <v>1.0911572190697336</v>
      </c>
      <c r="N411" s="9">
        <f>N410+R$414</f>
        <v>0.97123671891136509</v>
      </c>
      <c r="O411" s="8">
        <f t="shared" si="71"/>
        <v>1531.8243008366092</v>
      </c>
      <c r="P411" s="8">
        <f t="shared" si="72"/>
        <v>1532.4691477163042</v>
      </c>
      <c r="Q411" s="8">
        <f t="shared" si="76"/>
        <v>0.98301262761204389</v>
      </c>
      <c r="T411" s="8">
        <f t="shared" si="73"/>
        <v>0.97123671891136509</v>
      </c>
    </row>
    <row r="412" spans="1:20" x14ac:dyDescent="0.2">
      <c r="B412">
        <f t="shared" si="66"/>
        <v>409</v>
      </c>
      <c r="C412">
        <f t="shared" si="67"/>
        <v>29</v>
      </c>
      <c r="D412">
        <v>397</v>
      </c>
      <c r="E412">
        <v>426</v>
      </c>
      <c r="F412">
        <f>PMSPLINE!F$17</f>
        <v>1.144113017729536</v>
      </c>
      <c r="G412">
        <f>PMSPLINE!F$18</f>
        <v>1.0045022758082387</v>
      </c>
      <c r="H412" s="10">
        <f>PMSPLINE!K$17</f>
        <v>5.0033463766111625E-4</v>
      </c>
      <c r="I412" s="10">
        <f>PMSPLINE!K$18</f>
        <v>1.7880107039853124E-3</v>
      </c>
      <c r="J412">
        <f t="shared" si="68"/>
        <v>0.58620689655172409</v>
      </c>
      <c r="K412">
        <f t="shared" si="69"/>
        <v>0.41379310344827586</v>
      </c>
      <c r="L412">
        <f t="shared" si="74"/>
        <v>363</v>
      </c>
      <c r="M412" s="8">
        <f t="shared" si="70"/>
        <v>1.086343055555206</v>
      </c>
      <c r="N412" s="9">
        <f>N411+R$414</f>
        <v>0.95579213099984517</v>
      </c>
      <c r="O412" s="8">
        <f t="shared" si="71"/>
        <v>1532.9106438921644</v>
      </c>
      <c r="P412" s="8">
        <f t="shared" si="72"/>
        <v>1533.4249398473041</v>
      </c>
      <c r="Q412" s="8">
        <f t="shared" si="76"/>
        <v>0.97341166608425733</v>
      </c>
      <c r="T412" s="8">
        <f t="shared" si="73"/>
        <v>0.95579213099984517</v>
      </c>
    </row>
    <row r="413" spans="1:20" x14ac:dyDescent="0.2">
      <c r="B413">
        <f t="shared" si="66"/>
        <v>410</v>
      </c>
      <c r="C413">
        <f t="shared" si="67"/>
        <v>29</v>
      </c>
      <c r="D413">
        <v>397</v>
      </c>
      <c r="E413">
        <v>426</v>
      </c>
      <c r="F413">
        <f>PMSPLINE!F$17</f>
        <v>1.144113017729536</v>
      </c>
      <c r="G413">
        <f>PMSPLINE!F$18</f>
        <v>1.0045022758082387</v>
      </c>
      <c r="H413" s="10">
        <f>PMSPLINE!K$17</f>
        <v>5.0033463766111625E-4</v>
      </c>
      <c r="I413" s="10">
        <f>PMSPLINE!K$18</f>
        <v>1.7880107039853124E-3</v>
      </c>
      <c r="J413">
        <f t="shared" si="68"/>
        <v>0.55172413793103448</v>
      </c>
      <c r="K413">
        <f t="shared" si="69"/>
        <v>0.44827586206896552</v>
      </c>
      <c r="L413">
        <f t="shared" si="74"/>
        <v>364</v>
      </c>
      <c r="M413" s="8">
        <f t="shared" si="70"/>
        <v>1.0815288920406787</v>
      </c>
      <c r="N413" s="9">
        <f>N412+R$414</f>
        <v>0.94034754308832524</v>
      </c>
      <c r="O413" s="8">
        <f t="shared" si="71"/>
        <v>1533.9921727842052</v>
      </c>
      <c r="P413" s="8">
        <f t="shared" si="72"/>
        <v>1534.3652873903925</v>
      </c>
      <c r="Q413" s="8">
        <f t="shared" si="76"/>
        <v>0.96484387066985267</v>
      </c>
      <c r="T413" s="8">
        <f t="shared" si="73"/>
        <v>0.94034754308832524</v>
      </c>
    </row>
    <row r="414" spans="1:20" x14ac:dyDescent="0.2">
      <c r="A414" s="1"/>
      <c r="B414" s="1">
        <f t="shared" si="66"/>
        <v>411</v>
      </c>
      <c r="C414" s="1">
        <f t="shared" si="67"/>
        <v>29</v>
      </c>
      <c r="D414" s="1">
        <v>397</v>
      </c>
      <c r="E414" s="1">
        <v>426</v>
      </c>
      <c r="F414" s="1">
        <f>PMSPLINE!F$17</f>
        <v>1.144113017729536</v>
      </c>
      <c r="G414" s="1">
        <f>PMSPLINE!F$18</f>
        <v>1.0045022758082387</v>
      </c>
      <c r="H414" s="11">
        <f>PMSPLINE!K$17</f>
        <v>5.0033463766111625E-4</v>
      </c>
      <c r="I414" s="11">
        <f>PMSPLINE!K$18</f>
        <v>1.7880107039853124E-3</v>
      </c>
      <c r="J414" s="1">
        <f t="shared" si="68"/>
        <v>0.51724137931034486</v>
      </c>
      <c r="K414" s="1">
        <f t="shared" si="69"/>
        <v>0.48275862068965519</v>
      </c>
      <c r="L414" s="1">
        <f t="shared" si="74"/>
        <v>365</v>
      </c>
      <c r="M414" s="7">
        <f t="shared" si="70"/>
        <v>1.0767147285261511</v>
      </c>
      <c r="N414" s="7">
        <f>(Q50+Q414)/2</f>
        <v>0.94034754308832524</v>
      </c>
      <c r="O414" s="7">
        <f t="shared" si="71"/>
        <v>1535.0688875127314</v>
      </c>
      <c r="P414" s="7">
        <f t="shared" si="72"/>
        <v>1535.3056349334809</v>
      </c>
      <c r="Q414" s="7">
        <f t="shared" si="76"/>
        <v>0.95735364399180578</v>
      </c>
      <c r="R414" s="4">
        <f>(N414-Q408)/5</f>
        <v>-1.5444587911519925E-2</v>
      </c>
      <c r="T414" s="8">
        <f>N414</f>
        <v>0.94034754308832524</v>
      </c>
    </row>
    <row r="415" spans="1:20" x14ac:dyDescent="0.2">
      <c r="B415">
        <f t="shared" si="66"/>
        <v>412</v>
      </c>
      <c r="C415">
        <f t="shared" si="67"/>
        <v>29</v>
      </c>
      <c r="D415">
        <v>397</v>
      </c>
      <c r="E415">
        <v>426</v>
      </c>
      <c r="F415">
        <f>PMSPLINE!F$17</f>
        <v>1.144113017729536</v>
      </c>
      <c r="G415">
        <f>PMSPLINE!F$18</f>
        <v>1.0045022758082387</v>
      </c>
      <c r="H415" s="10">
        <f>PMSPLINE!K$17</f>
        <v>5.0033463766111625E-4</v>
      </c>
      <c r="I415" s="10">
        <f>PMSPLINE!K$18</f>
        <v>1.7880107039853124E-3</v>
      </c>
      <c r="J415">
        <f t="shared" si="68"/>
        <v>0.48275862068965519</v>
      </c>
      <c r="K415">
        <f t="shared" si="69"/>
        <v>0.51724137931034486</v>
      </c>
      <c r="M415" s="8">
        <f t="shared" si="70"/>
        <v>1.0719005650116236</v>
      </c>
      <c r="N415" s="7">
        <f>(Q51+Q415)/2</f>
        <v>0.93614581079611203</v>
      </c>
      <c r="O415" s="8">
        <f t="shared" si="71"/>
        <v>1536.1407880777431</v>
      </c>
      <c r="P415" s="8">
        <f t="shared" si="72"/>
        <v>1536.2417807442769</v>
      </c>
      <c r="Q415" s="8">
        <f t="shared" si="76"/>
        <v>0.9509853886730939</v>
      </c>
      <c r="T415" s="12">
        <f>N414</f>
        <v>0.94034754308832524</v>
      </c>
    </row>
    <row r="416" spans="1:20" x14ac:dyDescent="0.2">
      <c r="B416">
        <f t="shared" si="66"/>
        <v>413</v>
      </c>
      <c r="C416">
        <f t="shared" si="67"/>
        <v>29</v>
      </c>
      <c r="D416">
        <v>397</v>
      </c>
      <c r="E416">
        <v>426</v>
      </c>
      <c r="F416">
        <f>PMSPLINE!F$17</f>
        <v>1.144113017729536</v>
      </c>
      <c r="G416">
        <f>PMSPLINE!F$18</f>
        <v>1.0045022758082387</v>
      </c>
      <c r="H416" s="10">
        <f>PMSPLINE!K$17</f>
        <v>5.0033463766111625E-4</v>
      </c>
      <c r="I416" s="10">
        <f>PMSPLINE!K$18</f>
        <v>1.7880107039853124E-3</v>
      </c>
      <c r="J416">
        <f t="shared" si="68"/>
        <v>0.44827586206896552</v>
      </c>
      <c r="K416">
        <f t="shared" si="69"/>
        <v>0.55172413793103448</v>
      </c>
      <c r="M416" s="8">
        <f t="shared" si="70"/>
        <v>1.0670864014970962</v>
      </c>
      <c r="N416" s="8">
        <f t="shared" ref="N416:N432" si="77">M416+(((J416^3-J416)*H416+(K416^3-K416)*I416))*(C416^2)/6</f>
        <v>0.9457835073366937</v>
      </c>
      <c r="O416" s="8">
        <f t="shared" si="71"/>
        <v>1537.2078744792402</v>
      </c>
      <c r="P416" s="8">
        <f t="shared" si="72"/>
        <v>1537.1875642516136</v>
      </c>
      <c r="Q416" s="8">
        <f t="shared" si="76"/>
        <v>0.9457835073366937</v>
      </c>
    </row>
    <row r="417" spans="1:17" x14ac:dyDescent="0.2">
      <c r="A417" s="13"/>
      <c r="B417" s="13">
        <f t="shared" si="66"/>
        <v>414</v>
      </c>
      <c r="C417" s="13">
        <f t="shared" si="67"/>
        <v>29</v>
      </c>
      <c r="D417" s="13">
        <v>397</v>
      </c>
      <c r="E417" s="13">
        <v>426</v>
      </c>
      <c r="F417" s="13">
        <f>PMSPLINE!F$17</f>
        <v>1.144113017729536</v>
      </c>
      <c r="G417" s="13">
        <f>PMSPLINE!F$18</f>
        <v>1.0045022758082387</v>
      </c>
      <c r="H417" s="14">
        <f>PMSPLINE!K$17</f>
        <v>5.0033463766111625E-4</v>
      </c>
      <c r="I417" s="14">
        <f>PMSPLINE!K$18</f>
        <v>1.7880107039853124E-3</v>
      </c>
      <c r="J417" s="13">
        <f t="shared" si="68"/>
        <v>0.41379310344827586</v>
      </c>
      <c r="K417" s="13">
        <f t="shared" si="69"/>
        <v>0.58620689655172409</v>
      </c>
      <c r="L417" s="13"/>
      <c r="M417" s="6">
        <f t="shared" si="70"/>
        <v>1.0622722379825684</v>
      </c>
      <c r="N417" s="6">
        <f t="shared" si="77"/>
        <v>0.94179240260558139</v>
      </c>
      <c r="O417" s="6">
        <f t="shared" si="71"/>
        <v>1538.2701467172228</v>
      </c>
      <c r="P417" s="6">
        <f t="shared" si="72"/>
        <v>1538.1293566542192</v>
      </c>
      <c r="Q417" s="6">
        <f t="shared" si="76"/>
        <v>0.94179240260558139</v>
      </c>
    </row>
    <row r="418" spans="1:17" x14ac:dyDescent="0.2">
      <c r="B418">
        <f t="shared" si="66"/>
        <v>415</v>
      </c>
      <c r="C418">
        <f t="shared" si="67"/>
        <v>29</v>
      </c>
      <c r="D418">
        <v>397</v>
      </c>
      <c r="E418">
        <v>426</v>
      </c>
      <c r="F418">
        <f>PMSPLINE!F$17</f>
        <v>1.144113017729536</v>
      </c>
      <c r="G418">
        <f>PMSPLINE!F$18</f>
        <v>1.0045022758082387</v>
      </c>
      <c r="H418" s="10">
        <f>PMSPLINE!K$17</f>
        <v>5.0033463766111625E-4</v>
      </c>
      <c r="I418" s="10">
        <f>PMSPLINE!K$18</f>
        <v>1.7880107039853124E-3</v>
      </c>
      <c r="J418">
        <f t="shared" si="68"/>
        <v>0.37931034482758619</v>
      </c>
      <c r="K418">
        <f t="shared" si="69"/>
        <v>0.62068965517241381</v>
      </c>
      <c r="M418" s="8">
        <f t="shared" si="70"/>
        <v>1.0574580744680411</v>
      </c>
      <c r="N418" s="8">
        <f t="shared" si="77"/>
        <v>0.93905647710273443</v>
      </c>
      <c r="O418" s="8">
        <f t="shared" si="71"/>
        <v>1539.3276047916909</v>
      </c>
      <c r="P418" s="8">
        <f t="shared" si="72"/>
        <v>1539.0684131313219</v>
      </c>
      <c r="Q418" s="8">
        <f t="shared" si="76"/>
        <v>0.93905647710273443</v>
      </c>
    </row>
    <row r="419" spans="1:17" x14ac:dyDescent="0.2">
      <c r="B419">
        <f t="shared" si="66"/>
        <v>416</v>
      </c>
      <c r="C419">
        <f t="shared" si="67"/>
        <v>29</v>
      </c>
      <c r="D419">
        <v>397</v>
      </c>
      <c r="E419">
        <v>426</v>
      </c>
      <c r="F419">
        <f>PMSPLINE!F$17</f>
        <v>1.144113017729536</v>
      </c>
      <c r="G419">
        <f>PMSPLINE!F$18</f>
        <v>1.0045022758082387</v>
      </c>
      <c r="H419" s="10">
        <f>PMSPLINE!K$17</f>
        <v>5.0033463766111625E-4</v>
      </c>
      <c r="I419" s="10">
        <f>PMSPLINE!K$18</f>
        <v>1.7880107039853124E-3</v>
      </c>
      <c r="J419">
        <f t="shared" si="68"/>
        <v>0.34482758620689657</v>
      </c>
      <c r="K419">
        <f t="shared" si="69"/>
        <v>0.65517241379310343</v>
      </c>
      <c r="M419" s="8">
        <f t="shared" si="70"/>
        <v>1.0526439109535137</v>
      </c>
      <c r="N419" s="8">
        <f t="shared" si="77"/>
        <v>0.93762013345112916</v>
      </c>
      <c r="O419" s="8">
        <f t="shared" si="71"/>
        <v>1540.3802487026444</v>
      </c>
      <c r="P419" s="8">
        <f t="shared" si="72"/>
        <v>1540.0060332647731</v>
      </c>
      <c r="Q419" s="8">
        <f t="shared" si="76"/>
        <v>0.93762013345112916</v>
      </c>
    </row>
    <row r="420" spans="1:17" x14ac:dyDescent="0.2">
      <c r="B420">
        <f t="shared" si="66"/>
        <v>417</v>
      </c>
      <c r="C420">
        <f t="shared" si="67"/>
        <v>29</v>
      </c>
      <c r="D420">
        <v>397</v>
      </c>
      <c r="E420">
        <v>426</v>
      </c>
      <c r="F420">
        <f>PMSPLINE!F$17</f>
        <v>1.144113017729536</v>
      </c>
      <c r="G420">
        <f>PMSPLINE!F$18</f>
        <v>1.0045022758082387</v>
      </c>
      <c r="H420" s="10">
        <f>PMSPLINE!K$17</f>
        <v>5.0033463766111625E-4</v>
      </c>
      <c r="I420" s="10">
        <f>PMSPLINE!K$18</f>
        <v>1.7880107039853124E-3</v>
      </c>
      <c r="J420">
        <f t="shared" si="68"/>
        <v>0.31034482758620691</v>
      </c>
      <c r="K420">
        <f t="shared" si="69"/>
        <v>0.68965517241379315</v>
      </c>
      <c r="M420" s="8">
        <f t="shared" si="70"/>
        <v>1.0478297474389864</v>
      </c>
      <c r="N420" s="8">
        <f t="shared" si="77"/>
        <v>0.93752777427374223</v>
      </c>
      <c r="O420" s="8">
        <f t="shared" si="71"/>
        <v>1541.4280784500834</v>
      </c>
      <c r="P420" s="8">
        <f t="shared" si="72"/>
        <v>1540.9435610390469</v>
      </c>
      <c r="Q420" s="8">
        <f t="shared" si="76"/>
        <v>0.93752777427374223</v>
      </c>
    </row>
    <row r="421" spans="1:17" x14ac:dyDescent="0.2">
      <c r="B421">
        <f t="shared" si="66"/>
        <v>418</v>
      </c>
      <c r="C421">
        <f t="shared" si="67"/>
        <v>29</v>
      </c>
      <c r="D421">
        <v>397</v>
      </c>
      <c r="E421">
        <v>426</v>
      </c>
      <c r="F421">
        <f>PMSPLINE!F$17</f>
        <v>1.144113017729536</v>
      </c>
      <c r="G421">
        <f>PMSPLINE!F$18</f>
        <v>1.0045022758082387</v>
      </c>
      <c r="H421" s="10">
        <f>PMSPLINE!K$17</f>
        <v>5.0033463766111625E-4</v>
      </c>
      <c r="I421" s="10">
        <f>PMSPLINE!K$18</f>
        <v>1.7880107039853124E-3</v>
      </c>
      <c r="J421">
        <f t="shared" si="68"/>
        <v>0.27586206896551724</v>
      </c>
      <c r="K421">
        <f t="shared" si="69"/>
        <v>0.72413793103448276</v>
      </c>
      <c r="M421" s="8">
        <f t="shared" si="70"/>
        <v>1.0430155839244586</v>
      </c>
      <c r="N421" s="8">
        <f t="shared" si="77"/>
        <v>0.93882380219354977</v>
      </c>
      <c r="O421" s="8">
        <f t="shared" si="71"/>
        <v>1542.4710940340078</v>
      </c>
      <c r="P421" s="8">
        <f t="shared" si="72"/>
        <v>1541.8823848412405</v>
      </c>
      <c r="Q421" s="8">
        <f t="shared" si="76"/>
        <v>0.93882380219354977</v>
      </c>
    </row>
    <row r="422" spans="1:17" x14ac:dyDescent="0.2">
      <c r="B422">
        <f t="shared" si="66"/>
        <v>419</v>
      </c>
      <c r="C422">
        <f t="shared" si="67"/>
        <v>29</v>
      </c>
      <c r="D422">
        <v>397</v>
      </c>
      <c r="E422">
        <v>426</v>
      </c>
      <c r="F422">
        <f>PMSPLINE!F$17</f>
        <v>1.144113017729536</v>
      </c>
      <c r="G422">
        <f>PMSPLINE!F$18</f>
        <v>1.0045022758082387</v>
      </c>
      <c r="H422" s="10">
        <f>PMSPLINE!K$17</f>
        <v>5.0033463766111625E-4</v>
      </c>
      <c r="I422" s="10">
        <f>PMSPLINE!K$18</f>
        <v>1.7880107039853124E-3</v>
      </c>
      <c r="J422">
        <f t="shared" si="68"/>
        <v>0.2413793103448276</v>
      </c>
      <c r="K422">
        <f t="shared" si="69"/>
        <v>0.75862068965517238</v>
      </c>
      <c r="M422" s="8">
        <f t="shared" si="70"/>
        <v>1.038201420409931</v>
      </c>
      <c r="N422" s="8">
        <f t="shared" si="77"/>
        <v>0.94155261983352945</v>
      </c>
      <c r="O422" s="8">
        <f t="shared" si="71"/>
        <v>1543.5092954544177</v>
      </c>
      <c r="P422" s="8">
        <f t="shared" si="72"/>
        <v>1542.8239374610741</v>
      </c>
      <c r="Q422" s="8">
        <f t="shared" si="76"/>
        <v>0.94155261983352945</v>
      </c>
    </row>
    <row r="423" spans="1:17" x14ac:dyDescent="0.2">
      <c r="B423">
        <f t="shared" si="66"/>
        <v>420</v>
      </c>
      <c r="C423">
        <f t="shared" si="67"/>
        <v>29</v>
      </c>
      <c r="D423">
        <v>397</v>
      </c>
      <c r="E423">
        <v>426</v>
      </c>
      <c r="F423">
        <f>PMSPLINE!F$17</f>
        <v>1.144113017729536</v>
      </c>
      <c r="G423">
        <f>PMSPLINE!F$18</f>
        <v>1.0045022758082387</v>
      </c>
      <c r="H423" s="10">
        <f>PMSPLINE!K$17</f>
        <v>5.0033463766111625E-4</v>
      </c>
      <c r="I423" s="10">
        <f>PMSPLINE!K$18</f>
        <v>1.7880107039853124E-3</v>
      </c>
      <c r="J423">
        <f t="shared" si="68"/>
        <v>0.20689655172413793</v>
      </c>
      <c r="K423">
        <f t="shared" si="69"/>
        <v>0.7931034482758621</v>
      </c>
      <c r="M423" s="8">
        <f t="shared" si="70"/>
        <v>1.0333872568954037</v>
      </c>
      <c r="N423" s="8">
        <f t="shared" si="77"/>
        <v>0.9457586298166577</v>
      </c>
      <c r="O423" s="8">
        <f t="shared" si="71"/>
        <v>1544.5426827113131</v>
      </c>
      <c r="P423" s="8">
        <f t="shared" si="72"/>
        <v>1543.7696960908909</v>
      </c>
      <c r="Q423" s="8">
        <f t="shared" si="76"/>
        <v>0.9457586298166577</v>
      </c>
    </row>
    <row r="424" spans="1:17" x14ac:dyDescent="0.2">
      <c r="B424">
        <f t="shared" si="66"/>
        <v>421</v>
      </c>
      <c r="C424">
        <f t="shared" si="67"/>
        <v>29</v>
      </c>
      <c r="D424">
        <v>397</v>
      </c>
      <c r="E424">
        <v>426</v>
      </c>
      <c r="F424">
        <f>PMSPLINE!F$17</f>
        <v>1.144113017729536</v>
      </c>
      <c r="G424">
        <f>PMSPLINE!F$18</f>
        <v>1.0045022758082387</v>
      </c>
      <c r="H424" s="10">
        <f>PMSPLINE!K$17</f>
        <v>5.0033463766111625E-4</v>
      </c>
      <c r="I424" s="10">
        <f>PMSPLINE!K$18</f>
        <v>1.7880107039853124E-3</v>
      </c>
      <c r="J424">
        <f t="shared" si="68"/>
        <v>0.17241379310344829</v>
      </c>
      <c r="K424">
        <f t="shared" si="69"/>
        <v>0.82758620689655171</v>
      </c>
      <c r="M424" s="8">
        <f t="shared" si="70"/>
        <v>1.0285730933808761</v>
      </c>
      <c r="N424" s="8">
        <f t="shared" si="77"/>
        <v>0.95148623476591099</v>
      </c>
      <c r="O424" s="8">
        <f t="shared" si="71"/>
        <v>1545.5712558046939</v>
      </c>
      <c r="P424" s="8">
        <f t="shared" si="72"/>
        <v>1544.7211823256569</v>
      </c>
      <c r="Q424" s="8">
        <f t="shared" si="76"/>
        <v>0.95148623476591099</v>
      </c>
    </row>
    <row r="425" spans="1:17" x14ac:dyDescent="0.2">
      <c r="B425">
        <f t="shared" si="66"/>
        <v>422</v>
      </c>
      <c r="C425">
        <f t="shared" si="67"/>
        <v>29</v>
      </c>
      <c r="D425">
        <v>397</v>
      </c>
      <c r="E425">
        <v>426</v>
      </c>
      <c r="F425">
        <f>PMSPLINE!F$17</f>
        <v>1.144113017729536</v>
      </c>
      <c r="G425">
        <f>PMSPLINE!F$18</f>
        <v>1.0045022758082387</v>
      </c>
      <c r="H425" s="10">
        <f>PMSPLINE!K$17</f>
        <v>5.0033463766111625E-4</v>
      </c>
      <c r="I425" s="10">
        <f>PMSPLINE!K$18</f>
        <v>1.7880107039853124E-3</v>
      </c>
      <c r="J425">
        <f t="shared" si="68"/>
        <v>0.13793103448275862</v>
      </c>
      <c r="K425">
        <f t="shared" si="69"/>
        <v>0.86206896551724133</v>
      </c>
      <c r="M425" s="8">
        <f t="shared" si="70"/>
        <v>1.0237589298663488</v>
      </c>
      <c r="N425" s="8">
        <f t="shared" si="77"/>
        <v>0.95877983730426619</v>
      </c>
      <c r="O425" s="8">
        <f t="shared" si="71"/>
        <v>1546.5950147345602</v>
      </c>
      <c r="P425" s="8">
        <f t="shared" si="72"/>
        <v>1545.6799621629611</v>
      </c>
      <c r="Q425" s="8">
        <f t="shared" si="76"/>
        <v>0.95877983730426619</v>
      </c>
    </row>
    <row r="426" spans="1:17" x14ac:dyDescent="0.2">
      <c r="B426">
        <f t="shared" si="66"/>
        <v>423</v>
      </c>
      <c r="C426">
        <f t="shared" si="67"/>
        <v>29</v>
      </c>
      <c r="D426">
        <v>397</v>
      </c>
      <c r="E426">
        <v>426</v>
      </c>
      <c r="F426">
        <f>PMSPLINE!F$17</f>
        <v>1.144113017729536</v>
      </c>
      <c r="G426">
        <f>PMSPLINE!F$18</f>
        <v>1.0045022758082387</v>
      </c>
      <c r="H426" s="10">
        <f>PMSPLINE!K$17</f>
        <v>5.0033463766111625E-4</v>
      </c>
      <c r="I426" s="10">
        <f>PMSPLINE!K$18</f>
        <v>1.7880107039853124E-3</v>
      </c>
      <c r="J426">
        <f t="shared" si="68"/>
        <v>0.10344827586206896</v>
      </c>
      <c r="K426">
        <f t="shared" si="69"/>
        <v>0.89655172413793105</v>
      </c>
      <c r="M426" s="8">
        <f t="shared" si="70"/>
        <v>1.0189447663518212</v>
      </c>
      <c r="N426" s="8">
        <f t="shared" si="77"/>
        <v>0.96768384005469976</v>
      </c>
      <c r="O426" s="8">
        <f t="shared" si="71"/>
        <v>1547.613959500912</v>
      </c>
      <c r="P426" s="8">
        <f t="shared" si="72"/>
        <v>1546.6476460030158</v>
      </c>
      <c r="Q426" s="8">
        <f t="shared" si="76"/>
        <v>0.96768384005469976</v>
      </c>
    </row>
    <row r="427" spans="1:17" x14ac:dyDescent="0.2">
      <c r="B427">
        <f t="shared" si="66"/>
        <v>424</v>
      </c>
      <c r="C427">
        <f t="shared" si="67"/>
        <v>29</v>
      </c>
      <c r="D427">
        <v>397</v>
      </c>
      <c r="E427">
        <v>426</v>
      </c>
      <c r="F427">
        <f>PMSPLINE!F$17</f>
        <v>1.144113017729536</v>
      </c>
      <c r="G427">
        <f>PMSPLINE!F$18</f>
        <v>1.0045022758082387</v>
      </c>
      <c r="H427" s="10">
        <f>PMSPLINE!K$17</f>
        <v>5.0033463766111625E-4</v>
      </c>
      <c r="I427" s="10">
        <f>PMSPLINE!K$18</f>
        <v>1.7880107039853124E-3</v>
      </c>
      <c r="J427">
        <f t="shared" si="68"/>
        <v>6.8965517241379309E-2</v>
      </c>
      <c r="K427">
        <f t="shared" si="69"/>
        <v>0.93103448275862066</v>
      </c>
      <c r="M427" s="8">
        <f t="shared" si="70"/>
        <v>1.0141306028372936</v>
      </c>
      <c r="N427" s="8">
        <f t="shared" si="77"/>
        <v>0.97824264564018848</v>
      </c>
      <c r="O427" s="8">
        <f t="shared" si="71"/>
        <v>1548.6280901037492</v>
      </c>
      <c r="P427" s="8">
        <f t="shared" si="72"/>
        <v>1547.625888648656</v>
      </c>
      <c r="Q427" s="8">
        <f t="shared" si="76"/>
        <v>0.97824264564018848</v>
      </c>
    </row>
    <row r="428" spans="1:17" x14ac:dyDescent="0.2">
      <c r="B428">
        <f t="shared" si="66"/>
        <v>425</v>
      </c>
      <c r="C428">
        <f t="shared" si="67"/>
        <v>29</v>
      </c>
      <c r="D428">
        <v>397</v>
      </c>
      <c r="E428">
        <v>426</v>
      </c>
      <c r="F428">
        <f>PMSPLINE!F$17</f>
        <v>1.144113017729536</v>
      </c>
      <c r="G428">
        <f>PMSPLINE!F$18</f>
        <v>1.0045022758082387</v>
      </c>
      <c r="H428" s="10">
        <f>PMSPLINE!K$17</f>
        <v>5.0033463766111625E-4</v>
      </c>
      <c r="I428" s="10">
        <f>PMSPLINE!K$18</f>
        <v>1.7880107039853124E-3</v>
      </c>
      <c r="J428">
        <f t="shared" si="68"/>
        <v>3.4482758620689655E-2</v>
      </c>
      <c r="K428">
        <f t="shared" si="69"/>
        <v>0.96551724137931039</v>
      </c>
      <c r="M428" s="8">
        <f t="shared" si="70"/>
        <v>1.0093164393227663</v>
      </c>
      <c r="N428" s="8">
        <f t="shared" si="77"/>
        <v>0.99050065668370946</v>
      </c>
      <c r="O428" s="8">
        <f t="shared" si="71"/>
        <v>1549.6374065430718</v>
      </c>
      <c r="P428" s="8">
        <f t="shared" si="72"/>
        <v>1548.6163893053397</v>
      </c>
      <c r="Q428" s="8">
        <f t="shared" si="76"/>
        <v>0.99050065668370946</v>
      </c>
    </row>
    <row r="429" spans="1:17" x14ac:dyDescent="0.2">
      <c r="A429">
        <v>426</v>
      </c>
      <c r="B429">
        <f t="shared" si="66"/>
        <v>426</v>
      </c>
      <c r="C429">
        <f t="shared" si="67"/>
        <v>29</v>
      </c>
      <c r="D429">
        <v>397</v>
      </c>
      <c r="E429">
        <v>426</v>
      </c>
      <c r="F429">
        <f>PMSPLINE!F$17</f>
        <v>1.144113017729536</v>
      </c>
      <c r="G429">
        <f>PMSPLINE!F$18</f>
        <v>1.0045022758082387</v>
      </c>
      <c r="H429" s="10">
        <f>PMSPLINE!K$17</f>
        <v>5.0033463766111625E-4</v>
      </c>
      <c r="I429" s="10">
        <f>PMSPLINE!K$18</f>
        <v>1.7880107039853124E-3</v>
      </c>
      <c r="J429">
        <f t="shared" si="68"/>
        <v>0</v>
      </c>
      <c r="K429">
        <f t="shared" si="69"/>
        <v>1</v>
      </c>
      <c r="M429" s="8">
        <f t="shared" si="70"/>
        <v>1.0045022758082387</v>
      </c>
      <c r="N429" s="8">
        <f t="shared" si="77"/>
        <v>1.0045022758082387</v>
      </c>
      <c r="O429" s="8">
        <f t="shared" si="71"/>
        <v>1550.64190881888</v>
      </c>
      <c r="P429" s="8">
        <f t="shared" si="72"/>
        <v>1549.6208915811478</v>
      </c>
      <c r="Q429" s="8">
        <f t="shared" si="76"/>
        <v>1.0045022758082387</v>
      </c>
    </row>
    <row r="430" spans="1:17" x14ac:dyDescent="0.2">
      <c r="B430">
        <f t="shared" si="66"/>
        <v>427</v>
      </c>
      <c r="C430">
        <f t="shared" si="67"/>
        <v>31</v>
      </c>
      <c r="D430">
        <v>426</v>
      </c>
      <c r="E430">
        <v>457</v>
      </c>
      <c r="F430">
        <f>PMSPLINE!F$18</f>
        <v>1.0045022758082387</v>
      </c>
      <c r="G430">
        <f>PMSPLINE!F$19</f>
        <v>1.6940318585171934</v>
      </c>
      <c r="H430" s="10">
        <f>PMSPLINE!K$18</f>
        <v>1.7880107039853124E-3</v>
      </c>
      <c r="I430" s="10">
        <f>PMSPLINE!K$19</f>
        <v>-2.1525377191746763E-3</v>
      </c>
      <c r="J430">
        <f t="shared" si="68"/>
        <v>0.967741935483871</v>
      </c>
      <c r="K430">
        <f t="shared" si="69"/>
        <v>3.2258064516129031E-2</v>
      </c>
      <c r="M430" s="8">
        <f t="shared" si="70"/>
        <v>1.0267451655730437</v>
      </c>
      <c r="N430" s="8">
        <f t="shared" si="77"/>
        <v>1.0202633194553801</v>
      </c>
      <c r="O430" s="8">
        <f t="shared" si="71"/>
        <v>1551.6686539844529</v>
      </c>
      <c r="P430" s="8">
        <f t="shared" si="72"/>
        <v>1550.6411549006032</v>
      </c>
      <c r="Q430" s="8">
        <f t="shared" si="76"/>
        <v>1.0202633194553801</v>
      </c>
    </row>
    <row r="431" spans="1:17" x14ac:dyDescent="0.2">
      <c r="B431">
        <f t="shared" si="66"/>
        <v>428</v>
      </c>
      <c r="C431">
        <f t="shared" si="67"/>
        <v>31</v>
      </c>
      <c r="D431">
        <v>426</v>
      </c>
      <c r="E431">
        <v>457</v>
      </c>
      <c r="F431">
        <f>PMSPLINE!F$18</f>
        <v>1.0045022758082387</v>
      </c>
      <c r="G431">
        <f>PMSPLINE!F$19</f>
        <v>1.6940318585171934</v>
      </c>
      <c r="H431" s="10">
        <f>PMSPLINE!K$18</f>
        <v>1.7880107039853124E-3</v>
      </c>
      <c r="I431" s="10">
        <f>PMSPLINE!K$19</f>
        <v>-2.1525377191746763E-3</v>
      </c>
      <c r="J431">
        <f t="shared" si="68"/>
        <v>0.93548387096774188</v>
      </c>
      <c r="K431">
        <f t="shared" si="69"/>
        <v>6.4516129032258063E-2</v>
      </c>
      <c r="M431" s="8">
        <f t="shared" si="70"/>
        <v>1.0489880553378486</v>
      </c>
      <c r="N431" s="8">
        <f t="shared" si="77"/>
        <v>1.0376852593412433</v>
      </c>
      <c r="O431" s="8">
        <f t="shared" si="71"/>
        <v>1552.7176420397907</v>
      </c>
      <c r="P431" s="8">
        <f t="shared" si="72"/>
        <v>1551.6788401599445</v>
      </c>
      <c r="Q431" s="8">
        <f t="shared" si="76"/>
        <v>1.0376852593412433</v>
      </c>
    </row>
    <row r="432" spans="1:17" x14ac:dyDescent="0.2">
      <c r="B432">
        <f t="shared" si="66"/>
        <v>429</v>
      </c>
      <c r="C432">
        <f t="shared" si="67"/>
        <v>31</v>
      </c>
      <c r="D432">
        <v>426</v>
      </c>
      <c r="E432">
        <v>457</v>
      </c>
      <c r="F432">
        <f>PMSPLINE!F$18</f>
        <v>1.0045022758082387</v>
      </c>
      <c r="G432">
        <f>PMSPLINE!F$19</f>
        <v>1.6940318585171934</v>
      </c>
      <c r="H432" s="10">
        <f>PMSPLINE!K$18</f>
        <v>1.7880107039853124E-3</v>
      </c>
      <c r="I432" s="10">
        <f>PMSPLINE!K$19</f>
        <v>-2.1525377191746763E-3</v>
      </c>
      <c r="J432">
        <f t="shared" si="68"/>
        <v>0.90322580645161288</v>
      </c>
      <c r="K432">
        <f t="shared" si="69"/>
        <v>9.6774193548387094E-2</v>
      </c>
      <c r="M432" s="8">
        <f t="shared" si="70"/>
        <v>1.0712309451026536</v>
      </c>
      <c r="N432" s="8">
        <f t="shared" si="77"/>
        <v>1.0566409810005657</v>
      </c>
      <c r="O432" s="8">
        <f t="shared" si="71"/>
        <v>1553.7888729848933</v>
      </c>
      <c r="P432" s="8">
        <f t="shared" si="72"/>
        <v>1552.735481140945</v>
      </c>
      <c r="Q432" s="8">
        <f t="shared" si="76"/>
        <v>1.0566409810005657</v>
      </c>
    </row>
    <row r="433" spans="2:17" x14ac:dyDescent="0.2">
      <c r="B433">
        <f t="shared" ref="B433:B460" si="78">B432+1</f>
        <v>430</v>
      </c>
      <c r="C433">
        <f t="shared" ref="C433:C460" si="79">E433-D433</f>
        <v>31</v>
      </c>
      <c r="D433">
        <v>426</v>
      </c>
      <c r="E433">
        <v>457</v>
      </c>
      <c r="F433">
        <f>PMSPLINE!F$18</f>
        <v>1.0045022758082387</v>
      </c>
      <c r="G433">
        <f>PMSPLINE!F$19</f>
        <v>1.6940318585171934</v>
      </c>
      <c r="H433" s="10">
        <f>PMSPLINE!K$18</f>
        <v>1.7880107039853124E-3</v>
      </c>
      <c r="I433" s="10">
        <f>PMSPLINE!K$19</f>
        <v>-2.1525377191746763E-3</v>
      </c>
      <c r="J433">
        <f t="shared" ref="J433:J460" si="80">(E433-B433)/C433</f>
        <v>0.87096774193548387</v>
      </c>
      <c r="K433">
        <f t="shared" ref="K433:K460" si="81">(B433-D433)/C433</f>
        <v>0.12903225806451613</v>
      </c>
      <c r="M433" s="8">
        <f t="shared" ref="M433:M460" si="82">J433*F433+K433*G433</f>
        <v>1.0934738348674586</v>
      </c>
      <c r="N433" s="8">
        <f t="shared" ref="N433:N460" si="83">M433+(((J433^3-J433)*H433+(K433^3-K433)*I433))*(C433^2)/6</f>
        <v>1.0770033699680839</v>
      </c>
      <c r="O433" s="8">
        <f t="shared" ref="O433:O460" si="84">O432+M433</f>
        <v>1554.8823468197606</v>
      </c>
      <c r="P433" s="8">
        <f t="shared" ref="P433:P460" si="85">P432+N433</f>
        <v>1553.812484510913</v>
      </c>
      <c r="Q433" s="8">
        <f t="shared" si="76"/>
        <v>1.0770033699680839</v>
      </c>
    </row>
    <row r="434" spans="2:17" x14ac:dyDescent="0.2">
      <c r="B434">
        <f t="shared" si="78"/>
        <v>431</v>
      </c>
      <c r="C434">
        <f t="shared" si="79"/>
        <v>31</v>
      </c>
      <c r="D434">
        <v>426</v>
      </c>
      <c r="E434">
        <v>457</v>
      </c>
      <c r="F434">
        <f>PMSPLINE!F$18</f>
        <v>1.0045022758082387</v>
      </c>
      <c r="G434">
        <f>PMSPLINE!F$19</f>
        <v>1.6940318585171934</v>
      </c>
      <c r="H434" s="10">
        <f>PMSPLINE!K$18</f>
        <v>1.7880107039853124E-3</v>
      </c>
      <c r="I434" s="10">
        <f>PMSPLINE!K$19</f>
        <v>-2.1525377191746763E-3</v>
      </c>
      <c r="J434">
        <f t="shared" si="80"/>
        <v>0.83870967741935487</v>
      </c>
      <c r="K434">
        <f t="shared" si="81"/>
        <v>0.16129032258064516</v>
      </c>
      <c r="M434" s="8">
        <f t="shared" si="82"/>
        <v>1.1157167246322637</v>
      </c>
      <c r="N434" s="8">
        <f t="shared" si="83"/>
        <v>1.0986453117785342</v>
      </c>
      <c r="O434" s="8">
        <f t="shared" si="84"/>
        <v>1555.9980635443928</v>
      </c>
      <c r="P434" s="8">
        <f t="shared" si="85"/>
        <v>1554.9111298226915</v>
      </c>
      <c r="Q434" s="8">
        <f t="shared" si="76"/>
        <v>1.0986453117785342</v>
      </c>
    </row>
    <row r="435" spans="2:17" x14ac:dyDescent="0.2">
      <c r="B435">
        <f t="shared" si="78"/>
        <v>432</v>
      </c>
      <c r="C435">
        <f t="shared" si="79"/>
        <v>31</v>
      </c>
      <c r="D435">
        <v>426</v>
      </c>
      <c r="E435">
        <v>457</v>
      </c>
      <c r="F435">
        <f>PMSPLINE!F$18</f>
        <v>1.0045022758082387</v>
      </c>
      <c r="G435">
        <f>PMSPLINE!F$19</f>
        <v>1.6940318585171934</v>
      </c>
      <c r="H435" s="10">
        <f>PMSPLINE!K$18</f>
        <v>1.7880107039853124E-3</v>
      </c>
      <c r="I435" s="10">
        <f>PMSPLINE!K$19</f>
        <v>-2.1525377191746763E-3</v>
      </c>
      <c r="J435">
        <f t="shared" si="80"/>
        <v>0.80645161290322576</v>
      </c>
      <c r="K435">
        <f t="shared" si="81"/>
        <v>0.19354838709677419</v>
      </c>
      <c r="M435" s="8">
        <f t="shared" si="82"/>
        <v>1.1379596143970685</v>
      </c>
      <c r="N435" s="8">
        <f t="shared" si="83"/>
        <v>1.1214396919666536</v>
      </c>
      <c r="O435" s="8">
        <f t="shared" si="84"/>
        <v>1557.1360231587898</v>
      </c>
      <c r="P435" s="8">
        <f t="shared" si="85"/>
        <v>1556.032569514658</v>
      </c>
      <c r="Q435" s="8">
        <f t="shared" si="76"/>
        <v>1.1214396919666536</v>
      </c>
    </row>
    <row r="436" spans="2:17" x14ac:dyDescent="0.2">
      <c r="B436">
        <f t="shared" si="78"/>
        <v>433</v>
      </c>
      <c r="C436">
        <f t="shared" si="79"/>
        <v>31</v>
      </c>
      <c r="D436">
        <v>426</v>
      </c>
      <c r="E436">
        <v>457</v>
      </c>
      <c r="F436">
        <f>PMSPLINE!F$18</f>
        <v>1.0045022758082387</v>
      </c>
      <c r="G436">
        <f>PMSPLINE!F$19</f>
        <v>1.6940318585171934</v>
      </c>
      <c r="H436" s="10">
        <f>PMSPLINE!K$18</f>
        <v>1.7880107039853124E-3</v>
      </c>
      <c r="I436" s="10">
        <f>PMSPLINE!K$19</f>
        <v>-2.1525377191746763E-3</v>
      </c>
      <c r="J436">
        <f t="shared" si="80"/>
        <v>0.77419354838709675</v>
      </c>
      <c r="K436">
        <f t="shared" si="81"/>
        <v>0.22580645161290322</v>
      </c>
      <c r="M436" s="8">
        <f t="shared" si="82"/>
        <v>1.1602025041618735</v>
      </c>
      <c r="N436" s="8">
        <f t="shared" si="83"/>
        <v>1.1452593960671791</v>
      </c>
      <c r="O436" s="8">
        <f t="shared" si="84"/>
        <v>1558.2962256629517</v>
      </c>
      <c r="P436" s="8">
        <f t="shared" si="85"/>
        <v>1557.1778289107251</v>
      </c>
      <c r="Q436" s="8">
        <f t="shared" si="76"/>
        <v>1.1452593960671791</v>
      </c>
    </row>
    <row r="437" spans="2:17" x14ac:dyDescent="0.2">
      <c r="B437">
        <f t="shared" si="78"/>
        <v>434</v>
      </c>
      <c r="C437">
        <f t="shared" si="79"/>
        <v>31</v>
      </c>
      <c r="D437">
        <v>426</v>
      </c>
      <c r="E437">
        <v>457</v>
      </c>
      <c r="F437">
        <f>PMSPLINE!F$18</f>
        <v>1.0045022758082387</v>
      </c>
      <c r="G437">
        <f>PMSPLINE!F$19</f>
        <v>1.6940318585171934</v>
      </c>
      <c r="H437" s="10">
        <f>PMSPLINE!K$18</f>
        <v>1.7880107039853124E-3</v>
      </c>
      <c r="I437" s="10">
        <f>PMSPLINE!K$19</f>
        <v>-2.1525377191746763E-3</v>
      </c>
      <c r="J437">
        <f t="shared" si="80"/>
        <v>0.74193548387096775</v>
      </c>
      <c r="K437">
        <f t="shared" si="81"/>
        <v>0.25806451612903225</v>
      </c>
      <c r="M437" s="8">
        <f t="shared" si="82"/>
        <v>1.1824453939266788</v>
      </c>
      <c r="N437" s="8">
        <f t="shared" si="83"/>
        <v>1.1699773096148476</v>
      </c>
      <c r="O437" s="8">
        <f t="shared" si="84"/>
        <v>1559.4786710568783</v>
      </c>
      <c r="P437" s="8">
        <f t="shared" si="85"/>
        <v>1558.3478062203399</v>
      </c>
      <c r="Q437" s="8">
        <f t="shared" si="76"/>
        <v>1.1699773096148476</v>
      </c>
    </row>
    <row r="438" spans="2:17" x14ac:dyDescent="0.2">
      <c r="B438">
        <f t="shared" si="78"/>
        <v>435</v>
      </c>
      <c r="C438">
        <f t="shared" si="79"/>
        <v>31</v>
      </c>
      <c r="D438">
        <v>426</v>
      </c>
      <c r="E438">
        <v>457</v>
      </c>
      <c r="F438">
        <f>PMSPLINE!F$18</f>
        <v>1.0045022758082387</v>
      </c>
      <c r="G438">
        <f>PMSPLINE!F$19</f>
        <v>1.6940318585171934</v>
      </c>
      <c r="H438" s="10">
        <f>PMSPLINE!K$18</f>
        <v>1.7880107039853124E-3</v>
      </c>
      <c r="I438" s="10">
        <f>PMSPLINE!K$19</f>
        <v>-2.1525377191746763E-3</v>
      </c>
      <c r="J438">
        <f t="shared" si="80"/>
        <v>0.70967741935483875</v>
      </c>
      <c r="K438">
        <f t="shared" si="81"/>
        <v>0.29032258064516131</v>
      </c>
      <c r="M438" s="8">
        <f t="shared" si="82"/>
        <v>1.2046882836914836</v>
      </c>
      <c r="N438" s="8">
        <f t="shared" si="83"/>
        <v>1.1954663181443954</v>
      </c>
      <c r="O438" s="8">
        <f t="shared" si="84"/>
        <v>1560.6833593405697</v>
      </c>
      <c r="P438" s="8">
        <f t="shared" si="85"/>
        <v>1559.5432725384842</v>
      </c>
      <c r="Q438" s="8">
        <f t="shared" si="76"/>
        <v>1.1954663181443954</v>
      </c>
    </row>
    <row r="439" spans="2:17" x14ac:dyDescent="0.2">
      <c r="B439">
        <f t="shared" si="78"/>
        <v>436</v>
      </c>
      <c r="C439">
        <f t="shared" si="79"/>
        <v>31</v>
      </c>
      <c r="D439">
        <v>426</v>
      </c>
      <c r="E439">
        <v>457</v>
      </c>
      <c r="F439">
        <f>PMSPLINE!F$18</f>
        <v>1.0045022758082387</v>
      </c>
      <c r="G439">
        <f>PMSPLINE!F$19</f>
        <v>1.6940318585171934</v>
      </c>
      <c r="H439" s="10">
        <f>PMSPLINE!K$18</f>
        <v>1.7880107039853124E-3</v>
      </c>
      <c r="I439" s="10">
        <f>PMSPLINE!K$19</f>
        <v>-2.1525377191746763E-3</v>
      </c>
      <c r="J439">
        <f t="shared" si="80"/>
        <v>0.67741935483870963</v>
      </c>
      <c r="K439">
        <f t="shared" si="81"/>
        <v>0.32258064516129031</v>
      </c>
      <c r="M439" s="8">
        <f t="shared" si="82"/>
        <v>1.2269311734562884</v>
      </c>
      <c r="N439" s="8">
        <f t="shared" si="83"/>
        <v>1.2215993071905591</v>
      </c>
      <c r="O439" s="8">
        <f t="shared" si="84"/>
        <v>1561.910290514026</v>
      </c>
      <c r="P439" s="8">
        <f t="shared" si="85"/>
        <v>1560.7648718456749</v>
      </c>
      <c r="Q439" s="8">
        <f t="shared" si="76"/>
        <v>1.2215993071905591</v>
      </c>
    </row>
    <row r="440" spans="2:17" x14ac:dyDescent="0.2">
      <c r="B440">
        <f t="shared" si="78"/>
        <v>437</v>
      </c>
      <c r="C440">
        <f t="shared" si="79"/>
        <v>31</v>
      </c>
      <c r="D440">
        <v>426</v>
      </c>
      <c r="E440">
        <v>457</v>
      </c>
      <c r="F440">
        <f>PMSPLINE!F$18</f>
        <v>1.0045022758082387</v>
      </c>
      <c r="G440">
        <f>PMSPLINE!F$19</f>
        <v>1.6940318585171934</v>
      </c>
      <c r="H440" s="10">
        <f>PMSPLINE!K$18</f>
        <v>1.7880107039853124E-3</v>
      </c>
      <c r="I440" s="10">
        <f>PMSPLINE!K$19</f>
        <v>-2.1525377191746763E-3</v>
      </c>
      <c r="J440">
        <f t="shared" si="80"/>
        <v>0.64516129032258063</v>
      </c>
      <c r="K440">
        <f t="shared" si="81"/>
        <v>0.35483870967741937</v>
      </c>
      <c r="M440" s="8">
        <f t="shared" si="82"/>
        <v>1.2491740632210937</v>
      </c>
      <c r="N440" s="8">
        <f t="shared" si="83"/>
        <v>1.2482491622880765</v>
      </c>
      <c r="O440" s="8">
        <f t="shared" si="84"/>
        <v>1563.159464577247</v>
      </c>
      <c r="P440" s="8">
        <f t="shared" si="85"/>
        <v>1562.013121007963</v>
      </c>
      <c r="Q440" s="8">
        <f t="shared" si="76"/>
        <v>1.2482491622880765</v>
      </c>
    </row>
    <row r="441" spans="2:17" x14ac:dyDescent="0.2">
      <c r="B441">
        <f t="shared" si="78"/>
        <v>438</v>
      </c>
      <c r="C441">
        <f t="shared" si="79"/>
        <v>31</v>
      </c>
      <c r="D441">
        <v>426</v>
      </c>
      <c r="E441">
        <v>457</v>
      </c>
      <c r="F441">
        <f>PMSPLINE!F$18</f>
        <v>1.0045022758082387</v>
      </c>
      <c r="G441">
        <f>PMSPLINE!F$19</f>
        <v>1.6940318585171934</v>
      </c>
      <c r="H441" s="10">
        <f>PMSPLINE!K$18</f>
        <v>1.7880107039853124E-3</v>
      </c>
      <c r="I441" s="10">
        <f>PMSPLINE!K$19</f>
        <v>-2.1525377191746763E-3</v>
      </c>
      <c r="J441">
        <f t="shared" si="80"/>
        <v>0.61290322580645162</v>
      </c>
      <c r="K441">
        <f t="shared" si="81"/>
        <v>0.38709677419354838</v>
      </c>
      <c r="M441" s="8">
        <f t="shared" si="82"/>
        <v>1.2714169529858985</v>
      </c>
      <c r="N441" s="8">
        <f t="shared" si="83"/>
        <v>1.2752887689716832</v>
      </c>
      <c r="O441" s="8">
        <f t="shared" si="84"/>
        <v>1564.4308815302329</v>
      </c>
      <c r="P441" s="8">
        <f t="shared" si="85"/>
        <v>1563.2884097769347</v>
      </c>
      <c r="Q441" s="8">
        <f t="shared" si="76"/>
        <v>1.2752887689716832</v>
      </c>
    </row>
    <row r="442" spans="2:17" x14ac:dyDescent="0.2">
      <c r="B442">
        <f t="shared" si="78"/>
        <v>439</v>
      </c>
      <c r="C442">
        <f t="shared" si="79"/>
        <v>31</v>
      </c>
      <c r="D442">
        <v>426</v>
      </c>
      <c r="E442">
        <v>457</v>
      </c>
      <c r="F442">
        <f>PMSPLINE!F$18</f>
        <v>1.0045022758082387</v>
      </c>
      <c r="G442">
        <f>PMSPLINE!F$19</f>
        <v>1.6940318585171934</v>
      </c>
      <c r="H442" s="10">
        <f>PMSPLINE!K$18</f>
        <v>1.7880107039853124E-3</v>
      </c>
      <c r="I442" s="10">
        <f>PMSPLINE!K$19</f>
        <v>-2.1525377191746763E-3</v>
      </c>
      <c r="J442">
        <f t="shared" si="80"/>
        <v>0.58064516129032262</v>
      </c>
      <c r="K442">
        <f t="shared" si="81"/>
        <v>0.41935483870967744</v>
      </c>
      <c r="M442" s="8">
        <f t="shared" si="82"/>
        <v>1.2936598427507038</v>
      </c>
      <c r="N442" s="8">
        <f t="shared" si="83"/>
        <v>1.3025910127761171</v>
      </c>
      <c r="O442" s="8">
        <f t="shared" si="84"/>
        <v>1565.7245413729836</v>
      </c>
      <c r="P442" s="8">
        <f t="shared" si="85"/>
        <v>1564.5910007897107</v>
      </c>
      <c r="Q442" s="8">
        <f t="shared" si="76"/>
        <v>1.3025910127761171</v>
      </c>
    </row>
    <row r="443" spans="2:17" x14ac:dyDescent="0.2">
      <c r="B443">
        <f t="shared" si="78"/>
        <v>440</v>
      </c>
      <c r="C443">
        <f t="shared" si="79"/>
        <v>31</v>
      </c>
      <c r="D443">
        <v>426</v>
      </c>
      <c r="E443">
        <v>457</v>
      </c>
      <c r="F443">
        <f>PMSPLINE!F$18</f>
        <v>1.0045022758082387</v>
      </c>
      <c r="G443">
        <f>PMSPLINE!F$19</f>
        <v>1.6940318585171934</v>
      </c>
      <c r="H443" s="10">
        <f>PMSPLINE!K$18</f>
        <v>1.7880107039853124E-3</v>
      </c>
      <c r="I443" s="10">
        <f>PMSPLINE!K$19</f>
        <v>-2.1525377191746763E-3</v>
      </c>
      <c r="J443">
        <f t="shared" si="80"/>
        <v>0.54838709677419351</v>
      </c>
      <c r="K443">
        <f t="shared" si="81"/>
        <v>0.45161290322580644</v>
      </c>
      <c r="M443" s="8">
        <f t="shared" si="82"/>
        <v>1.3159027325155086</v>
      </c>
      <c r="N443" s="8">
        <f t="shared" si="83"/>
        <v>1.3300287792361138</v>
      </c>
      <c r="O443" s="8">
        <f t="shared" si="84"/>
        <v>1567.0404441054991</v>
      </c>
      <c r="P443" s="8">
        <f t="shared" si="85"/>
        <v>1565.9210295689468</v>
      </c>
      <c r="Q443" s="8">
        <f t="shared" si="76"/>
        <v>1.3300287792361138</v>
      </c>
    </row>
    <row r="444" spans="2:17" x14ac:dyDescent="0.2">
      <c r="B444">
        <f t="shared" si="78"/>
        <v>441</v>
      </c>
      <c r="C444">
        <f t="shared" si="79"/>
        <v>31</v>
      </c>
      <c r="D444">
        <v>426</v>
      </c>
      <c r="E444">
        <v>457</v>
      </c>
      <c r="F444">
        <f>PMSPLINE!F$18</f>
        <v>1.0045022758082387</v>
      </c>
      <c r="G444">
        <f>PMSPLINE!F$19</f>
        <v>1.6940318585171934</v>
      </c>
      <c r="H444" s="10">
        <f>PMSPLINE!K$18</f>
        <v>1.7880107039853124E-3</v>
      </c>
      <c r="I444" s="10">
        <f>PMSPLINE!K$19</f>
        <v>-2.1525377191746763E-3</v>
      </c>
      <c r="J444">
        <f t="shared" si="80"/>
        <v>0.5161290322580645</v>
      </c>
      <c r="K444">
        <f t="shared" si="81"/>
        <v>0.4838709677419355</v>
      </c>
      <c r="M444" s="8">
        <f t="shared" si="82"/>
        <v>1.3381456222803134</v>
      </c>
      <c r="N444" s="8">
        <f t="shared" si="83"/>
        <v>1.3574749538864108</v>
      </c>
      <c r="O444" s="8">
        <f t="shared" si="84"/>
        <v>1568.3785897277794</v>
      </c>
      <c r="P444" s="8">
        <f t="shared" si="85"/>
        <v>1567.2785045228331</v>
      </c>
      <c r="Q444" s="8">
        <f t="shared" si="76"/>
        <v>1.3574749538864108</v>
      </c>
    </row>
    <row r="445" spans="2:17" x14ac:dyDescent="0.2">
      <c r="B445">
        <f t="shared" si="78"/>
        <v>442</v>
      </c>
      <c r="C445">
        <f t="shared" si="79"/>
        <v>31</v>
      </c>
      <c r="D445">
        <v>426</v>
      </c>
      <c r="E445">
        <v>457</v>
      </c>
      <c r="F445">
        <f>PMSPLINE!F$18</f>
        <v>1.0045022758082387</v>
      </c>
      <c r="G445">
        <f>PMSPLINE!F$19</f>
        <v>1.6940318585171934</v>
      </c>
      <c r="H445" s="10">
        <f>PMSPLINE!K$18</f>
        <v>1.7880107039853124E-3</v>
      </c>
      <c r="I445" s="10">
        <f>PMSPLINE!K$19</f>
        <v>-2.1525377191746763E-3</v>
      </c>
      <c r="J445">
        <f t="shared" si="80"/>
        <v>0.4838709677419355</v>
      </c>
      <c r="K445">
        <f t="shared" si="81"/>
        <v>0.5161290322580645</v>
      </c>
      <c r="M445" s="8">
        <f t="shared" si="82"/>
        <v>1.3603885120451187</v>
      </c>
      <c r="N445" s="8">
        <f t="shared" si="83"/>
        <v>1.384802422261745</v>
      </c>
      <c r="O445" s="8">
        <f t="shared" si="84"/>
        <v>1569.7389782398245</v>
      </c>
      <c r="P445" s="8">
        <f t="shared" si="85"/>
        <v>1568.663306945095</v>
      </c>
      <c r="Q445" s="8">
        <f t="shared" si="76"/>
        <v>1.384802422261745</v>
      </c>
    </row>
    <row r="446" spans="2:17" x14ac:dyDescent="0.2">
      <c r="B446">
        <f t="shared" si="78"/>
        <v>443</v>
      </c>
      <c r="C446">
        <f t="shared" si="79"/>
        <v>31</v>
      </c>
      <c r="D446">
        <v>426</v>
      </c>
      <c r="E446">
        <v>457</v>
      </c>
      <c r="F446">
        <f>PMSPLINE!F$18</f>
        <v>1.0045022758082387</v>
      </c>
      <c r="G446">
        <f>PMSPLINE!F$19</f>
        <v>1.6940318585171934</v>
      </c>
      <c r="H446" s="10">
        <f>PMSPLINE!K$18</f>
        <v>1.7880107039853124E-3</v>
      </c>
      <c r="I446" s="10">
        <f>PMSPLINE!K$19</f>
        <v>-2.1525377191746763E-3</v>
      </c>
      <c r="J446">
        <f t="shared" si="80"/>
        <v>0.45161290322580644</v>
      </c>
      <c r="K446">
        <f t="shared" si="81"/>
        <v>0.54838709677419351</v>
      </c>
      <c r="M446" s="8">
        <f t="shared" si="82"/>
        <v>1.3826314018099235</v>
      </c>
      <c r="N446" s="8">
        <f t="shared" si="83"/>
        <v>1.4118840698968527</v>
      </c>
      <c r="O446" s="8">
        <f t="shared" si="84"/>
        <v>1571.1216096416344</v>
      </c>
      <c r="P446" s="8">
        <f t="shared" si="85"/>
        <v>1570.0751910149918</v>
      </c>
      <c r="Q446" s="8">
        <f t="shared" si="76"/>
        <v>1.4118840698968527</v>
      </c>
    </row>
    <row r="447" spans="2:17" x14ac:dyDescent="0.2">
      <c r="B447">
        <f t="shared" si="78"/>
        <v>444</v>
      </c>
      <c r="C447">
        <f t="shared" si="79"/>
        <v>31</v>
      </c>
      <c r="D447">
        <v>426</v>
      </c>
      <c r="E447">
        <v>457</v>
      </c>
      <c r="F447">
        <f>PMSPLINE!F$18</f>
        <v>1.0045022758082387</v>
      </c>
      <c r="G447">
        <f>PMSPLINE!F$19</f>
        <v>1.6940318585171934</v>
      </c>
      <c r="H447" s="10">
        <f>PMSPLINE!K$18</f>
        <v>1.7880107039853124E-3</v>
      </c>
      <c r="I447" s="10">
        <f>PMSPLINE!K$19</f>
        <v>-2.1525377191746763E-3</v>
      </c>
      <c r="J447">
        <f t="shared" si="80"/>
        <v>0.41935483870967744</v>
      </c>
      <c r="K447">
        <f t="shared" si="81"/>
        <v>0.58064516129032262</v>
      </c>
      <c r="M447" s="8">
        <f t="shared" si="82"/>
        <v>1.4048742915747288</v>
      </c>
      <c r="N447" s="8">
        <f t="shared" si="83"/>
        <v>1.438592782326471</v>
      </c>
      <c r="O447" s="8">
        <f t="shared" si="84"/>
        <v>1572.5264839332092</v>
      </c>
      <c r="P447" s="8">
        <f t="shared" si="85"/>
        <v>1571.5137837973182</v>
      </c>
      <c r="Q447" s="8">
        <f t="shared" si="76"/>
        <v>1.438592782326471</v>
      </c>
    </row>
    <row r="448" spans="2:17" x14ac:dyDescent="0.2">
      <c r="B448">
        <f t="shared" si="78"/>
        <v>445</v>
      </c>
      <c r="C448">
        <f t="shared" si="79"/>
        <v>31</v>
      </c>
      <c r="D448">
        <v>426</v>
      </c>
      <c r="E448">
        <v>457</v>
      </c>
      <c r="F448">
        <f>PMSPLINE!F$18</f>
        <v>1.0045022758082387</v>
      </c>
      <c r="G448">
        <f>PMSPLINE!F$19</f>
        <v>1.6940318585171934</v>
      </c>
      <c r="H448" s="10">
        <f>PMSPLINE!K$18</f>
        <v>1.7880107039853124E-3</v>
      </c>
      <c r="I448" s="10">
        <f>PMSPLINE!K$19</f>
        <v>-2.1525377191746763E-3</v>
      </c>
      <c r="J448">
        <f t="shared" si="80"/>
        <v>0.38709677419354838</v>
      </c>
      <c r="K448">
        <f t="shared" si="81"/>
        <v>0.61290322580645162</v>
      </c>
      <c r="M448" s="8">
        <f t="shared" si="82"/>
        <v>1.4271171813395334</v>
      </c>
      <c r="N448" s="8">
        <f t="shared" si="83"/>
        <v>1.4648014450853362</v>
      </c>
      <c r="O448" s="8">
        <f t="shared" si="84"/>
        <v>1573.9536011145487</v>
      </c>
      <c r="P448" s="8">
        <f t="shared" si="85"/>
        <v>1572.9785852424036</v>
      </c>
      <c r="Q448" s="8">
        <f t="shared" si="76"/>
        <v>1.4648014450853362</v>
      </c>
    </row>
    <row r="449" spans="1:17" x14ac:dyDescent="0.2">
      <c r="B449">
        <f t="shared" si="78"/>
        <v>446</v>
      </c>
      <c r="C449">
        <f t="shared" si="79"/>
        <v>31</v>
      </c>
      <c r="D449">
        <v>426</v>
      </c>
      <c r="E449">
        <v>457</v>
      </c>
      <c r="F449">
        <f>PMSPLINE!F$18</f>
        <v>1.0045022758082387</v>
      </c>
      <c r="G449">
        <f>PMSPLINE!F$19</f>
        <v>1.6940318585171934</v>
      </c>
      <c r="H449" s="10">
        <f>PMSPLINE!K$18</f>
        <v>1.7880107039853124E-3</v>
      </c>
      <c r="I449" s="10">
        <f>PMSPLINE!K$19</f>
        <v>-2.1525377191746763E-3</v>
      </c>
      <c r="J449">
        <f t="shared" si="80"/>
        <v>0.35483870967741937</v>
      </c>
      <c r="K449">
        <f t="shared" si="81"/>
        <v>0.64516129032258063</v>
      </c>
      <c r="M449" s="8">
        <f t="shared" si="82"/>
        <v>1.4493600711043384</v>
      </c>
      <c r="N449" s="8">
        <f t="shared" si="83"/>
        <v>1.4903829437081857</v>
      </c>
      <c r="O449" s="8">
        <f t="shared" si="84"/>
        <v>1575.4029611856531</v>
      </c>
      <c r="P449" s="8">
        <f t="shared" si="85"/>
        <v>1574.4689681861119</v>
      </c>
      <c r="Q449" s="8">
        <f t="shared" si="76"/>
        <v>1.4903829437081857</v>
      </c>
    </row>
    <row r="450" spans="1:17" x14ac:dyDescent="0.2">
      <c r="B450">
        <f t="shared" si="78"/>
        <v>447</v>
      </c>
      <c r="C450">
        <f t="shared" si="79"/>
        <v>31</v>
      </c>
      <c r="D450">
        <v>426</v>
      </c>
      <c r="E450">
        <v>457</v>
      </c>
      <c r="F450">
        <f>PMSPLINE!F$18</f>
        <v>1.0045022758082387</v>
      </c>
      <c r="G450">
        <f>PMSPLINE!F$19</f>
        <v>1.6940318585171934</v>
      </c>
      <c r="H450" s="10">
        <f>PMSPLINE!K$18</f>
        <v>1.7880107039853124E-3</v>
      </c>
      <c r="I450" s="10">
        <f>PMSPLINE!K$19</f>
        <v>-2.1525377191746763E-3</v>
      </c>
      <c r="J450">
        <f t="shared" si="80"/>
        <v>0.32258064516129031</v>
      </c>
      <c r="K450">
        <f t="shared" si="81"/>
        <v>0.67741935483870963</v>
      </c>
      <c r="M450" s="8">
        <f t="shared" si="82"/>
        <v>1.4716029608691434</v>
      </c>
      <c r="N450" s="8">
        <f t="shared" si="83"/>
        <v>1.5152101637297559</v>
      </c>
      <c r="O450" s="8">
        <f t="shared" si="84"/>
        <v>1576.8745641465223</v>
      </c>
      <c r="P450" s="8">
        <f t="shared" si="85"/>
        <v>1575.9841783498416</v>
      </c>
      <c r="Q450" s="8">
        <f t="shared" si="76"/>
        <v>1.5152101637297559</v>
      </c>
    </row>
    <row r="451" spans="1:17" x14ac:dyDescent="0.2">
      <c r="B451">
        <f t="shared" si="78"/>
        <v>448</v>
      </c>
      <c r="C451">
        <f t="shared" si="79"/>
        <v>31</v>
      </c>
      <c r="D451">
        <v>426</v>
      </c>
      <c r="E451">
        <v>457</v>
      </c>
      <c r="F451">
        <f>PMSPLINE!F$18</f>
        <v>1.0045022758082387</v>
      </c>
      <c r="G451">
        <f>PMSPLINE!F$19</f>
        <v>1.6940318585171934</v>
      </c>
      <c r="H451" s="10">
        <f>PMSPLINE!K$18</f>
        <v>1.7880107039853124E-3</v>
      </c>
      <c r="I451" s="10">
        <f>PMSPLINE!K$19</f>
        <v>-2.1525377191746763E-3</v>
      </c>
      <c r="J451">
        <f t="shared" si="80"/>
        <v>0.29032258064516131</v>
      </c>
      <c r="K451">
        <f t="shared" si="81"/>
        <v>0.70967741935483875</v>
      </c>
      <c r="M451" s="8">
        <f t="shared" si="82"/>
        <v>1.4938458506339485</v>
      </c>
      <c r="N451" s="8">
        <f t="shared" si="83"/>
        <v>1.5391559906847838</v>
      </c>
      <c r="O451" s="8">
        <f t="shared" si="84"/>
        <v>1578.3684099971563</v>
      </c>
      <c r="P451" s="8">
        <f t="shared" si="85"/>
        <v>1577.5233343405264</v>
      </c>
      <c r="Q451" s="8">
        <f t="shared" si="76"/>
        <v>1.5391559906847838</v>
      </c>
    </row>
    <row r="452" spans="1:17" x14ac:dyDescent="0.2">
      <c r="B452">
        <f t="shared" si="78"/>
        <v>449</v>
      </c>
      <c r="C452">
        <f t="shared" si="79"/>
        <v>31</v>
      </c>
      <c r="D452">
        <v>426</v>
      </c>
      <c r="E452">
        <v>457</v>
      </c>
      <c r="F452">
        <f>PMSPLINE!F$18</f>
        <v>1.0045022758082387</v>
      </c>
      <c r="G452">
        <f>PMSPLINE!F$19</f>
        <v>1.6940318585171934</v>
      </c>
      <c r="H452" s="10">
        <f>PMSPLINE!K$18</f>
        <v>1.7880107039853124E-3</v>
      </c>
      <c r="I452" s="10">
        <f>PMSPLINE!K$19</f>
        <v>-2.1525377191746763E-3</v>
      </c>
      <c r="J452">
        <f t="shared" si="80"/>
        <v>0.25806451612903225</v>
      </c>
      <c r="K452">
        <f t="shared" si="81"/>
        <v>0.74193548387096775</v>
      </c>
      <c r="M452" s="8">
        <f t="shared" si="82"/>
        <v>1.5160887403987535</v>
      </c>
      <c r="N452" s="8">
        <f t="shared" si="83"/>
        <v>1.5620933101080061</v>
      </c>
      <c r="O452" s="8">
        <f t="shared" si="84"/>
        <v>1579.8844987375551</v>
      </c>
      <c r="P452" s="8">
        <f t="shared" si="85"/>
        <v>1579.0854276506343</v>
      </c>
      <c r="Q452" s="8">
        <f t="shared" si="76"/>
        <v>1.5620933101080061</v>
      </c>
    </row>
    <row r="453" spans="1:17" x14ac:dyDescent="0.2">
      <c r="B453">
        <f t="shared" si="78"/>
        <v>450</v>
      </c>
      <c r="C453">
        <f t="shared" si="79"/>
        <v>31</v>
      </c>
      <c r="D453">
        <v>426</v>
      </c>
      <c r="E453">
        <v>457</v>
      </c>
      <c r="F453">
        <f>PMSPLINE!F$18</f>
        <v>1.0045022758082387</v>
      </c>
      <c r="G453">
        <f>PMSPLINE!F$19</f>
        <v>1.6940318585171934</v>
      </c>
      <c r="H453" s="10">
        <f>PMSPLINE!K$18</f>
        <v>1.7880107039853124E-3</v>
      </c>
      <c r="I453" s="10">
        <f>PMSPLINE!K$19</f>
        <v>-2.1525377191746763E-3</v>
      </c>
      <c r="J453">
        <f t="shared" si="80"/>
        <v>0.22580645161290322</v>
      </c>
      <c r="K453">
        <f t="shared" si="81"/>
        <v>0.77419354838709675</v>
      </c>
      <c r="M453" s="8">
        <f t="shared" si="82"/>
        <v>1.5383316301635583</v>
      </c>
      <c r="N453" s="8">
        <f t="shared" si="83"/>
        <v>1.5838950075341593</v>
      </c>
      <c r="O453" s="8">
        <f t="shared" si="84"/>
        <v>1581.4228303677187</v>
      </c>
      <c r="P453" s="8">
        <f t="shared" si="85"/>
        <v>1580.6693226581685</v>
      </c>
      <c r="Q453" s="8">
        <f t="shared" ref="Q453:Q460" si="86">M453+(((J453^3-J453)*H453+(K453^3-K453)*I453))*(C453^2)/6</f>
        <v>1.5838950075341593</v>
      </c>
    </row>
    <row r="454" spans="1:17" x14ac:dyDescent="0.2">
      <c r="B454">
        <f t="shared" si="78"/>
        <v>451</v>
      </c>
      <c r="C454">
        <f t="shared" si="79"/>
        <v>31</v>
      </c>
      <c r="D454">
        <v>426</v>
      </c>
      <c r="E454">
        <v>457</v>
      </c>
      <c r="F454">
        <f>PMSPLINE!F$18</f>
        <v>1.0045022758082387</v>
      </c>
      <c r="G454">
        <f>PMSPLINE!F$19</f>
        <v>1.6940318585171934</v>
      </c>
      <c r="H454" s="10">
        <f>PMSPLINE!K$18</f>
        <v>1.7880107039853124E-3</v>
      </c>
      <c r="I454" s="10">
        <f>PMSPLINE!K$19</f>
        <v>-2.1525377191746763E-3</v>
      </c>
      <c r="J454">
        <f t="shared" si="80"/>
        <v>0.19354838709677419</v>
      </c>
      <c r="K454">
        <f t="shared" si="81"/>
        <v>0.80645161290322576</v>
      </c>
      <c r="M454" s="8">
        <f t="shared" si="82"/>
        <v>1.5605745199283634</v>
      </c>
      <c r="N454" s="8">
        <f t="shared" si="83"/>
        <v>1.6044339684979807</v>
      </c>
      <c r="O454" s="8">
        <f t="shared" si="84"/>
        <v>1582.9834048876471</v>
      </c>
      <c r="P454" s="8">
        <f t="shared" si="85"/>
        <v>1582.2737566266665</v>
      </c>
      <c r="Q454" s="8">
        <f t="shared" si="86"/>
        <v>1.6044339684979807</v>
      </c>
    </row>
    <row r="455" spans="1:17" x14ac:dyDescent="0.2">
      <c r="B455">
        <f t="shared" si="78"/>
        <v>452</v>
      </c>
      <c r="C455">
        <f t="shared" si="79"/>
        <v>31</v>
      </c>
      <c r="D455">
        <v>426</v>
      </c>
      <c r="E455">
        <v>457</v>
      </c>
      <c r="F455">
        <f>PMSPLINE!F$18</f>
        <v>1.0045022758082387</v>
      </c>
      <c r="G455">
        <f>PMSPLINE!F$19</f>
        <v>1.6940318585171934</v>
      </c>
      <c r="H455" s="10">
        <f>PMSPLINE!K$18</f>
        <v>1.7880107039853124E-3</v>
      </c>
      <c r="I455" s="10">
        <f>PMSPLINE!K$19</f>
        <v>-2.1525377191746763E-3</v>
      </c>
      <c r="J455">
        <f t="shared" si="80"/>
        <v>0.16129032258064516</v>
      </c>
      <c r="K455">
        <f t="shared" si="81"/>
        <v>0.83870967741935487</v>
      </c>
      <c r="M455" s="8">
        <f t="shared" si="82"/>
        <v>1.5828174096931684</v>
      </c>
      <c r="N455" s="8">
        <f t="shared" si="83"/>
        <v>1.6235830785342065</v>
      </c>
      <c r="O455" s="8">
        <f t="shared" si="84"/>
        <v>1584.5662222973403</v>
      </c>
      <c r="P455" s="8">
        <f t="shared" si="85"/>
        <v>1583.8973397052007</v>
      </c>
      <c r="Q455" s="8">
        <f t="shared" si="86"/>
        <v>1.6235830785342065</v>
      </c>
    </row>
    <row r="456" spans="1:17" x14ac:dyDescent="0.2">
      <c r="B456">
        <f t="shared" si="78"/>
        <v>453</v>
      </c>
      <c r="C456">
        <f t="shared" si="79"/>
        <v>31</v>
      </c>
      <c r="D456">
        <v>426</v>
      </c>
      <c r="E456">
        <v>457</v>
      </c>
      <c r="F456">
        <f>PMSPLINE!F$18</f>
        <v>1.0045022758082387</v>
      </c>
      <c r="G456">
        <f>PMSPLINE!F$19</f>
        <v>1.6940318585171934</v>
      </c>
      <c r="H456" s="10">
        <f>PMSPLINE!K$18</f>
        <v>1.7880107039853124E-3</v>
      </c>
      <c r="I456" s="10">
        <f>PMSPLINE!K$19</f>
        <v>-2.1525377191746763E-3</v>
      </c>
      <c r="J456">
        <f t="shared" si="80"/>
        <v>0.12903225806451613</v>
      </c>
      <c r="K456">
        <f t="shared" si="81"/>
        <v>0.87096774193548387</v>
      </c>
      <c r="M456" s="8">
        <f t="shared" si="82"/>
        <v>1.6050602994579735</v>
      </c>
      <c r="N456" s="8">
        <f t="shared" si="83"/>
        <v>1.6412152231775741</v>
      </c>
      <c r="O456" s="8">
        <f t="shared" si="84"/>
        <v>1586.1712825967984</v>
      </c>
      <c r="P456" s="8">
        <f t="shared" si="85"/>
        <v>1585.5385549283783</v>
      </c>
      <c r="Q456" s="8">
        <f t="shared" si="86"/>
        <v>1.6412152231775741</v>
      </c>
    </row>
    <row r="457" spans="1:17" x14ac:dyDescent="0.2">
      <c r="B457">
        <f t="shared" si="78"/>
        <v>454</v>
      </c>
      <c r="C457">
        <f t="shared" si="79"/>
        <v>31</v>
      </c>
      <c r="D457">
        <v>426</v>
      </c>
      <c r="E457">
        <v>457</v>
      </c>
      <c r="F457">
        <f>PMSPLINE!F$18</f>
        <v>1.0045022758082387</v>
      </c>
      <c r="G457">
        <f>PMSPLINE!F$19</f>
        <v>1.6940318585171934</v>
      </c>
      <c r="H457" s="10">
        <f>PMSPLINE!K$18</f>
        <v>1.7880107039853124E-3</v>
      </c>
      <c r="I457" s="10">
        <f>PMSPLINE!K$19</f>
        <v>-2.1525377191746763E-3</v>
      </c>
      <c r="J457">
        <f t="shared" si="80"/>
        <v>9.6774193548387094E-2</v>
      </c>
      <c r="K457">
        <f t="shared" si="81"/>
        <v>0.90322580645161288</v>
      </c>
      <c r="M457" s="8">
        <f t="shared" si="82"/>
        <v>1.6273031892227783</v>
      </c>
      <c r="N457" s="8">
        <f t="shared" si="83"/>
        <v>1.6572032879628193</v>
      </c>
      <c r="O457" s="8">
        <f t="shared" si="84"/>
        <v>1587.7985857860212</v>
      </c>
      <c r="P457" s="8">
        <f t="shared" si="85"/>
        <v>1587.1957582163411</v>
      </c>
      <c r="Q457" s="8">
        <f t="shared" si="86"/>
        <v>1.6572032879628193</v>
      </c>
    </row>
    <row r="458" spans="1:17" x14ac:dyDescent="0.2">
      <c r="B458">
        <f t="shared" si="78"/>
        <v>455</v>
      </c>
      <c r="C458">
        <f t="shared" si="79"/>
        <v>31</v>
      </c>
      <c r="D458">
        <v>426</v>
      </c>
      <c r="E458">
        <v>457</v>
      </c>
      <c r="F458">
        <f>PMSPLINE!F$18</f>
        <v>1.0045022758082387</v>
      </c>
      <c r="G458">
        <f>PMSPLINE!F$19</f>
        <v>1.6940318585171934</v>
      </c>
      <c r="H458" s="10">
        <f>PMSPLINE!K$18</f>
        <v>1.7880107039853124E-3</v>
      </c>
      <c r="I458" s="10">
        <f>PMSPLINE!K$19</f>
        <v>-2.1525377191746763E-3</v>
      </c>
      <c r="J458">
        <f t="shared" si="80"/>
        <v>6.4516129032258063E-2</v>
      </c>
      <c r="K458">
        <f t="shared" si="81"/>
        <v>0.93548387096774188</v>
      </c>
      <c r="M458" s="8">
        <f t="shared" si="82"/>
        <v>1.6495460789875833</v>
      </c>
      <c r="N458" s="8">
        <f t="shared" si="83"/>
        <v>1.6714201584246802</v>
      </c>
      <c r="O458" s="8">
        <f t="shared" si="84"/>
        <v>1589.4481318650089</v>
      </c>
      <c r="P458" s="8">
        <f t="shared" si="85"/>
        <v>1588.8671783747659</v>
      </c>
      <c r="Q458" s="8">
        <f t="shared" si="86"/>
        <v>1.6714201584246802</v>
      </c>
    </row>
    <row r="459" spans="1:17" x14ac:dyDescent="0.2">
      <c r="B459">
        <f t="shared" si="78"/>
        <v>456</v>
      </c>
      <c r="C459">
        <f t="shared" si="79"/>
        <v>31</v>
      </c>
      <c r="D459">
        <v>426</v>
      </c>
      <c r="E459">
        <v>457</v>
      </c>
      <c r="F459">
        <f>PMSPLINE!F$18</f>
        <v>1.0045022758082387</v>
      </c>
      <c r="G459">
        <f>PMSPLINE!F$19</f>
        <v>1.6940318585171934</v>
      </c>
      <c r="H459" s="10">
        <f>PMSPLINE!K$18</f>
        <v>1.7880107039853124E-3</v>
      </c>
      <c r="I459" s="10">
        <f>PMSPLINE!K$19</f>
        <v>-2.1525377191746763E-3</v>
      </c>
      <c r="J459">
        <f t="shared" si="80"/>
        <v>3.2258064516129031E-2</v>
      </c>
      <c r="K459">
        <f t="shared" si="81"/>
        <v>0.967741935483871</v>
      </c>
      <c r="M459" s="8">
        <f t="shared" si="82"/>
        <v>1.6717889687523884</v>
      </c>
      <c r="N459" s="8">
        <f t="shared" si="83"/>
        <v>1.6837387200978924</v>
      </c>
      <c r="O459" s="8">
        <f t="shared" si="84"/>
        <v>1591.1199208337614</v>
      </c>
      <c r="P459" s="8">
        <f t="shared" si="85"/>
        <v>1590.5509170948637</v>
      </c>
      <c r="Q459" s="8">
        <f t="shared" si="86"/>
        <v>1.6837387200978924</v>
      </c>
    </row>
    <row r="460" spans="1:17" x14ac:dyDescent="0.2">
      <c r="A460">
        <v>457</v>
      </c>
      <c r="B460">
        <f t="shared" si="78"/>
        <v>457</v>
      </c>
      <c r="C460">
        <f t="shared" si="79"/>
        <v>31</v>
      </c>
      <c r="D460">
        <v>426</v>
      </c>
      <c r="E460">
        <v>457</v>
      </c>
      <c r="F460">
        <f>PMSPLINE!F$18</f>
        <v>1.0045022758082387</v>
      </c>
      <c r="G460">
        <f>PMSPLINE!F$19</f>
        <v>1.6940318585171934</v>
      </c>
      <c r="H460" s="10">
        <f>PMSPLINE!K$18</f>
        <v>1.7880107039853124E-3</v>
      </c>
      <c r="I460" s="10">
        <f>PMSPLINE!K$19</f>
        <v>-2.1525377191746763E-3</v>
      </c>
      <c r="J460">
        <f t="shared" si="80"/>
        <v>0</v>
      </c>
      <c r="K460">
        <f t="shared" si="81"/>
        <v>1</v>
      </c>
      <c r="M460" s="8">
        <f t="shared" si="82"/>
        <v>1.6940318585171934</v>
      </c>
      <c r="N460" s="8">
        <f t="shared" si="83"/>
        <v>1.6940318585171934</v>
      </c>
      <c r="O460" s="8">
        <f t="shared" si="84"/>
        <v>1592.8139526922787</v>
      </c>
      <c r="P460" s="8">
        <f t="shared" si="85"/>
        <v>1592.244948953381</v>
      </c>
      <c r="Q460" s="8">
        <f t="shared" si="86"/>
        <v>1.6940318585171934</v>
      </c>
    </row>
    <row r="461" spans="1:17" x14ac:dyDescent="0.2">
      <c r="H461" s="10"/>
      <c r="I461" s="10"/>
      <c r="M461" s="8"/>
      <c r="N461" s="8"/>
      <c r="O461" s="8"/>
      <c r="P461" s="8"/>
    </row>
  </sheetData>
  <phoneticPr fontId="0"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workbookViewId="0">
      <selection activeCell="L20" sqref="L20"/>
    </sheetView>
  </sheetViews>
  <sheetFormatPr defaultRowHeight="12.75" x14ac:dyDescent="0.2"/>
  <sheetData>
    <row r="1" spans="1:17" x14ac:dyDescent="0.2">
      <c r="J1" t="s">
        <v>20</v>
      </c>
      <c r="K1">
        <v>0</v>
      </c>
    </row>
    <row r="2" spans="1:17" x14ac:dyDescent="0.2">
      <c r="J2" t="s">
        <v>21</v>
      </c>
      <c r="K2">
        <v>0</v>
      </c>
    </row>
    <row r="3" spans="1:17" x14ac:dyDescent="0.2">
      <c r="A3" t="s">
        <v>22</v>
      </c>
      <c r="B3" t="s">
        <v>23</v>
      </c>
      <c r="C3" t="s">
        <v>42</v>
      </c>
      <c r="D3" t="s">
        <v>37</v>
      </c>
      <c r="E3" t="s">
        <v>40</v>
      </c>
      <c r="F3" t="s">
        <v>25</v>
      </c>
      <c r="G3" t="s">
        <v>8</v>
      </c>
      <c r="H3" t="s">
        <v>26</v>
      </c>
      <c r="I3" t="s">
        <v>27</v>
      </c>
      <c r="J3" t="s">
        <v>28</v>
      </c>
      <c r="K3" t="s">
        <v>29</v>
      </c>
      <c r="L3" t="s">
        <v>30</v>
      </c>
      <c r="M3" t="s">
        <v>31</v>
      </c>
    </row>
    <row r="4" spans="1:17" x14ac:dyDescent="0.2">
      <c r="A4">
        <v>11</v>
      </c>
      <c r="B4">
        <v>1</v>
      </c>
      <c r="F4" s="15">
        <v>320</v>
      </c>
      <c r="G4">
        <f t="shared" ref="G4:G19" si="0">F4-319</f>
        <v>1</v>
      </c>
      <c r="H4" s="15">
        <f>E16</f>
        <v>8.5714285714285712</v>
      </c>
      <c r="I4" s="16"/>
      <c r="J4" s="16"/>
      <c r="K4" s="14">
        <f>(3/(G5-G4))*((H5-H4)/(G5-G4)-K$1)</f>
        <v>-7.0080061160780653E-3</v>
      </c>
      <c r="L4" s="17">
        <v>-0.25</v>
      </c>
      <c r="M4" s="10">
        <f t="shared" ref="M4:M19" si="1">L4*M5+K4</f>
        <v>-6.6741529804312692E-3</v>
      </c>
    </row>
    <row r="5" spans="1:17" x14ac:dyDescent="0.2">
      <c r="A5">
        <v>12</v>
      </c>
      <c r="B5">
        <f t="shared" ref="B5:B19" si="2">B4+1</f>
        <v>2</v>
      </c>
      <c r="F5" s="15">
        <v>351</v>
      </c>
      <c r="G5">
        <f t="shared" si="0"/>
        <v>32</v>
      </c>
      <c r="H5" s="15">
        <f>E17</f>
        <v>6.3265306122448974</v>
      </c>
      <c r="I5" s="16">
        <f>(G5-G4)/(G6-G4)</f>
        <v>0.51666666666666672</v>
      </c>
      <c r="J5" s="16">
        <f t="shared" ref="J5:J19" si="3">I5*L4+2</f>
        <v>1.8708333333333333</v>
      </c>
      <c r="K5" s="10">
        <f t="shared" ref="K5:K18" si="4">(6*(((H6-H5)/(G6-G5))-((H5-H4)/(G5-G4)))/(G6-G4)-I5*K4)/J5</f>
        <v>7.892837104177395E-4</v>
      </c>
      <c r="L5" s="8">
        <f t="shared" ref="L5:L18" si="5">(I5-1)/J5</f>
        <v>-0.25835189309576834</v>
      </c>
      <c r="M5" s="10">
        <f t="shared" si="1"/>
        <v>-1.3354125425871846E-3</v>
      </c>
    </row>
    <row r="6" spans="1:17" x14ac:dyDescent="0.2">
      <c r="A6" s="15">
        <v>1</v>
      </c>
      <c r="B6">
        <f t="shared" si="2"/>
        <v>3</v>
      </c>
      <c r="C6">
        <v>31</v>
      </c>
      <c r="D6">
        <f>IF(Weather!J11=0,0.001,Weather!J11)</f>
        <v>8.6</v>
      </c>
      <c r="E6" s="8">
        <f>IF(C6/D6&gt;C6,C6,C6/D6)</f>
        <v>3.6046511627906979</v>
      </c>
      <c r="F6" s="13">
        <f t="shared" ref="F6:F17" si="6">365+INT(30.5*A6-14.6)</f>
        <v>380</v>
      </c>
      <c r="G6">
        <f t="shared" si="0"/>
        <v>61</v>
      </c>
      <c r="H6">
        <f t="shared" ref="H6:H17" si="7">E6</f>
        <v>3.6046511627906979</v>
      </c>
      <c r="I6" s="16">
        <f t="shared" ref="I6:I19" si="8">(G6-G5)/(G7-G5)</f>
        <v>0.48333333333333334</v>
      </c>
      <c r="J6" s="16">
        <f t="shared" si="3"/>
        <v>1.8751299183370453</v>
      </c>
      <c r="K6" s="10">
        <f t="shared" si="4"/>
        <v>6.0114121315296438E-3</v>
      </c>
      <c r="L6" s="8">
        <f t="shared" si="5"/>
        <v>-0.27553646369467094</v>
      </c>
      <c r="M6" s="10">
        <f t="shared" si="1"/>
        <v>8.2240398068897502E-3</v>
      </c>
      <c r="N6" s="18"/>
      <c r="O6" s="18" t="s">
        <v>32</v>
      </c>
      <c r="P6" s="18"/>
      <c r="Q6" s="18"/>
    </row>
    <row r="7" spans="1:17" x14ac:dyDescent="0.2">
      <c r="A7" s="15">
        <v>2</v>
      </c>
      <c r="B7">
        <f t="shared" si="2"/>
        <v>4</v>
      </c>
      <c r="C7">
        <v>28</v>
      </c>
      <c r="D7">
        <f>IF(Weather!J12=0,0.001,Weather!J12)</f>
        <v>6.5</v>
      </c>
      <c r="E7" s="8">
        <f t="shared" ref="E7:E17" si="9">IF(C7/D7&gt;C7,C7,C7/D7)</f>
        <v>4.3076923076923075</v>
      </c>
      <c r="F7" s="13">
        <f t="shared" si="6"/>
        <v>411</v>
      </c>
      <c r="G7">
        <f t="shared" si="0"/>
        <v>92</v>
      </c>
      <c r="H7">
        <f t="shared" si="7"/>
        <v>4.3076923076923075</v>
      </c>
      <c r="I7" s="16">
        <f t="shared" si="8"/>
        <v>0.50819672131147542</v>
      </c>
      <c r="J7" s="16">
        <f t="shared" si="3"/>
        <v>1.8599732725486098</v>
      </c>
      <c r="K7" s="10">
        <f t="shared" si="4"/>
        <v>-1.013580579489185E-3</v>
      </c>
      <c r="L7" s="8">
        <f t="shared" si="5"/>
        <v>-0.26441416441142512</v>
      </c>
      <c r="M7" s="10">
        <f t="shared" si="1"/>
        <v>-8.0302535849192565E-3</v>
      </c>
    </row>
    <row r="8" spans="1:17" x14ac:dyDescent="0.2">
      <c r="A8" s="15">
        <v>3</v>
      </c>
      <c r="B8">
        <f t="shared" si="2"/>
        <v>5</v>
      </c>
      <c r="C8">
        <v>31</v>
      </c>
      <c r="D8">
        <f>IF(Weather!J13=0,0.001,Weather!J13)</f>
        <v>5.8</v>
      </c>
      <c r="E8" s="8">
        <f t="shared" si="9"/>
        <v>5.3448275862068968</v>
      </c>
      <c r="F8" s="13">
        <f t="shared" si="6"/>
        <v>441</v>
      </c>
      <c r="G8">
        <f t="shared" si="0"/>
        <v>122</v>
      </c>
      <c r="H8">
        <f t="shared" si="7"/>
        <v>5.3448275862068968</v>
      </c>
      <c r="I8" s="16">
        <f t="shared" si="8"/>
        <v>0.49180327868852458</v>
      </c>
      <c r="J8" s="16">
        <f t="shared" si="3"/>
        <v>1.8699602470107746</v>
      </c>
      <c r="K8" s="10">
        <f t="shared" si="4"/>
        <v>1.9322383017696173E-2</v>
      </c>
      <c r="L8" s="8">
        <f t="shared" si="5"/>
        <v>-0.2717687299095547</v>
      </c>
      <c r="M8" s="10">
        <f t="shared" si="1"/>
        <v>2.6536675979703626E-2</v>
      </c>
    </row>
    <row r="9" spans="1:17" x14ac:dyDescent="0.2">
      <c r="A9" s="15">
        <v>4</v>
      </c>
      <c r="B9">
        <f t="shared" si="2"/>
        <v>6</v>
      </c>
      <c r="C9">
        <v>30</v>
      </c>
      <c r="D9">
        <f>IF(Weather!J14=0,0.001,Weather!J14)</f>
        <v>1.7</v>
      </c>
      <c r="E9" s="8">
        <f t="shared" si="9"/>
        <v>17.647058823529413</v>
      </c>
      <c r="F9" s="13">
        <f t="shared" si="6"/>
        <v>472</v>
      </c>
      <c r="G9">
        <f t="shared" si="0"/>
        <v>153</v>
      </c>
      <c r="H9">
        <f t="shared" si="7"/>
        <v>17.647058823529413</v>
      </c>
      <c r="I9" s="16">
        <f t="shared" si="8"/>
        <v>0.50819672131147542</v>
      </c>
      <c r="J9" s="16">
        <f t="shared" si="3"/>
        <v>1.8618880225049803</v>
      </c>
      <c r="K9" s="10">
        <f t="shared" si="4"/>
        <v>-2.0921380366133429E-2</v>
      </c>
      <c r="L9" s="8">
        <f t="shared" si="5"/>
        <v>-0.26414224311237228</v>
      </c>
      <c r="M9" s="10">
        <f t="shared" si="1"/>
        <v>-2.6545706580769567E-2</v>
      </c>
    </row>
    <row r="10" spans="1:17" x14ac:dyDescent="0.2">
      <c r="A10" s="15">
        <v>5</v>
      </c>
      <c r="B10">
        <f t="shared" si="2"/>
        <v>7</v>
      </c>
      <c r="C10">
        <v>31</v>
      </c>
      <c r="D10">
        <f>IF(Weather!J15=0,0.001,Weather!J15)</f>
        <v>1.5</v>
      </c>
      <c r="E10" s="8">
        <f t="shared" si="9"/>
        <v>20.666666666666668</v>
      </c>
      <c r="F10" s="13">
        <f t="shared" si="6"/>
        <v>502</v>
      </c>
      <c r="G10">
        <f t="shared" si="0"/>
        <v>183</v>
      </c>
      <c r="H10">
        <f t="shared" si="7"/>
        <v>20.666666666666668</v>
      </c>
      <c r="I10" s="16">
        <f t="shared" si="8"/>
        <v>0.49180327868852458</v>
      </c>
      <c r="J10" s="16">
        <f t="shared" si="3"/>
        <v>1.870093978797194</v>
      </c>
      <c r="K10" s="10">
        <f t="shared" si="4"/>
        <v>1.6043477537562446E-2</v>
      </c>
      <c r="L10" s="8">
        <f t="shared" si="5"/>
        <v>-0.27174929552916754</v>
      </c>
      <c r="M10" s="10">
        <f t="shared" si="1"/>
        <v>2.1292793414506659E-2</v>
      </c>
    </row>
    <row r="11" spans="1:17" x14ac:dyDescent="0.2">
      <c r="A11" s="15">
        <v>6</v>
      </c>
      <c r="B11">
        <f t="shared" si="2"/>
        <v>8</v>
      </c>
      <c r="C11">
        <v>30</v>
      </c>
      <c r="D11">
        <f>IF(Weather!J16=0,0.001,Weather!J16)</f>
        <v>0.6</v>
      </c>
      <c r="E11" s="8">
        <f t="shared" si="9"/>
        <v>30</v>
      </c>
      <c r="F11" s="13">
        <f t="shared" si="6"/>
        <v>533</v>
      </c>
      <c r="G11">
        <f t="shared" si="0"/>
        <v>214</v>
      </c>
      <c r="H11">
        <f t="shared" si="7"/>
        <v>30</v>
      </c>
      <c r="I11" s="16">
        <f t="shared" si="8"/>
        <v>0.50819672131147542</v>
      </c>
      <c r="J11" s="16">
        <f t="shared" si="3"/>
        <v>1.8618978989933739</v>
      </c>
      <c r="K11" s="10">
        <f t="shared" si="4"/>
        <v>-1.8523311640421002E-2</v>
      </c>
      <c r="L11" s="8">
        <f t="shared" si="5"/>
        <v>-0.26414084196261012</v>
      </c>
      <c r="M11" s="10">
        <f t="shared" si="1"/>
        <v>-1.9316759834546803E-2</v>
      </c>
    </row>
    <row r="12" spans="1:17" x14ac:dyDescent="0.2">
      <c r="A12" s="15">
        <v>7</v>
      </c>
      <c r="B12">
        <f t="shared" si="2"/>
        <v>9</v>
      </c>
      <c r="C12">
        <v>31</v>
      </c>
      <c r="D12">
        <f>IF(Weather!J17=0,0.001,Weather!J17)</f>
        <v>0.3</v>
      </c>
      <c r="E12" s="8">
        <f t="shared" si="9"/>
        <v>31</v>
      </c>
      <c r="F12" s="13">
        <f t="shared" si="6"/>
        <v>563</v>
      </c>
      <c r="G12">
        <f t="shared" si="0"/>
        <v>244</v>
      </c>
      <c r="H12">
        <f t="shared" si="7"/>
        <v>31</v>
      </c>
      <c r="I12" s="16">
        <f t="shared" si="8"/>
        <v>0.49180327868852458</v>
      </c>
      <c r="J12" s="16">
        <f t="shared" si="3"/>
        <v>1.870094667887241</v>
      </c>
      <c r="K12" s="10">
        <f t="shared" si="4"/>
        <v>3.1180971597154416E-3</v>
      </c>
      <c r="L12" s="8">
        <f t="shared" si="5"/>
        <v>-0.27174919539534115</v>
      </c>
      <c r="M12" s="10">
        <f t="shared" si="1"/>
        <v>3.0038830353926013E-3</v>
      </c>
    </row>
    <row r="13" spans="1:17" x14ac:dyDescent="0.2">
      <c r="A13" s="15">
        <v>8</v>
      </c>
      <c r="B13">
        <f t="shared" si="2"/>
        <v>10</v>
      </c>
      <c r="C13">
        <v>31</v>
      </c>
      <c r="D13">
        <f>IF(Weather!J18=0,0.001,Weather!J18)</f>
        <v>0.1</v>
      </c>
      <c r="E13" s="8">
        <f t="shared" si="9"/>
        <v>31</v>
      </c>
      <c r="F13" s="13">
        <f t="shared" si="6"/>
        <v>594</v>
      </c>
      <c r="G13">
        <f t="shared" si="0"/>
        <v>275</v>
      </c>
      <c r="H13">
        <f t="shared" si="7"/>
        <v>31</v>
      </c>
      <c r="I13" s="16">
        <f t="shared" si="8"/>
        <v>0.50819672131147542</v>
      </c>
      <c r="J13" s="16">
        <f t="shared" si="3"/>
        <v>1.8618979498810562</v>
      </c>
      <c r="K13" s="10">
        <f t="shared" si="4"/>
        <v>-2.6120095777530973E-3</v>
      </c>
      <c r="L13" s="8">
        <f t="shared" si="5"/>
        <v>-0.26414083474335559</v>
      </c>
      <c r="M13" s="10">
        <f t="shared" si="1"/>
        <v>4.2029241027441216E-4</v>
      </c>
    </row>
    <row r="14" spans="1:17" x14ac:dyDescent="0.2">
      <c r="A14" s="15">
        <v>9</v>
      </c>
      <c r="B14">
        <f t="shared" si="2"/>
        <v>11</v>
      </c>
      <c r="C14">
        <v>30</v>
      </c>
      <c r="D14">
        <f>IF(Weather!J19=0,0.001,Weather!J19)</f>
        <v>0.7</v>
      </c>
      <c r="E14" s="8">
        <f t="shared" si="9"/>
        <v>30</v>
      </c>
      <c r="F14" s="13">
        <f t="shared" si="6"/>
        <v>624</v>
      </c>
      <c r="G14">
        <f t="shared" si="0"/>
        <v>305</v>
      </c>
      <c r="H14">
        <f t="shared" si="7"/>
        <v>30</v>
      </c>
      <c r="I14" s="16">
        <f t="shared" si="8"/>
        <v>0.49180327868852458</v>
      </c>
      <c r="J14" s="16">
        <f t="shared" si="3"/>
        <v>1.870094671437694</v>
      </c>
      <c r="K14" s="10">
        <f t="shared" si="4"/>
        <v>-1.3395406046001153E-2</v>
      </c>
      <c r="L14" s="8">
        <f t="shared" si="5"/>
        <v>-0.2717491948794139</v>
      </c>
      <c r="M14" s="10">
        <f t="shared" si="1"/>
        <v>-1.1479868271688296E-2</v>
      </c>
    </row>
    <row r="15" spans="1:17" x14ac:dyDescent="0.2">
      <c r="A15" s="15">
        <v>10</v>
      </c>
      <c r="B15">
        <f t="shared" si="2"/>
        <v>12</v>
      </c>
      <c r="C15">
        <v>31</v>
      </c>
      <c r="D15">
        <f>IF(Weather!J20=0,0.001,Weather!J20)</f>
        <v>1.5</v>
      </c>
      <c r="E15" s="8">
        <f t="shared" si="9"/>
        <v>20.666666666666668</v>
      </c>
      <c r="F15" s="13">
        <f t="shared" si="6"/>
        <v>655</v>
      </c>
      <c r="G15">
        <f t="shared" si="0"/>
        <v>336</v>
      </c>
      <c r="H15">
        <f t="shared" si="7"/>
        <v>20.666666666666668</v>
      </c>
      <c r="I15" s="16">
        <f t="shared" si="8"/>
        <v>0.50819672131147542</v>
      </c>
      <c r="J15" s="16">
        <f t="shared" si="3"/>
        <v>1.8618979501432487</v>
      </c>
      <c r="K15" s="10">
        <f t="shared" si="4"/>
        <v>-1.7375044879953559E-3</v>
      </c>
      <c r="L15" s="8">
        <f t="shared" si="5"/>
        <v>-0.26414083470615923</v>
      </c>
      <c r="M15" s="10">
        <f t="shared" si="1"/>
        <v>-7.0489179375963157E-3</v>
      </c>
    </row>
    <row r="16" spans="1:17" x14ac:dyDescent="0.2">
      <c r="A16" s="15">
        <v>11</v>
      </c>
      <c r="B16">
        <f t="shared" si="2"/>
        <v>13</v>
      </c>
      <c r="C16">
        <v>30</v>
      </c>
      <c r="D16">
        <f>IF(Weather!J21=0,0.001,Weather!J21)</f>
        <v>3.5</v>
      </c>
      <c r="E16" s="8">
        <f t="shared" si="9"/>
        <v>8.5714285714285712</v>
      </c>
      <c r="F16" s="13">
        <f t="shared" si="6"/>
        <v>685</v>
      </c>
      <c r="G16">
        <f t="shared" si="0"/>
        <v>366</v>
      </c>
      <c r="H16">
        <f t="shared" si="7"/>
        <v>8.5714285714285712</v>
      </c>
      <c r="I16" s="16">
        <f t="shared" si="8"/>
        <v>0.49180327868852458</v>
      </c>
      <c r="J16" s="16">
        <f t="shared" si="3"/>
        <v>1.8700946714559872</v>
      </c>
      <c r="K16" s="10">
        <f t="shared" si="4"/>
        <v>1.785371499975294E-2</v>
      </c>
      <c r="L16" s="8">
        <f t="shared" si="5"/>
        <v>-0.27174919487675564</v>
      </c>
      <c r="M16" s="10">
        <f t="shared" si="1"/>
        <v>2.010826328882313E-2</v>
      </c>
    </row>
    <row r="17" spans="1:17" x14ac:dyDescent="0.2">
      <c r="A17" s="15">
        <v>12</v>
      </c>
      <c r="B17">
        <f t="shared" si="2"/>
        <v>14</v>
      </c>
      <c r="C17">
        <v>31</v>
      </c>
      <c r="D17">
        <f>IF(Weather!J22=0,0.001,Weather!J22)</f>
        <v>4.9000000000000004</v>
      </c>
      <c r="E17" s="8">
        <f t="shared" si="9"/>
        <v>6.3265306122448974</v>
      </c>
      <c r="F17" s="13">
        <f t="shared" si="6"/>
        <v>716</v>
      </c>
      <c r="G17">
        <f t="shared" si="0"/>
        <v>397</v>
      </c>
      <c r="H17">
        <f t="shared" si="7"/>
        <v>6.3265306122448974</v>
      </c>
      <c r="I17" s="16">
        <f t="shared" si="8"/>
        <v>0.51666666666666672</v>
      </c>
      <c r="J17" s="16">
        <f t="shared" si="3"/>
        <v>1.8595962493136762</v>
      </c>
      <c r="K17" s="10">
        <f t="shared" si="4"/>
        <v>-6.1134799050073336E-3</v>
      </c>
      <c r="L17" s="8">
        <f t="shared" si="5"/>
        <v>-0.25991305021814159</v>
      </c>
      <c r="M17" s="10">
        <f t="shared" si="1"/>
        <v>-8.2964304276694489E-3</v>
      </c>
      <c r="N17" s="18"/>
      <c r="O17" s="18" t="s">
        <v>33</v>
      </c>
      <c r="P17" s="18"/>
      <c r="Q17" s="18"/>
    </row>
    <row r="18" spans="1:17" x14ac:dyDescent="0.2">
      <c r="A18">
        <v>1</v>
      </c>
      <c r="B18">
        <f t="shared" si="2"/>
        <v>15</v>
      </c>
      <c r="F18" s="13">
        <f>730+INT(30.5*A18-14.6)</f>
        <v>745</v>
      </c>
      <c r="G18">
        <f t="shared" si="0"/>
        <v>426</v>
      </c>
      <c r="H18" s="15">
        <f>E6</f>
        <v>3.6046511627906979</v>
      </c>
      <c r="I18" s="16">
        <f t="shared" si="8"/>
        <v>0.48333333333333334</v>
      </c>
      <c r="J18" s="16">
        <f t="shared" si="3"/>
        <v>1.8743753590612315</v>
      </c>
      <c r="K18" s="10">
        <f t="shared" si="4"/>
        <v>7.7938041684764434E-3</v>
      </c>
      <c r="L18" s="8">
        <f t="shared" si="5"/>
        <v>-0.2756473852310114</v>
      </c>
      <c r="M18" s="10">
        <f t="shared" si="1"/>
        <v>8.3987722849237223E-3</v>
      </c>
      <c r="O18" s="14"/>
    </row>
    <row r="19" spans="1:17" x14ac:dyDescent="0.2">
      <c r="A19">
        <v>2</v>
      </c>
      <c r="B19">
        <f t="shared" si="2"/>
        <v>16</v>
      </c>
      <c r="F19" s="13">
        <f>730+INT(30.5*A19-14.6)</f>
        <v>776</v>
      </c>
      <c r="G19">
        <f t="shared" si="0"/>
        <v>457</v>
      </c>
      <c r="H19" s="15">
        <f>E7</f>
        <v>4.3076923076923075</v>
      </c>
      <c r="I19" s="16">
        <f t="shared" si="8"/>
        <v>-7.2769953051643188E-2</v>
      </c>
      <c r="J19" s="16">
        <f t="shared" si="3"/>
        <v>2.0200588472820691</v>
      </c>
      <c r="K19" s="14">
        <f>(3/(G19-G18))*(K$2-(H19-H18))/(G19-G18)</f>
        <v>-2.194717413844775E-3</v>
      </c>
      <c r="L19" s="17">
        <v>-0.25</v>
      </c>
      <c r="M19" s="10">
        <f t="shared" si="1"/>
        <v>-2.194717413844775E-3</v>
      </c>
    </row>
  </sheetData>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461"/>
  <sheetViews>
    <sheetView topLeftCell="E1" workbookViewId="0">
      <selection activeCell="H4" sqref="H4"/>
    </sheetView>
  </sheetViews>
  <sheetFormatPr defaultRowHeight="12.75" x14ac:dyDescent="0.2"/>
  <cols>
    <col min="18" max="18" width="11.28515625" bestFit="1" customWidth="1"/>
  </cols>
  <sheetData>
    <row r="2" spans="1:17" x14ac:dyDescent="0.2">
      <c r="O2" t="s">
        <v>6</v>
      </c>
      <c r="P2" t="s">
        <v>7</v>
      </c>
    </row>
    <row r="3" spans="1:17" x14ac:dyDescent="0.2">
      <c r="A3" t="s">
        <v>8</v>
      </c>
      <c r="B3" t="s">
        <v>9</v>
      </c>
      <c r="C3" t="s">
        <v>10</v>
      </c>
      <c r="D3" t="s">
        <v>11</v>
      </c>
      <c r="E3" t="s">
        <v>12</v>
      </c>
      <c r="F3" t="s">
        <v>13</v>
      </c>
      <c r="G3" t="s">
        <v>14</v>
      </c>
      <c r="H3" t="s">
        <v>15</v>
      </c>
      <c r="I3" t="s">
        <v>16</v>
      </c>
      <c r="J3" t="s">
        <v>5</v>
      </c>
      <c r="K3" t="s">
        <v>17</v>
      </c>
      <c r="L3" t="s">
        <v>18</v>
      </c>
      <c r="M3" t="s">
        <v>6</v>
      </c>
      <c r="N3" t="s">
        <v>7</v>
      </c>
      <c r="O3" t="s">
        <v>19</v>
      </c>
      <c r="P3" t="s">
        <v>19</v>
      </c>
      <c r="Q3" t="s">
        <v>7</v>
      </c>
    </row>
    <row r="4" spans="1:17" x14ac:dyDescent="0.2">
      <c r="A4">
        <v>1</v>
      </c>
      <c r="B4">
        <v>1</v>
      </c>
      <c r="C4">
        <f t="shared" ref="C4:C67" si="0">E4-D4</f>
        <v>31</v>
      </c>
      <c r="D4">
        <v>1</v>
      </c>
      <c r="E4">
        <v>32</v>
      </c>
      <c r="F4">
        <f>RnSPLINE!H$4</f>
        <v>8.5714285714285712</v>
      </c>
      <c r="G4">
        <f>RnSPLINE!H$5</f>
        <v>6.3265306122448974</v>
      </c>
      <c r="H4" s="8">
        <f>RnSPLINE!M$4</f>
        <v>-6.6741529804312692E-3</v>
      </c>
      <c r="I4" s="8">
        <f>RnSPLINE!M$5</f>
        <v>-1.3354125425871846E-3</v>
      </c>
      <c r="J4">
        <f t="shared" ref="J4:J67" si="1">(E4-B4)/C4</f>
        <v>1</v>
      </c>
      <c r="K4">
        <f t="shared" ref="K4:K67" si="2">(B4-D4)/C4</f>
        <v>0</v>
      </c>
      <c r="L4">
        <f t="shared" ref="L4:L67" si="3">B4-46</f>
        <v>-45</v>
      </c>
      <c r="M4" s="8">
        <f t="shared" ref="M4:M67" si="4">J4*F4+K4*G4</f>
        <v>8.5714285714285712</v>
      </c>
      <c r="N4" s="8">
        <f t="shared" ref="N4:N49" si="5">M4+(((J4^3-J4)*H4+(K4^3-K4)*I4))*(C4^2)/6</f>
        <v>8.5714285714285712</v>
      </c>
      <c r="O4" s="8">
        <f>M4</f>
        <v>8.5714285714285712</v>
      </c>
      <c r="P4" s="8">
        <f>N4</f>
        <v>8.5714285714285712</v>
      </c>
      <c r="Q4" s="8">
        <f t="shared" ref="Q4:Q67" si="6">M4+(((J4^3-J4)*H4+(K4^3-K4)*I4))*(C4^2)/6</f>
        <v>8.5714285714285712</v>
      </c>
    </row>
    <row r="5" spans="1:17" x14ac:dyDescent="0.2">
      <c r="B5">
        <f t="shared" ref="B5:B68" si="7">B4+1</f>
        <v>2</v>
      </c>
      <c r="C5">
        <f t="shared" si="0"/>
        <v>31</v>
      </c>
      <c r="D5">
        <v>1</v>
      </c>
      <c r="E5">
        <v>32</v>
      </c>
      <c r="F5">
        <f>RnSPLINE!H$4</f>
        <v>8.5714285714285712</v>
      </c>
      <c r="G5">
        <f>RnSPLINE!H$5</f>
        <v>6.3265306122448974</v>
      </c>
      <c r="H5" s="8">
        <f>RnSPLINE!M$4</f>
        <v>-6.6741529804312692E-3</v>
      </c>
      <c r="I5" s="8">
        <f>RnSPLINE!M$5</f>
        <v>-1.3354125425871846E-3</v>
      </c>
      <c r="J5">
        <f t="shared" si="1"/>
        <v>0.967741935483871</v>
      </c>
      <c r="K5">
        <f t="shared" si="2"/>
        <v>3.2258064516129031E-2</v>
      </c>
      <c r="L5">
        <f t="shared" si="3"/>
        <v>-44</v>
      </c>
      <c r="M5" s="8">
        <f t="shared" si="4"/>
        <v>8.4990125082290984</v>
      </c>
      <c r="N5" s="8">
        <f t="shared" si="5"/>
        <v>8.5715700135789525</v>
      </c>
      <c r="O5" s="8">
        <f t="shared" ref="O5:O68" si="8">O4+M5</f>
        <v>17.07044107965767</v>
      </c>
      <c r="P5" s="8">
        <f t="shared" ref="P5:P68" si="9">P4+N5</f>
        <v>17.142998585007525</v>
      </c>
      <c r="Q5" s="8">
        <f t="shared" si="6"/>
        <v>8.5715700135789525</v>
      </c>
    </row>
    <row r="6" spans="1:17" x14ac:dyDescent="0.2">
      <c r="B6">
        <f t="shared" si="7"/>
        <v>3</v>
      </c>
      <c r="C6">
        <f t="shared" si="0"/>
        <v>31</v>
      </c>
      <c r="D6">
        <v>1</v>
      </c>
      <c r="E6">
        <v>32</v>
      </c>
      <c r="F6">
        <f>RnSPLINE!H$4</f>
        <v>8.5714285714285712</v>
      </c>
      <c r="G6">
        <f>RnSPLINE!H$5</f>
        <v>6.3265306122448974</v>
      </c>
      <c r="H6" s="8">
        <f>RnSPLINE!M$4</f>
        <v>-6.6741529804312692E-3</v>
      </c>
      <c r="I6" s="8">
        <f>RnSPLINE!M$5</f>
        <v>-1.3354125425871846E-3</v>
      </c>
      <c r="J6">
        <f t="shared" si="1"/>
        <v>0.93548387096774188</v>
      </c>
      <c r="K6">
        <f t="shared" si="2"/>
        <v>6.4516129032258063E-2</v>
      </c>
      <c r="L6">
        <f t="shared" si="3"/>
        <v>-43</v>
      </c>
      <c r="M6" s="8">
        <f t="shared" si="4"/>
        <v>8.4265964450296238</v>
      </c>
      <c r="N6" s="8">
        <f t="shared" si="5"/>
        <v>8.5652095201823801</v>
      </c>
      <c r="O6" s="8">
        <f t="shared" si="8"/>
        <v>25.497037524687293</v>
      </c>
      <c r="P6" s="8">
        <f t="shared" si="9"/>
        <v>25.708208105189904</v>
      </c>
      <c r="Q6" s="8">
        <f t="shared" si="6"/>
        <v>8.5652095201823801</v>
      </c>
    </row>
    <row r="7" spans="1:17" x14ac:dyDescent="0.2">
      <c r="B7">
        <f t="shared" si="7"/>
        <v>4</v>
      </c>
      <c r="C7">
        <f t="shared" si="0"/>
        <v>31</v>
      </c>
      <c r="D7">
        <v>1</v>
      </c>
      <c r="E7">
        <v>32</v>
      </c>
      <c r="F7">
        <f>RnSPLINE!H$4</f>
        <v>8.5714285714285712</v>
      </c>
      <c r="G7">
        <f>RnSPLINE!H$5</f>
        <v>6.3265306122448974</v>
      </c>
      <c r="H7" s="8">
        <f>RnSPLINE!M$4</f>
        <v>-6.6741529804312692E-3</v>
      </c>
      <c r="I7" s="8">
        <f>RnSPLINE!M$5</f>
        <v>-1.3354125425871846E-3</v>
      </c>
      <c r="J7">
        <f t="shared" si="1"/>
        <v>0.90322580645161288</v>
      </c>
      <c r="K7">
        <f t="shared" si="2"/>
        <v>9.6774193548387094E-2</v>
      </c>
      <c r="L7">
        <f t="shared" si="3"/>
        <v>-42</v>
      </c>
      <c r="M7" s="8">
        <f t="shared" si="4"/>
        <v>8.354180381830151</v>
      </c>
      <c r="N7" s="8">
        <f t="shared" si="5"/>
        <v>8.5525193086723359</v>
      </c>
      <c r="O7" s="8">
        <f t="shared" si="8"/>
        <v>33.851217906517448</v>
      </c>
      <c r="P7" s="8">
        <f t="shared" si="9"/>
        <v>34.260727413862242</v>
      </c>
      <c r="Q7" s="8">
        <f t="shared" si="6"/>
        <v>8.5525193086723359</v>
      </c>
    </row>
    <row r="8" spans="1:17" x14ac:dyDescent="0.2">
      <c r="B8">
        <f t="shared" si="7"/>
        <v>5</v>
      </c>
      <c r="C8">
        <f t="shared" si="0"/>
        <v>31</v>
      </c>
      <c r="D8">
        <v>1</v>
      </c>
      <c r="E8">
        <v>32</v>
      </c>
      <c r="F8">
        <f>RnSPLINE!H$4</f>
        <v>8.5714285714285712</v>
      </c>
      <c r="G8">
        <f>RnSPLINE!H$5</f>
        <v>6.3265306122448974</v>
      </c>
      <c r="H8" s="8">
        <f>RnSPLINE!M$4</f>
        <v>-6.6741529804312692E-3</v>
      </c>
      <c r="I8" s="8">
        <f>RnSPLINE!M$5</f>
        <v>-1.3354125425871846E-3</v>
      </c>
      <c r="J8">
        <f t="shared" si="1"/>
        <v>0.87096774193548387</v>
      </c>
      <c r="K8">
        <f t="shared" si="2"/>
        <v>0.12903225806451613</v>
      </c>
      <c r="L8">
        <f t="shared" si="3"/>
        <v>-41</v>
      </c>
      <c r="M8" s="8">
        <f t="shared" si="4"/>
        <v>8.2817643186306782</v>
      </c>
      <c r="N8" s="8">
        <f t="shared" si="5"/>
        <v>8.5336715964822965</v>
      </c>
      <c r="O8" s="8">
        <f t="shared" si="8"/>
        <v>42.132982225148126</v>
      </c>
      <c r="P8" s="8">
        <f t="shared" si="9"/>
        <v>42.794399010344534</v>
      </c>
      <c r="Q8" s="8">
        <f t="shared" si="6"/>
        <v>8.5336715964822965</v>
      </c>
    </row>
    <row r="9" spans="1:17" x14ac:dyDescent="0.2">
      <c r="B9">
        <f t="shared" si="7"/>
        <v>6</v>
      </c>
      <c r="C9">
        <f t="shared" si="0"/>
        <v>31</v>
      </c>
      <c r="D9">
        <v>1</v>
      </c>
      <c r="E9">
        <v>32</v>
      </c>
      <c r="F9">
        <f>RnSPLINE!H$4</f>
        <v>8.5714285714285712</v>
      </c>
      <c r="G9">
        <f>RnSPLINE!H$5</f>
        <v>6.3265306122448974</v>
      </c>
      <c r="H9" s="8">
        <f>RnSPLINE!M$4</f>
        <v>-6.6741529804312692E-3</v>
      </c>
      <c r="I9" s="8">
        <f>RnSPLINE!M$5</f>
        <v>-1.3354125425871846E-3</v>
      </c>
      <c r="J9">
        <f t="shared" si="1"/>
        <v>0.83870967741935487</v>
      </c>
      <c r="K9">
        <f t="shared" si="2"/>
        <v>0.16129032258064516</v>
      </c>
      <c r="L9">
        <f t="shared" si="3"/>
        <v>-40</v>
      </c>
      <c r="M9" s="8">
        <f t="shared" si="4"/>
        <v>8.2093482554312054</v>
      </c>
      <c r="N9" s="8">
        <f t="shared" si="5"/>
        <v>8.508838601045742</v>
      </c>
      <c r="O9" s="8">
        <f t="shared" si="8"/>
        <v>50.342330480579335</v>
      </c>
      <c r="P9" s="8">
        <f t="shared" si="9"/>
        <v>51.303237611390273</v>
      </c>
      <c r="Q9" s="8">
        <f t="shared" si="6"/>
        <v>8.508838601045742</v>
      </c>
    </row>
    <row r="10" spans="1:17" x14ac:dyDescent="0.2">
      <c r="B10">
        <f t="shared" si="7"/>
        <v>7</v>
      </c>
      <c r="C10">
        <f t="shared" si="0"/>
        <v>31</v>
      </c>
      <c r="D10">
        <v>1</v>
      </c>
      <c r="E10">
        <v>32</v>
      </c>
      <c r="F10">
        <f>RnSPLINE!H$4</f>
        <v>8.5714285714285712</v>
      </c>
      <c r="G10">
        <f>RnSPLINE!H$5</f>
        <v>6.3265306122448974</v>
      </c>
      <c r="H10" s="8">
        <f>RnSPLINE!M$4</f>
        <v>-6.6741529804312692E-3</v>
      </c>
      <c r="I10" s="8">
        <f>RnSPLINE!M$5</f>
        <v>-1.3354125425871846E-3</v>
      </c>
      <c r="J10">
        <f t="shared" si="1"/>
        <v>0.80645161290322576</v>
      </c>
      <c r="K10">
        <f t="shared" si="2"/>
        <v>0.19354838709677419</v>
      </c>
      <c r="L10">
        <f t="shared" si="3"/>
        <v>-39</v>
      </c>
      <c r="M10" s="8">
        <f t="shared" si="4"/>
        <v>8.1369321922317308</v>
      </c>
      <c r="N10" s="8">
        <f t="shared" si="5"/>
        <v>8.4781925397961473</v>
      </c>
      <c r="O10" s="8">
        <f t="shared" si="8"/>
        <v>58.479262672811068</v>
      </c>
      <c r="P10" s="8">
        <f t="shared" si="9"/>
        <v>59.78143015118642</v>
      </c>
      <c r="Q10" s="8">
        <f t="shared" si="6"/>
        <v>8.4781925397961473</v>
      </c>
    </row>
    <row r="11" spans="1:17" x14ac:dyDescent="0.2">
      <c r="B11">
        <f t="shared" si="7"/>
        <v>8</v>
      </c>
      <c r="C11">
        <f t="shared" si="0"/>
        <v>31</v>
      </c>
      <c r="D11">
        <v>1</v>
      </c>
      <c r="E11">
        <v>32</v>
      </c>
      <c r="F11">
        <f>RnSPLINE!H$4</f>
        <v>8.5714285714285712</v>
      </c>
      <c r="G11">
        <f>RnSPLINE!H$5</f>
        <v>6.3265306122448974</v>
      </c>
      <c r="H11" s="8">
        <f>RnSPLINE!M$4</f>
        <v>-6.6741529804312692E-3</v>
      </c>
      <c r="I11" s="8">
        <f>RnSPLINE!M$5</f>
        <v>-1.3354125425871846E-3</v>
      </c>
      <c r="J11">
        <f t="shared" si="1"/>
        <v>0.77419354838709675</v>
      </c>
      <c r="K11">
        <f t="shared" si="2"/>
        <v>0.22580645161290322</v>
      </c>
      <c r="L11">
        <f t="shared" si="3"/>
        <v>-38</v>
      </c>
      <c r="M11" s="8">
        <f t="shared" si="4"/>
        <v>8.064516129032258</v>
      </c>
      <c r="N11" s="8">
        <f t="shared" si="5"/>
        <v>8.4419056301669979</v>
      </c>
      <c r="O11" s="8">
        <f t="shared" si="8"/>
        <v>66.543778801843331</v>
      </c>
      <c r="P11" s="8">
        <f t="shared" si="9"/>
        <v>68.223335781353413</v>
      </c>
      <c r="Q11" s="8">
        <f t="shared" si="6"/>
        <v>8.4419056301669979</v>
      </c>
    </row>
    <row r="12" spans="1:17" x14ac:dyDescent="0.2">
      <c r="B12">
        <f t="shared" si="7"/>
        <v>9</v>
      </c>
      <c r="C12">
        <f t="shared" si="0"/>
        <v>31</v>
      </c>
      <c r="D12">
        <v>1</v>
      </c>
      <c r="E12">
        <v>32</v>
      </c>
      <c r="F12">
        <f>RnSPLINE!H$4</f>
        <v>8.5714285714285712</v>
      </c>
      <c r="G12">
        <f>RnSPLINE!H$5</f>
        <v>6.3265306122448974</v>
      </c>
      <c r="H12" s="8">
        <f>RnSPLINE!M$4</f>
        <v>-6.6741529804312692E-3</v>
      </c>
      <c r="I12" s="8">
        <f>RnSPLINE!M$5</f>
        <v>-1.3354125425871846E-3</v>
      </c>
      <c r="J12">
        <f t="shared" si="1"/>
        <v>0.74193548387096775</v>
      </c>
      <c r="K12">
        <f t="shared" si="2"/>
        <v>0.25806451612903225</v>
      </c>
      <c r="L12">
        <f t="shared" si="3"/>
        <v>-37</v>
      </c>
      <c r="M12" s="8">
        <f t="shared" si="4"/>
        <v>7.9921000658327843</v>
      </c>
      <c r="N12" s="8">
        <f t="shared" si="5"/>
        <v>8.4001500895917669</v>
      </c>
      <c r="O12" s="8">
        <f t="shared" si="8"/>
        <v>74.535878867676118</v>
      </c>
      <c r="P12" s="8">
        <f t="shared" si="9"/>
        <v>76.623485870945174</v>
      </c>
      <c r="Q12" s="8">
        <f t="shared" si="6"/>
        <v>8.4001500895917669</v>
      </c>
    </row>
    <row r="13" spans="1:17" x14ac:dyDescent="0.2">
      <c r="B13">
        <f t="shared" si="7"/>
        <v>10</v>
      </c>
      <c r="C13">
        <f t="shared" si="0"/>
        <v>31</v>
      </c>
      <c r="D13">
        <v>1</v>
      </c>
      <c r="E13">
        <v>32</v>
      </c>
      <c r="F13">
        <f>RnSPLINE!H$4</f>
        <v>8.5714285714285712</v>
      </c>
      <c r="G13">
        <f>RnSPLINE!H$5</f>
        <v>6.3265306122448974</v>
      </c>
      <c r="H13" s="8">
        <f>RnSPLINE!M$4</f>
        <v>-6.6741529804312692E-3</v>
      </c>
      <c r="I13" s="8">
        <f>RnSPLINE!M$5</f>
        <v>-1.3354125425871846E-3</v>
      </c>
      <c r="J13">
        <f t="shared" si="1"/>
        <v>0.70967741935483875</v>
      </c>
      <c r="K13">
        <f t="shared" si="2"/>
        <v>0.29032258064516131</v>
      </c>
      <c r="L13">
        <f t="shared" si="3"/>
        <v>-36</v>
      </c>
      <c r="M13" s="8">
        <f t="shared" si="4"/>
        <v>7.9196840026333115</v>
      </c>
      <c r="N13" s="8">
        <f t="shared" si="5"/>
        <v>8.3530981355039362</v>
      </c>
      <c r="O13" s="8">
        <f t="shared" si="8"/>
        <v>82.455562870309436</v>
      </c>
      <c r="P13" s="8">
        <f t="shared" si="9"/>
        <v>84.976584006449116</v>
      </c>
      <c r="Q13" s="8">
        <f t="shared" si="6"/>
        <v>8.3530981355039362</v>
      </c>
    </row>
    <row r="14" spans="1:17" x14ac:dyDescent="0.2">
      <c r="B14">
        <f t="shared" si="7"/>
        <v>11</v>
      </c>
      <c r="C14">
        <f t="shared" si="0"/>
        <v>31</v>
      </c>
      <c r="D14">
        <v>1</v>
      </c>
      <c r="E14">
        <v>32</v>
      </c>
      <c r="F14">
        <f>RnSPLINE!H$4</f>
        <v>8.5714285714285712</v>
      </c>
      <c r="G14">
        <f>RnSPLINE!H$5</f>
        <v>6.3265306122448974</v>
      </c>
      <c r="H14" s="8">
        <f>RnSPLINE!M$4</f>
        <v>-6.6741529804312692E-3</v>
      </c>
      <c r="I14" s="8">
        <f>RnSPLINE!M$5</f>
        <v>-1.3354125425871846E-3</v>
      </c>
      <c r="J14">
        <f t="shared" si="1"/>
        <v>0.67741935483870963</v>
      </c>
      <c r="K14">
        <f t="shared" si="2"/>
        <v>0.32258064516129031</v>
      </c>
      <c r="L14">
        <f t="shared" si="3"/>
        <v>-35</v>
      </c>
      <c r="M14" s="8">
        <f t="shared" si="4"/>
        <v>7.8472679394338369</v>
      </c>
      <c r="N14" s="8">
        <f t="shared" si="5"/>
        <v>8.3009219853369824</v>
      </c>
      <c r="O14" s="8">
        <f t="shared" si="8"/>
        <v>90.30283080974327</v>
      </c>
      <c r="P14" s="8">
        <f t="shared" si="9"/>
        <v>93.2775059917861</v>
      </c>
      <c r="Q14" s="8">
        <f t="shared" si="6"/>
        <v>8.3009219853369824</v>
      </c>
    </row>
    <row r="15" spans="1:17" x14ac:dyDescent="0.2">
      <c r="B15">
        <f t="shared" si="7"/>
        <v>12</v>
      </c>
      <c r="C15">
        <f t="shared" si="0"/>
        <v>31</v>
      </c>
      <c r="D15">
        <v>1</v>
      </c>
      <c r="E15">
        <v>32</v>
      </c>
      <c r="F15">
        <f>RnSPLINE!H$4</f>
        <v>8.5714285714285712</v>
      </c>
      <c r="G15">
        <f>RnSPLINE!H$5</f>
        <v>6.3265306122448974</v>
      </c>
      <c r="H15" s="8">
        <f>RnSPLINE!M$4</f>
        <v>-6.6741529804312692E-3</v>
      </c>
      <c r="I15" s="8">
        <f>RnSPLINE!M$5</f>
        <v>-1.3354125425871846E-3</v>
      </c>
      <c r="J15">
        <f t="shared" si="1"/>
        <v>0.64516129032258063</v>
      </c>
      <c r="K15">
        <f t="shared" si="2"/>
        <v>0.35483870967741937</v>
      </c>
      <c r="L15">
        <f t="shared" si="3"/>
        <v>-34</v>
      </c>
      <c r="M15" s="8">
        <f t="shared" si="4"/>
        <v>7.774851876234365</v>
      </c>
      <c r="N15" s="8">
        <f t="shared" si="5"/>
        <v>8.2437938565243893</v>
      </c>
      <c r="O15" s="8">
        <f t="shared" si="8"/>
        <v>98.077682685977635</v>
      </c>
      <c r="P15" s="8">
        <f t="shared" si="9"/>
        <v>101.52129984831049</v>
      </c>
      <c r="Q15" s="8">
        <f t="shared" si="6"/>
        <v>8.2437938565243893</v>
      </c>
    </row>
    <row r="16" spans="1:17" x14ac:dyDescent="0.2">
      <c r="B16">
        <f t="shared" si="7"/>
        <v>13</v>
      </c>
      <c r="C16">
        <f t="shared" si="0"/>
        <v>31</v>
      </c>
      <c r="D16">
        <v>1</v>
      </c>
      <c r="E16">
        <v>32</v>
      </c>
      <c r="F16">
        <f>RnSPLINE!H$4</f>
        <v>8.5714285714285712</v>
      </c>
      <c r="G16">
        <f>RnSPLINE!H$5</f>
        <v>6.3265306122448974</v>
      </c>
      <c r="H16" s="8">
        <f>RnSPLINE!M$4</f>
        <v>-6.6741529804312692E-3</v>
      </c>
      <c r="I16" s="8">
        <f>RnSPLINE!M$5</f>
        <v>-1.3354125425871846E-3</v>
      </c>
      <c r="J16">
        <f t="shared" si="1"/>
        <v>0.61290322580645162</v>
      </c>
      <c r="K16">
        <f t="shared" si="2"/>
        <v>0.38709677419354838</v>
      </c>
      <c r="L16">
        <f t="shared" si="3"/>
        <v>-33</v>
      </c>
      <c r="M16" s="8">
        <f t="shared" si="4"/>
        <v>7.7024358130348904</v>
      </c>
      <c r="N16" s="8">
        <f t="shared" si="5"/>
        <v>8.1818859664996282</v>
      </c>
      <c r="O16" s="8">
        <f t="shared" si="8"/>
        <v>105.78011849901253</v>
      </c>
      <c r="P16" s="8">
        <f t="shared" si="9"/>
        <v>109.70318581481013</v>
      </c>
      <c r="Q16" s="8">
        <f t="shared" si="6"/>
        <v>8.1818859664996282</v>
      </c>
    </row>
    <row r="17" spans="2:17" x14ac:dyDescent="0.2">
      <c r="B17">
        <f t="shared" si="7"/>
        <v>14</v>
      </c>
      <c r="C17">
        <f t="shared" si="0"/>
        <v>31</v>
      </c>
      <c r="D17">
        <v>1</v>
      </c>
      <c r="E17">
        <v>32</v>
      </c>
      <c r="F17">
        <f>RnSPLINE!H$4</f>
        <v>8.5714285714285712</v>
      </c>
      <c r="G17">
        <f>RnSPLINE!H$5</f>
        <v>6.3265306122448974</v>
      </c>
      <c r="H17" s="8">
        <f>RnSPLINE!M$4</f>
        <v>-6.6741529804312692E-3</v>
      </c>
      <c r="I17" s="8">
        <f>RnSPLINE!M$5</f>
        <v>-1.3354125425871846E-3</v>
      </c>
      <c r="J17">
        <f t="shared" si="1"/>
        <v>0.58064516129032262</v>
      </c>
      <c r="K17">
        <f t="shared" si="2"/>
        <v>0.41935483870967744</v>
      </c>
      <c r="L17">
        <f t="shared" si="3"/>
        <v>-32</v>
      </c>
      <c r="M17" s="8">
        <f t="shared" si="4"/>
        <v>7.6300197498354176</v>
      </c>
      <c r="N17" s="8">
        <f t="shared" si="5"/>
        <v>8.1153705326961845</v>
      </c>
      <c r="O17" s="8">
        <f t="shared" si="8"/>
        <v>113.41013824884794</v>
      </c>
      <c r="P17" s="8">
        <f t="shared" si="9"/>
        <v>117.81855634750632</v>
      </c>
      <c r="Q17" s="8">
        <f t="shared" si="6"/>
        <v>8.1153705326961845</v>
      </c>
    </row>
    <row r="18" spans="2:17" x14ac:dyDescent="0.2">
      <c r="B18">
        <f t="shared" si="7"/>
        <v>15</v>
      </c>
      <c r="C18">
        <f t="shared" si="0"/>
        <v>31</v>
      </c>
      <c r="D18">
        <v>1</v>
      </c>
      <c r="E18">
        <v>32</v>
      </c>
      <c r="F18">
        <f>RnSPLINE!H$4</f>
        <v>8.5714285714285712</v>
      </c>
      <c r="G18">
        <f>RnSPLINE!H$5</f>
        <v>6.3265306122448974</v>
      </c>
      <c r="H18" s="8">
        <f>RnSPLINE!M$4</f>
        <v>-6.6741529804312692E-3</v>
      </c>
      <c r="I18" s="8">
        <f>RnSPLINE!M$5</f>
        <v>-1.3354125425871846E-3</v>
      </c>
      <c r="J18">
        <f t="shared" si="1"/>
        <v>0.54838709677419351</v>
      </c>
      <c r="K18">
        <f t="shared" si="2"/>
        <v>0.45161290322580644</v>
      </c>
      <c r="L18">
        <f t="shared" si="3"/>
        <v>-31</v>
      </c>
      <c r="M18" s="8">
        <f t="shared" si="4"/>
        <v>7.557603686635944</v>
      </c>
      <c r="N18" s="8">
        <f t="shared" si="5"/>
        <v>8.044419772547533</v>
      </c>
      <c r="O18" s="8">
        <f t="shared" si="8"/>
        <v>120.96774193548389</v>
      </c>
      <c r="P18" s="8">
        <f t="shared" si="9"/>
        <v>125.86297612005384</v>
      </c>
      <c r="Q18" s="8">
        <f t="shared" si="6"/>
        <v>8.044419772547533</v>
      </c>
    </row>
    <row r="19" spans="2:17" x14ac:dyDescent="0.2">
      <c r="B19">
        <f t="shared" si="7"/>
        <v>16</v>
      </c>
      <c r="C19">
        <f t="shared" si="0"/>
        <v>31</v>
      </c>
      <c r="D19">
        <v>1</v>
      </c>
      <c r="E19">
        <v>32</v>
      </c>
      <c r="F19">
        <f>RnSPLINE!H$4</f>
        <v>8.5714285714285712</v>
      </c>
      <c r="G19">
        <f>RnSPLINE!H$5</f>
        <v>6.3265306122448974</v>
      </c>
      <c r="H19" s="8">
        <f>RnSPLINE!M$4</f>
        <v>-6.6741529804312692E-3</v>
      </c>
      <c r="I19" s="8">
        <f>RnSPLINE!M$5</f>
        <v>-1.3354125425871846E-3</v>
      </c>
      <c r="J19">
        <f t="shared" si="1"/>
        <v>0.5161290322580645</v>
      </c>
      <c r="K19">
        <f t="shared" si="2"/>
        <v>0.4838709677419355</v>
      </c>
      <c r="L19">
        <f t="shared" si="3"/>
        <v>-30</v>
      </c>
      <c r="M19" s="8">
        <f t="shared" si="4"/>
        <v>7.4851876234364703</v>
      </c>
      <c r="N19" s="8">
        <f t="shared" si="5"/>
        <v>7.9692059034871541</v>
      </c>
      <c r="O19" s="8">
        <f t="shared" si="8"/>
        <v>128.45292955892035</v>
      </c>
      <c r="P19" s="8">
        <f t="shared" si="9"/>
        <v>133.83218202354101</v>
      </c>
      <c r="Q19" s="8">
        <f t="shared" si="6"/>
        <v>7.9692059034871541</v>
      </c>
    </row>
    <row r="20" spans="2:17" x14ac:dyDescent="0.2">
      <c r="B20">
        <f t="shared" si="7"/>
        <v>17</v>
      </c>
      <c r="C20">
        <f t="shared" si="0"/>
        <v>31</v>
      </c>
      <c r="D20">
        <v>1</v>
      </c>
      <c r="E20">
        <v>32</v>
      </c>
      <c r="F20">
        <f>RnSPLINE!H$4</f>
        <v>8.5714285714285712</v>
      </c>
      <c r="G20">
        <f>RnSPLINE!H$5</f>
        <v>6.3265306122448974</v>
      </c>
      <c r="H20" s="8">
        <f>RnSPLINE!M$4</f>
        <v>-6.6741529804312692E-3</v>
      </c>
      <c r="I20" s="8">
        <f>RnSPLINE!M$5</f>
        <v>-1.3354125425871846E-3</v>
      </c>
      <c r="J20">
        <f t="shared" si="1"/>
        <v>0.4838709677419355</v>
      </c>
      <c r="K20">
        <f t="shared" si="2"/>
        <v>0.5161290322580645</v>
      </c>
      <c r="L20">
        <f t="shared" si="3"/>
        <v>-29</v>
      </c>
      <c r="M20" s="8">
        <f t="shared" si="4"/>
        <v>7.4127715602369975</v>
      </c>
      <c r="N20" s="8">
        <f t="shared" si="5"/>
        <v>7.8899011429485277</v>
      </c>
      <c r="O20" s="8">
        <f t="shared" si="8"/>
        <v>135.86570111915734</v>
      </c>
      <c r="P20" s="8">
        <f t="shared" si="9"/>
        <v>141.72208316648954</v>
      </c>
      <c r="Q20" s="8">
        <f t="shared" si="6"/>
        <v>7.8899011429485277</v>
      </c>
    </row>
    <row r="21" spans="2:17" x14ac:dyDescent="0.2">
      <c r="B21">
        <f t="shared" si="7"/>
        <v>18</v>
      </c>
      <c r="C21">
        <f t="shared" si="0"/>
        <v>31</v>
      </c>
      <c r="D21">
        <v>1</v>
      </c>
      <c r="E21">
        <v>32</v>
      </c>
      <c r="F21">
        <f>RnSPLINE!H$4</f>
        <v>8.5714285714285712</v>
      </c>
      <c r="G21">
        <f>RnSPLINE!H$5</f>
        <v>6.3265306122448974</v>
      </c>
      <c r="H21" s="8">
        <f>RnSPLINE!M$4</f>
        <v>-6.6741529804312692E-3</v>
      </c>
      <c r="I21" s="8">
        <f>RnSPLINE!M$5</f>
        <v>-1.3354125425871846E-3</v>
      </c>
      <c r="J21">
        <f t="shared" si="1"/>
        <v>0.45161290322580644</v>
      </c>
      <c r="K21">
        <f t="shared" si="2"/>
        <v>0.54838709677419351</v>
      </c>
      <c r="L21">
        <f t="shared" si="3"/>
        <v>-28</v>
      </c>
      <c r="M21" s="8">
        <f t="shared" si="4"/>
        <v>7.3403554970375238</v>
      </c>
      <c r="N21" s="8">
        <f t="shared" si="5"/>
        <v>7.8066777083651306</v>
      </c>
      <c r="O21" s="8">
        <f t="shared" si="8"/>
        <v>143.20605661619487</v>
      </c>
      <c r="P21" s="8">
        <f t="shared" si="9"/>
        <v>149.52876087485467</v>
      </c>
      <c r="Q21" s="8">
        <f t="shared" si="6"/>
        <v>7.8066777083651306</v>
      </c>
    </row>
    <row r="22" spans="2:17" x14ac:dyDescent="0.2">
      <c r="B22">
        <f t="shared" si="7"/>
        <v>19</v>
      </c>
      <c r="C22">
        <f t="shared" si="0"/>
        <v>31</v>
      </c>
      <c r="D22">
        <v>1</v>
      </c>
      <c r="E22">
        <v>32</v>
      </c>
      <c r="F22">
        <f>RnSPLINE!H$4</f>
        <v>8.5714285714285712</v>
      </c>
      <c r="G22">
        <f>RnSPLINE!H$5</f>
        <v>6.3265306122448974</v>
      </c>
      <c r="H22" s="8">
        <f>RnSPLINE!M$4</f>
        <v>-6.6741529804312692E-3</v>
      </c>
      <c r="I22" s="8">
        <f>RnSPLINE!M$5</f>
        <v>-1.3354125425871846E-3</v>
      </c>
      <c r="J22">
        <f t="shared" si="1"/>
        <v>0.41935483870967744</v>
      </c>
      <c r="K22">
        <f t="shared" si="2"/>
        <v>0.58064516129032262</v>
      </c>
      <c r="L22">
        <f t="shared" si="3"/>
        <v>-27</v>
      </c>
      <c r="M22" s="8">
        <f t="shared" si="4"/>
        <v>7.2679394338380519</v>
      </c>
      <c r="N22" s="8">
        <f t="shared" si="5"/>
        <v>7.7197078171704447</v>
      </c>
      <c r="O22" s="8">
        <f t="shared" si="8"/>
        <v>150.47399605003292</v>
      </c>
      <c r="P22" s="8">
        <f t="shared" si="9"/>
        <v>157.24846869202511</v>
      </c>
      <c r="Q22" s="8">
        <f t="shared" si="6"/>
        <v>7.7197078171704447</v>
      </c>
    </row>
    <row r="23" spans="2:17" x14ac:dyDescent="0.2">
      <c r="B23">
        <f t="shared" si="7"/>
        <v>20</v>
      </c>
      <c r="C23">
        <f t="shared" si="0"/>
        <v>31</v>
      </c>
      <c r="D23">
        <v>1</v>
      </c>
      <c r="E23">
        <v>32</v>
      </c>
      <c r="F23">
        <f>RnSPLINE!H$4</f>
        <v>8.5714285714285712</v>
      </c>
      <c r="G23">
        <f>RnSPLINE!H$5</f>
        <v>6.3265306122448974</v>
      </c>
      <c r="H23" s="8">
        <f>RnSPLINE!M$4</f>
        <v>-6.6741529804312692E-3</v>
      </c>
      <c r="I23" s="8">
        <f>RnSPLINE!M$5</f>
        <v>-1.3354125425871846E-3</v>
      </c>
      <c r="J23">
        <f t="shared" si="1"/>
        <v>0.38709677419354838</v>
      </c>
      <c r="K23">
        <f t="shared" si="2"/>
        <v>0.61290322580645162</v>
      </c>
      <c r="L23">
        <f t="shared" si="3"/>
        <v>-26</v>
      </c>
      <c r="M23" s="8">
        <f t="shared" si="4"/>
        <v>7.1955233706385773</v>
      </c>
      <c r="N23" s="8">
        <f t="shared" si="5"/>
        <v>7.6291636867979431</v>
      </c>
      <c r="O23" s="8">
        <f t="shared" si="8"/>
        <v>157.66951942067149</v>
      </c>
      <c r="P23" s="8">
        <f t="shared" si="9"/>
        <v>164.87763237882305</v>
      </c>
      <c r="Q23" s="8">
        <f t="shared" si="6"/>
        <v>7.6291636867979431</v>
      </c>
    </row>
    <row r="24" spans="2:17" x14ac:dyDescent="0.2">
      <c r="B24">
        <f t="shared" si="7"/>
        <v>21</v>
      </c>
      <c r="C24">
        <f t="shared" si="0"/>
        <v>31</v>
      </c>
      <c r="D24">
        <v>1</v>
      </c>
      <c r="E24">
        <v>32</v>
      </c>
      <c r="F24">
        <f>RnSPLINE!H$4</f>
        <v>8.5714285714285712</v>
      </c>
      <c r="G24">
        <f>RnSPLINE!H$5</f>
        <v>6.3265306122448974</v>
      </c>
      <c r="H24" s="8">
        <f>RnSPLINE!M$4</f>
        <v>-6.6741529804312692E-3</v>
      </c>
      <c r="I24" s="8">
        <f>RnSPLINE!M$5</f>
        <v>-1.3354125425871846E-3</v>
      </c>
      <c r="J24">
        <f t="shared" si="1"/>
        <v>0.35483870967741937</v>
      </c>
      <c r="K24">
        <f t="shared" si="2"/>
        <v>0.64516129032258063</v>
      </c>
      <c r="L24">
        <f t="shared" si="3"/>
        <v>-25</v>
      </c>
      <c r="M24" s="8">
        <f t="shared" si="4"/>
        <v>7.1231073074391045</v>
      </c>
      <c r="N24" s="8">
        <f t="shared" si="5"/>
        <v>7.5352175346811103</v>
      </c>
      <c r="O24" s="8">
        <f t="shared" si="8"/>
        <v>164.7926267281106</v>
      </c>
      <c r="P24" s="8">
        <f t="shared" si="9"/>
        <v>172.41284991350417</v>
      </c>
      <c r="Q24" s="8">
        <f t="shared" si="6"/>
        <v>7.5352175346811103</v>
      </c>
    </row>
    <row r="25" spans="2:17" x14ac:dyDescent="0.2">
      <c r="B25">
        <f t="shared" si="7"/>
        <v>22</v>
      </c>
      <c r="C25">
        <f t="shared" si="0"/>
        <v>31</v>
      </c>
      <c r="D25">
        <v>1</v>
      </c>
      <c r="E25">
        <v>32</v>
      </c>
      <c r="F25">
        <f>RnSPLINE!H$4</f>
        <v>8.5714285714285712</v>
      </c>
      <c r="G25">
        <f>RnSPLINE!H$5</f>
        <v>6.3265306122448974</v>
      </c>
      <c r="H25" s="8">
        <f>RnSPLINE!M$4</f>
        <v>-6.6741529804312692E-3</v>
      </c>
      <c r="I25" s="8">
        <f>RnSPLINE!M$5</f>
        <v>-1.3354125425871846E-3</v>
      </c>
      <c r="J25">
        <f t="shared" si="1"/>
        <v>0.32258064516129031</v>
      </c>
      <c r="K25">
        <f t="shared" si="2"/>
        <v>0.67741935483870963</v>
      </c>
      <c r="L25">
        <f t="shared" si="3"/>
        <v>-24</v>
      </c>
      <c r="M25" s="8">
        <f t="shared" si="4"/>
        <v>7.0506912442396299</v>
      </c>
      <c r="N25" s="8">
        <f t="shared" si="5"/>
        <v>7.4380415782534222</v>
      </c>
      <c r="O25" s="8">
        <f t="shared" si="8"/>
        <v>171.84331797235023</v>
      </c>
      <c r="P25" s="8">
        <f t="shared" si="9"/>
        <v>179.85089149175761</v>
      </c>
      <c r="Q25" s="8">
        <f t="shared" si="6"/>
        <v>7.4380415782534222</v>
      </c>
    </row>
    <row r="26" spans="2:17" x14ac:dyDescent="0.2">
      <c r="B26">
        <f t="shared" si="7"/>
        <v>23</v>
      </c>
      <c r="C26">
        <f t="shared" si="0"/>
        <v>31</v>
      </c>
      <c r="D26">
        <v>1</v>
      </c>
      <c r="E26">
        <v>32</v>
      </c>
      <c r="F26">
        <f>RnSPLINE!H$4</f>
        <v>8.5714285714285712</v>
      </c>
      <c r="G26">
        <f>RnSPLINE!H$5</f>
        <v>6.3265306122448974</v>
      </c>
      <c r="H26" s="8">
        <f>RnSPLINE!M$4</f>
        <v>-6.6741529804312692E-3</v>
      </c>
      <c r="I26" s="8">
        <f>RnSPLINE!M$5</f>
        <v>-1.3354125425871846E-3</v>
      </c>
      <c r="J26">
        <f t="shared" si="1"/>
        <v>0.29032258064516131</v>
      </c>
      <c r="K26">
        <f t="shared" si="2"/>
        <v>0.70967741935483875</v>
      </c>
      <c r="L26">
        <f t="shared" si="3"/>
        <v>-23</v>
      </c>
      <c r="M26" s="8">
        <f t="shared" si="4"/>
        <v>6.9782751810401571</v>
      </c>
      <c r="N26" s="8">
        <f t="shared" si="5"/>
        <v>7.3378080349483588</v>
      </c>
      <c r="O26" s="8">
        <f t="shared" si="8"/>
        <v>178.82159315339038</v>
      </c>
      <c r="P26" s="8">
        <f t="shared" si="9"/>
        <v>187.18869952670596</v>
      </c>
      <c r="Q26" s="8">
        <f t="shared" si="6"/>
        <v>7.3378080349483588</v>
      </c>
    </row>
    <row r="27" spans="2:17" x14ac:dyDescent="0.2">
      <c r="B27">
        <f t="shared" si="7"/>
        <v>24</v>
      </c>
      <c r="C27">
        <f t="shared" si="0"/>
        <v>31</v>
      </c>
      <c r="D27">
        <v>1</v>
      </c>
      <c r="E27">
        <v>32</v>
      </c>
      <c r="F27">
        <f>RnSPLINE!H$4</f>
        <v>8.5714285714285712</v>
      </c>
      <c r="G27">
        <f>RnSPLINE!H$5</f>
        <v>6.3265306122448974</v>
      </c>
      <c r="H27" s="8">
        <f>RnSPLINE!M$4</f>
        <v>-6.6741529804312692E-3</v>
      </c>
      <c r="I27" s="8">
        <f>RnSPLINE!M$5</f>
        <v>-1.3354125425871846E-3</v>
      </c>
      <c r="J27">
        <f t="shared" si="1"/>
        <v>0.25806451612903225</v>
      </c>
      <c r="K27">
        <f t="shared" si="2"/>
        <v>0.74193548387096775</v>
      </c>
      <c r="L27">
        <f t="shared" si="3"/>
        <v>-22</v>
      </c>
      <c r="M27" s="8">
        <f t="shared" si="4"/>
        <v>6.9058591178406843</v>
      </c>
      <c r="N27" s="8">
        <f t="shared" si="5"/>
        <v>7.2346891221993994</v>
      </c>
      <c r="O27" s="8">
        <f t="shared" si="8"/>
        <v>185.72745227123107</v>
      </c>
      <c r="P27" s="8">
        <f t="shared" si="9"/>
        <v>194.42338864890536</v>
      </c>
      <c r="Q27" s="8">
        <f t="shared" si="6"/>
        <v>7.2346891221993994</v>
      </c>
    </row>
    <row r="28" spans="2:17" x14ac:dyDescent="0.2">
      <c r="B28">
        <f t="shared" si="7"/>
        <v>25</v>
      </c>
      <c r="C28">
        <f t="shared" si="0"/>
        <v>31</v>
      </c>
      <c r="D28">
        <v>1</v>
      </c>
      <c r="E28">
        <v>32</v>
      </c>
      <c r="F28">
        <f>RnSPLINE!H$4</f>
        <v>8.5714285714285712</v>
      </c>
      <c r="G28">
        <f>RnSPLINE!H$5</f>
        <v>6.3265306122448974</v>
      </c>
      <c r="H28" s="8">
        <f>RnSPLINE!M$4</f>
        <v>-6.6741529804312692E-3</v>
      </c>
      <c r="I28" s="8">
        <f>RnSPLINE!M$5</f>
        <v>-1.3354125425871846E-3</v>
      </c>
      <c r="J28">
        <f t="shared" si="1"/>
        <v>0.22580645161290322</v>
      </c>
      <c r="K28">
        <f t="shared" si="2"/>
        <v>0.77419354838709675</v>
      </c>
      <c r="L28">
        <f t="shared" si="3"/>
        <v>-21</v>
      </c>
      <c r="M28" s="8">
        <f t="shared" si="4"/>
        <v>6.8334430546412106</v>
      </c>
      <c r="N28" s="8">
        <f t="shared" si="5"/>
        <v>7.1288570574400216</v>
      </c>
      <c r="O28" s="8">
        <f t="shared" si="8"/>
        <v>192.56089532587228</v>
      </c>
      <c r="P28" s="8">
        <f t="shared" si="9"/>
        <v>201.55224570634539</v>
      </c>
      <c r="Q28" s="8">
        <f t="shared" si="6"/>
        <v>7.1288570574400216</v>
      </c>
    </row>
    <row r="29" spans="2:17" x14ac:dyDescent="0.2">
      <c r="B29">
        <f t="shared" si="7"/>
        <v>26</v>
      </c>
      <c r="C29">
        <f t="shared" si="0"/>
        <v>31</v>
      </c>
      <c r="D29">
        <v>1</v>
      </c>
      <c r="E29">
        <v>32</v>
      </c>
      <c r="F29">
        <f>RnSPLINE!H$4</f>
        <v>8.5714285714285712</v>
      </c>
      <c r="G29">
        <f>RnSPLINE!H$5</f>
        <v>6.3265306122448974</v>
      </c>
      <c r="H29" s="8">
        <f>RnSPLINE!M$4</f>
        <v>-6.6741529804312692E-3</v>
      </c>
      <c r="I29" s="8">
        <f>RnSPLINE!M$5</f>
        <v>-1.3354125425871846E-3</v>
      </c>
      <c r="J29">
        <f t="shared" si="1"/>
        <v>0.19354838709677419</v>
      </c>
      <c r="K29">
        <f t="shared" si="2"/>
        <v>0.80645161290322576</v>
      </c>
      <c r="L29">
        <f t="shared" si="3"/>
        <v>-20</v>
      </c>
      <c r="M29" s="8">
        <f t="shared" si="4"/>
        <v>6.7610269914417369</v>
      </c>
      <c r="N29" s="8">
        <f t="shared" si="5"/>
        <v>7.0204840581037038</v>
      </c>
      <c r="O29" s="8">
        <f t="shared" si="8"/>
        <v>199.32192231731401</v>
      </c>
      <c r="P29" s="8">
        <f t="shared" si="9"/>
        <v>208.57272976444909</v>
      </c>
      <c r="Q29" s="8">
        <f t="shared" si="6"/>
        <v>7.0204840581037038</v>
      </c>
    </row>
    <row r="30" spans="2:17" x14ac:dyDescent="0.2">
      <c r="B30">
        <f t="shared" si="7"/>
        <v>27</v>
      </c>
      <c r="C30">
        <f t="shared" si="0"/>
        <v>31</v>
      </c>
      <c r="D30">
        <v>1</v>
      </c>
      <c r="E30">
        <v>32</v>
      </c>
      <c r="F30">
        <f>RnSPLINE!H$4</f>
        <v>8.5714285714285712</v>
      </c>
      <c r="G30">
        <f>RnSPLINE!H$5</f>
        <v>6.3265306122448974</v>
      </c>
      <c r="H30" s="8">
        <f>RnSPLINE!M$4</f>
        <v>-6.6741529804312692E-3</v>
      </c>
      <c r="I30" s="8">
        <f>RnSPLINE!M$5</f>
        <v>-1.3354125425871846E-3</v>
      </c>
      <c r="J30">
        <f t="shared" si="1"/>
        <v>0.16129032258064516</v>
      </c>
      <c r="K30">
        <f t="shared" si="2"/>
        <v>0.83870967741935487</v>
      </c>
      <c r="L30">
        <f t="shared" si="3"/>
        <v>-19</v>
      </c>
      <c r="M30" s="8">
        <f t="shared" si="4"/>
        <v>6.6886109282422641</v>
      </c>
      <c r="N30" s="8">
        <f t="shared" si="5"/>
        <v>6.909742341623927</v>
      </c>
      <c r="O30" s="8">
        <f t="shared" si="8"/>
        <v>206.01053324555627</v>
      </c>
      <c r="P30" s="8">
        <f t="shared" si="9"/>
        <v>215.48247210607303</v>
      </c>
      <c r="Q30" s="8">
        <f t="shared" si="6"/>
        <v>6.909742341623927</v>
      </c>
    </row>
    <row r="31" spans="2:17" x14ac:dyDescent="0.2">
      <c r="B31">
        <f t="shared" si="7"/>
        <v>28</v>
      </c>
      <c r="C31">
        <f t="shared" si="0"/>
        <v>31</v>
      </c>
      <c r="D31">
        <v>1</v>
      </c>
      <c r="E31">
        <v>32</v>
      </c>
      <c r="F31">
        <f>RnSPLINE!H$4</f>
        <v>8.5714285714285712</v>
      </c>
      <c r="G31">
        <f>RnSPLINE!H$5</f>
        <v>6.3265306122448974</v>
      </c>
      <c r="H31" s="8">
        <f>RnSPLINE!M$4</f>
        <v>-6.6741529804312692E-3</v>
      </c>
      <c r="I31" s="8">
        <f>RnSPLINE!M$5</f>
        <v>-1.3354125425871846E-3</v>
      </c>
      <c r="J31">
        <f t="shared" si="1"/>
        <v>0.12903225806451613</v>
      </c>
      <c r="K31">
        <f t="shared" si="2"/>
        <v>0.87096774193548387</v>
      </c>
      <c r="L31">
        <f t="shared" si="3"/>
        <v>-18</v>
      </c>
      <c r="M31" s="8">
        <f t="shared" si="4"/>
        <v>6.6161948650427904</v>
      </c>
      <c r="N31" s="8">
        <f t="shared" si="5"/>
        <v>6.7968041254341687</v>
      </c>
      <c r="O31" s="8">
        <f t="shared" si="8"/>
        <v>212.62672811059906</v>
      </c>
      <c r="P31" s="8">
        <f t="shared" si="9"/>
        <v>222.2792762315072</v>
      </c>
      <c r="Q31" s="8">
        <f t="shared" si="6"/>
        <v>6.7968041254341687</v>
      </c>
    </row>
    <row r="32" spans="2:17" x14ac:dyDescent="0.2">
      <c r="B32">
        <f t="shared" si="7"/>
        <v>29</v>
      </c>
      <c r="C32">
        <f t="shared" si="0"/>
        <v>31</v>
      </c>
      <c r="D32">
        <v>1</v>
      </c>
      <c r="E32">
        <v>32</v>
      </c>
      <c r="F32">
        <f>RnSPLINE!H$4</f>
        <v>8.5714285714285712</v>
      </c>
      <c r="G32">
        <f>RnSPLINE!H$5</f>
        <v>6.3265306122448974</v>
      </c>
      <c r="H32" s="8">
        <f>RnSPLINE!M$4</f>
        <v>-6.6741529804312692E-3</v>
      </c>
      <c r="I32" s="8">
        <f>RnSPLINE!M$5</f>
        <v>-1.3354125425871846E-3</v>
      </c>
      <c r="J32">
        <f t="shared" si="1"/>
        <v>9.6774193548387094E-2</v>
      </c>
      <c r="K32">
        <f t="shared" si="2"/>
        <v>0.90322580645161288</v>
      </c>
      <c r="L32">
        <f t="shared" si="3"/>
        <v>-17</v>
      </c>
      <c r="M32" s="8">
        <f t="shared" si="4"/>
        <v>6.5437788018433167</v>
      </c>
      <c r="N32" s="8">
        <f t="shared" si="5"/>
        <v>6.6818416269679073</v>
      </c>
      <c r="O32" s="8">
        <f t="shared" si="8"/>
        <v>219.17050691244236</v>
      </c>
      <c r="P32" s="8">
        <f t="shared" si="9"/>
        <v>228.96111785847509</v>
      </c>
      <c r="Q32" s="8">
        <f t="shared" si="6"/>
        <v>6.6818416269679073</v>
      </c>
    </row>
    <row r="33" spans="1:17" x14ac:dyDescent="0.2">
      <c r="B33">
        <f t="shared" si="7"/>
        <v>30</v>
      </c>
      <c r="C33">
        <f t="shared" si="0"/>
        <v>31</v>
      </c>
      <c r="D33">
        <v>1</v>
      </c>
      <c r="E33">
        <v>32</v>
      </c>
      <c r="F33">
        <f>RnSPLINE!H$4</f>
        <v>8.5714285714285712</v>
      </c>
      <c r="G33">
        <f>RnSPLINE!H$5</f>
        <v>6.3265306122448974</v>
      </c>
      <c r="H33" s="8">
        <f>RnSPLINE!M$4</f>
        <v>-6.6741529804312692E-3</v>
      </c>
      <c r="I33" s="8">
        <f>RnSPLINE!M$5</f>
        <v>-1.3354125425871846E-3</v>
      </c>
      <c r="J33">
        <f t="shared" si="1"/>
        <v>6.4516129032258063E-2</v>
      </c>
      <c r="K33">
        <f t="shared" si="2"/>
        <v>0.93548387096774188</v>
      </c>
      <c r="L33">
        <f t="shared" si="3"/>
        <v>-16</v>
      </c>
      <c r="M33" s="8">
        <f t="shared" si="4"/>
        <v>6.4713627386438439</v>
      </c>
      <c r="N33" s="8">
        <f t="shared" si="5"/>
        <v>6.565027063658623</v>
      </c>
      <c r="O33" s="8">
        <f t="shared" si="8"/>
        <v>225.64186965108621</v>
      </c>
      <c r="P33" s="8">
        <f t="shared" si="9"/>
        <v>235.52614492213371</v>
      </c>
      <c r="Q33" s="8">
        <f t="shared" si="6"/>
        <v>6.565027063658623</v>
      </c>
    </row>
    <row r="34" spans="1:17" x14ac:dyDescent="0.2">
      <c r="B34">
        <f t="shared" si="7"/>
        <v>31</v>
      </c>
      <c r="C34">
        <f t="shared" si="0"/>
        <v>31</v>
      </c>
      <c r="D34">
        <v>1</v>
      </c>
      <c r="E34">
        <v>32</v>
      </c>
      <c r="F34">
        <f>RnSPLINE!H$4</f>
        <v>8.5714285714285712</v>
      </c>
      <c r="G34">
        <f>RnSPLINE!H$5</f>
        <v>6.3265306122448974</v>
      </c>
      <c r="H34" s="8">
        <f>RnSPLINE!M$4</f>
        <v>-6.6741529804312692E-3</v>
      </c>
      <c r="I34" s="8">
        <f>RnSPLINE!M$5</f>
        <v>-1.3354125425871846E-3</v>
      </c>
      <c r="J34">
        <f t="shared" si="1"/>
        <v>3.2258064516129031E-2</v>
      </c>
      <c r="K34">
        <f t="shared" si="2"/>
        <v>0.967741935483871</v>
      </c>
      <c r="L34">
        <f t="shared" si="3"/>
        <v>-15</v>
      </c>
      <c r="M34" s="8">
        <f t="shared" si="4"/>
        <v>6.3989466754443711</v>
      </c>
      <c r="N34" s="8">
        <f t="shared" si="5"/>
        <v>6.4465326529397933</v>
      </c>
      <c r="O34" s="8">
        <f t="shared" si="8"/>
        <v>232.04081632653057</v>
      </c>
      <c r="P34" s="8">
        <f t="shared" si="9"/>
        <v>241.9726775750735</v>
      </c>
      <c r="Q34" s="8">
        <f t="shared" si="6"/>
        <v>6.4465326529397933</v>
      </c>
    </row>
    <row r="35" spans="1:17" x14ac:dyDescent="0.2">
      <c r="A35">
        <v>32</v>
      </c>
      <c r="B35">
        <f t="shared" si="7"/>
        <v>32</v>
      </c>
      <c r="C35">
        <f t="shared" si="0"/>
        <v>31</v>
      </c>
      <c r="D35">
        <v>1</v>
      </c>
      <c r="E35">
        <v>32</v>
      </c>
      <c r="F35">
        <f>RnSPLINE!H$4</f>
        <v>8.5714285714285712</v>
      </c>
      <c r="G35">
        <f>RnSPLINE!H$5</f>
        <v>6.3265306122448974</v>
      </c>
      <c r="H35" s="8">
        <f>RnSPLINE!M$4</f>
        <v>-6.6741529804312692E-3</v>
      </c>
      <c r="I35" s="8">
        <f>RnSPLINE!M$5</f>
        <v>-1.3354125425871846E-3</v>
      </c>
      <c r="J35">
        <f t="shared" si="1"/>
        <v>0</v>
      </c>
      <c r="K35">
        <f t="shared" si="2"/>
        <v>1</v>
      </c>
      <c r="L35">
        <f t="shared" si="3"/>
        <v>-14</v>
      </c>
      <c r="M35" s="8">
        <f t="shared" si="4"/>
        <v>6.3265306122448974</v>
      </c>
      <c r="N35" s="8">
        <f t="shared" si="5"/>
        <v>6.3265306122448974</v>
      </c>
      <c r="O35" s="8">
        <f t="shared" si="8"/>
        <v>238.36734693877548</v>
      </c>
      <c r="P35" s="8">
        <f t="shared" si="9"/>
        <v>248.29920818731841</v>
      </c>
      <c r="Q35" s="8">
        <f t="shared" si="6"/>
        <v>6.3265306122448974</v>
      </c>
    </row>
    <row r="36" spans="1:17" x14ac:dyDescent="0.2">
      <c r="B36">
        <f t="shared" si="7"/>
        <v>33</v>
      </c>
      <c r="C36">
        <f t="shared" si="0"/>
        <v>29</v>
      </c>
      <c r="D36">
        <v>32</v>
      </c>
      <c r="E36">
        <v>61</v>
      </c>
      <c r="F36">
        <f>RnSPLINE!H$5</f>
        <v>6.3265306122448974</v>
      </c>
      <c r="G36">
        <f>RnSPLINE!H$6</f>
        <v>3.6046511627906979</v>
      </c>
      <c r="H36" s="8">
        <f>RnSPLINE!M$5</f>
        <v>-1.3354125425871846E-3</v>
      </c>
      <c r="I36" s="8">
        <f>RnSPLINE!M$6</f>
        <v>8.2240398068897502E-3</v>
      </c>
      <c r="J36">
        <f t="shared" si="1"/>
        <v>0.96551724137931039</v>
      </c>
      <c r="K36">
        <f t="shared" si="2"/>
        <v>3.4482758620689655E-2</v>
      </c>
      <c r="L36">
        <f t="shared" si="3"/>
        <v>-13</v>
      </c>
      <c r="M36" s="8">
        <f t="shared" si="4"/>
        <v>6.2326727001947528</v>
      </c>
      <c r="N36" s="8">
        <f t="shared" si="5"/>
        <v>6.2052193954831534</v>
      </c>
      <c r="O36" s="8">
        <f t="shared" si="8"/>
        <v>244.60001963897022</v>
      </c>
      <c r="P36" s="8">
        <f t="shared" si="9"/>
        <v>254.50442758280155</v>
      </c>
      <c r="Q36" s="8">
        <f t="shared" si="6"/>
        <v>6.2052193954831534</v>
      </c>
    </row>
    <row r="37" spans="1:17" x14ac:dyDescent="0.2">
      <c r="B37">
        <f t="shared" si="7"/>
        <v>34</v>
      </c>
      <c r="C37">
        <f t="shared" si="0"/>
        <v>29</v>
      </c>
      <c r="D37">
        <v>32</v>
      </c>
      <c r="E37">
        <v>61</v>
      </c>
      <c r="F37">
        <f>RnSPLINE!H$5</f>
        <v>6.3265306122448974</v>
      </c>
      <c r="G37">
        <f>RnSPLINE!H$6</f>
        <v>3.6046511627906979</v>
      </c>
      <c r="H37" s="8">
        <f>RnSPLINE!M$5</f>
        <v>-1.3354125425871846E-3</v>
      </c>
      <c r="I37" s="8">
        <f>RnSPLINE!M$6</f>
        <v>8.2240398068897502E-3</v>
      </c>
      <c r="J37">
        <f t="shared" si="1"/>
        <v>0.93103448275862066</v>
      </c>
      <c r="K37">
        <f t="shared" si="2"/>
        <v>6.8965517241379309E-2</v>
      </c>
      <c r="L37">
        <f t="shared" si="3"/>
        <v>-12</v>
      </c>
      <c r="M37" s="8">
        <f t="shared" si="4"/>
        <v>6.1388147881446073</v>
      </c>
      <c r="N37" s="8">
        <f t="shared" si="5"/>
        <v>6.0829024024667353</v>
      </c>
      <c r="O37" s="8">
        <f t="shared" si="8"/>
        <v>250.73883442711482</v>
      </c>
      <c r="P37" s="8">
        <f t="shared" si="9"/>
        <v>260.5873299852683</v>
      </c>
      <c r="Q37" s="8">
        <f t="shared" si="6"/>
        <v>6.0829024024667353</v>
      </c>
    </row>
    <row r="38" spans="1:17" x14ac:dyDescent="0.2">
      <c r="B38">
        <f t="shared" si="7"/>
        <v>35</v>
      </c>
      <c r="C38">
        <f t="shared" si="0"/>
        <v>29</v>
      </c>
      <c r="D38">
        <v>32</v>
      </c>
      <c r="E38">
        <v>61</v>
      </c>
      <c r="F38">
        <f>RnSPLINE!H$5</f>
        <v>6.3265306122448974</v>
      </c>
      <c r="G38">
        <f>RnSPLINE!H$6</f>
        <v>3.6046511627906979</v>
      </c>
      <c r="H38" s="8">
        <f>RnSPLINE!M$5</f>
        <v>-1.3354125425871846E-3</v>
      </c>
      <c r="I38" s="8">
        <f>RnSPLINE!M$6</f>
        <v>8.2240398068897502E-3</v>
      </c>
      <c r="J38">
        <f t="shared" si="1"/>
        <v>0.89655172413793105</v>
      </c>
      <c r="K38">
        <f t="shared" si="2"/>
        <v>0.10344827586206896</v>
      </c>
      <c r="L38">
        <f t="shared" si="3"/>
        <v>-11</v>
      </c>
      <c r="M38" s="8">
        <f t="shared" si="4"/>
        <v>6.0449568760944636</v>
      </c>
      <c r="N38" s="8">
        <f t="shared" si="5"/>
        <v>5.9599092694835569</v>
      </c>
      <c r="O38" s="8">
        <f t="shared" si="8"/>
        <v>256.78379130320928</v>
      </c>
      <c r="P38" s="8">
        <f t="shared" si="9"/>
        <v>266.54723925475184</v>
      </c>
      <c r="Q38" s="8">
        <f t="shared" si="6"/>
        <v>5.9599092694835569</v>
      </c>
    </row>
    <row r="39" spans="1:17" x14ac:dyDescent="0.2">
      <c r="B39">
        <f t="shared" si="7"/>
        <v>36</v>
      </c>
      <c r="C39">
        <f t="shared" si="0"/>
        <v>29</v>
      </c>
      <c r="D39">
        <v>32</v>
      </c>
      <c r="E39">
        <v>61</v>
      </c>
      <c r="F39">
        <f>RnSPLINE!H$5</f>
        <v>6.3265306122448974</v>
      </c>
      <c r="G39">
        <f>RnSPLINE!H$6</f>
        <v>3.6046511627906979</v>
      </c>
      <c r="H39" s="8">
        <f>RnSPLINE!M$5</f>
        <v>-1.3354125425871846E-3</v>
      </c>
      <c r="I39" s="8">
        <f>RnSPLINE!M$6</f>
        <v>8.2240398068897502E-3</v>
      </c>
      <c r="J39">
        <f t="shared" si="1"/>
        <v>0.86206896551724133</v>
      </c>
      <c r="K39">
        <f t="shared" si="2"/>
        <v>0.13793103448275862</v>
      </c>
      <c r="L39">
        <f t="shared" si="3"/>
        <v>-10</v>
      </c>
      <c r="M39" s="8">
        <f t="shared" si="4"/>
        <v>5.9510989640443182</v>
      </c>
      <c r="N39" s="8">
        <f t="shared" si="5"/>
        <v>5.8365696328215284</v>
      </c>
      <c r="O39" s="8">
        <f t="shared" si="8"/>
        <v>262.7348902672536</v>
      </c>
      <c r="P39" s="8">
        <f t="shared" si="9"/>
        <v>272.38380888757337</v>
      </c>
      <c r="Q39" s="8">
        <f t="shared" si="6"/>
        <v>5.8365696328215284</v>
      </c>
    </row>
    <row r="40" spans="1:17" x14ac:dyDescent="0.2">
      <c r="B40">
        <f t="shared" si="7"/>
        <v>37</v>
      </c>
      <c r="C40">
        <f t="shared" si="0"/>
        <v>29</v>
      </c>
      <c r="D40">
        <v>32</v>
      </c>
      <c r="E40">
        <v>61</v>
      </c>
      <c r="F40">
        <f>RnSPLINE!H$5</f>
        <v>6.3265306122448974</v>
      </c>
      <c r="G40">
        <f>RnSPLINE!H$6</f>
        <v>3.6046511627906979</v>
      </c>
      <c r="H40" s="8">
        <f>RnSPLINE!M$5</f>
        <v>-1.3354125425871846E-3</v>
      </c>
      <c r="I40" s="8">
        <f>RnSPLINE!M$6</f>
        <v>8.2240398068897502E-3</v>
      </c>
      <c r="J40">
        <f t="shared" si="1"/>
        <v>0.82758620689655171</v>
      </c>
      <c r="K40">
        <f t="shared" si="2"/>
        <v>0.17241379310344829</v>
      </c>
      <c r="L40">
        <f t="shared" si="3"/>
        <v>-9</v>
      </c>
      <c r="M40" s="8">
        <f t="shared" si="4"/>
        <v>5.8572410519941736</v>
      </c>
      <c r="N40" s="8">
        <f t="shared" si="5"/>
        <v>5.7132131287685661</v>
      </c>
      <c r="O40" s="8">
        <f t="shared" si="8"/>
        <v>268.59213131924776</v>
      </c>
      <c r="P40" s="8">
        <f t="shared" si="9"/>
        <v>278.09702201634195</v>
      </c>
      <c r="Q40" s="8">
        <f t="shared" si="6"/>
        <v>5.7132131287685661</v>
      </c>
    </row>
    <row r="41" spans="1:17" x14ac:dyDescent="0.2">
      <c r="B41">
        <f t="shared" si="7"/>
        <v>38</v>
      </c>
      <c r="C41">
        <f t="shared" si="0"/>
        <v>29</v>
      </c>
      <c r="D41">
        <v>32</v>
      </c>
      <c r="E41">
        <v>61</v>
      </c>
      <c r="F41">
        <f>RnSPLINE!H$5</f>
        <v>6.3265306122448974</v>
      </c>
      <c r="G41">
        <f>RnSPLINE!H$6</f>
        <v>3.6046511627906979</v>
      </c>
      <c r="H41" s="8">
        <f>RnSPLINE!M$5</f>
        <v>-1.3354125425871846E-3</v>
      </c>
      <c r="I41" s="8">
        <f>RnSPLINE!M$6</f>
        <v>8.2240398068897502E-3</v>
      </c>
      <c r="J41">
        <f t="shared" si="1"/>
        <v>0.7931034482758621</v>
      </c>
      <c r="K41">
        <f t="shared" si="2"/>
        <v>0.20689655172413793</v>
      </c>
      <c r="L41">
        <f t="shared" si="3"/>
        <v>-8</v>
      </c>
      <c r="M41" s="8">
        <f t="shared" si="4"/>
        <v>5.763383139944029</v>
      </c>
      <c r="N41" s="8">
        <f t="shared" si="5"/>
        <v>5.5901693936125811</v>
      </c>
      <c r="O41" s="8">
        <f t="shared" si="8"/>
        <v>274.3555144591918</v>
      </c>
      <c r="P41" s="8">
        <f t="shared" si="9"/>
        <v>283.68719140995455</v>
      </c>
      <c r="Q41" s="8">
        <f t="shared" si="6"/>
        <v>5.5901693936125811</v>
      </c>
    </row>
    <row r="42" spans="1:17" x14ac:dyDescent="0.2">
      <c r="B42">
        <f t="shared" si="7"/>
        <v>39</v>
      </c>
      <c r="C42">
        <f t="shared" si="0"/>
        <v>29</v>
      </c>
      <c r="D42">
        <v>32</v>
      </c>
      <c r="E42">
        <v>61</v>
      </c>
      <c r="F42">
        <f>RnSPLINE!H$5</f>
        <v>6.3265306122448974</v>
      </c>
      <c r="G42">
        <f>RnSPLINE!H$6</f>
        <v>3.6046511627906979</v>
      </c>
      <c r="H42" s="8">
        <f>RnSPLINE!M$5</f>
        <v>-1.3354125425871846E-3</v>
      </c>
      <c r="I42" s="8">
        <f>RnSPLINE!M$6</f>
        <v>8.2240398068897502E-3</v>
      </c>
      <c r="J42">
        <f t="shared" si="1"/>
        <v>0.75862068965517238</v>
      </c>
      <c r="K42">
        <f t="shared" si="2"/>
        <v>0.2413793103448276</v>
      </c>
      <c r="L42">
        <f t="shared" si="3"/>
        <v>-7</v>
      </c>
      <c r="M42" s="8">
        <f t="shared" si="4"/>
        <v>5.6695252278938835</v>
      </c>
      <c r="N42" s="8">
        <f t="shared" si="5"/>
        <v>5.4677680636414872</v>
      </c>
      <c r="O42" s="8">
        <f t="shared" si="8"/>
        <v>280.02503968708567</v>
      </c>
      <c r="P42" s="8">
        <f t="shared" si="9"/>
        <v>289.15495947359602</v>
      </c>
      <c r="Q42" s="8">
        <f t="shared" si="6"/>
        <v>5.4677680636414872</v>
      </c>
    </row>
    <row r="43" spans="1:17" x14ac:dyDescent="0.2">
      <c r="B43">
        <f t="shared" si="7"/>
        <v>40</v>
      </c>
      <c r="C43">
        <f t="shared" si="0"/>
        <v>29</v>
      </c>
      <c r="D43">
        <v>32</v>
      </c>
      <c r="E43">
        <v>61</v>
      </c>
      <c r="F43">
        <f>RnSPLINE!H$5</f>
        <v>6.3265306122448974</v>
      </c>
      <c r="G43">
        <f>RnSPLINE!H$6</f>
        <v>3.6046511627906979</v>
      </c>
      <c r="H43" s="8">
        <f>RnSPLINE!M$5</f>
        <v>-1.3354125425871846E-3</v>
      </c>
      <c r="I43" s="8">
        <f>RnSPLINE!M$6</f>
        <v>8.2240398068897502E-3</v>
      </c>
      <c r="J43">
        <f t="shared" si="1"/>
        <v>0.72413793103448276</v>
      </c>
      <c r="K43">
        <f t="shared" si="2"/>
        <v>0.27586206896551724</v>
      </c>
      <c r="L43">
        <f t="shared" si="3"/>
        <v>-6</v>
      </c>
      <c r="M43" s="8">
        <f t="shared" si="4"/>
        <v>5.5756673158437389</v>
      </c>
      <c r="N43" s="8">
        <f t="shared" si="5"/>
        <v>5.346338775143197</v>
      </c>
      <c r="O43" s="8">
        <f t="shared" si="8"/>
        <v>285.60070700292943</v>
      </c>
      <c r="P43" s="8">
        <f t="shared" si="9"/>
        <v>294.5012982487392</v>
      </c>
      <c r="Q43" s="8">
        <f t="shared" si="6"/>
        <v>5.346338775143197</v>
      </c>
    </row>
    <row r="44" spans="1:17" x14ac:dyDescent="0.2">
      <c r="B44">
        <f t="shared" si="7"/>
        <v>41</v>
      </c>
      <c r="C44">
        <f t="shared" si="0"/>
        <v>29</v>
      </c>
      <c r="D44">
        <v>32</v>
      </c>
      <c r="E44">
        <v>61</v>
      </c>
      <c r="F44">
        <f>RnSPLINE!H$5</f>
        <v>6.3265306122448974</v>
      </c>
      <c r="G44">
        <f>RnSPLINE!H$6</f>
        <v>3.6046511627906979</v>
      </c>
      <c r="H44" s="8">
        <f>RnSPLINE!M$5</f>
        <v>-1.3354125425871846E-3</v>
      </c>
      <c r="I44" s="8">
        <f>RnSPLINE!M$6</f>
        <v>8.2240398068897502E-3</v>
      </c>
      <c r="J44">
        <f t="shared" si="1"/>
        <v>0.68965517241379315</v>
      </c>
      <c r="K44">
        <f t="shared" si="2"/>
        <v>0.31034482758620691</v>
      </c>
      <c r="L44">
        <f t="shared" si="3"/>
        <v>-5</v>
      </c>
      <c r="M44" s="8">
        <f t="shared" si="4"/>
        <v>5.4818094037935943</v>
      </c>
      <c r="N44" s="8">
        <f t="shared" si="5"/>
        <v>5.2262111644056235</v>
      </c>
      <c r="O44" s="8">
        <f t="shared" si="8"/>
        <v>291.08251640672302</v>
      </c>
      <c r="P44" s="8">
        <f t="shared" si="9"/>
        <v>299.72750941314484</v>
      </c>
      <c r="Q44" s="8">
        <f t="shared" si="6"/>
        <v>5.2262111644056235</v>
      </c>
    </row>
    <row r="45" spans="1:17" x14ac:dyDescent="0.2">
      <c r="B45">
        <f t="shared" si="7"/>
        <v>42</v>
      </c>
      <c r="C45">
        <f t="shared" si="0"/>
        <v>29</v>
      </c>
      <c r="D45">
        <v>32</v>
      </c>
      <c r="E45">
        <v>61</v>
      </c>
      <c r="F45">
        <f>RnSPLINE!H$5</f>
        <v>6.3265306122448974</v>
      </c>
      <c r="G45">
        <f>RnSPLINE!H$6</f>
        <v>3.6046511627906979</v>
      </c>
      <c r="H45" s="8">
        <f>RnSPLINE!M$5</f>
        <v>-1.3354125425871846E-3</v>
      </c>
      <c r="I45" s="8">
        <f>RnSPLINE!M$6</f>
        <v>8.2240398068897502E-3</v>
      </c>
      <c r="J45">
        <f t="shared" si="1"/>
        <v>0.65517241379310343</v>
      </c>
      <c r="K45">
        <f t="shared" si="2"/>
        <v>0.34482758620689657</v>
      </c>
      <c r="L45">
        <f t="shared" si="3"/>
        <v>-4</v>
      </c>
      <c r="M45" s="8">
        <f t="shared" si="4"/>
        <v>5.3879514917434488</v>
      </c>
      <c r="N45" s="8">
        <f t="shared" si="5"/>
        <v>5.1077148677166795</v>
      </c>
      <c r="O45" s="8">
        <f t="shared" si="8"/>
        <v>296.47046789846644</v>
      </c>
      <c r="P45" s="8">
        <f t="shared" si="9"/>
        <v>304.8352242808615</v>
      </c>
      <c r="Q45" s="8">
        <f t="shared" si="6"/>
        <v>5.1077148677166795</v>
      </c>
    </row>
    <row r="46" spans="1:17" x14ac:dyDescent="0.2">
      <c r="B46">
        <f t="shared" si="7"/>
        <v>43</v>
      </c>
      <c r="C46">
        <f t="shared" si="0"/>
        <v>29</v>
      </c>
      <c r="D46">
        <v>32</v>
      </c>
      <c r="E46">
        <v>61</v>
      </c>
      <c r="F46">
        <f>RnSPLINE!H$5</f>
        <v>6.3265306122448974</v>
      </c>
      <c r="G46">
        <f>RnSPLINE!H$6</f>
        <v>3.6046511627906979</v>
      </c>
      <c r="H46" s="8">
        <f>RnSPLINE!M$5</f>
        <v>-1.3354125425871846E-3</v>
      </c>
      <c r="I46" s="8">
        <f>RnSPLINE!M$6</f>
        <v>8.2240398068897502E-3</v>
      </c>
      <c r="J46">
        <f t="shared" si="1"/>
        <v>0.62068965517241381</v>
      </c>
      <c r="K46">
        <f t="shared" si="2"/>
        <v>0.37931034482758619</v>
      </c>
      <c r="L46">
        <f t="shared" si="3"/>
        <v>-3</v>
      </c>
      <c r="M46" s="8">
        <f t="shared" si="4"/>
        <v>5.2940935796933042</v>
      </c>
      <c r="N46" s="8">
        <f t="shared" si="5"/>
        <v>4.9911795213642787</v>
      </c>
      <c r="O46" s="8">
        <f t="shared" si="8"/>
        <v>301.76456147815975</v>
      </c>
      <c r="P46" s="8">
        <f t="shared" si="9"/>
        <v>309.8264038022258</v>
      </c>
      <c r="Q46" s="8">
        <f t="shared" si="6"/>
        <v>4.9911795213642787</v>
      </c>
    </row>
    <row r="47" spans="1:17" x14ac:dyDescent="0.2">
      <c r="B47">
        <f t="shared" si="7"/>
        <v>44</v>
      </c>
      <c r="C47">
        <f t="shared" si="0"/>
        <v>29</v>
      </c>
      <c r="D47">
        <v>32</v>
      </c>
      <c r="E47">
        <v>61</v>
      </c>
      <c r="F47">
        <f>RnSPLINE!H$5</f>
        <v>6.3265306122448974</v>
      </c>
      <c r="G47">
        <f>RnSPLINE!H$6</f>
        <v>3.6046511627906979</v>
      </c>
      <c r="H47" s="8">
        <f>RnSPLINE!M$5</f>
        <v>-1.3354125425871846E-3</v>
      </c>
      <c r="I47" s="8">
        <f>RnSPLINE!M$6</f>
        <v>8.2240398068897502E-3</v>
      </c>
      <c r="J47">
        <f t="shared" si="1"/>
        <v>0.58620689655172409</v>
      </c>
      <c r="K47">
        <f t="shared" si="2"/>
        <v>0.41379310344827586</v>
      </c>
      <c r="L47">
        <f t="shared" si="3"/>
        <v>-2</v>
      </c>
      <c r="M47" s="8">
        <f t="shared" si="4"/>
        <v>5.2002356676431596</v>
      </c>
      <c r="N47" s="8">
        <f t="shared" si="5"/>
        <v>4.8769347616363339</v>
      </c>
      <c r="O47" s="8">
        <f t="shared" si="8"/>
        <v>306.96479714580289</v>
      </c>
      <c r="P47" s="8">
        <f t="shared" si="9"/>
        <v>314.70333856386213</v>
      </c>
      <c r="Q47" s="8">
        <f t="shared" si="6"/>
        <v>4.8769347616363339</v>
      </c>
    </row>
    <row r="48" spans="1:17" x14ac:dyDescent="0.2">
      <c r="B48">
        <f t="shared" si="7"/>
        <v>45</v>
      </c>
      <c r="C48">
        <f t="shared" si="0"/>
        <v>29</v>
      </c>
      <c r="D48">
        <v>32</v>
      </c>
      <c r="E48">
        <v>61</v>
      </c>
      <c r="F48">
        <f>RnSPLINE!H$5</f>
        <v>6.3265306122448974</v>
      </c>
      <c r="G48">
        <f>RnSPLINE!H$6</f>
        <v>3.6046511627906979</v>
      </c>
      <c r="H48" s="8">
        <f>RnSPLINE!M$5</f>
        <v>-1.3354125425871846E-3</v>
      </c>
      <c r="I48" s="8">
        <f>RnSPLINE!M$6</f>
        <v>8.2240398068897502E-3</v>
      </c>
      <c r="J48">
        <f t="shared" si="1"/>
        <v>0.55172413793103448</v>
      </c>
      <c r="K48">
        <f t="shared" si="2"/>
        <v>0.44827586206896552</v>
      </c>
      <c r="L48">
        <f t="shared" si="3"/>
        <v>-1</v>
      </c>
      <c r="M48" s="8">
        <f t="shared" si="4"/>
        <v>5.106377755593015</v>
      </c>
      <c r="N48" s="8">
        <f t="shared" si="5"/>
        <v>4.7653102248207571</v>
      </c>
      <c r="O48" s="8">
        <f t="shared" si="8"/>
        <v>312.07117490139592</v>
      </c>
      <c r="P48" s="8">
        <f t="shared" si="9"/>
        <v>319.46864878868291</v>
      </c>
      <c r="Q48" s="8">
        <f t="shared" si="6"/>
        <v>4.7653102248207571</v>
      </c>
    </row>
    <row r="49" spans="1:20" x14ac:dyDescent="0.2">
      <c r="B49">
        <f t="shared" si="7"/>
        <v>46</v>
      </c>
      <c r="C49">
        <f t="shared" si="0"/>
        <v>29</v>
      </c>
      <c r="D49">
        <v>32</v>
      </c>
      <c r="E49">
        <v>61</v>
      </c>
      <c r="F49">
        <f>RnSPLINE!H$5</f>
        <v>6.3265306122448974</v>
      </c>
      <c r="G49">
        <f>RnSPLINE!H$6</f>
        <v>3.6046511627906979</v>
      </c>
      <c r="H49" s="8">
        <f>RnSPLINE!M$5</f>
        <v>-1.3354125425871846E-3</v>
      </c>
      <c r="I49" s="8">
        <f>RnSPLINE!M$6</f>
        <v>8.2240398068897502E-3</v>
      </c>
      <c r="J49">
        <f t="shared" si="1"/>
        <v>0.51724137931034486</v>
      </c>
      <c r="K49">
        <f t="shared" si="2"/>
        <v>0.48275862068965519</v>
      </c>
      <c r="L49">
        <f t="shared" si="3"/>
        <v>0</v>
      </c>
      <c r="M49" s="8">
        <f t="shared" si="4"/>
        <v>5.0125198435428704</v>
      </c>
      <c r="N49" s="8">
        <f t="shared" si="5"/>
        <v>4.6566355472054628</v>
      </c>
      <c r="O49" s="8">
        <f t="shared" si="8"/>
        <v>317.08369474493878</v>
      </c>
      <c r="P49" s="8">
        <f t="shared" si="9"/>
        <v>324.12528433588835</v>
      </c>
      <c r="Q49" s="8">
        <f t="shared" si="6"/>
        <v>4.6566355472054628</v>
      </c>
    </row>
    <row r="50" spans="1:20" x14ac:dyDescent="0.2">
      <c r="A50" s="1"/>
      <c r="B50" s="1">
        <f t="shared" si="7"/>
        <v>47</v>
      </c>
      <c r="C50" s="1">
        <f t="shared" si="0"/>
        <v>29</v>
      </c>
      <c r="D50" s="1">
        <v>32</v>
      </c>
      <c r="E50" s="1">
        <v>61</v>
      </c>
      <c r="F50" s="1">
        <f>RnSPLINE!H$5</f>
        <v>6.3265306122448974</v>
      </c>
      <c r="G50" s="1">
        <f>RnSPLINE!H$6</f>
        <v>3.6046511627906979</v>
      </c>
      <c r="H50" s="7">
        <f>RnSPLINE!M$5</f>
        <v>-1.3354125425871846E-3</v>
      </c>
      <c r="I50" s="7">
        <f>RnSPLINE!M$6</f>
        <v>8.2240398068897502E-3</v>
      </c>
      <c r="J50" s="1">
        <f t="shared" si="1"/>
        <v>0.48275862068965519</v>
      </c>
      <c r="K50" s="1">
        <f t="shared" si="2"/>
        <v>0.51724137931034486</v>
      </c>
      <c r="L50" s="1">
        <f t="shared" si="3"/>
        <v>1</v>
      </c>
      <c r="M50" s="7">
        <f t="shared" si="4"/>
        <v>4.9186619314927249</v>
      </c>
      <c r="N50" s="7">
        <f>(Q50+Q414)/2</f>
        <v>4.7842309762037329</v>
      </c>
      <c r="O50" s="7">
        <f t="shared" si="8"/>
        <v>322.00235667643153</v>
      </c>
      <c r="P50" s="7">
        <f t="shared" si="9"/>
        <v>328.90951531209208</v>
      </c>
      <c r="Q50" s="7">
        <f t="shared" si="6"/>
        <v>4.551240365078363</v>
      </c>
      <c r="R50" s="4">
        <f>(N55-N50)/5</f>
        <v>-0.13984736387219829</v>
      </c>
      <c r="T50" s="8">
        <f t="shared" ref="T50:T113" si="10">N50</f>
        <v>4.7842309762037329</v>
      </c>
    </row>
    <row r="51" spans="1:20" x14ac:dyDescent="0.2">
      <c r="B51">
        <f t="shared" si="7"/>
        <v>48</v>
      </c>
      <c r="C51">
        <f t="shared" si="0"/>
        <v>29</v>
      </c>
      <c r="D51">
        <v>32</v>
      </c>
      <c r="E51">
        <v>61</v>
      </c>
      <c r="F51">
        <f>RnSPLINE!H$5</f>
        <v>6.3265306122448974</v>
      </c>
      <c r="G51">
        <f>RnSPLINE!H$6</f>
        <v>3.6046511627906979</v>
      </c>
      <c r="H51" s="8">
        <f>RnSPLINE!M$5</f>
        <v>-1.3354125425871846E-3</v>
      </c>
      <c r="I51" s="8">
        <f>RnSPLINE!M$6</f>
        <v>8.2240398068897502E-3</v>
      </c>
      <c r="J51">
        <f t="shared" si="1"/>
        <v>0.44827586206896552</v>
      </c>
      <c r="K51">
        <f t="shared" si="2"/>
        <v>0.55172413793103448</v>
      </c>
      <c r="L51">
        <f t="shared" si="3"/>
        <v>2</v>
      </c>
      <c r="M51" s="6">
        <f t="shared" si="4"/>
        <v>4.8248040194425803</v>
      </c>
      <c r="N51" s="9">
        <f>N50+R$50</f>
        <v>4.6443836123315343</v>
      </c>
      <c r="O51" s="8">
        <f t="shared" si="8"/>
        <v>326.82716069587411</v>
      </c>
      <c r="P51" s="8">
        <f t="shared" si="9"/>
        <v>333.55389892442361</v>
      </c>
      <c r="Q51" s="8">
        <f t="shared" si="6"/>
        <v>4.4494543147273706</v>
      </c>
      <c r="T51" s="8">
        <f t="shared" si="10"/>
        <v>4.6443836123315343</v>
      </c>
    </row>
    <row r="52" spans="1:20" x14ac:dyDescent="0.2">
      <c r="B52">
        <f t="shared" si="7"/>
        <v>49</v>
      </c>
      <c r="C52">
        <f t="shared" si="0"/>
        <v>29</v>
      </c>
      <c r="D52">
        <v>32</v>
      </c>
      <c r="E52">
        <v>61</v>
      </c>
      <c r="F52">
        <f>RnSPLINE!H$5</f>
        <v>6.3265306122448974</v>
      </c>
      <c r="G52">
        <f>RnSPLINE!H$6</f>
        <v>3.6046511627906979</v>
      </c>
      <c r="H52" s="8">
        <f>RnSPLINE!M$5</f>
        <v>-1.3354125425871846E-3</v>
      </c>
      <c r="I52" s="8">
        <f>RnSPLINE!M$6</f>
        <v>8.2240398068897502E-3</v>
      </c>
      <c r="J52">
        <f t="shared" si="1"/>
        <v>0.41379310344827586</v>
      </c>
      <c r="K52">
        <f t="shared" si="2"/>
        <v>0.58620689655172409</v>
      </c>
      <c r="L52">
        <f t="shared" si="3"/>
        <v>3</v>
      </c>
      <c r="M52" s="6">
        <f t="shared" si="4"/>
        <v>4.7309461073924357</v>
      </c>
      <c r="N52" s="9">
        <f>N51+R$50</f>
        <v>4.5045362484593356</v>
      </c>
      <c r="O52" s="8">
        <f t="shared" si="8"/>
        <v>331.55810680326653</v>
      </c>
      <c r="P52" s="8">
        <f t="shared" si="9"/>
        <v>338.05843517288292</v>
      </c>
      <c r="Q52" s="8">
        <f t="shared" si="6"/>
        <v>4.3516070324404001</v>
      </c>
      <c r="T52" s="8">
        <f t="shared" si="10"/>
        <v>4.5045362484593356</v>
      </c>
    </row>
    <row r="53" spans="1:20" x14ac:dyDescent="0.2">
      <c r="B53">
        <f t="shared" si="7"/>
        <v>50</v>
      </c>
      <c r="C53">
        <f t="shared" si="0"/>
        <v>29</v>
      </c>
      <c r="D53">
        <v>32</v>
      </c>
      <c r="E53">
        <v>61</v>
      </c>
      <c r="F53">
        <f>RnSPLINE!H$5</f>
        <v>6.3265306122448974</v>
      </c>
      <c r="G53">
        <f>RnSPLINE!H$6</f>
        <v>3.6046511627906979</v>
      </c>
      <c r="H53" s="8">
        <f>RnSPLINE!M$5</f>
        <v>-1.3354125425871846E-3</v>
      </c>
      <c r="I53" s="8">
        <f>RnSPLINE!M$6</f>
        <v>8.2240398068897502E-3</v>
      </c>
      <c r="J53">
        <f t="shared" si="1"/>
        <v>0.37931034482758619</v>
      </c>
      <c r="K53">
        <f t="shared" si="2"/>
        <v>0.62068965517241381</v>
      </c>
      <c r="L53">
        <f t="shared" si="3"/>
        <v>4</v>
      </c>
      <c r="M53" s="6">
        <f t="shared" si="4"/>
        <v>4.6370881953422911</v>
      </c>
      <c r="N53" s="9">
        <f>N52+R$50</f>
        <v>4.364688884587137</v>
      </c>
      <c r="O53" s="8">
        <f t="shared" si="8"/>
        <v>336.19519499860883</v>
      </c>
      <c r="P53" s="8">
        <f t="shared" si="9"/>
        <v>342.42312405747003</v>
      </c>
      <c r="Q53" s="8">
        <f t="shared" si="6"/>
        <v>4.2580281545053627</v>
      </c>
      <c r="T53" s="8">
        <f t="shared" si="10"/>
        <v>4.364688884587137</v>
      </c>
    </row>
    <row r="54" spans="1:20" x14ac:dyDescent="0.2">
      <c r="B54">
        <f t="shared" si="7"/>
        <v>51</v>
      </c>
      <c r="C54">
        <f t="shared" si="0"/>
        <v>29</v>
      </c>
      <c r="D54">
        <v>32</v>
      </c>
      <c r="E54">
        <v>61</v>
      </c>
      <c r="F54">
        <f>RnSPLINE!H$5</f>
        <v>6.3265306122448974</v>
      </c>
      <c r="G54">
        <f>RnSPLINE!H$6</f>
        <v>3.6046511627906979</v>
      </c>
      <c r="H54" s="8">
        <f>RnSPLINE!M$5</f>
        <v>-1.3354125425871846E-3</v>
      </c>
      <c r="I54" s="8">
        <f>RnSPLINE!M$6</f>
        <v>8.2240398068897502E-3</v>
      </c>
      <c r="J54">
        <f t="shared" si="1"/>
        <v>0.34482758620689657</v>
      </c>
      <c r="K54">
        <f t="shared" si="2"/>
        <v>0.65517241379310343</v>
      </c>
      <c r="L54">
        <f t="shared" si="3"/>
        <v>5</v>
      </c>
      <c r="M54" s="6">
        <f t="shared" si="4"/>
        <v>4.5432302832921465</v>
      </c>
      <c r="N54" s="9">
        <f>N53+R$50</f>
        <v>4.2248415207149383</v>
      </c>
      <c r="O54" s="8">
        <f t="shared" si="8"/>
        <v>340.73842528190096</v>
      </c>
      <c r="P54" s="8">
        <f t="shared" si="9"/>
        <v>346.64796557818499</v>
      </c>
      <c r="Q54" s="8">
        <f t="shared" si="6"/>
        <v>4.1690473172101727</v>
      </c>
      <c r="T54" s="8">
        <f t="shared" si="10"/>
        <v>4.2248415207149383</v>
      </c>
    </row>
    <row r="55" spans="1:20" x14ac:dyDescent="0.2">
      <c r="B55">
        <f t="shared" si="7"/>
        <v>52</v>
      </c>
      <c r="C55">
        <f t="shared" si="0"/>
        <v>29</v>
      </c>
      <c r="D55">
        <v>32</v>
      </c>
      <c r="E55">
        <v>61</v>
      </c>
      <c r="F55">
        <f>RnSPLINE!H$5</f>
        <v>6.3265306122448974</v>
      </c>
      <c r="G55">
        <f>RnSPLINE!H$6</f>
        <v>3.6046511627906979</v>
      </c>
      <c r="H55" s="8">
        <f>RnSPLINE!M$5</f>
        <v>-1.3354125425871846E-3</v>
      </c>
      <c r="I55" s="8">
        <f>RnSPLINE!M$6</f>
        <v>8.2240398068897502E-3</v>
      </c>
      <c r="J55">
        <f t="shared" si="1"/>
        <v>0.31034482758620691</v>
      </c>
      <c r="K55">
        <f t="shared" si="2"/>
        <v>0.68965517241379315</v>
      </c>
      <c r="L55">
        <f t="shared" si="3"/>
        <v>6</v>
      </c>
      <c r="M55" s="6">
        <f t="shared" si="4"/>
        <v>4.449372371242001</v>
      </c>
      <c r="N55" s="6">
        <f t="shared" ref="N55:N118" si="11">Q55</f>
        <v>4.0849941568427415</v>
      </c>
      <c r="O55" s="8">
        <f t="shared" si="8"/>
        <v>345.18779765314298</v>
      </c>
      <c r="P55" s="8">
        <f t="shared" si="9"/>
        <v>350.73295973502775</v>
      </c>
      <c r="Q55" s="8">
        <f t="shared" si="6"/>
        <v>4.0849941568427415</v>
      </c>
      <c r="T55" s="8">
        <f t="shared" si="10"/>
        <v>4.0849941568427415</v>
      </c>
    </row>
    <row r="56" spans="1:20" x14ac:dyDescent="0.2">
      <c r="B56">
        <f t="shared" si="7"/>
        <v>53</v>
      </c>
      <c r="C56">
        <f t="shared" si="0"/>
        <v>29</v>
      </c>
      <c r="D56">
        <v>32</v>
      </c>
      <c r="E56">
        <v>61</v>
      </c>
      <c r="F56">
        <f>RnSPLINE!H$5</f>
        <v>6.3265306122448974</v>
      </c>
      <c r="G56">
        <f>RnSPLINE!H$6</f>
        <v>3.6046511627906979</v>
      </c>
      <c r="H56" s="8">
        <f>RnSPLINE!M$5</f>
        <v>-1.3354125425871846E-3</v>
      </c>
      <c r="I56" s="8">
        <f>RnSPLINE!M$6</f>
        <v>8.2240398068897502E-3</v>
      </c>
      <c r="J56">
        <f t="shared" si="1"/>
        <v>0.27586206896551724</v>
      </c>
      <c r="K56">
        <f t="shared" si="2"/>
        <v>0.72413793103448276</v>
      </c>
      <c r="L56">
        <f t="shared" si="3"/>
        <v>7</v>
      </c>
      <c r="M56" s="6">
        <f t="shared" si="4"/>
        <v>4.3555144591918564</v>
      </c>
      <c r="N56" s="6">
        <f t="shared" si="11"/>
        <v>4.0061983096909835</v>
      </c>
      <c r="O56" s="8">
        <f t="shared" si="8"/>
        <v>349.54331211233483</v>
      </c>
      <c r="P56" s="8">
        <f t="shared" si="9"/>
        <v>354.73915804471875</v>
      </c>
      <c r="Q56" s="8">
        <f t="shared" si="6"/>
        <v>4.0061983096909835</v>
      </c>
      <c r="T56" s="8">
        <f t="shared" si="10"/>
        <v>4.0061983096909835</v>
      </c>
    </row>
    <row r="57" spans="1:20" x14ac:dyDescent="0.2">
      <c r="B57">
        <f t="shared" si="7"/>
        <v>54</v>
      </c>
      <c r="C57">
        <f t="shared" si="0"/>
        <v>29</v>
      </c>
      <c r="D57">
        <v>32</v>
      </c>
      <c r="E57">
        <v>61</v>
      </c>
      <c r="F57">
        <f>RnSPLINE!H$5</f>
        <v>6.3265306122448974</v>
      </c>
      <c r="G57">
        <f>RnSPLINE!H$6</f>
        <v>3.6046511627906979</v>
      </c>
      <c r="H57" s="8">
        <f>RnSPLINE!M$5</f>
        <v>-1.3354125425871846E-3</v>
      </c>
      <c r="I57" s="8">
        <f>RnSPLINE!M$6</f>
        <v>8.2240398068897502E-3</v>
      </c>
      <c r="J57">
        <f t="shared" si="1"/>
        <v>0.2413793103448276</v>
      </c>
      <c r="K57">
        <f t="shared" si="2"/>
        <v>0.75862068965517238</v>
      </c>
      <c r="L57">
        <f t="shared" si="3"/>
        <v>8</v>
      </c>
      <c r="M57" s="6">
        <f t="shared" si="4"/>
        <v>4.2616565471417118</v>
      </c>
      <c r="N57" s="6">
        <f t="shared" si="11"/>
        <v>3.9329894120428111</v>
      </c>
      <c r="O57" s="8">
        <f t="shared" si="8"/>
        <v>353.80496865947657</v>
      </c>
      <c r="P57" s="8">
        <f t="shared" si="9"/>
        <v>358.67214745676154</v>
      </c>
      <c r="Q57" s="8">
        <f t="shared" si="6"/>
        <v>3.9329894120428111</v>
      </c>
      <c r="T57" s="8">
        <f t="shared" si="10"/>
        <v>3.9329894120428111</v>
      </c>
    </row>
    <row r="58" spans="1:20" x14ac:dyDescent="0.2">
      <c r="B58">
        <f t="shared" si="7"/>
        <v>55</v>
      </c>
      <c r="C58">
        <f t="shared" si="0"/>
        <v>29</v>
      </c>
      <c r="D58">
        <v>32</v>
      </c>
      <c r="E58">
        <v>61</v>
      </c>
      <c r="F58">
        <f>RnSPLINE!H$5</f>
        <v>6.3265306122448974</v>
      </c>
      <c r="G58">
        <f>RnSPLINE!H$6</f>
        <v>3.6046511627906979</v>
      </c>
      <c r="H58" s="8">
        <f>RnSPLINE!M$5</f>
        <v>-1.3354125425871846E-3</v>
      </c>
      <c r="I58" s="8">
        <f>RnSPLINE!M$6</f>
        <v>8.2240398068897502E-3</v>
      </c>
      <c r="J58">
        <f t="shared" si="1"/>
        <v>0.20689655172413793</v>
      </c>
      <c r="K58">
        <f t="shared" si="2"/>
        <v>0.7931034482758621</v>
      </c>
      <c r="L58">
        <f t="shared" si="3"/>
        <v>9</v>
      </c>
      <c r="M58" s="6">
        <f t="shared" si="4"/>
        <v>4.1677986350915663</v>
      </c>
      <c r="N58" s="6">
        <f t="shared" si="11"/>
        <v>3.8656971001861367</v>
      </c>
      <c r="O58" s="8">
        <f t="shared" si="8"/>
        <v>357.97276729456814</v>
      </c>
      <c r="P58" s="8">
        <f t="shared" si="9"/>
        <v>362.53784455694768</v>
      </c>
      <c r="Q58" s="8">
        <f t="shared" si="6"/>
        <v>3.8656971001861367</v>
      </c>
      <c r="T58" s="8">
        <f t="shared" si="10"/>
        <v>3.8656971001861367</v>
      </c>
    </row>
    <row r="59" spans="1:20" x14ac:dyDescent="0.2">
      <c r="B59">
        <f t="shared" si="7"/>
        <v>56</v>
      </c>
      <c r="C59">
        <f t="shared" si="0"/>
        <v>29</v>
      </c>
      <c r="D59">
        <v>32</v>
      </c>
      <c r="E59">
        <v>61</v>
      </c>
      <c r="F59">
        <f>RnSPLINE!H$5</f>
        <v>6.3265306122448974</v>
      </c>
      <c r="G59">
        <f>RnSPLINE!H$6</f>
        <v>3.6046511627906979</v>
      </c>
      <c r="H59" s="8">
        <f>RnSPLINE!M$5</f>
        <v>-1.3354125425871846E-3</v>
      </c>
      <c r="I59" s="8">
        <f>RnSPLINE!M$6</f>
        <v>8.2240398068897502E-3</v>
      </c>
      <c r="J59">
        <f t="shared" si="1"/>
        <v>0.17241379310344829</v>
      </c>
      <c r="K59">
        <f t="shared" si="2"/>
        <v>0.82758620689655171</v>
      </c>
      <c r="L59">
        <f t="shared" si="3"/>
        <v>10</v>
      </c>
      <c r="M59" s="6">
        <f t="shared" si="4"/>
        <v>4.0739407230414226</v>
      </c>
      <c r="N59" s="6">
        <f t="shared" si="11"/>
        <v>3.8046510104088762</v>
      </c>
      <c r="O59" s="8">
        <f t="shared" si="8"/>
        <v>362.04670801760955</v>
      </c>
      <c r="P59" s="8">
        <f t="shared" si="9"/>
        <v>366.34249556735654</v>
      </c>
      <c r="Q59" s="8">
        <f t="shared" si="6"/>
        <v>3.8046510104088762</v>
      </c>
      <c r="T59" s="8">
        <f t="shared" si="10"/>
        <v>3.8046510104088762</v>
      </c>
    </row>
    <row r="60" spans="1:20" x14ac:dyDescent="0.2">
      <c r="B60">
        <f t="shared" si="7"/>
        <v>57</v>
      </c>
      <c r="C60">
        <f t="shared" si="0"/>
        <v>29</v>
      </c>
      <c r="D60">
        <v>32</v>
      </c>
      <c r="E60">
        <v>61</v>
      </c>
      <c r="F60">
        <f>RnSPLINE!H$5</f>
        <v>6.3265306122448974</v>
      </c>
      <c r="G60">
        <f>RnSPLINE!H$6</f>
        <v>3.6046511627906979</v>
      </c>
      <c r="H60" s="8">
        <f>RnSPLINE!M$5</f>
        <v>-1.3354125425871846E-3</v>
      </c>
      <c r="I60" s="8">
        <f>RnSPLINE!M$6</f>
        <v>8.2240398068897502E-3</v>
      </c>
      <c r="J60">
        <f t="shared" si="1"/>
        <v>0.13793103448275862</v>
      </c>
      <c r="K60">
        <f t="shared" si="2"/>
        <v>0.86206896551724133</v>
      </c>
      <c r="L60">
        <f t="shared" si="3"/>
        <v>11</v>
      </c>
      <c r="M60" s="6">
        <f t="shared" si="4"/>
        <v>3.9800828109912767</v>
      </c>
      <c r="N60" s="6">
        <f t="shared" si="11"/>
        <v>3.7501807789989381</v>
      </c>
      <c r="O60" s="8">
        <f t="shared" si="8"/>
        <v>366.02679082860084</v>
      </c>
      <c r="P60" s="8">
        <f t="shared" si="9"/>
        <v>370.09267634635546</v>
      </c>
      <c r="Q60" s="8">
        <f t="shared" si="6"/>
        <v>3.7501807789989381</v>
      </c>
      <c r="T60" s="8">
        <f t="shared" si="10"/>
        <v>3.7501807789989381</v>
      </c>
    </row>
    <row r="61" spans="1:20" x14ac:dyDescent="0.2">
      <c r="B61">
        <f t="shared" si="7"/>
        <v>58</v>
      </c>
      <c r="C61">
        <f t="shared" si="0"/>
        <v>29</v>
      </c>
      <c r="D61">
        <v>32</v>
      </c>
      <c r="E61">
        <v>61</v>
      </c>
      <c r="F61">
        <f>RnSPLINE!H$5</f>
        <v>6.3265306122448974</v>
      </c>
      <c r="G61">
        <f>RnSPLINE!H$6</f>
        <v>3.6046511627906979</v>
      </c>
      <c r="H61" s="8">
        <f>RnSPLINE!M$5</f>
        <v>-1.3354125425871846E-3</v>
      </c>
      <c r="I61" s="8">
        <f>RnSPLINE!M$6</f>
        <v>8.2240398068897502E-3</v>
      </c>
      <c r="J61">
        <f t="shared" si="1"/>
        <v>0.10344827586206896</v>
      </c>
      <c r="K61">
        <f t="shared" si="2"/>
        <v>0.89655172413793105</v>
      </c>
      <c r="L61">
        <f t="shared" si="3"/>
        <v>12</v>
      </c>
      <c r="M61" s="6">
        <f t="shared" si="4"/>
        <v>3.8862248989411325</v>
      </c>
      <c r="N61" s="6">
        <f t="shared" si="11"/>
        <v>3.7026160422442396</v>
      </c>
      <c r="O61" s="8">
        <f t="shared" si="8"/>
        <v>369.91301572754196</v>
      </c>
      <c r="P61" s="8">
        <f t="shared" si="9"/>
        <v>373.79529238859971</v>
      </c>
      <c r="Q61" s="8">
        <f t="shared" si="6"/>
        <v>3.7026160422442396</v>
      </c>
      <c r="T61" s="8">
        <f t="shared" si="10"/>
        <v>3.7026160422442396</v>
      </c>
    </row>
    <row r="62" spans="1:20" x14ac:dyDescent="0.2">
      <c r="B62">
        <f t="shared" si="7"/>
        <v>59</v>
      </c>
      <c r="C62">
        <f t="shared" si="0"/>
        <v>29</v>
      </c>
      <c r="D62">
        <v>32</v>
      </c>
      <c r="E62">
        <v>61</v>
      </c>
      <c r="F62">
        <f>RnSPLINE!H$5</f>
        <v>6.3265306122448974</v>
      </c>
      <c r="G62">
        <f>RnSPLINE!H$6</f>
        <v>3.6046511627906979</v>
      </c>
      <c r="H62" s="8">
        <f>RnSPLINE!M$5</f>
        <v>-1.3354125425871846E-3</v>
      </c>
      <c r="I62" s="8">
        <f>RnSPLINE!M$6</f>
        <v>8.2240398068897502E-3</v>
      </c>
      <c r="J62">
        <f t="shared" si="1"/>
        <v>6.8965517241379309E-2</v>
      </c>
      <c r="K62">
        <f t="shared" si="2"/>
        <v>0.93103448275862066</v>
      </c>
      <c r="L62">
        <f t="shared" si="3"/>
        <v>13</v>
      </c>
      <c r="M62" s="6">
        <f t="shared" si="4"/>
        <v>3.7923669868909875</v>
      </c>
      <c r="N62" s="6">
        <f t="shared" si="11"/>
        <v>3.6622864364326908</v>
      </c>
      <c r="O62" s="8">
        <f t="shared" si="8"/>
        <v>373.70538271443297</v>
      </c>
      <c r="P62" s="8">
        <f t="shared" si="9"/>
        <v>377.45757882503239</v>
      </c>
      <c r="Q62" s="8">
        <f t="shared" si="6"/>
        <v>3.6622864364326908</v>
      </c>
      <c r="T62" s="8">
        <f t="shared" si="10"/>
        <v>3.6622864364326908</v>
      </c>
    </row>
    <row r="63" spans="1:20" x14ac:dyDescent="0.2">
      <c r="B63">
        <f t="shared" si="7"/>
        <v>60</v>
      </c>
      <c r="C63">
        <f t="shared" si="0"/>
        <v>29</v>
      </c>
      <c r="D63">
        <v>32</v>
      </c>
      <c r="E63">
        <v>61</v>
      </c>
      <c r="F63">
        <f>RnSPLINE!H$5</f>
        <v>6.3265306122448974</v>
      </c>
      <c r="G63">
        <f>RnSPLINE!H$6</f>
        <v>3.6046511627906979</v>
      </c>
      <c r="H63" s="8">
        <f>RnSPLINE!M$5</f>
        <v>-1.3354125425871846E-3</v>
      </c>
      <c r="I63" s="8">
        <f>RnSPLINE!M$6</f>
        <v>8.2240398068897502E-3</v>
      </c>
      <c r="J63">
        <f t="shared" si="1"/>
        <v>3.4482758620689655E-2</v>
      </c>
      <c r="K63">
        <f t="shared" si="2"/>
        <v>0.96551724137931039</v>
      </c>
      <c r="L63">
        <f t="shared" si="3"/>
        <v>14</v>
      </c>
      <c r="M63" s="6">
        <f t="shared" si="4"/>
        <v>3.6985090748408425</v>
      </c>
      <c r="N63" s="6">
        <f t="shared" si="11"/>
        <v>3.629521597852206</v>
      </c>
      <c r="O63" s="8">
        <f t="shared" si="8"/>
        <v>377.40389178927381</v>
      </c>
      <c r="P63" s="8">
        <f t="shared" si="9"/>
        <v>381.08710042288459</v>
      </c>
      <c r="Q63" s="8">
        <f t="shared" si="6"/>
        <v>3.629521597852206</v>
      </c>
      <c r="T63" s="8">
        <f t="shared" si="10"/>
        <v>3.629521597852206</v>
      </c>
    </row>
    <row r="64" spans="1:20" x14ac:dyDescent="0.2">
      <c r="A64">
        <v>61</v>
      </c>
      <c r="B64">
        <f t="shared" si="7"/>
        <v>61</v>
      </c>
      <c r="C64">
        <f t="shared" si="0"/>
        <v>29</v>
      </c>
      <c r="D64">
        <v>32</v>
      </c>
      <c r="E64">
        <v>61</v>
      </c>
      <c r="F64">
        <f>RnSPLINE!H$5</f>
        <v>6.3265306122448974</v>
      </c>
      <c r="G64">
        <f>RnSPLINE!H$6</f>
        <v>3.6046511627906979</v>
      </c>
      <c r="H64" s="8">
        <f>RnSPLINE!M$5</f>
        <v>-1.3354125425871846E-3</v>
      </c>
      <c r="I64" s="8">
        <f>RnSPLINE!M$6</f>
        <v>8.2240398068897502E-3</v>
      </c>
      <c r="J64">
        <f t="shared" si="1"/>
        <v>0</v>
      </c>
      <c r="K64">
        <f t="shared" si="2"/>
        <v>1</v>
      </c>
      <c r="L64">
        <f t="shared" si="3"/>
        <v>15</v>
      </c>
      <c r="M64" s="6">
        <f t="shared" si="4"/>
        <v>3.6046511627906979</v>
      </c>
      <c r="N64" s="6">
        <f t="shared" si="11"/>
        <v>3.6046511627906979</v>
      </c>
      <c r="O64" s="8">
        <f t="shared" si="8"/>
        <v>381.00854295206449</v>
      </c>
      <c r="P64" s="8">
        <f t="shared" si="9"/>
        <v>384.69175158567526</v>
      </c>
      <c r="Q64" s="8">
        <f t="shared" si="6"/>
        <v>3.6046511627906979</v>
      </c>
      <c r="T64" s="8">
        <f t="shared" si="10"/>
        <v>3.6046511627906979</v>
      </c>
    </row>
    <row r="65" spans="2:20" x14ac:dyDescent="0.2">
      <c r="B65">
        <f t="shared" si="7"/>
        <v>62</v>
      </c>
      <c r="C65">
        <f t="shared" si="0"/>
        <v>31</v>
      </c>
      <c r="D65">
        <v>61</v>
      </c>
      <c r="E65">
        <v>92</v>
      </c>
      <c r="F65">
        <f>RnSPLINE!H$6</f>
        <v>3.6046511627906979</v>
      </c>
      <c r="G65">
        <f>RnSPLINE!H$7</f>
        <v>4.3076923076923075</v>
      </c>
      <c r="H65" s="8">
        <f>RnSPLINE!M$6</f>
        <v>8.2240398068897502E-3</v>
      </c>
      <c r="I65" s="8">
        <f>RnSPLINE!M$7</f>
        <v>-8.0302535849192565E-3</v>
      </c>
      <c r="J65">
        <f t="shared" si="1"/>
        <v>0.967741935483871</v>
      </c>
      <c r="K65">
        <f t="shared" si="2"/>
        <v>3.2258064516129031E-2</v>
      </c>
      <c r="L65">
        <f t="shared" si="3"/>
        <v>16</v>
      </c>
      <c r="M65" s="8">
        <f t="shared" si="4"/>
        <v>3.6273299094004274</v>
      </c>
      <c r="N65" s="6">
        <f t="shared" si="11"/>
        <v>3.5878624394806118</v>
      </c>
      <c r="O65" s="8">
        <f t="shared" si="8"/>
        <v>384.63587286146492</v>
      </c>
      <c r="P65" s="8">
        <f t="shared" si="9"/>
        <v>388.27961402515587</v>
      </c>
      <c r="Q65" s="8">
        <f t="shared" si="6"/>
        <v>3.5878624394806118</v>
      </c>
      <c r="T65" s="8">
        <f t="shared" si="10"/>
        <v>3.5878624394806118</v>
      </c>
    </row>
    <row r="66" spans="2:20" x14ac:dyDescent="0.2">
      <c r="B66">
        <f t="shared" si="7"/>
        <v>63</v>
      </c>
      <c r="C66">
        <f t="shared" si="0"/>
        <v>31</v>
      </c>
      <c r="D66">
        <v>61</v>
      </c>
      <c r="E66">
        <v>92</v>
      </c>
      <c r="F66">
        <f>RnSPLINE!H$6</f>
        <v>3.6046511627906979</v>
      </c>
      <c r="G66">
        <f>RnSPLINE!H$7</f>
        <v>4.3076923076923075</v>
      </c>
      <c r="H66" s="8">
        <f>RnSPLINE!M$6</f>
        <v>8.2240398068897502E-3</v>
      </c>
      <c r="I66" s="8">
        <f>RnSPLINE!M$7</f>
        <v>-8.0302535849192565E-3</v>
      </c>
      <c r="J66">
        <f t="shared" si="1"/>
        <v>0.93548387096774188</v>
      </c>
      <c r="K66">
        <f t="shared" si="2"/>
        <v>6.4516129032258063E-2</v>
      </c>
      <c r="L66">
        <f t="shared" si="3"/>
        <v>17</v>
      </c>
      <c r="M66" s="8">
        <f t="shared" si="4"/>
        <v>3.6500086560101561</v>
      </c>
      <c r="N66" s="6">
        <f t="shared" si="11"/>
        <v>3.5787734239325166</v>
      </c>
      <c r="O66" s="8">
        <f t="shared" si="8"/>
        <v>388.28588151747505</v>
      </c>
      <c r="P66" s="8">
        <f t="shared" si="9"/>
        <v>391.85838744908835</v>
      </c>
      <c r="Q66" s="8">
        <f t="shared" si="6"/>
        <v>3.5787734239325166</v>
      </c>
      <c r="T66" s="8">
        <f t="shared" si="10"/>
        <v>3.5787734239325166</v>
      </c>
    </row>
    <row r="67" spans="2:20" x14ac:dyDescent="0.2">
      <c r="B67">
        <f t="shared" si="7"/>
        <v>64</v>
      </c>
      <c r="C67">
        <f t="shared" si="0"/>
        <v>31</v>
      </c>
      <c r="D67">
        <v>61</v>
      </c>
      <c r="E67">
        <v>92</v>
      </c>
      <c r="F67">
        <f>RnSPLINE!H$6</f>
        <v>3.6046511627906979</v>
      </c>
      <c r="G67">
        <f>RnSPLINE!H$7</f>
        <v>4.3076923076923075</v>
      </c>
      <c r="H67" s="8">
        <f>RnSPLINE!M$6</f>
        <v>8.2240398068897502E-3</v>
      </c>
      <c r="I67" s="8">
        <f>RnSPLINE!M$7</f>
        <v>-8.0302535849192565E-3</v>
      </c>
      <c r="J67">
        <f t="shared" si="1"/>
        <v>0.90322580645161288</v>
      </c>
      <c r="K67">
        <f t="shared" si="2"/>
        <v>9.6774193548387094E-2</v>
      </c>
      <c r="L67">
        <f t="shared" si="3"/>
        <v>18</v>
      </c>
      <c r="M67" s="8">
        <f t="shared" si="4"/>
        <v>3.6726874026198857</v>
      </c>
      <c r="N67" s="6">
        <f t="shared" si="11"/>
        <v>3.5768597841015191</v>
      </c>
      <c r="O67" s="8">
        <f t="shared" si="8"/>
        <v>391.95856892009493</v>
      </c>
      <c r="P67" s="8">
        <f t="shared" si="9"/>
        <v>395.4352472331899</v>
      </c>
      <c r="Q67" s="8">
        <f t="shared" si="6"/>
        <v>3.5768597841015191</v>
      </c>
      <c r="T67" s="8">
        <f t="shared" si="10"/>
        <v>3.5768597841015191</v>
      </c>
    </row>
    <row r="68" spans="2:20" x14ac:dyDescent="0.2">
      <c r="B68">
        <f t="shared" si="7"/>
        <v>65</v>
      </c>
      <c r="C68">
        <f t="shared" ref="C68:C131" si="12">E68-D68</f>
        <v>31</v>
      </c>
      <c r="D68">
        <v>61</v>
      </c>
      <c r="E68">
        <v>92</v>
      </c>
      <c r="F68">
        <f>RnSPLINE!H$6</f>
        <v>3.6046511627906979</v>
      </c>
      <c r="G68">
        <f>RnSPLINE!H$7</f>
        <v>4.3076923076923075</v>
      </c>
      <c r="H68" s="8">
        <f>RnSPLINE!M$6</f>
        <v>8.2240398068897502E-3</v>
      </c>
      <c r="I68" s="8">
        <f>RnSPLINE!M$7</f>
        <v>-8.0302535849192565E-3</v>
      </c>
      <c r="J68">
        <f t="shared" ref="J68:J131" si="13">(E68-B68)/C68</f>
        <v>0.87096774193548387</v>
      </c>
      <c r="K68">
        <f t="shared" ref="K68:K131" si="14">(B68-D68)/C68</f>
        <v>0.12903225806451613</v>
      </c>
      <c r="L68">
        <f t="shared" ref="L68:L131" si="15">B68-46</f>
        <v>19</v>
      </c>
      <c r="M68" s="8">
        <f t="shared" ref="M68:M131" si="16">J68*F68+K68*G68</f>
        <v>3.6953661492296153</v>
      </c>
      <c r="N68" s="6">
        <f t="shared" si="11"/>
        <v>3.5815971879427195</v>
      </c>
      <c r="O68" s="8">
        <f t="shared" si="8"/>
        <v>395.65393506932458</v>
      </c>
      <c r="P68" s="8">
        <f t="shared" si="9"/>
        <v>399.01684442113265</v>
      </c>
      <c r="Q68" s="8">
        <f t="shared" ref="Q68:Q131" si="17">M68+(((J68^3-J68)*H68+(K68^3-K68)*I68))*(C68^2)/6</f>
        <v>3.5815971879427195</v>
      </c>
      <c r="T68" s="8">
        <f t="shared" si="10"/>
        <v>3.5815971879427195</v>
      </c>
    </row>
    <row r="69" spans="2:20" x14ac:dyDescent="0.2">
      <c r="B69">
        <f t="shared" ref="B69:B132" si="18">B68+1</f>
        <v>66</v>
      </c>
      <c r="C69">
        <f t="shared" si="12"/>
        <v>31</v>
      </c>
      <c r="D69">
        <v>61</v>
      </c>
      <c r="E69">
        <v>92</v>
      </c>
      <c r="F69">
        <f>RnSPLINE!H$6</f>
        <v>3.6046511627906979</v>
      </c>
      <c r="G69">
        <f>RnSPLINE!H$7</f>
        <v>4.3076923076923075</v>
      </c>
      <c r="H69" s="8">
        <f>RnSPLINE!M$6</f>
        <v>8.2240398068897502E-3</v>
      </c>
      <c r="I69" s="8">
        <f>RnSPLINE!M$7</f>
        <v>-8.0302535849192565E-3</v>
      </c>
      <c r="J69">
        <f t="shared" si="13"/>
        <v>0.83870967741935487</v>
      </c>
      <c r="K69">
        <f t="shared" si="14"/>
        <v>0.16129032258064516</v>
      </c>
      <c r="L69">
        <f t="shared" si="15"/>
        <v>20</v>
      </c>
      <c r="M69" s="8">
        <f t="shared" si="16"/>
        <v>3.7180448958393448</v>
      </c>
      <c r="N69" s="6">
        <f t="shared" si="11"/>
        <v>3.5924613034112216</v>
      </c>
      <c r="O69" s="8">
        <f t="shared" ref="O69:O132" si="19">O68+M69</f>
        <v>399.37197996516392</v>
      </c>
      <c r="P69" s="8">
        <f t="shared" ref="P69:P132" si="20">P68+N69</f>
        <v>402.60930572454384</v>
      </c>
      <c r="Q69" s="8">
        <f t="shared" si="17"/>
        <v>3.5924613034112216</v>
      </c>
      <c r="T69" s="8">
        <f t="shared" si="10"/>
        <v>3.5924613034112216</v>
      </c>
    </row>
    <row r="70" spans="2:20" x14ac:dyDescent="0.2">
      <c r="B70">
        <f t="shared" si="18"/>
        <v>67</v>
      </c>
      <c r="C70">
        <f t="shared" si="12"/>
        <v>31</v>
      </c>
      <c r="D70">
        <v>61</v>
      </c>
      <c r="E70">
        <v>92</v>
      </c>
      <c r="F70">
        <f>RnSPLINE!H$6</f>
        <v>3.6046511627906979</v>
      </c>
      <c r="G70">
        <f>RnSPLINE!H$7</f>
        <v>4.3076923076923075</v>
      </c>
      <c r="H70" s="8">
        <f>RnSPLINE!M$6</f>
        <v>8.2240398068897502E-3</v>
      </c>
      <c r="I70" s="8">
        <f>RnSPLINE!M$7</f>
        <v>-8.0302535849192565E-3</v>
      </c>
      <c r="J70">
        <f t="shared" si="13"/>
        <v>0.80645161290322576</v>
      </c>
      <c r="K70">
        <f t="shared" si="14"/>
        <v>0.19354838709677419</v>
      </c>
      <c r="L70">
        <f t="shared" si="15"/>
        <v>21</v>
      </c>
      <c r="M70" s="8">
        <f t="shared" si="16"/>
        <v>3.7407236424490735</v>
      </c>
      <c r="N70" s="6">
        <f t="shared" si="11"/>
        <v>3.6089277984621271</v>
      </c>
      <c r="O70" s="8">
        <f t="shared" si="19"/>
        <v>403.11270360761301</v>
      </c>
      <c r="P70" s="8">
        <f t="shared" si="20"/>
        <v>406.21823352300595</v>
      </c>
      <c r="Q70" s="8">
        <f t="shared" si="17"/>
        <v>3.6089277984621271</v>
      </c>
      <c r="T70" s="8">
        <f t="shared" si="10"/>
        <v>3.6089277984621271</v>
      </c>
    </row>
    <row r="71" spans="2:20" x14ac:dyDescent="0.2">
      <c r="B71">
        <f t="shared" si="18"/>
        <v>68</v>
      </c>
      <c r="C71">
        <f t="shared" si="12"/>
        <v>31</v>
      </c>
      <c r="D71">
        <v>61</v>
      </c>
      <c r="E71">
        <v>92</v>
      </c>
      <c r="F71">
        <f>RnSPLINE!H$6</f>
        <v>3.6046511627906979</v>
      </c>
      <c r="G71">
        <f>RnSPLINE!H$7</f>
        <v>4.3076923076923075</v>
      </c>
      <c r="H71" s="8">
        <f>RnSPLINE!M$6</f>
        <v>8.2240398068897502E-3</v>
      </c>
      <c r="I71" s="8">
        <f>RnSPLINE!M$7</f>
        <v>-8.0302535849192565E-3</v>
      </c>
      <c r="J71">
        <f t="shared" si="13"/>
        <v>0.77419354838709675</v>
      </c>
      <c r="K71">
        <f t="shared" si="14"/>
        <v>0.22580645161290322</v>
      </c>
      <c r="L71">
        <f t="shared" si="15"/>
        <v>22</v>
      </c>
      <c r="M71" s="8">
        <f t="shared" si="16"/>
        <v>3.7634023890588031</v>
      </c>
      <c r="N71" s="6">
        <f t="shared" si="11"/>
        <v>3.6304723410505408</v>
      </c>
      <c r="O71" s="8">
        <f t="shared" si="19"/>
        <v>406.87610599667181</v>
      </c>
      <c r="P71" s="8">
        <f t="shared" si="20"/>
        <v>409.84870586405651</v>
      </c>
      <c r="Q71" s="8">
        <f t="shared" si="17"/>
        <v>3.6304723410505408</v>
      </c>
      <c r="T71" s="8">
        <f t="shared" si="10"/>
        <v>3.6304723410505408</v>
      </c>
    </row>
    <row r="72" spans="2:20" x14ac:dyDescent="0.2">
      <c r="B72">
        <f t="shared" si="18"/>
        <v>69</v>
      </c>
      <c r="C72">
        <f t="shared" si="12"/>
        <v>31</v>
      </c>
      <c r="D72">
        <v>61</v>
      </c>
      <c r="E72">
        <v>92</v>
      </c>
      <c r="F72">
        <f>RnSPLINE!H$6</f>
        <v>3.6046511627906979</v>
      </c>
      <c r="G72">
        <f>RnSPLINE!H$7</f>
        <v>4.3076923076923075</v>
      </c>
      <c r="H72" s="8">
        <f>RnSPLINE!M$6</f>
        <v>8.2240398068897502E-3</v>
      </c>
      <c r="I72" s="8">
        <f>RnSPLINE!M$7</f>
        <v>-8.0302535849192565E-3</v>
      </c>
      <c r="J72">
        <f t="shared" si="13"/>
        <v>0.74193548387096775</v>
      </c>
      <c r="K72">
        <f t="shared" si="14"/>
        <v>0.25806451612903225</v>
      </c>
      <c r="L72">
        <f t="shared" si="15"/>
        <v>23</v>
      </c>
      <c r="M72" s="8">
        <f t="shared" si="16"/>
        <v>3.7860811356685327</v>
      </c>
      <c r="N72" s="6">
        <f t="shared" si="11"/>
        <v>3.6565705991315651</v>
      </c>
      <c r="O72" s="8">
        <f t="shared" si="19"/>
        <v>410.66218713234036</v>
      </c>
      <c r="P72" s="8">
        <f t="shared" si="20"/>
        <v>413.50527646318807</v>
      </c>
      <c r="Q72" s="8">
        <f t="shared" si="17"/>
        <v>3.6565705991315651</v>
      </c>
      <c r="T72" s="8">
        <f t="shared" si="10"/>
        <v>3.6565705991315651</v>
      </c>
    </row>
    <row r="73" spans="2:20" x14ac:dyDescent="0.2">
      <c r="B73">
        <f t="shared" si="18"/>
        <v>70</v>
      </c>
      <c r="C73">
        <f t="shared" si="12"/>
        <v>31</v>
      </c>
      <c r="D73">
        <v>61</v>
      </c>
      <c r="E73">
        <v>92</v>
      </c>
      <c r="F73">
        <f>RnSPLINE!H$6</f>
        <v>3.6046511627906979</v>
      </c>
      <c r="G73">
        <f>RnSPLINE!H$7</f>
        <v>4.3076923076923075</v>
      </c>
      <c r="H73" s="8">
        <f>RnSPLINE!M$6</f>
        <v>8.2240398068897502E-3</v>
      </c>
      <c r="I73" s="8">
        <f>RnSPLINE!M$7</f>
        <v>-8.0302535849192565E-3</v>
      </c>
      <c r="J73">
        <f t="shared" si="13"/>
        <v>0.70967741935483875</v>
      </c>
      <c r="K73">
        <f t="shared" si="14"/>
        <v>0.29032258064516131</v>
      </c>
      <c r="L73">
        <f t="shared" si="15"/>
        <v>24</v>
      </c>
      <c r="M73" s="8">
        <f t="shared" si="16"/>
        <v>3.8087598822782622</v>
      </c>
      <c r="N73" s="6">
        <f t="shared" si="11"/>
        <v>3.6866982406603026</v>
      </c>
      <c r="O73" s="8">
        <f t="shared" si="19"/>
        <v>414.47094701461862</v>
      </c>
      <c r="P73" s="8">
        <f t="shared" si="20"/>
        <v>417.19197470384836</v>
      </c>
      <c r="Q73" s="8">
        <f t="shared" si="17"/>
        <v>3.6866982406603026</v>
      </c>
      <c r="T73" s="8">
        <f t="shared" si="10"/>
        <v>3.6866982406603026</v>
      </c>
    </row>
    <row r="74" spans="2:20" x14ac:dyDescent="0.2">
      <c r="B74">
        <f t="shared" si="18"/>
        <v>71</v>
      </c>
      <c r="C74">
        <f t="shared" si="12"/>
        <v>31</v>
      </c>
      <c r="D74">
        <v>61</v>
      </c>
      <c r="E74">
        <v>92</v>
      </c>
      <c r="F74">
        <f>RnSPLINE!H$6</f>
        <v>3.6046511627906979</v>
      </c>
      <c r="G74">
        <f>RnSPLINE!H$7</f>
        <v>4.3076923076923075</v>
      </c>
      <c r="H74" s="8">
        <f>RnSPLINE!M$6</f>
        <v>8.2240398068897502E-3</v>
      </c>
      <c r="I74" s="8">
        <f>RnSPLINE!M$7</f>
        <v>-8.0302535849192565E-3</v>
      </c>
      <c r="J74">
        <f t="shared" si="13"/>
        <v>0.67741935483870963</v>
      </c>
      <c r="K74">
        <f t="shared" si="14"/>
        <v>0.32258064516129031</v>
      </c>
      <c r="L74">
        <f t="shared" si="15"/>
        <v>25</v>
      </c>
      <c r="M74" s="8">
        <f t="shared" si="16"/>
        <v>3.8314386288879909</v>
      </c>
      <c r="N74" s="6">
        <f t="shared" si="11"/>
        <v>3.7203309335918551</v>
      </c>
      <c r="O74" s="8">
        <f t="shared" si="19"/>
        <v>418.30238564350663</v>
      </c>
      <c r="P74" s="8">
        <f t="shared" si="20"/>
        <v>420.91230563744023</v>
      </c>
      <c r="Q74" s="8">
        <f t="shared" si="17"/>
        <v>3.7203309335918551</v>
      </c>
      <c r="T74" s="8">
        <f t="shared" si="10"/>
        <v>3.7203309335918551</v>
      </c>
    </row>
    <row r="75" spans="2:20" x14ac:dyDescent="0.2">
      <c r="B75">
        <f t="shared" si="18"/>
        <v>72</v>
      </c>
      <c r="C75">
        <f t="shared" si="12"/>
        <v>31</v>
      </c>
      <c r="D75">
        <v>61</v>
      </c>
      <c r="E75">
        <v>92</v>
      </c>
      <c r="F75">
        <f>RnSPLINE!H$6</f>
        <v>3.6046511627906979</v>
      </c>
      <c r="G75">
        <f>RnSPLINE!H$7</f>
        <v>4.3076923076923075</v>
      </c>
      <c r="H75" s="8">
        <f>RnSPLINE!M$6</f>
        <v>8.2240398068897502E-3</v>
      </c>
      <c r="I75" s="8">
        <f>RnSPLINE!M$7</f>
        <v>-8.0302535849192565E-3</v>
      </c>
      <c r="J75">
        <f t="shared" si="13"/>
        <v>0.64516129032258063</v>
      </c>
      <c r="K75">
        <f t="shared" si="14"/>
        <v>0.35483870967741937</v>
      </c>
      <c r="L75">
        <f t="shared" si="15"/>
        <v>26</v>
      </c>
      <c r="M75" s="8">
        <f t="shared" si="16"/>
        <v>3.8541173754977205</v>
      </c>
      <c r="N75" s="6">
        <f t="shared" si="11"/>
        <v>3.7569443458813279</v>
      </c>
      <c r="O75" s="8">
        <f t="shared" si="19"/>
        <v>422.15650301900433</v>
      </c>
      <c r="P75" s="8">
        <f t="shared" si="20"/>
        <v>424.66924998332155</v>
      </c>
      <c r="Q75" s="8">
        <f t="shared" si="17"/>
        <v>3.7569443458813279</v>
      </c>
      <c r="T75" s="8">
        <f t="shared" si="10"/>
        <v>3.7569443458813279</v>
      </c>
    </row>
    <row r="76" spans="2:20" x14ac:dyDescent="0.2">
      <c r="B76">
        <f t="shared" si="18"/>
        <v>73</v>
      </c>
      <c r="C76">
        <f t="shared" si="12"/>
        <v>31</v>
      </c>
      <c r="D76">
        <v>61</v>
      </c>
      <c r="E76">
        <v>92</v>
      </c>
      <c r="F76">
        <f>RnSPLINE!H$6</f>
        <v>3.6046511627906979</v>
      </c>
      <c r="G76">
        <f>RnSPLINE!H$7</f>
        <v>4.3076923076923075</v>
      </c>
      <c r="H76" s="8">
        <f>RnSPLINE!M$6</f>
        <v>8.2240398068897502E-3</v>
      </c>
      <c r="I76" s="8">
        <f>RnSPLINE!M$7</f>
        <v>-8.0302535849192565E-3</v>
      </c>
      <c r="J76">
        <f t="shared" si="13"/>
        <v>0.61290322580645162</v>
      </c>
      <c r="K76">
        <f t="shared" si="14"/>
        <v>0.38709677419354838</v>
      </c>
      <c r="L76">
        <f t="shared" si="15"/>
        <v>27</v>
      </c>
      <c r="M76" s="8">
        <f t="shared" si="16"/>
        <v>3.8767961221074501</v>
      </c>
      <c r="N76" s="6">
        <f t="shared" si="11"/>
        <v>3.7960141454838223</v>
      </c>
      <c r="O76" s="8">
        <f t="shared" si="19"/>
        <v>426.0332991411118</v>
      </c>
      <c r="P76" s="8">
        <f t="shared" si="20"/>
        <v>428.46526412880536</v>
      </c>
      <c r="Q76" s="8">
        <f t="shared" si="17"/>
        <v>3.7960141454838223</v>
      </c>
      <c r="T76" s="8">
        <f t="shared" si="10"/>
        <v>3.7960141454838223</v>
      </c>
    </row>
    <row r="77" spans="2:20" x14ac:dyDescent="0.2">
      <c r="B77">
        <f t="shared" si="18"/>
        <v>74</v>
      </c>
      <c r="C77">
        <f t="shared" si="12"/>
        <v>31</v>
      </c>
      <c r="D77">
        <v>61</v>
      </c>
      <c r="E77">
        <v>92</v>
      </c>
      <c r="F77">
        <f>RnSPLINE!H$6</f>
        <v>3.6046511627906979</v>
      </c>
      <c r="G77">
        <f>RnSPLINE!H$7</f>
        <v>4.3076923076923075</v>
      </c>
      <c r="H77" s="8">
        <f>RnSPLINE!M$6</f>
        <v>8.2240398068897502E-3</v>
      </c>
      <c r="I77" s="8">
        <f>RnSPLINE!M$7</f>
        <v>-8.0302535849192565E-3</v>
      </c>
      <c r="J77">
        <f t="shared" si="13"/>
        <v>0.58064516129032262</v>
      </c>
      <c r="K77">
        <f t="shared" si="14"/>
        <v>0.41935483870967744</v>
      </c>
      <c r="L77">
        <f t="shared" si="15"/>
        <v>28</v>
      </c>
      <c r="M77" s="8">
        <f t="shared" si="16"/>
        <v>3.8994748687171796</v>
      </c>
      <c r="N77" s="6">
        <f t="shared" si="11"/>
        <v>3.837016000354442</v>
      </c>
      <c r="O77" s="8">
        <f t="shared" si="19"/>
        <v>429.93277400982896</v>
      </c>
      <c r="P77" s="8">
        <f t="shared" si="20"/>
        <v>432.30228012915978</v>
      </c>
      <c r="Q77" s="8">
        <f t="shared" si="17"/>
        <v>3.837016000354442</v>
      </c>
      <c r="T77" s="8">
        <f t="shared" si="10"/>
        <v>3.837016000354442</v>
      </c>
    </row>
    <row r="78" spans="2:20" x14ac:dyDescent="0.2">
      <c r="B78">
        <f t="shared" si="18"/>
        <v>75</v>
      </c>
      <c r="C78">
        <f t="shared" si="12"/>
        <v>31</v>
      </c>
      <c r="D78">
        <v>61</v>
      </c>
      <c r="E78">
        <v>92</v>
      </c>
      <c r="F78">
        <f>RnSPLINE!H$6</f>
        <v>3.6046511627906979</v>
      </c>
      <c r="G78">
        <f>RnSPLINE!H$7</f>
        <v>4.3076923076923075</v>
      </c>
      <c r="H78" s="8">
        <f>RnSPLINE!M$6</f>
        <v>8.2240398068897502E-3</v>
      </c>
      <c r="I78" s="8">
        <f>RnSPLINE!M$7</f>
        <v>-8.0302535849192565E-3</v>
      </c>
      <c r="J78">
        <f t="shared" si="13"/>
        <v>0.54838709677419351</v>
      </c>
      <c r="K78">
        <f t="shared" si="14"/>
        <v>0.45161290322580644</v>
      </c>
      <c r="L78">
        <f t="shared" si="15"/>
        <v>29</v>
      </c>
      <c r="M78" s="8">
        <f t="shared" si="16"/>
        <v>3.9221536153269083</v>
      </c>
      <c r="N78" s="6">
        <f t="shared" si="11"/>
        <v>3.8794255784482887</v>
      </c>
      <c r="O78" s="8">
        <f t="shared" si="19"/>
        <v>433.85492762515588</v>
      </c>
      <c r="P78" s="8">
        <f t="shared" si="20"/>
        <v>436.18170570760805</v>
      </c>
      <c r="Q78" s="8">
        <f t="shared" si="17"/>
        <v>3.8794255784482887</v>
      </c>
      <c r="T78" s="8">
        <f t="shared" si="10"/>
        <v>3.8794255784482887</v>
      </c>
    </row>
    <row r="79" spans="2:20" x14ac:dyDescent="0.2">
      <c r="B79">
        <f t="shared" si="18"/>
        <v>76</v>
      </c>
      <c r="C79">
        <f t="shared" si="12"/>
        <v>31</v>
      </c>
      <c r="D79">
        <v>61</v>
      </c>
      <c r="E79">
        <v>92</v>
      </c>
      <c r="F79">
        <f>RnSPLINE!H$6</f>
        <v>3.6046511627906979</v>
      </c>
      <c r="G79">
        <f>RnSPLINE!H$7</f>
        <v>4.3076923076923075</v>
      </c>
      <c r="H79" s="8">
        <f>RnSPLINE!M$6</f>
        <v>8.2240398068897502E-3</v>
      </c>
      <c r="I79" s="8">
        <f>RnSPLINE!M$7</f>
        <v>-8.0302535849192565E-3</v>
      </c>
      <c r="J79">
        <f t="shared" si="13"/>
        <v>0.5161290322580645</v>
      </c>
      <c r="K79">
        <f t="shared" si="14"/>
        <v>0.4838709677419355</v>
      </c>
      <c r="L79">
        <f t="shared" si="15"/>
        <v>30</v>
      </c>
      <c r="M79" s="8">
        <f t="shared" si="16"/>
        <v>3.9448323619366379</v>
      </c>
      <c r="N79" s="6">
        <f t="shared" si="11"/>
        <v>3.9227185477204669</v>
      </c>
      <c r="O79" s="8">
        <f t="shared" si="19"/>
        <v>437.7997599870925</v>
      </c>
      <c r="P79" s="8">
        <f t="shared" si="20"/>
        <v>440.10442425532852</v>
      </c>
      <c r="Q79" s="8">
        <f t="shared" si="17"/>
        <v>3.9227185477204669</v>
      </c>
      <c r="T79" s="8">
        <f t="shared" si="10"/>
        <v>3.9227185477204669</v>
      </c>
    </row>
    <row r="80" spans="2:20" x14ac:dyDescent="0.2">
      <c r="B80">
        <f t="shared" si="18"/>
        <v>77</v>
      </c>
      <c r="C80">
        <f t="shared" si="12"/>
        <v>31</v>
      </c>
      <c r="D80">
        <v>61</v>
      </c>
      <c r="E80">
        <v>92</v>
      </c>
      <c r="F80">
        <f>RnSPLINE!H$6</f>
        <v>3.6046511627906979</v>
      </c>
      <c r="G80">
        <f>RnSPLINE!H$7</f>
        <v>4.3076923076923075</v>
      </c>
      <c r="H80" s="8">
        <f>RnSPLINE!M$6</f>
        <v>8.2240398068897502E-3</v>
      </c>
      <c r="I80" s="8">
        <f>RnSPLINE!M$7</f>
        <v>-8.0302535849192565E-3</v>
      </c>
      <c r="J80">
        <f t="shared" si="13"/>
        <v>0.4838709677419355</v>
      </c>
      <c r="K80">
        <f t="shared" si="14"/>
        <v>0.5161290322580645</v>
      </c>
      <c r="L80">
        <f t="shared" si="15"/>
        <v>31</v>
      </c>
      <c r="M80" s="8">
        <f t="shared" si="16"/>
        <v>3.9675111085463675</v>
      </c>
      <c r="N80" s="6">
        <f t="shared" si="11"/>
        <v>3.9663705761260792</v>
      </c>
      <c r="O80" s="8">
        <f t="shared" si="19"/>
        <v>441.76727109563888</v>
      </c>
      <c r="P80" s="8">
        <f t="shared" si="20"/>
        <v>444.07079483145458</v>
      </c>
      <c r="Q80" s="8">
        <f t="shared" si="17"/>
        <v>3.9663705761260792</v>
      </c>
      <c r="T80" s="8">
        <f t="shared" si="10"/>
        <v>3.9663705761260792</v>
      </c>
    </row>
    <row r="81" spans="1:20" x14ac:dyDescent="0.2">
      <c r="B81">
        <f t="shared" si="18"/>
        <v>78</v>
      </c>
      <c r="C81">
        <f t="shared" si="12"/>
        <v>31</v>
      </c>
      <c r="D81">
        <v>61</v>
      </c>
      <c r="E81">
        <v>92</v>
      </c>
      <c r="F81">
        <f>RnSPLINE!H$6</f>
        <v>3.6046511627906979</v>
      </c>
      <c r="G81">
        <f>RnSPLINE!H$7</f>
        <v>4.3076923076923075</v>
      </c>
      <c r="H81" s="8">
        <f>RnSPLINE!M$6</f>
        <v>8.2240398068897502E-3</v>
      </c>
      <c r="I81" s="8">
        <f>RnSPLINE!M$7</f>
        <v>-8.0302535849192565E-3</v>
      </c>
      <c r="J81">
        <f t="shared" si="13"/>
        <v>0.45161290322580644</v>
      </c>
      <c r="K81">
        <f t="shared" si="14"/>
        <v>0.54838709677419351</v>
      </c>
      <c r="L81">
        <f t="shared" si="15"/>
        <v>32</v>
      </c>
      <c r="M81" s="8">
        <f t="shared" si="16"/>
        <v>3.9901898551560961</v>
      </c>
      <c r="N81" s="6">
        <f t="shared" si="11"/>
        <v>4.0098573316202275</v>
      </c>
      <c r="O81" s="8">
        <f t="shared" si="19"/>
        <v>445.75746095079495</v>
      </c>
      <c r="P81" s="8">
        <f t="shared" si="20"/>
        <v>448.08065216307483</v>
      </c>
      <c r="Q81" s="8">
        <f t="shared" si="17"/>
        <v>4.0098573316202275</v>
      </c>
      <c r="T81" s="8">
        <f t="shared" si="10"/>
        <v>4.0098573316202275</v>
      </c>
    </row>
    <row r="82" spans="1:20" x14ac:dyDescent="0.2">
      <c r="B82">
        <f t="shared" si="18"/>
        <v>79</v>
      </c>
      <c r="C82">
        <f t="shared" si="12"/>
        <v>31</v>
      </c>
      <c r="D82">
        <v>61</v>
      </c>
      <c r="E82">
        <v>92</v>
      </c>
      <c r="F82">
        <f>RnSPLINE!H$6</f>
        <v>3.6046511627906979</v>
      </c>
      <c r="G82">
        <f>RnSPLINE!H$7</f>
        <v>4.3076923076923075</v>
      </c>
      <c r="H82" s="8">
        <f>RnSPLINE!M$6</f>
        <v>8.2240398068897502E-3</v>
      </c>
      <c r="I82" s="8">
        <f>RnSPLINE!M$7</f>
        <v>-8.0302535849192565E-3</v>
      </c>
      <c r="J82">
        <f t="shared" si="13"/>
        <v>0.41935483870967744</v>
      </c>
      <c r="K82">
        <f t="shared" si="14"/>
        <v>0.58064516129032262</v>
      </c>
      <c r="L82">
        <f t="shared" si="15"/>
        <v>33</v>
      </c>
      <c r="M82" s="8">
        <f t="shared" si="16"/>
        <v>4.0128686017658266</v>
      </c>
      <c r="N82" s="6">
        <f t="shared" si="11"/>
        <v>4.0526544821580162</v>
      </c>
      <c r="O82" s="8">
        <f t="shared" si="19"/>
        <v>449.77032955256078</v>
      </c>
      <c r="P82" s="8">
        <f t="shared" si="20"/>
        <v>452.13330664523284</v>
      </c>
      <c r="Q82" s="8">
        <f t="shared" si="17"/>
        <v>4.0526544821580162</v>
      </c>
      <c r="T82" s="8">
        <f t="shared" si="10"/>
        <v>4.0526544821580162</v>
      </c>
    </row>
    <row r="83" spans="1:20" x14ac:dyDescent="0.2">
      <c r="B83">
        <f t="shared" si="18"/>
        <v>80</v>
      </c>
      <c r="C83">
        <f t="shared" si="12"/>
        <v>31</v>
      </c>
      <c r="D83">
        <v>61</v>
      </c>
      <c r="E83">
        <v>92</v>
      </c>
      <c r="F83">
        <f>RnSPLINE!H$6</f>
        <v>3.6046511627906979</v>
      </c>
      <c r="G83">
        <f>RnSPLINE!H$7</f>
        <v>4.3076923076923075</v>
      </c>
      <c r="H83" s="8">
        <f>RnSPLINE!M$6</f>
        <v>8.2240398068897502E-3</v>
      </c>
      <c r="I83" s="8">
        <f>RnSPLINE!M$7</f>
        <v>-8.0302535849192565E-3</v>
      </c>
      <c r="J83">
        <f t="shared" si="13"/>
        <v>0.38709677419354838</v>
      </c>
      <c r="K83">
        <f t="shared" si="14"/>
        <v>0.61290322580645162</v>
      </c>
      <c r="L83">
        <f t="shared" si="15"/>
        <v>34</v>
      </c>
      <c r="M83" s="8">
        <f t="shared" si="16"/>
        <v>4.0355473483755553</v>
      </c>
      <c r="N83" s="6">
        <f t="shared" si="11"/>
        <v>4.094237695694547</v>
      </c>
      <c r="O83" s="8">
        <f t="shared" si="19"/>
        <v>453.80587690093631</v>
      </c>
      <c r="P83" s="8">
        <f t="shared" si="20"/>
        <v>456.22754434092741</v>
      </c>
      <c r="Q83" s="8">
        <f t="shared" si="17"/>
        <v>4.094237695694547</v>
      </c>
      <c r="T83" s="8">
        <f t="shared" si="10"/>
        <v>4.094237695694547</v>
      </c>
    </row>
    <row r="84" spans="1:20" x14ac:dyDescent="0.2">
      <c r="B84">
        <f t="shared" si="18"/>
        <v>81</v>
      </c>
      <c r="C84">
        <f t="shared" si="12"/>
        <v>31</v>
      </c>
      <c r="D84">
        <v>61</v>
      </c>
      <c r="E84">
        <v>92</v>
      </c>
      <c r="F84">
        <f>RnSPLINE!H$6</f>
        <v>3.6046511627906979</v>
      </c>
      <c r="G84">
        <f>RnSPLINE!H$7</f>
        <v>4.3076923076923075</v>
      </c>
      <c r="H84" s="8">
        <f>RnSPLINE!M$6</f>
        <v>8.2240398068897502E-3</v>
      </c>
      <c r="I84" s="8">
        <f>RnSPLINE!M$7</f>
        <v>-8.0302535849192565E-3</v>
      </c>
      <c r="J84">
        <f t="shared" si="13"/>
        <v>0.35483870967741937</v>
      </c>
      <c r="K84">
        <f t="shared" si="14"/>
        <v>0.64516129032258063</v>
      </c>
      <c r="L84">
        <f t="shared" si="15"/>
        <v>35</v>
      </c>
      <c r="M84" s="8">
        <f t="shared" si="16"/>
        <v>4.0582260949852849</v>
      </c>
      <c r="N84" s="6">
        <f t="shared" si="11"/>
        <v>4.1340826401849231</v>
      </c>
      <c r="O84" s="8">
        <f t="shared" si="19"/>
        <v>457.8641029959216</v>
      </c>
      <c r="P84" s="8">
        <f t="shared" si="20"/>
        <v>460.36162698111235</v>
      </c>
      <c r="Q84" s="8">
        <f t="shared" si="17"/>
        <v>4.1340826401849231</v>
      </c>
      <c r="T84" s="8">
        <f t="shared" si="10"/>
        <v>4.1340826401849231</v>
      </c>
    </row>
    <row r="85" spans="1:20" x14ac:dyDescent="0.2">
      <c r="B85">
        <f t="shared" si="18"/>
        <v>82</v>
      </c>
      <c r="C85">
        <f t="shared" si="12"/>
        <v>31</v>
      </c>
      <c r="D85">
        <v>61</v>
      </c>
      <c r="E85">
        <v>92</v>
      </c>
      <c r="F85">
        <f>RnSPLINE!H$6</f>
        <v>3.6046511627906979</v>
      </c>
      <c r="G85">
        <f>RnSPLINE!H$7</f>
        <v>4.3076923076923075</v>
      </c>
      <c r="H85" s="8">
        <f>RnSPLINE!M$6</f>
        <v>8.2240398068897502E-3</v>
      </c>
      <c r="I85" s="8">
        <f>RnSPLINE!M$7</f>
        <v>-8.0302535849192565E-3</v>
      </c>
      <c r="J85">
        <f t="shared" si="13"/>
        <v>0.32258064516129031</v>
      </c>
      <c r="K85">
        <f t="shared" si="14"/>
        <v>0.67741935483870963</v>
      </c>
      <c r="L85">
        <f t="shared" si="15"/>
        <v>36</v>
      </c>
      <c r="M85" s="8">
        <f t="shared" si="16"/>
        <v>4.0809048415950135</v>
      </c>
      <c r="N85" s="6">
        <f t="shared" si="11"/>
        <v>4.1716649835842476</v>
      </c>
      <c r="O85" s="8">
        <f t="shared" si="19"/>
        <v>461.94500783751658</v>
      </c>
      <c r="P85" s="8">
        <f t="shared" si="20"/>
        <v>464.53329196469662</v>
      </c>
      <c r="Q85" s="8">
        <f t="shared" si="17"/>
        <v>4.1716649835842476</v>
      </c>
      <c r="T85" s="8">
        <f t="shared" si="10"/>
        <v>4.1716649835842476</v>
      </c>
    </row>
    <row r="86" spans="1:20" x14ac:dyDescent="0.2">
      <c r="B86">
        <f t="shared" si="18"/>
        <v>83</v>
      </c>
      <c r="C86">
        <f t="shared" si="12"/>
        <v>31</v>
      </c>
      <c r="D86">
        <v>61</v>
      </c>
      <c r="E86">
        <v>92</v>
      </c>
      <c r="F86">
        <f>RnSPLINE!H$6</f>
        <v>3.6046511627906979</v>
      </c>
      <c r="G86">
        <f>RnSPLINE!H$7</f>
        <v>4.3076923076923075</v>
      </c>
      <c r="H86" s="8">
        <f>RnSPLINE!M$6</f>
        <v>8.2240398068897502E-3</v>
      </c>
      <c r="I86" s="8">
        <f>RnSPLINE!M$7</f>
        <v>-8.0302535849192565E-3</v>
      </c>
      <c r="J86">
        <f t="shared" si="13"/>
        <v>0.29032258064516131</v>
      </c>
      <c r="K86">
        <f t="shared" si="14"/>
        <v>0.70967741935483875</v>
      </c>
      <c r="L86">
        <f t="shared" si="15"/>
        <v>37</v>
      </c>
      <c r="M86" s="8">
        <f t="shared" si="16"/>
        <v>4.103583588204744</v>
      </c>
      <c r="N86" s="6">
        <f t="shared" si="11"/>
        <v>4.2064603938476246</v>
      </c>
      <c r="O86" s="8">
        <f t="shared" si="19"/>
        <v>466.04859142572133</v>
      </c>
      <c r="P86" s="8">
        <f t="shared" si="20"/>
        <v>468.73975235854425</v>
      </c>
      <c r="Q86" s="8">
        <f t="shared" si="17"/>
        <v>4.2064603938476246</v>
      </c>
      <c r="T86" s="8">
        <f t="shared" si="10"/>
        <v>4.2064603938476246</v>
      </c>
    </row>
    <row r="87" spans="1:20" x14ac:dyDescent="0.2">
      <c r="B87">
        <f t="shared" si="18"/>
        <v>84</v>
      </c>
      <c r="C87">
        <f t="shared" si="12"/>
        <v>31</v>
      </c>
      <c r="D87">
        <v>61</v>
      </c>
      <c r="E87">
        <v>92</v>
      </c>
      <c r="F87">
        <f>RnSPLINE!H$6</f>
        <v>3.6046511627906979</v>
      </c>
      <c r="G87">
        <f>RnSPLINE!H$7</f>
        <v>4.3076923076923075</v>
      </c>
      <c r="H87" s="8">
        <f>RnSPLINE!M$6</f>
        <v>8.2240398068897502E-3</v>
      </c>
      <c r="I87" s="8">
        <f>RnSPLINE!M$7</f>
        <v>-8.0302535849192565E-3</v>
      </c>
      <c r="J87">
        <f t="shared" si="13"/>
        <v>0.25806451612903225</v>
      </c>
      <c r="K87">
        <f t="shared" si="14"/>
        <v>0.74193548387096775</v>
      </c>
      <c r="L87">
        <f t="shared" si="15"/>
        <v>38</v>
      </c>
      <c r="M87" s="8">
        <f t="shared" si="16"/>
        <v>4.1262623348144727</v>
      </c>
      <c r="N87" s="6">
        <f t="shared" si="11"/>
        <v>4.2379445389301544</v>
      </c>
      <c r="O87" s="8">
        <f t="shared" si="19"/>
        <v>470.17485376053583</v>
      </c>
      <c r="P87" s="8">
        <f t="shared" si="20"/>
        <v>472.9776968974744</v>
      </c>
      <c r="Q87" s="8">
        <f t="shared" si="17"/>
        <v>4.2379445389301544</v>
      </c>
      <c r="T87" s="8">
        <f t="shared" si="10"/>
        <v>4.2379445389301544</v>
      </c>
    </row>
    <row r="88" spans="1:20" x14ac:dyDescent="0.2">
      <c r="B88">
        <f t="shared" si="18"/>
        <v>85</v>
      </c>
      <c r="C88">
        <f t="shared" si="12"/>
        <v>31</v>
      </c>
      <c r="D88">
        <v>61</v>
      </c>
      <c r="E88">
        <v>92</v>
      </c>
      <c r="F88">
        <f>RnSPLINE!H$6</f>
        <v>3.6046511627906979</v>
      </c>
      <c r="G88">
        <f>RnSPLINE!H$7</f>
        <v>4.3076923076923075</v>
      </c>
      <c r="H88" s="8">
        <f>RnSPLINE!M$6</f>
        <v>8.2240398068897502E-3</v>
      </c>
      <c r="I88" s="8">
        <f>RnSPLINE!M$7</f>
        <v>-8.0302535849192565E-3</v>
      </c>
      <c r="J88">
        <f t="shared" si="13"/>
        <v>0.22580645161290322</v>
      </c>
      <c r="K88">
        <f t="shared" si="14"/>
        <v>0.77419354838709675</v>
      </c>
      <c r="L88">
        <f t="shared" si="15"/>
        <v>39</v>
      </c>
      <c r="M88" s="8">
        <f t="shared" si="16"/>
        <v>4.1489410814242023</v>
      </c>
      <c r="N88" s="6">
        <f t="shared" si="11"/>
        <v>4.2655930867869429</v>
      </c>
      <c r="O88" s="8">
        <f t="shared" si="19"/>
        <v>474.32379484196002</v>
      </c>
      <c r="P88" s="8">
        <f t="shared" si="20"/>
        <v>477.24328998426137</v>
      </c>
      <c r="Q88" s="8">
        <f t="shared" si="17"/>
        <v>4.2655930867869429</v>
      </c>
      <c r="T88" s="8">
        <f t="shared" si="10"/>
        <v>4.2655930867869429</v>
      </c>
    </row>
    <row r="89" spans="1:20" x14ac:dyDescent="0.2">
      <c r="B89">
        <f t="shared" si="18"/>
        <v>86</v>
      </c>
      <c r="C89">
        <f t="shared" si="12"/>
        <v>31</v>
      </c>
      <c r="D89">
        <v>61</v>
      </c>
      <c r="E89">
        <v>92</v>
      </c>
      <c r="F89">
        <f>RnSPLINE!H$6</f>
        <v>3.6046511627906979</v>
      </c>
      <c r="G89">
        <f>RnSPLINE!H$7</f>
        <v>4.3076923076923075</v>
      </c>
      <c r="H89" s="8">
        <f>RnSPLINE!M$6</f>
        <v>8.2240398068897502E-3</v>
      </c>
      <c r="I89" s="8">
        <f>RnSPLINE!M$7</f>
        <v>-8.0302535849192565E-3</v>
      </c>
      <c r="J89">
        <f t="shared" si="13"/>
        <v>0.19354838709677419</v>
      </c>
      <c r="K89">
        <f t="shared" si="14"/>
        <v>0.80645161290322576</v>
      </c>
      <c r="L89">
        <f t="shared" si="15"/>
        <v>40</v>
      </c>
      <c r="M89" s="8">
        <f t="shared" si="16"/>
        <v>4.1716198280339309</v>
      </c>
      <c r="N89" s="6">
        <f t="shared" si="11"/>
        <v>4.2888817053730905</v>
      </c>
      <c r="O89" s="8">
        <f t="shared" si="19"/>
        <v>478.49541466999398</v>
      </c>
      <c r="P89" s="8">
        <f t="shared" si="20"/>
        <v>481.53217168963448</v>
      </c>
      <c r="Q89" s="8">
        <f t="shared" si="17"/>
        <v>4.2888817053730905</v>
      </c>
      <c r="T89" s="8">
        <f t="shared" si="10"/>
        <v>4.2888817053730905</v>
      </c>
    </row>
    <row r="90" spans="1:20" x14ac:dyDescent="0.2">
      <c r="B90">
        <f t="shared" si="18"/>
        <v>87</v>
      </c>
      <c r="C90">
        <f t="shared" si="12"/>
        <v>31</v>
      </c>
      <c r="D90">
        <v>61</v>
      </c>
      <c r="E90">
        <v>92</v>
      </c>
      <c r="F90">
        <f>RnSPLINE!H$6</f>
        <v>3.6046511627906979</v>
      </c>
      <c r="G90">
        <f>RnSPLINE!H$7</f>
        <v>4.3076923076923075</v>
      </c>
      <c r="H90" s="8">
        <f>RnSPLINE!M$6</f>
        <v>8.2240398068897502E-3</v>
      </c>
      <c r="I90" s="8">
        <f>RnSPLINE!M$7</f>
        <v>-8.0302535849192565E-3</v>
      </c>
      <c r="J90">
        <f t="shared" si="13"/>
        <v>0.16129032258064516</v>
      </c>
      <c r="K90">
        <f t="shared" si="14"/>
        <v>0.83870967741935487</v>
      </c>
      <c r="L90">
        <f t="shared" si="15"/>
        <v>41</v>
      </c>
      <c r="M90" s="8">
        <f t="shared" si="16"/>
        <v>4.1942985746436605</v>
      </c>
      <c r="N90" s="6">
        <f t="shared" si="11"/>
        <v>4.3072860626437013</v>
      </c>
      <c r="O90" s="8">
        <f t="shared" si="19"/>
        <v>482.68971324463763</v>
      </c>
      <c r="P90" s="8">
        <f t="shared" si="20"/>
        <v>485.83945775227818</v>
      </c>
      <c r="Q90" s="8">
        <f t="shared" si="17"/>
        <v>4.3072860626437013</v>
      </c>
      <c r="T90" s="8">
        <f t="shared" si="10"/>
        <v>4.3072860626437013</v>
      </c>
    </row>
    <row r="91" spans="1:20" x14ac:dyDescent="0.2">
      <c r="B91">
        <f t="shared" si="18"/>
        <v>88</v>
      </c>
      <c r="C91">
        <f t="shared" si="12"/>
        <v>31</v>
      </c>
      <c r="D91">
        <v>61</v>
      </c>
      <c r="E91">
        <v>92</v>
      </c>
      <c r="F91">
        <f>RnSPLINE!H$6</f>
        <v>3.6046511627906979</v>
      </c>
      <c r="G91">
        <f>RnSPLINE!H$7</f>
        <v>4.3076923076923075</v>
      </c>
      <c r="H91" s="8">
        <f>RnSPLINE!M$6</f>
        <v>8.2240398068897502E-3</v>
      </c>
      <c r="I91" s="8">
        <f>RnSPLINE!M$7</f>
        <v>-8.0302535849192565E-3</v>
      </c>
      <c r="J91">
        <f t="shared" si="13"/>
        <v>0.12903225806451613</v>
      </c>
      <c r="K91">
        <f t="shared" si="14"/>
        <v>0.87096774193548387</v>
      </c>
      <c r="L91">
        <f t="shared" si="15"/>
        <v>42</v>
      </c>
      <c r="M91" s="8">
        <f t="shared" si="16"/>
        <v>4.2169773212533901</v>
      </c>
      <c r="N91" s="6">
        <f t="shared" si="11"/>
        <v>4.3202818265538792</v>
      </c>
      <c r="O91" s="8">
        <f t="shared" si="19"/>
        <v>486.90669056589104</v>
      </c>
      <c r="P91" s="8">
        <f t="shared" si="20"/>
        <v>490.15973957883205</v>
      </c>
      <c r="Q91" s="8">
        <f t="shared" si="17"/>
        <v>4.3202818265538792</v>
      </c>
      <c r="T91" s="8">
        <f t="shared" si="10"/>
        <v>4.3202818265538792</v>
      </c>
    </row>
    <row r="92" spans="1:20" x14ac:dyDescent="0.2">
      <c r="B92">
        <f t="shared" si="18"/>
        <v>89</v>
      </c>
      <c r="C92">
        <f t="shared" si="12"/>
        <v>31</v>
      </c>
      <c r="D92">
        <v>61</v>
      </c>
      <c r="E92">
        <v>92</v>
      </c>
      <c r="F92">
        <f>RnSPLINE!H$6</f>
        <v>3.6046511627906979</v>
      </c>
      <c r="G92">
        <f>RnSPLINE!H$7</f>
        <v>4.3076923076923075</v>
      </c>
      <c r="H92" s="8">
        <f>RnSPLINE!M$6</f>
        <v>8.2240398068897502E-3</v>
      </c>
      <c r="I92" s="8">
        <f>RnSPLINE!M$7</f>
        <v>-8.0302535849192565E-3</v>
      </c>
      <c r="J92">
        <f t="shared" si="13"/>
        <v>9.6774193548387094E-2</v>
      </c>
      <c r="K92">
        <f t="shared" si="14"/>
        <v>0.90322580645161288</v>
      </c>
      <c r="L92">
        <f t="shared" si="15"/>
        <v>43</v>
      </c>
      <c r="M92" s="8">
        <f t="shared" si="16"/>
        <v>4.2396560678631197</v>
      </c>
      <c r="N92" s="6">
        <f t="shared" si="11"/>
        <v>4.3273446650587255</v>
      </c>
      <c r="O92" s="8">
        <f t="shared" si="19"/>
        <v>491.14634663375415</v>
      </c>
      <c r="P92" s="8">
        <f t="shared" si="20"/>
        <v>494.48708424389076</v>
      </c>
      <c r="Q92" s="8">
        <f t="shared" si="17"/>
        <v>4.3273446650587255</v>
      </c>
      <c r="T92" s="8">
        <f t="shared" si="10"/>
        <v>4.3273446650587255</v>
      </c>
    </row>
    <row r="93" spans="1:20" x14ac:dyDescent="0.2">
      <c r="B93">
        <f t="shared" si="18"/>
        <v>90</v>
      </c>
      <c r="C93">
        <f t="shared" si="12"/>
        <v>31</v>
      </c>
      <c r="D93">
        <v>61</v>
      </c>
      <c r="E93">
        <v>92</v>
      </c>
      <c r="F93">
        <f>RnSPLINE!H$6</f>
        <v>3.6046511627906979</v>
      </c>
      <c r="G93">
        <f>RnSPLINE!H$7</f>
        <v>4.3076923076923075</v>
      </c>
      <c r="H93" s="8">
        <f>RnSPLINE!M$6</f>
        <v>8.2240398068897502E-3</v>
      </c>
      <c r="I93" s="8">
        <f>RnSPLINE!M$7</f>
        <v>-8.0302535849192565E-3</v>
      </c>
      <c r="J93">
        <f t="shared" si="13"/>
        <v>6.4516129032258063E-2</v>
      </c>
      <c r="K93">
        <f t="shared" si="14"/>
        <v>0.93548387096774188</v>
      </c>
      <c r="L93">
        <f t="shared" si="15"/>
        <v>44</v>
      </c>
      <c r="M93" s="8">
        <f t="shared" si="16"/>
        <v>4.2623348144728492</v>
      </c>
      <c r="N93" s="6">
        <f t="shared" si="11"/>
        <v>4.3279502461133443</v>
      </c>
      <c r="O93" s="8">
        <f t="shared" si="19"/>
        <v>495.40868144822701</v>
      </c>
      <c r="P93" s="8">
        <f t="shared" si="20"/>
        <v>498.81503449000411</v>
      </c>
      <c r="Q93" s="8">
        <f t="shared" si="17"/>
        <v>4.3279502461133443</v>
      </c>
      <c r="T93" s="8">
        <f t="shared" si="10"/>
        <v>4.3279502461133443</v>
      </c>
    </row>
    <row r="94" spans="1:20" x14ac:dyDescent="0.2">
      <c r="B94">
        <f t="shared" si="18"/>
        <v>91</v>
      </c>
      <c r="C94">
        <f t="shared" si="12"/>
        <v>31</v>
      </c>
      <c r="D94">
        <v>61</v>
      </c>
      <c r="E94">
        <v>92</v>
      </c>
      <c r="F94">
        <f>RnSPLINE!H$6</f>
        <v>3.6046511627906979</v>
      </c>
      <c r="G94">
        <f>RnSPLINE!H$7</f>
        <v>4.3076923076923075</v>
      </c>
      <c r="H94" s="8">
        <f>RnSPLINE!M$6</f>
        <v>8.2240398068897502E-3</v>
      </c>
      <c r="I94" s="8">
        <f>RnSPLINE!M$7</f>
        <v>-8.0302535849192565E-3</v>
      </c>
      <c r="J94">
        <f t="shared" si="13"/>
        <v>3.2258064516129031E-2</v>
      </c>
      <c r="K94">
        <f t="shared" si="14"/>
        <v>0.967741935483871</v>
      </c>
      <c r="L94">
        <f t="shared" si="15"/>
        <v>45</v>
      </c>
      <c r="M94" s="8">
        <f t="shared" si="16"/>
        <v>4.2850135610825788</v>
      </c>
      <c r="N94" s="6">
        <f t="shared" si="11"/>
        <v>4.321574237672837</v>
      </c>
      <c r="O94" s="8">
        <f t="shared" si="19"/>
        <v>499.69369500930958</v>
      </c>
      <c r="P94" s="8">
        <f t="shared" si="20"/>
        <v>503.13660872767696</v>
      </c>
      <c r="Q94" s="8">
        <f t="shared" si="17"/>
        <v>4.321574237672837</v>
      </c>
      <c r="T94" s="8">
        <f t="shared" si="10"/>
        <v>4.321574237672837</v>
      </c>
    </row>
    <row r="95" spans="1:20" x14ac:dyDescent="0.2">
      <c r="A95">
        <v>92</v>
      </c>
      <c r="B95">
        <f t="shared" si="18"/>
        <v>92</v>
      </c>
      <c r="C95">
        <f t="shared" si="12"/>
        <v>31</v>
      </c>
      <c r="D95">
        <v>61</v>
      </c>
      <c r="E95">
        <v>92</v>
      </c>
      <c r="F95">
        <f>RnSPLINE!H$6</f>
        <v>3.6046511627906979</v>
      </c>
      <c r="G95">
        <f>RnSPLINE!H$7</f>
        <v>4.3076923076923075</v>
      </c>
      <c r="H95" s="8">
        <f>RnSPLINE!M$6</f>
        <v>8.2240398068897502E-3</v>
      </c>
      <c r="I95" s="8">
        <f>RnSPLINE!M$7</f>
        <v>-8.0302535849192565E-3</v>
      </c>
      <c r="J95">
        <f t="shared" si="13"/>
        <v>0</v>
      </c>
      <c r="K95">
        <f t="shared" si="14"/>
        <v>1</v>
      </c>
      <c r="L95">
        <f t="shared" si="15"/>
        <v>46</v>
      </c>
      <c r="M95" s="8">
        <f t="shared" si="16"/>
        <v>4.3076923076923075</v>
      </c>
      <c r="N95" s="6">
        <f t="shared" si="11"/>
        <v>4.3076923076923075</v>
      </c>
      <c r="O95" s="8">
        <f t="shared" si="19"/>
        <v>504.0013873170019</v>
      </c>
      <c r="P95" s="8">
        <f t="shared" si="20"/>
        <v>507.44430103536928</v>
      </c>
      <c r="Q95" s="8">
        <f t="shared" si="17"/>
        <v>4.3076923076923075</v>
      </c>
      <c r="T95" s="8">
        <f t="shared" si="10"/>
        <v>4.3076923076923075</v>
      </c>
    </row>
    <row r="96" spans="1:20" x14ac:dyDescent="0.2">
      <c r="B96">
        <f t="shared" si="18"/>
        <v>93</v>
      </c>
      <c r="C96">
        <f t="shared" si="12"/>
        <v>30</v>
      </c>
      <c r="D96">
        <v>92</v>
      </c>
      <c r="E96">
        <v>122</v>
      </c>
      <c r="F96">
        <f>RnSPLINE!H$7</f>
        <v>4.3076923076923075</v>
      </c>
      <c r="G96">
        <f>RnSPLINE!H$8</f>
        <v>5.3448275862068968</v>
      </c>
      <c r="H96">
        <f>RnSPLINE!M$7</f>
        <v>-8.0302535849192565E-3</v>
      </c>
      <c r="I96">
        <f>RnSPLINE!M$8</f>
        <v>2.6536675979703626E-2</v>
      </c>
      <c r="J96">
        <f t="shared" si="13"/>
        <v>0.96666666666666667</v>
      </c>
      <c r="K96">
        <f t="shared" si="14"/>
        <v>3.3333333333333333E-2</v>
      </c>
      <c r="L96">
        <f t="shared" si="15"/>
        <v>47</v>
      </c>
      <c r="M96" s="8">
        <f t="shared" si="16"/>
        <v>4.3422634836427934</v>
      </c>
      <c r="N96" s="6">
        <f t="shared" si="11"/>
        <v>4.2860595512985897</v>
      </c>
      <c r="O96" s="8">
        <f t="shared" si="19"/>
        <v>508.3436508006447</v>
      </c>
      <c r="P96" s="8">
        <f t="shared" si="20"/>
        <v>511.73036058666787</v>
      </c>
      <c r="Q96" s="8">
        <f t="shared" si="17"/>
        <v>4.2860595512985897</v>
      </c>
      <c r="T96" s="8">
        <f t="shared" si="10"/>
        <v>4.2860595512985897</v>
      </c>
    </row>
    <row r="97" spans="2:20" x14ac:dyDescent="0.2">
      <c r="B97">
        <f t="shared" si="18"/>
        <v>94</v>
      </c>
      <c r="C97">
        <f t="shared" si="12"/>
        <v>30</v>
      </c>
      <c r="D97">
        <v>92</v>
      </c>
      <c r="E97">
        <v>122</v>
      </c>
      <c r="F97">
        <f>RnSPLINE!H$7</f>
        <v>4.3076923076923075</v>
      </c>
      <c r="G97">
        <f>RnSPLINE!H$8</f>
        <v>5.3448275862068968</v>
      </c>
      <c r="H97">
        <f>RnSPLINE!M$7</f>
        <v>-8.0302535849192565E-3</v>
      </c>
      <c r="I97">
        <f>RnSPLINE!M$8</f>
        <v>2.6536675979703626E-2</v>
      </c>
      <c r="J97">
        <f t="shared" si="13"/>
        <v>0.93333333333333335</v>
      </c>
      <c r="K97">
        <f t="shared" si="14"/>
        <v>6.6666666666666666E-2</v>
      </c>
      <c r="L97">
        <f t="shared" si="15"/>
        <v>48</v>
      </c>
      <c r="M97" s="8">
        <f t="shared" si="16"/>
        <v>4.3768346595932801</v>
      </c>
      <c r="N97" s="6">
        <f t="shared" si="11"/>
        <v>4.2575487723054399</v>
      </c>
      <c r="O97" s="8">
        <f t="shared" si="19"/>
        <v>512.72048546023802</v>
      </c>
      <c r="P97" s="8">
        <f t="shared" si="20"/>
        <v>515.9879093589733</v>
      </c>
      <c r="Q97" s="8">
        <f t="shared" si="17"/>
        <v>4.2575487723054399</v>
      </c>
      <c r="T97" s="8">
        <f t="shared" si="10"/>
        <v>4.2575487723054399</v>
      </c>
    </row>
    <row r="98" spans="2:20" x14ac:dyDescent="0.2">
      <c r="B98">
        <f t="shared" si="18"/>
        <v>95</v>
      </c>
      <c r="C98">
        <f t="shared" si="12"/>
        <v>30</v>
      </c>
      <c r="D98">
        <v>92</v>
      </c>
      <c r="E98">
        <v>122</v>
      </c>
      <c r="F98">
        <f>RnSPLINE!H$7</f>
        <v>4.3076923076923075</v>
      </c>
      <c r="G98">
        <f>RnSPLINE!H$8</f>
        <v>5.3448275862068968</v>
      </c>
      <c r="H98">
        <f>RnSPLINE!M$7</f>
        <v>-8.0302535849192565E-3</v>
      </c>
      <c r="I98">
        <f>RnSPLINE!M$8</f>
        <v>2.6536675979703626E-2</v>
      </c>
      <c r="J98">
        <f t="shared" si="13"/>
        <v>0.9</v>
      </c>
      <c r="K98">
        <f t="shared" si="14"/>
        <v>0.1</v>
      </c>
      <c r="L98">
        <f t="shared" si="15"/>
        <v>49</v>
      </c>
      <c r="M98" s="8">
        <f t="shared" si="16"/>
        <v>4.4114058355437669</v>
      </c>
      <c r="N98" s="6">
        <f t="shared" si="11"/>
        <v>4.2233122016983469</v>
      </c>
      <c r="O98" s="8">
        <f t="shared" si="19"/>
        <v>517.13189129578177</v>
      </c>
      <c r="P98" s="8">
        <f t="shared" si="20"/>
        <v>520.21122156067167</v>
      </c>
      <c r="Q98" s="8">
        <f t="shared" si="17"/>
        <v>4.2233122016983469</v>
      </c>
      <c r="T98" s="8">
        <f t="shared" si="10"/>
        <v>4.2233122016983469</v>
      </c>
    </row>
    <row r="99" spans="2:20" x14ac:dyDescent="0.2">
      <c r="B99">
        <f t="shared" si="18"/>
        <v>96</v>
      </c>
      <c r="C99">
        <f t="shared" si="12"/>
        <v>30</v>
      </c>
      <c r="D99">
        <v>92</v>
      </c>
      <c r="E99">
        <v>122</v>
      </c>
      <c r="F99">
        <f>RnSPLINE!H$7</f>
        <v>4.3076923076923075</v>
      </c>
      <c r="G99">
        <f>RnSPLINE!H$8</f>
        <v>5.3448275862068968</v>
      </c>
      <c r="H99">
        <f>RnSPLINE!M$7</f>
        <v>-8.0302535849192565E-3</v>
      </c>
      <c r="I99">
        <f>RnSPLINE!M$8</f>
        <v>2.6536675979703626E-2</v>
      </c>
      <c r="J99">
        <f t="shared" si="13"/>
        <v>0.8666666666666667</v>
      </c>
      <c r="K99">
        <f t="shared" si="14"/>
        <v>0.13333333333333333</v>
      </c>
      <c r="L99">
        <f t="shared" si="15"/>
        <v>50</v>
      </c>
      <c r="M99" s="8">
        <f t="shared" si="16"/>
        <v>4.4459770114942527</v>
      </c>
      <c r="N99" s="6">
        <f t="shared" si="11"/>
        <v>4.1845020704627958</v>
      </c>
      <c r="O99" s="8">
        <f t="shared" si="19"/>
        <v>521.57786830727605</v>
      </c>
      <c r="P99" s="8">
        <f t="shared" si="20"/>
        <v>524.3957236311345</v>
      </c>
      <c r="Q99" s="8">
        <f t="shared" si="17"/>
        <v>4.1845020704627958</v>
      </c>
      <c r="T99" s="8">
        <f t="shared" si="10"/>
        <v>4.1845020704627958</v>
      </c>
    </row>
    <row r="100" spans="2:20" x14ac:dyDescent="0.2">
      <c r="B100">
        <f t="shared" si="18"/>
        <v>97</v>
      </c>
      <c r="C100">
        <f t="shared" si="12"/>
        <v>30</v>
      </c>
      <c r="D100">
        <v>92</v>
      </c>
      <c r="E100">
        <v>122</v>
      </c>
      <c r="F100">
        <f>RnSPLINE!H$7</f>
        <v>4.3076923076923075</v>
      </c>
      <c r="G100">
        <f>RnSPLINE!H$8</f>
        <v>5.3448275862068968</v>
      </c>
      <c r="H100">
        <f>RnSPLINE!M$7</f>
        <v>-8.0302535849192565E-3</v>
      </c>
      <c r="I100">
        <f>RnSPLINE!M$8</f>
        <v>2.6536675979703626E-2</v>
      </c>
      <c r="J100">
        <f t="shared" si="13"/>
        <v>0.83333333333333337</v>
      </c>
      <c r="K100">
        <f t="shared" si="14"/>
        <v>0.16666666666666666</v>
      </c>
      <c r="L100">
        <f t="shared" si="15"/>
        <v>51</v>
      </c>
      <c r="M100" s="8">
        <f t="shared" si="16"/>
        <v>4.4805481874447395</v>
      </c>
      <c r="N100" s="6">
        <f t="shared" si="11"/>
        <v>4.1422706095842754</v>
      </c>
      <c r="O100" s="8">
        <f t="shared" si="19"/>
        <v>526.05841649472075</v>
      </c>
      <c r="P100" s="8">
        <f t="shared" si="20"/>
        <v>528.53799424071883</v>
      </c>
      <c r="Q100" s="8">
        <f t="shared" si="17"/>
        <v>4.1422706095842754</v>
      </c>
      <c r="T100" s="8">
        <f t="shared" si="10"/>
        <v>4.1422706095842754</v>
      </c>
    </row>
    <row r="101" spans="2:20" x14ac:dyDescent="0.2">
      <c r="B101">
        <f t="shared" si="18"/>
        <v>98</v>
      </c>
      <c r="C101">
        <f t="shared" si="12"/>
        <v>30</v>
      </c>
      <c r="D101">
        <v>92</v>
      </c>
      <c r="E101">
        <v>122</v>
      </c>
      <c r="F101">
        <f>RnSPLINE!H$7</f>
        <v>4.3076923076923075</v>
      </c>
      <c r="G101">
        <f>RnSPLINE!H$8</f>
        <v>5.3448275862068968</v>
      </c>
      <c r="H101">
        <f>RnSPLINE!M$7</f>
        <v>-8.0302535849192565E-3</v>
      </c>
      <c r="I101">
        <f>RnSPLINE!M$8</f>
        <v>2.6536675979703626E-2</v>
      </c>
      <c r="J101">
        <f t="shared" si="13"/>
        <v>0.8</v>
      </c>
      <c r="K101">
        <f t="shared" si="14"/>
        <v>0.2</v>
      </c>
      <c r="L101">
        <f t="shared" si="15"/>
        <v>52</v>
      </c>
      <c r="M101" s="8">
        <f t="shared" si="16"/>
        <v>4.5151193633952253</v>
      </c>
      <c r="N101" s="6">
        <f t="shared" si="11"/>
        <v>4.0977700500482728</v>
      </c>
      <c r="O101" s="8">
        <f t="shared" si="19"/>
        <v>530.57353585811597</v>
      </c>
      <c r="P101" s="8">
        <f t="shared" si="20"/>
        <v>532.63576429076716</v>
      </c>
      <c r="Q101" s="8">
        <f t="shared" si="17"/>
        <v>4.0977700500482728</v>
      </c>
      <c r="T101" s="8">
        <f t="shared" si="10"/>
        <v>4.0977700500482728</v>
      </c>
    </row>
    <row r="102" spans="2:20" x14ac:dyDescent="0.2">
      <c r="B102">
        <f t="shared" si="18"/>
        <v>99</v>
      </c>
      <c r="C102">
        <f t="shared" si="12"/>
        <v>30</v>
      </c>
      <c r="D102">
        <v>92</v>
      </c>
      <c r="E102">
        <v>122</v>
      </c>
      <c r="F102">
        <f>RnSPLINE!H$7</f>
        <v>4.3076923076923075</v>
      </c>
      <c r="G102">
        <f>RnSPLINE!H$8</f>
        <v>5.3448275862068968</v>
      </c>
      <c r="H102">
        <f>RnSPLINE!M$7</f>
        <v>-8.0302535849192565E-3</v>
      </c>
      <c r="I102">
        <f>RnSPLINE!M$8</f>
        <v>2.6536675979703626E-2</v>
      </c>
      <c r="J102">
        <f t="shared" si="13"/>
        <v>0.76666666666666672</v>
      </c>
      <c r="K102">
        <f t="shared" si="14"/>
        <v>0.23333333333333334</v>
      </c>
      <c r="L102">
        <f t="shared" si="15"/>
        <v>53</v>
      </c>
      <c r="M102" s="8">
        <f t="shared" si="16"/>
        <v>4.5496905393457121</v>
      </c>
      <c r="N102" s="6">
        <f t="shared" si="11"/>
        <v>4.0521526228402758</v>
      </c>
      <c r="O102" s="8">
        <f t="shared" si="19"/>
        <v>535.12322639746174</v>
      </c>
      <c r="P102" s="8">
        <f t="shared" si="20"/>
        <v>536.68791691360741</v>
      </c>
      <c r="Q102" s="8">
        <f t="shared" si="17"/>
        <v>4.0521526228402758</v>
      </c>
      <c r="T102" s="8">
        <f t="shared" si="10"/>
        <v>4.0521526228402758</v>
      </c>
    </row>
    <row r="103" spans="2:20" x14ac:dyDescent="0.2">
      <c r="B103">
        <f t="shared" si="18"/>
        <v>100</v>
      </c>
      <c r="C103">
        <f t="shared" si="12"/>
        <v>30</v>
      </c>
      <c r="D103">
        <v>92</v>
      </c>
      <c r="E103">
        <v>122</v>
      </c>
      <c r="F103">
        <f>RnSPLINE!H$7</f>
        <v>4.3076923076923075</v>
      </c>
      <c r="G103">
        <f>RnSPLINE!H$8</f>
        <v>5.3448275862068968</v>
      </c>
      <c r="H103">
        <f>RnSPLINE!M$7</f>
        <v>-8.0302535849192565E-3</v>
      </c>
      <c r="I103">
        <f>RnSPLINE!M$8</f>
        <v>2.6536675979703626E-2</v>
      </c>
      <c r="J103">
        <f t="shared" si="13"/>
        <v>0.73333333333333328</v>
      </c>
      <c r="K103">
        <f t="shared" si="14"/>
        <v>0.26666666666666666</v>
      </c>
      <c r="L103">
        <f t="shared" si="15"/>
        <v>54</v>
      </c>
      <c r="M103" s="8">
        <f t="shared" si="16"/>
        <v>4.5842617152961971</v>
      </c>
      <c r="N103" s="6">
        <f t="shared" si="11"/>
        <v>4.0065705589457705</v>
      </c>
      <c r="O103" s="8">
        <f t="shared" si="19"/>
        <v>539.70748811275791</v>
      </c>
      <c r="P103" s="8">
        <f t="shared" si="20"/>
        <v>540.69448747255319</v>
      </c>
      <c r="Q103" s="8">
        <f t="shared" si="17"/>
        <v>4.0065705589457705</v>
      </c>
      <c r="T103" s="8">
        <f t="shared" si="10"/>
        <v>4.0065705589457705</v>
      </c>
    </row>
    <row r="104" spans="2:20" x14ac:dyDescent="0.2">
      <c r="B104">
        <f t="shared" si="18"/>
        <v>101</v>
      </c>
      <c r="C104">
        <f t="shared" si="12"/>
        <v>30</v>
      </c>
      <c r="D104">
        <v>92</v>
      </c>
      <c r="E104">
        <v>122</v>
      </c>
      <c r="F104">
        <f>RnSPLINE!H$7</f>
        <v>4.3076923076923075</v>
      </c>
      <c r="G104">
        <f>RnSPLINE!H$8</f>
        <v>5.3448275862068968</v>
      </c>
      <c r="H104">
        <f>RnSPLINE!M$7</f>
        <v>-8.0302535849192565E-3</v>
      </c>
      <c r="I104">
        <f>RnSPLINE!M$8</f>
        <v>2.6536675979703626E-2</v>
      </c>
      <c r="J104">
        <f t="shared" si="13"/>
        <v>0.7</v>
      </c>
      <c r="K104">
        <f t="shared" si="14"/>
        <v>0.3</v>
      </c>
      <c r="L104">
        <f t="shared" si="15"/>
        <v>55</v>
      </c>
      <c r="M104" s="8">
        <f t="shared" si="16"/>
        <v>4.6188328912466838</v>
      </c>
      <c r="N104" s="6">
        <f t="shared" si="11"/>
        <v>3.9621760893502467</v>
      </c>
      <c r="O104" s="8">
        <f t="shared" si="19"/>
        <v>544.32632100400463</v>
      </c>
      <c r="P104" s="8">
        <f t="shared" si="20"/>
        <v>544.65666356190343</v>
      </c>
      <c r="Q104" s="8">
        <f t="shared" si="17"/>
        <v>3.9621760893502467</v>
      </c>
      <c r="T104" s="8">
        <f t="shared" si="10"/>
        <v>3.9621760893502467</v>
      </c>
    </row>
    <row r="105" spans="2:20" x14ac:dyDescent="0.2">
      <c r="B105">
        <f t="shared" si="18"/>
        <v>102</v>
      </c>
      <c r="C105">
        <f t="shared" si="12"/>
        <v>30</v>
      </c>
      <c r="D105">
        <v>92</v>
      </c>
      <c r="E105">
        <v>122</v>
      </c>
      <c r="F105">
        <f>RnSPLINE!H$7</f>
        <v>4.3076923076923075</v>
      </c>
      <c r="G105">
        <f>RnSPLINE!H$8</f>
        <v>5.3448275862068968</v>
      </c>
      <c r="H105">
        <f>RnSPLINE!M$7</f>
        <v>-8.0302535849192565E-3</v>
      </c>
      <c r="I105">
        <f>RnSPLINE!M$8</f>
        <v>2.6536675979703626E-2</v>
      </c>
      <c r="J105">
        <f t="shared" si="13"/>
        <v>0.66666666666666663</v>
      </c>
      <c r="K105">
        <f t="shared" si="14"/>
        <v>0.33333333333333331</v>
      </c>
      <c r="L105">
        <f t="shared" si="15"/>
        <v>56</v>
      </c>
      <c r="M105" s="8">
        <f t="shared" si="16"/>
        <v>4.6534040671971706</v>
      </c>
      <c r="N105" s="6">
        <f t="shared" si="11"/>
        <v>3.9201214450391904</v>
      </c>
      <c r="O105" s="8">
        <f t="shared" si="19"/>
        <v>548.97972507120176</v>
      </c>
      <c r="P105" s="8">
        <f t="shared" si="20"/>
        <v>548.5767850069426</v>
      </c>
      <c r="Q105" s="8">
        <f t="shared" si="17"/>
        <v>3.9201214450391904</v>
      </c>
      <c r="T105" s="8">
        <f t="shared" si="10"/>
        <v>3.9201214450391904</v>
      </c>
    </row>
    <row r="106" spans="2:20" x14ac:dyDescent="0.2">
      <c r="B106">
        <f t="shared" si="18"/>
        <v>103</v>
      </c>
      <c r="C106">
        <f t="shared" si="12"/>
        <v>30</v>
      </c>
      <c r="D106">
        <v>92</v>
      </c>
      <c r="E106">
        <v>122</v>
      </c>
      <c r="F106">
        <f>RnSPLINE!H$7</f>
        <v>4.3076923076923075</v>
      </c>
      <c r="G106">
        <f>RnSPLINE!H$8</f>
        <v>5.3448275862068968</v>
      </c>
      <c r="H106">
        <f>RnSPLINE!M$7</f>
        <v>-8.0302535849192565E-3</v>
      </c>
      <c r="I106">
        <f>RnSPLINE!M$8</f>
        <v>2.6536675979703626E-2</v>
      </c>
      <c r="J106">
        <f t="shared" si="13"/>
        <v>0.6333333333333333</v>
      </c>
      <c r="K106">
        <f t="shared" si="14"/>
        <v>0.36666666666666664</v>
      </c>
      <c r="L106">
        <f t="shared" si="15"/>
        <v>57</v>
      </c>
      <c r="M106" s="8">
        <f t="shared" si="16"/>
        <v>4.6879752431476565</v>
      </c>
      <c r="N106" s="6">
        <f t="shared" si="11"/>
        <v>3.8815588569980881</v>
      </c>
      <c r="O106" s="8">
        <f t="shared" si="19"/>
        <v>553.66770031434942</v>
      </c>
      <c r="P106" s="8">
        <f t="shared" si="20"/>
        <v>552.45834386394074</v>
      </c>
      <c r="Q106" s="8">
        <f t="shared" si="17"/>
        <v>3.8815588569980881</v>
      </c>
      <c r="T106" s="8">
        <f t="shared" si="10"/>
        <v>3.8815588569980881</v>
      </c>
    </row>
    <row r="107" spans="2:20" x14ac:dyDescent="0.2">
      <c r="B107">
        <f t="shared" si="18"/>
        <v>104</v>
      </c>
      <c r="C107">
        <f t="shared" si="12"/>
        <v>30</v>
      </c>
      <c r="D107">
        <v>92</v>
      </c>
      <c r="E107">
        <v>122</v>
      </c>
      <c r="F107">
        <f>RnSPLINE!H$7</f>
        <v>4.3076923076923075</v>
      </c>
      <c r="G107">
        <f>RnSPLINE!H$8</f>
        <v>5.3448275862068968</v>
      </c>
      <c r="H107">
        <f>RnSPLINE!M$7</f>
        <v>-8.0302535849192565E-3</v>
      </c>
      <c r="I107">
        <f>RnSPLINE!M$8</f>
        <v>2.6536675979703626E-2</v>
      </c>
      <c r="J107">
        <f t="shared" si="13"/>
        <v>0.6</v>
      </c>
      <c r="K107">
        <f t="shared" si="14"/>
        <v>0.4</v>
      </c>
      <c r="L107">
        <f t="shared" si="15"/>
        <v>58</v>
      </c>
      <c r="M107" s="8">
        <f t="shared" si="16"/>
        <v>4.7225464190981432</v>
      </c>
      <c r="N107" s="6">
        <f t="shared" si="11"/>
        <v>3.8476405562124296</v>
      </c>
      <c r="O107" s="8">
        <f t="shared" si="19"/>
        <v>558.39024673344761</v>
      </c>
      <c r="P107" s="8">
        <f t="shared" si="20"/>
        <v>556.30598442015321</v>
      </c>
      <c r="Q107" s="8">
        <f t="shared" si="17"/>
        <v>3.8476405562124296</v>
      </c>
      <c r="T107" s="8">
        <f t="shared" si="10"/>
        <v>3.8476405562124296</v>
      </c>
    </row>
    <row r="108" spans="2:20" x14ac:dyDescent="0.2">
      <c r="B108">
        <f t="shared" si="18"/>
        <v>105</v>
      </c>
      <c r="C108">
        <f t="shared" si="12"/>
        <v>30</v>
      </c>
      <c r="D108">
        <v>92</v>
      </c>
      <c r="E108">
        <v>122</v>
      </c>
      <c r="F108">
        <f>RnSPLINE!H$7</f>
        <v>4.3076923076923075</v>
      </c>
      <c r="G108">
        <f>RnSPLINE!H$8</f>
        <v>5.3448275862068968</v>
      </c>
      <c r="H108">
        <f>RnSPLINE!M$7</f>
        <v>-8.0302535849192565E-3</v>
      </c>
      <c r="I108">
        <f>RnSPLINE!M$8</f>
        <v>2.6536675979703626E-2</v>
      </c>
      <c r="J108">
        <f t="shared" si="13"/>
        <v>0.56666666666666665</v>
      </c>
      <c r="K108">
        <f t="shared" si="14"/>
        <v>0.43333333333333335</v>
      </c>
      <c r="L108">
        <f t="shared" si="15"/>
        <v>59</v>
      </c>
      <c r="M108" s="8">
        <f t="shared" si="16"/>
        <v>4.75711759504863</v>
      </c>
      <c r="N108" s="6">
        <f t="shared" si="11"/>
        <v>3.8195187736677005</v>
      </c>
      <c r="O108" s="8">
        <f t="shared" si="19"/>
        <v>563.14736432849622</v>
      </c>
      <c r="P108" s="8">
        <f t="shared" si="20"/>
        <v>560.12550319382092</v>
      </c>
      <c r="Q108" s="8">
        <f t="shared" si="17"/>
        <v>3.8195187736677005</v>
      </c>
      <c r="T108" s="8">
        <f t="shared" si="10"/>
        <v>3.8195187736677005</v>
      </c>
    </row>
    <row r="109" spans="2:20" x14ac:dyDescent="0.2">
      <c r="B109">
        <f t="shared" si="18"/>
        <v>106</v>
      </c>
      <c r="C109">
        <f t="shared" si="12"/>
        <v>30</v>
      </c>
      <c r="D109">
        <v>92</v>
      </c>
      <c r="E109">
        <v>122</v>
      </c>
      <c r="F109">
        <f>RnSPLINE!H$7</f>
        <v>4.3076923076923075</v>
      </c>
      <c r="G109">
        <f>RnSPLINE!H$8</f>
        <v>5.3448275862068968</v>
      </c>
      <c r="H109">
        <f>RnSPLINE!M$7</f>
        <v>-8.0302535849192565E-3</v>
      </c>
      <c r="I109">
        <f>RnSPLINE!M$8</f>
        <v>2.6536675979703626E-2</v>
      </c>
      <c r="J109">
        <f t="shared" si="13"/>
        <v>0.53333333333333333</v>
      </c>
      <c r="K109">
        <f t="shared" si="14"/>
        <v>0.46666666666666667</v>
      </c>
      <c r="L109">
        <f t="shared" si="15"/>
        <v>60</v>
      </c>
      <c r="M109" s="8">
        <f t="shared" si="16"/>
        <v>4.7916887709991158</v>
      </c>
      <c r="N109" s="6">
        <f t="shared" si="11"/>
        <v>3.7983457403493883</v>
      </c>
      <c r="O109" s="8">
        <f t="shared" si="19"/>
        <v>567.93905309949537</v>
      </c>
      <c r="P109" s="8">
        <f t="shared" si="20"/>
        <v>563.92384893417034</v>
      </c>
      <c r="Q109" s="8">
        <f t="shared" si="17"/>
        <v>3.7983457403493883</v>
      </c>
      <c r="T109" s="8">
        <f t="shared" si="10"/>
        <v>3.7983457403493883</v>
      </c>
    </row>
    <row r="110" spans="2:20" x14ac:dyDescent="0.2">
      <c r="B110">
        <f t="shared" si="18"/>
        <v>107</v>
      </c>
      <c r="C110">
        <f t="shared" si="12"/>
        <v>30</v>
      </c>
      <c r="D110">
        <v>92</v>
      </c>
      <c r="E110">
        <v>122</v>
      </c>
      <c r="F110">
        <f>RnSPLINE!H$7</f>
        <v>4.3076923076923075</v>
      </c>
      <c r="G110">
        <f>RnSPLINE!H$8</f>
        <v>5.3448275862068968</v>
      </c>
      <c r="H110">
        <f>RnSPLINE!M$7</f>
        <v>-8.0302535849192565E-3</v>
      </c>
      <c r="I110">
        <f>RnSPLINE!M$8</f>
        <v>2.6536675979703626E-2</v>
      </c>
      <c r="J110">
        <f t="shared" si="13"/>
        <v>0.5</v>
      </c>
      <c r="K110">
        <f t="shared" si="14"/>
        <v>0.5</v>
      </c>
      <c r="L110">
        <f t="shared" si="15"/>
        <v>61</v>
      </c>
      <c r="M110" s="8">
        <f t="shared" si="16"/>
        <v>4.8262599469496017</v>
      </c>
      <c r="N110" s="6">
        <f t="shared" si="11"/>
        <v>3.7852736872429809</v>
      </c>
      <c r="O110" s="8">
        <f t="shared" si="19"/>
        <v>572.76531304644493</v>
      </c>
      <c r="P110" s="8">
        <f t="shared" si="20"/>
        <v>567.70912262141337</v>
      </c>
      <c r="Q110" s="8">
        <f t="shared" si="17"/>
        <v>3.7852736872429809</v>
      </c>
      <c r="T110" s="8">
        <f t="shared" si="10"/>
        <v>3.7852736872429809</v>
      </c>
    </row>
    <row r="111" spans="2:20" x14ac:dyDescent="0.2">
      <c r="B111">
        <f t="shared" si="18"/>
        <v>108</v>
      </c>
      <c r="C111">
        <f t="shared" si="12"/>
        <v>30</v>
      </c>
      <c r="D111">
        <v>92</v>
      </c>
      <c r="E111">
        <v>122</v>
      </c>
      <c r="F111">
        <f>RnSPLINE!H$7</f>
        <v>4.3076923076923075</v>
      </c>
      <c r="G111">
        <f>RnSPLINE!H$8</f>
        <v>5.3448275862068968</v>
      </c>
      <c r="H111">
        <f>RnSPLINE!M$7</f>
        <v>-8.0302535849192565E-3</v>
      </c>
      <c r="I111">
        <f>RnSPLINE!M$8</f>
        <v>2.6536675979703626E-2</v>
      </c>
      <c r="J111">
        <f t="shared" si="13"/>
        <v>0.46666666666666667</v>
      </c>
      <c r="K111">
        <f t="shared" si="14"/>
        <v>0.53333333333333333</v>
      </c>
      <c r="L111">
        <f t="shared" si="15"/>
        <v>62</v>
      </c>
      <c r="M111" s="8">
        <f t="shared" si="16"/>
        <v>4.8608311229000885</v>
      </c>
      <c r="N111" s="6">
        <f t="shared" si="11"/>
        <v>3.7814548453339665</v>
      </c>
      <c r="O111" s="8">
        <f t="shared" si="19"/>
        <v>577.62614416934503</v>
      </c>
      <c r="P111" s="8">
        <f t="shared" si="20"/>
        <v>571.49057746674737</v>
      </c>
      <c r="Q111" s="8">
        <f t="shared" si="17"/>
        <v>3.7814548453339665</v>
      </c>
      <c r="T111" s="8">
        <f t="shared" si="10"/>
        <v>3.7814548453339665</v>
      </c>
    </row>
    <row r="112" spans="2:20" x14ac:dyDescent="0.2">
      <c r="B112">
        <f t="shared" si="18"/>
        <v>109</v>
      </c>
      <c r="C112">
        <f t="shared" si="12"/>
        <v>30</v>
      </c>
      <c r="D112">
        <v>92</v>
      </c>
      <c r="E112">
        <v>122</v>
      </c>
      <c r="F112">
        <f>RnSPLINE!H$7</f>
        <v>4.3076923076923075</v>
      </c>
      <c r="G112">
        <f>RnSPLINE!H$8</f>
        <v>5.3448275862068968</v>
      </c>
      <c r="H112">
        <f>RnSPLINE!M$7</f>
        <v>-8.0302535849192565E-3</v>
      </c>
      <c r="I112">
        <f>RnSPLINE!M$8</f>
        <v>2.6536675979703626E-2</v>
      </c>
      <c r="J112">
        <f t="shared" si="13"/>
        <v>0.43333333333333335</v>
      </c>
      <c r="K112">
        <f t="shared" si="14"/>
        <v>0.56666666666666665</v>
      </c>
      <c r="L112">
        <f t="shared" si="15"/>
        <v>63</v>
      </c>
      <c r="M112" s="8">
        <f t="shared" si="16"/>
        <v>4.8954022988505752</v>
      </c>
      <c r="N112" s="6">
        <f t="shared" si="11"/>
        <v>3.7880414456078313</v>
      </c>
      <c r="O112" s="8">
        <f t="shared" si="19"/>
        <v>582.52154646819565</v>
      </c>
      <c r="P112" s="8">
        <f t="shared" si="20"/>
        <v>575.27861891235523</v>
      </c>
      <c r="Q112" s="8">
        <f t="shared" si="17"/>
        <v>3.7880414456078313</v>
      </c>
      <c r="T112" s="8">
        <f t="shared" si="10"/>
        <v>3.7880414456078313</v>
      </c>
    </row>
    <row r="113" spans="1:20" x14ac:dyDescent="0.2">
      <c r="B113">
        <f t="shared" si="18"/>
        <v>110</v>
      </c>
      <c r="C113">
        <f t="shared" si="12"/>
        <v>30</v>
      </c>
      <c r="D113">
        <v>92</v>
      </c>
      <c r="E113">
        <v>122</v>
      </c>
      <c r="F113">
        <f>RnSPLINE!H$7</f>
        <v>4.3076923076923075</v>
      </c>
      <c r="G113">
        <f>RnSPLINE!H$8</f>
        <v>5.3448275862068968</v>
      </c>
      <c r="H113">
        <f>RnSPLINE!M$7</f>
        <v>-8.0302535849192565E-3</v>
      </c>
      <c r="I113">
        <f>RnSPLINE!M$8</f>
        <v>2.6536675979703626E-2</v>
      </c>
      <c r="J113">
        <f t="shared" si="13"/>
        <v>0.4</v>
      </c>
      <c r="K113">
        <f t="shared" si="14"/>
        <v>0.6</v>
      </c>
      <c r="L113">
        <f t="shared" si="15"/>
        <v>64</v>
      </c>
      <c r="M113" s="8">
        <f t="shared" si="16"/>
        <v>4.9299734748010611</v>
      </c>
      <c r="N113" s="6">
        <f t="shared" si="11"/>
        <v>3.8061857190500628</v>
      </c>
      <c r="O113" s="8">
        <f t="shared" si="19"/>
        <v>587.4515199429967</v>
      </c>
      <c r="P113" s="8">
        <f t="shared" si="20"/>
        <v>579.08480463140529</v>
      </c>
      <c r="Q113" s="8">
        <f t="shared" si="17"/>
        <v>3.8061857190500628</v>
      </c>
      <c r="T113" s="8">
        <f t="shared" si="10"/>
        <v>3.8061857190500628</v>
      </c>
    </row>
    <row r="114" spans="1:20" x14ac:dyDescent="0.2">
      <c r="B114">
        <f t="shared" si="18"/>
        <v>111</v>
      </c>
      <c r="C114">
        <f t="shared" si="12"/>
        <v>30</v>
      </c>
      <c r="D114">
        <v>92</v>
      </c>
      <c r="E114">
        <v>122</v>
      </c>
      <c r="F114">
        <f>RnSPLINE!H$7</f>
        <v>4.3076923076923075</v>
      </c>
      <c r="G114">
        <f>RnSPLINE!H$8</f>
        <v>5.3448275862068968</v>
      </c>
      <c r="H114">
        <f>RnSPLINE!M$7</f>
        <v>-8.0302535849192565E-3</v>
      </c>
      <c r="I114">
        <f>RnSPLINE!M$8</f>
        <v>2.6536675979703626E-2</v>
      </c>
      <c r="J114">
        <f t="shared" si="13"/>
        <v>0.36666666666666664</v>
      </c>
      <c r="K114">
        <f t="shared" si="14"/>
        <v>0.6333333333333333</v>
      </c>
      <c r="L114">
        <f t="shared" si="15"/>
        <v>65</v>
      </c>
      <c r="M114" s="8">
        <f t="shared" si="16"/>
        <v>4.9645446507515469</v>
      </c>
      <c r="N114" s="6">
        <f t="shared" si="11"/>
        <v>3.8370398966461483</v>
      </c>
      <c r="O114" s="8">
        <f t="shared" si="19"/>
        <v>592.41606459374827</v>
      </c>
      <c r="P114" s="8">
        <f t="shared" si="20"/>
        <v>582.92184452805145</v>
      </c>
      <c r="Q114" s="8">
        <f t="shared" si="17"/>
        <v>3.8370398966461483</v>
      </c>
      <c r="T114" s="8">
        <f t="shared" ref="T114:T177" si="21">N114</f>
        <v>3.8370398966461483</v>
      </c>
    </row>
    <row r="115" spans="1:20" x14ac:dyDescent="0.2">
      <c r="B115">
        <f t="shared" si="18"/>
        <v>112</v>
      </c>
      <c r="C115">
        <f t="shared" si="12"/>
        <v>30</v>
      </c>
      <c r="D115">
        <v>92</v>
      </c>
      <c r="E115">
        <v>122</v>
      </c>
      <c r="F115">
        <f>RnSPLINE!H$7</f>
        <v>4.3076923076923075</v>
      </c>
      <c r="G115">
        <f>RnSPLINE!H$8</f>
        <v>5.3448275862068968</v>
      </c>
      <c r="H115">
        <f>RnSPLINE!M$7</f>
        <v>-8.0302535849192565E-3</v>
      </c>
      <c r="I115">
        <f>RnSPLINE!M$8</f>
        <v>2.6536675979703626E-2</v>
      </c>
      <c r="J115">
        <f t="shared" si="13"/>
        <v>0.33333333333333331</v>
      </c>
      <c r="K115">
        <f t="shared" si="14"/>
        <v>0.66666666666666663</v>
      </c>
      <c r="L115">
        <f t="shared" si="15"/>
        <v>66</v>
      </c>
      <c r="M115" s="8">
        <f t="shared" si="16"/>
        <v>4.9991158267020328</v>
      </c>
      <c r="N115" s="6">
        <f t="shared" si="11"/>
        <v>3.8817562093815763</v>
      </c>
      <c r="O115" s="8">
        <f t="shared" si="19"/>
        <v>597.41518042045027</v>
      </c>
      <c r="P115" s="8">
        <f t="shared" si="20"/>
        <v>586.80360073743304</v>
      </c>
      <c r="Q115" s="8">
        <f t="shared" si="17"/>
        <v>3.8817562093815763</v>
      </c>
      <c r="T115" s="8">
        <f t="shared" si="21"/>
        <v>3.8817562093815763</v>
      </c>
    </row>
    <row r="116" spans="1:20" x14ac:dyDescent="0.2">
      <c r="B116">
        <f t="shared" si="18"/>
        <v>113</v>
      </c>
      <c r="C116">
        <f t="shared" si="12"/>
        <v>30</v>
      </c>
      <c r="D116">
        <v>92</v>
      </c>
      <c r="E116">
        <v>122</v>
      </c>
      <c r="F116">
        <f>RnSPLINE!H$7</f>
        <v>4.3076923076923075</v>
      </c>
      <c r="G116">
        <f>RnSPLINE!H$8</f>
        <v>5.3448275862068968</v>
      </c>
      <c r="H116">
        <f>RnSPLINE!M$7</f>
        <v>-8.0302535849192565E-3</v>
      </c>
      <c r="I116">
        <f>RnSPLINE!M$8</f>
        <v>2.6536675979703626E-2</v>
      </c>
      <c r="J116">
        <f t="shared" si="13"/>
        <v>0.3</v>
      </c>
      <c r="K116">
        <f t="shared" si="14"/>
        <v>0.7</v>
      </c>
      <c r="L116">
        <f t="shared" si="15"/>
        <v>67</v>
      </c>
      <c r="M116" s="8">
        <f t="shared" si="16"/>
        <v>5.0336870026525196</v>
      </c>
      <c r="N116" s="6">
        <f t="shared" si="11"/>
        <v>3.9414868882418332</v>
      </c>
      <c r="O116" s="8">
        <f t="shared" si="19"/>
        <v>602.4488674231028</v>
      </c>
      <c r="P116" s="8">
        <f t="shared" si="20"/>
        <v>590.74508762567484</v>
      </c>
      <c r="Q116" s="8">
        <f t="shared" si="17"/>
        <v>3.9414868882418332</v>
      </c>
      <c r="T116" s="8">
        <f t="shared" si="21"/>
        <v>3.9414868882418332</v>
      </c>
    </row>
    <row r="117" spans="1:20" x14ac:dyDescent="0.2">
      <c r="B117">
        <f t="shared" si="18"/>
        <v>114</v>
      </c>
      <c r="C117">
        <f t="shared" si="12"/>
        <v>30</v>
      </c>
      <c r="D117">
        <v>92</v>
      </c>
      <c r="E117">
        <v>122</v>
      </c>
      <c r="F117">
        <f>RnSPLINE!H$7</f>
        <v>4.3076923076923075</v>
      </c>
      <c r="G117">
        <f>RnSPLINE!H$8</f>
        <v>5.3448275862068968</v>
      </c>
      <c r="H117">
        <f>RnSPLINE!M$7</f>
        <v>-8.0302535849192565E-3</v>
      </c>
      <c r="I117">
        <f>RnSPLINE!M$8</f>
        <v>2.6536675979703626E-2</v>
      </c>
      <c r="J117">
        <f t="shared" si="13"/>
        <v>0.26666666666666666</v>
      </c>
      <c r="K117">
        <f t="shared" si="14"/>
        <v>0.73333333333333328</v>
      </c>
      <c r="L117">
        <f t="shared" si="15"/>
        <v>68</v>
      </c>
      <c r="M117" s="8">
        <f t="shared" si="16"/>
        <v>5.0682581786030063</v>
      </c>
      <c r="N117" s="6">
        <f t="shared" si="11"/>
        <v>4.017384164212408</v>
      </c>
      <c r="O117" s="8">
        <f t="shared" si="19"/>
        <v>607.51712560170586</v>
      </c>
      <c r="P117" s="8">
        <f t="shared" si="20"/>
        <v>594.76247178988729</v>
      </c>
      <c r="Q117" s="8">
        <f t="shared" si="17"/>
        <v>4.017384164212408</v>
      </c>
      <c r="T117" s="8">
        <f t="shared" si="21"/>
        <v>4.017384164212408</v>
      </c>
    </row>
    <row r="118" spans="1:20" x14ac:dyDescent="0.2">
      <c r="B118">
        <f t="shared" si="18"/>
        <v>115</v>
      </c>
      <c r="C118">
        <f t="shared" si="12"/>
        <v>30</v>
      </c>
      <c r="D118">
        <v>92</v>
      </c>
      <c r="E118">
        <v>122</v>
      </c>
      <c r="F118">
        <f>RnSPLINE!H$7</f>
        <v>4.3076923076923075</v>
      </c>
      <c r="G118">
        <f>RnSPLINE!H$8</f>
        <v>5.3448275862068968</v>
      </c>
      <c r="H118">
        <f>RnSPLINE!M$7</f>
        <v>-8.0302535849192565E-3</v>
      </c>
      <c r="I118">
        <f>RnSPLINE!M$8</f>
        <v>2.6536675979703626E-2</v>
      </c>
      <c r="J118">
        <f t="shared" si="13"/>
        <v>0.23333333333333334</v>
      </c>
      <c r="K118">
        <f t="shared" si="14"/>
        <v>0.76666666666666672</v>
      </c>
      <c r="L118">
        <f t="shared" si="15"/>
        <v>69</v>
      </c>
      <c r="M118" s="8">
        <f t="shared" si="16"/>
        <v>5.1028293545534931</v>
      </c>
      <c r="N118" s="6">
        <f t="shared" si="11"/>
        <v>4.1106002682787874</v>
      </c>
      <c r="O118" s="8">
        <f t="shared" si="19"/>
        <v>612.61995495625933</v>
      </c>
      <c r="P118" s="8">
        <f t="shared" si="20"/>
        <v>598.87307205816603</v>
      </c>
      <c r="Q118" s="8">
        <f t="shared" si="17"/>
        <v>4.1106002682787874</v>
      </c>
      <c r="T118" s="8">
        <f t="shared" si="21"/>
        <v>4.1106002682787874</v>
      </c>
    </row>
    <row r="119" spans="1:20" x14ac:dyDescent="0.2">
      <c r="B119">
        <f t="shared" si="18"/>
        <v>116</v>
      </c>
      <c r="C119">
        <f t="shared" si="12"/>
        <v>30</v>
      </c>
      <c r="D119">
        <v>92</v>
      </c>
      <c r="E119">
        <v>122</v>
      </c>
      <c r="F119">
        <f>RnSPLINE!H$7</f>
        <v>4.3076923076923075</v>
      </c>
      <c r="G119">
        <f>RnSPLINE!H$8</f>
        <v>5.3448275862068968</v>
      </c>
      <c r="H119">
        <f>RnSPLINE!M$7</f>
        <v>-8.0302535849192565E-3</v>
      </c>
      <c r="I119">
        <f>RnSPLINE!M$8</f>
        <v>2.6536675979703626E-2</v>
      </c>
      <c r="J119">
        <f t="shared" si="13"/>
        <v>0.2</v>
      </c>
      <c r="K119">
        <f t="shared" si="14"/>
        <v>0.8</v>
      </c>
      <c r="L119">
        <f t="shared" si="15"/>
        <v>70</v>
      </c>
      <c r="M119" s="8">
        <f t="shared" si="16"/>
        <v>5.1374005305039798</v>
      </c>
      <c r="N119" s="6">
        <f t="shared" ref="N119:N182" si="22">Q119</f>
        <v>4.2222874314264578</v>
      </c>
      <c r="O119" s="8">
        <f t="shared" si="19"/>
        <v>617.75735548676334</v>
      </c>
      <c r="P119" s="8">
        <f t="shared" si="20"/>
        <v>603.09535948959251</v>
      </c>
      <c r="Q119" s="8">
        <f t="shared" si="17"/>
        <v>4.2222874314264578</v>
      </c>
      <c r="T119" s="8">
        <f t="shared" si="21"/>
        <v>4.2222874314264578</v>
      </c>
    </row>
    <row r="120" spans="1:20" x14ac:dyDescent="0.2">
      <c r="B120">
        <f t="shared" si="18"/>
        <v>117</v>
      </c>
      <c r="C120">
        <f t="shared" si="12"/>
        <v>30</v>
      </c>
      <c r="D120">
        <v>92</v>
      </c>
      <c r="E120">
        <v>122</v>
      </c>
      <c r="F120">
        <f>RnSPLINE!H$7</f>
        <v>4.3076923076923075</v>
      </c>
      <c r="G120">
        <f>RnSPLINE!H$8</f>
        <v>5.3448275862068968</v>
      </c>
      <c r="H120">
        <f>RnSPLINE!M$7</f>
        <v>-8.0302535849192565E-3</v>
      </c>
      <c r="I120">
        <f>RnSPLINE!M$8</f>
        <v>2.6536675979703626E-2</v>
      </c>
      <c r="J120">
        <f t="shared" si="13"/>
        <v>0.16666666666666666</v>
      </c>
      <c r="K120">
        <f t="shared" si="14"/>
        <v>0.83333333333333337</v>
      </c>
      <c r="L120">
        <f t="shared" si="15"/>
        <v>71</v>
      </c>
      <c r="M120" s="8">
        <f t="shared" si="16"/>
        <v>5.1719717064544657</v>
      </c>
      <c r="N120" s="6">
        <f t="shared" si="22"/>
        <v>4.3535978846409069</v>
      </c>
      <c r="O120" s="8">
        <f t="shared" si="19"/>
        <v>622.92932719321777</v>
      </c>
      <c r="P120" s="8">
        <f t="shared" si="20"/>
        <v>607.44895737423337</v>
      </c>
      <c r="Q120" s="8">
        <f t="shared" si="17"/>
        <v>4.3535978846409069</v>
      </c>
      <c r="T120" s="8">
        <f t="shared" si="21"/>
        <v>4.3535978846409069</v>
      </c>
    </row>
    <row r="121" spans="1:20" x14ac:dyDescent="0.2">
      <c r="B121">
        <f t="shared" si="18"/>
        <v>118</v>
      </c>
      <c r="C121">
        <f t="shared" si="12"/>
        <v>30</v>
      </c>
      <c r="D121">
        <v>92</v>
      </c>
      <c r="E121">
        <v>122</v>
      </c>
      <c r="F121">
        <f>RnSPLINE!H$7</f>
        <v>4.3076923076923075</v>
      </c>
      <c r="G121">
        <f>RnSPLINE!H$8</f>
        <v>5.3448275862068968</v>
      </c>
      <c r="H121">
        <f>RnSPLINE!M$7</f>
        <v>-8.0302535849192565E-3</v>
      </c>
      <c r="I121">
        <f>RnSPLINE!M$8</f>
        <v>2.6536675979703626E-2</v>
      </c>
      <c r="J121">
        <f t="shared" si="13"/>
        <v>0.13333333333333333</v>
      </c>
      <c r="K121">
        <f t="shared" si="14"/>
        <v>0.8666666666666667</v>
      </c>
      <c r="L121">
        <f t="shared" si="15"/>
        <v>72</v>
      </c>
      <c r="M121" s="8">
        <f t="shared" si="16"/>
        <v>5.2065428824049516</v>
      </c>
      <c r="N121" s="6">
        <f t="shared" si="22"/>
        <v>4.5056838589076218</v>
      </c>
      <c r="O121" s="8">
        <f t="shared" si="19"/>
        <v>628.13587007562273</v>
      </c>
      <c r="P121" s="8">
        <f t="shared" si="20"/>
        <v>611.95464123314105</v>
      </c>
      <c r="Q121" s="8">
        <f t="shared" si="17"/>
        <v>4.5056838589076218</v>
      </c>
      <c r="T121" s="8">
        <f t="shared" si="21"/>
        <v>4.5056838589076218</v>
      </c>
    </row>
    <row r="122" spans="1:20" x14ac:dyDescent="0.2">
      <c r="B122">
        <f t="shared" si="18"/>
        <v>119</v>
      </c>
      <c r="C122">
        <f t="shared" si="12"/>
        <v>30</v>
      </c>
      <c r="D122">
        <v>92</v>
      </c>
      <c r="E122">
        <v>122</v>
      </c>
      <c r="F122">
        <f>RnSPLINE!H$7</f>
        <v>4.3076923076923075</v>
      </c>
      <c r="G122">
        <f>RnSPLINE!H$8</f>
        <v>5.3448275862068968</v>
      </c>
      <c r="H122">
        <f>RnSPLINE!M$7</f>
        <v>-8.0302535849192565E-3</v>
      </c>
      <c r="I122">
        <f>RnSPLINE!M$8</f>
        <v>2.6536675979703626E-2</v>
      </c>
      <c r="J122">
        <f t="shared" si="13"/>
        <v>0.1</v>
      </c>
      <c r="K122">
        <f t="shared" si="14"/>
        <v>0.9</v>
      </c>
      <c r="L122">
        <f t="shared" si="15"/>
        <v>73</v>
      </c>
      <c r="M122" s="8">
        <f t="shared" si="16"/>
        <v>5.2411140583554383</v>
      </c>
      <c r="N122" s="6">
        <f t="shared" si="22"/>
        <v>4.6796975852120912</v>
      </c>
      <c r="O122" s="8">
        <f t="shared" si="19"/>
        <v>633.37698413397823</v>
      </c>
      <c r="P122" s="8">
        <f t="shared" si="20"/>
        <v>616.63433881835317</v>
      </c>
      <c r="Q122" s="8">
        <f t="shared" si="17"/>
        <v>4.6796975852120912</v>
      </c>
      <c r="T122" s="8">
        <f t="shared" si="21"/>
        <v>4.6796975852120912</v>
      </c>
    </row>
    <row r="123" spans="1:20" x14ac:dyDescent="0.2">
      <c r="B123">
        <f t="shared" si="18"/>
        <v>120</v>
      </c>
      <c r="C123">
        <f t="shared" si="12"/>
        <v>30</v>
      </c>
      <c r="D123">
        <v>92</v>
      </c>
      <c r="E123">
        <v>122</v>
      </c>
      <c r="F123">
        <f>RnSPLINE!H$7</f>
        <v>4.3076923076923075</v>
      </c>
      <c r="G123">
        <f>RnSPLINE!H$8</f>
        <v>5.3448275862068968</v>
      </c>
      <c r="H123">
        <f>RnSPLINE!M$7</f>
        <v>-8.0302535849192565E-3</v>
      </c>
      <c r="I123">
        <f>RnSPLINE!M$8</f>
        <v>2.6536675979703626E-2</v>
      </c>
      <c r="J123">
        <f t="shared" si="13"/>
        <v>6.6666666666666666E-2</v>
      </c>
      <c r="K123">
        <f t="shared" si="14"/>
        <v>0.93333333333333335</v>
      </c>
      <c r="L123">
        <f t="shared" si="15"/>
        <v>74</v>
      </c>
      <c r="M123" s="8">
        <f t="shared" si="16"/>
        <v>5.2756852343059242</v>
      </c>
      <c r="N123" s="6">
        <f t="shared" si="22"/>
        <v>4.8767912945398022</v>
      </c>
      <c r="O123" s="8">
        <f t="shared" si="19"/>
        <v>638.65266936828414</v>
      </c>
      <c r="P123" s="8">
        <f t="shared" si="20"/>
        <v>621.51113011289294</v>
      </c>
      <c r="Q123" s="8">
        <f t="shared" si="17"/>
        <v>4.8767912945398022</v>
      </c>
      <c r="T123" s="8">
        <f t="shared" si="21"/>
        <v>4.8767912945398022</v>
      </c>
    </row>
    <row r="124" spans="1:20" x14ac:dyDescent="0.2">
      <c r="B124">
        <f t="shared" si="18"/>
        <v>121</v>
      </c>
      <c r="C124">
        <f t="shared" si="12"/>
        <v>30</v>
      </c>
      <c r="D124">
        <v>92</v>
      </c>
      <c r="E124">
        <v>122</v>
      </c>
      <c r="F124">
        <f>RnSPLINE!H$7</f>
        <v>4.3076923076923075</v>
      </c>
      <c r="G124">
        <f>RnSPLINE!H$8</f>
        <v>5.3448275862068968</v>
      </c>
      <c r="H124">
        <f>RnSPLINE!M$7</f>
        <v>-8.0302535849192565E-3</v>
      </c>
      <c r="I124">
        <f>RnSPLINE!M$8</f>
        <v>2.6536675979703626E-2</v>
      </c>
      <c r="J124">
        <f t="shared" si="13"/>
        <v>3.3333333333333333E-2</v>
      </c>
      <c r="K124">
        <f t="shared" si="14"/>
        <v>0.96666666666666667</v>
      </c>
      <c r="L124">
        <f t="shared" si="15"/>
        <v>75</v>
      </c>
      <c r="M124" s="8">
        <f t="shared" si="16"/>
        <v>5.3102564102564109</v>
      </c>
      <c r="N124" s="6">
        <f t="shared" si="22"/>
        <v>5.0981172178762417</v>
      </c>
      <c r="O124" s="8">
        <f t="shared" si="19"/>
        <v>643.96292577854058</v>
      </c>
      <c r="P124" s="8">
        <f t="shared" si="20"/>
        <v>626.60924733076922</v>
      </c>
      <c r="Q124" s="8">
        <f t="shared" si="17"/>
        <v>5.0981172178762417</v>
      </c>
      <c r="T124" s="8">
        <f t="shared" si="21"/>
        <v>5.0981172178762417</v>
      </c>
    </row>
    <row r="125" spans="1:20" x14ac:dyDescent="0.2">
      <c r="A125">
        <v>122</v>
      </c>
      <c r="B125">
        <f t="shared" si="18"/>
        <v>122</v>
      </c>
      <c r="C125">
        <f t="shared" si="12"/>
        <v>30</v>
      </c>
      <c r="D125">
        <v>92</v>
      </c>
      <c r="E125">
        <v>122</v>
      </c>
      <c r="F125">
        <f>RnSPLINE!H$7</f>
        <v>4.3076923076923075</v>
      </c>
      <c r="G125">
        <f>RnSPLINE!H$8</f>
        <v>5.3448275862068968</v>
      </c>
      <c r="H125">
        <f>RnSPLINE!M$7</f>
        <v>-8.0302535849192565E-3</v>
      </c>
      <c r="I125">
        <f>RnSPLINE!M$8</f>
        <v>2.6536675979703626E-2</v>
      </c>
      <c r="J125">
        <f t="shared" si="13"/>
        <v>0</v>
      </c>
      <c r="K125">
        <f t="shared" si="14"/>
        <v>1</v>
      </c>
      <c r="L125">
        <f t="shared" si="15"/>
        <v>76</v>
      </c>
      <c r="M125" s="8">
        <f t="shared" si="16"/>
        <v>5.3448275862068968</v>
      </c>
      <c r="N125" s="6">
        <f t="shared" si="22"/>
        <v>5.3448275862068968</v>
      </c>
      <c r="O125" s="8">
        <f t="shared" si="19"/>
        <v>649.30775336474744</v>
      </c>
      <c r="P125" s="8">
        <f t="shared" si="20"/>
        <v>631.95407491697608</v>
      </c>
      <c r="Q125" s="8">
        <f t="shared" si="17"/>
        <v>5.3448275862068968</v>
      </c>
      <c r="T125" s="8">
        <f t="shared" si="21"/>
        <v>5.3448275862068968</v>
      </c>
    </row>
    <row r="126" spans="1:20" x14ac:dyDescent="0.2">
      <c r="B126">
        <f t="shared" si="18"/>
        <v>123</v>
      </c>
      <c r="C126">
        <f t="shared" si="12"/>
        <v>31</v>
      </c>
      <c r="D126">
        <v>122</v>
      </c>
      <c r="E126">
        <v>153</v>
      </c>
      <c r="F126">
        <f>RnSPLINE!H$8</f>
        <v>5.3448275862068968</v>
      </c>
      <c r="G126">
        <f>RnSPLINE!H$9</f>
        <v>17.647058823529413</v>
      </c>
      <c r="H126">
        <f>RnSPLINE!M$8</f>
        <v>2.6536675979703626E-2</v>
      </c>
      <c r="I126">
        <f>RnSPLINE!M$9</f>
        <v>-2.6545706580769567E-2</v>
      </c>
      <c r="J126">
        <f t="shared" si="13"/>
        <v>0.967741935483871</v>
      </c>
      <c r="K126">
        <f t="shared" si="14"/>
        <v>3.2258064516129031E-2</v>
      </c>
      <c r="L126">
        <f t="shared" si="15"/>
        <v>77</v>
      </c>
      <c r="M126" s="8">
        <f t="shared" si="16"/>
        <v>5.7416737551527843</v>
      </c>
      <c r="N126" s="6">
        <f t="shared" si="22"/>
        <v>5.6175972028661239</v>
      </c>
      <c r="O126" s="8">
        <f t="shared" si="19"/>
        <v>655.0494271199002</v>
      </c>
      <c r="P126" s="8">
        <f t="shared" si="20"/>
        <v>637.57167211984222</v>
      </c>
      <c r="Q126" s="8">
        <f t="shared" si="17"/>
        <v>5.6175972028661239</v>
      </c>
      <c r="T126" s="8">
        <f t="shared" si="21"/>
        <v>5.6175972028661239</v>
      </c>
    </row>
    <row r="127" spans="1:20" x14ac:dyDescent="0.2">
      <c r="B127">
        <f t="shared" si="18"/>
        <v>124</v>
      </c>
      <c r="C127">
        <f t="shared" si="12"/>
        <v>31</v>
      </c>
      <c r="D127">
        <v>122</v>
      </c>
      <c r="E127">
        <v>153</v>
      </c>
      <c r="F127">
        <f>RnSPLINE!H$8</f>
        <v>5.3448275862068968</v>
      </c>
      <c r="G127">
        <f>RnSPLINE!H$9</f>
        <v>17.647058823529413</v>
      </c>
      <c r="H127">
        <f>RnSPLINE!M$8</f>
        <v>2.6536675979703626E-2</v>
      </c>
      <c r="I127">
        <f>RnSPLINE!M$9</f>
        <v>-2.6545706580769567E-2</v>
      </c>
      <c r="J127">
        <f t="shared" si="13"/>
        <v>0.93548387096774188</v>
      </c>
      <c r="K127">
        <f t="shared" si="14"/>
        <v>6.4516129032258063E-2</v>
      </c>
      <c r="L127">
        <f t="shared" si="15"/>
        <v>78</v>
      </c>
      <c r="M127" s="8">
        <f t="shared" si="16"/>
        <v>6.1385199240986719</v>
      </c>
      <c r="N127" s="6">
        <f t="shared" si="22"/>
        <v>5.9151911605837482</v>
      </c>
      <c r="O127" s="8">
        <f t="shared" si="19"/>
        <v>661.18794704399886</v>
      </c>
      <c r="P127" s="8">
        <f t="shared" si="20"/>
        <v>643.48686328042595</v>
      </c>
      <c r="Q127" s="8">
        <f t="shared" si="17"/>
        <v>5.9151911605837482</v>
      </c>
      <c r="T127" s="8">
        <f t="shared" si="21"/>
        <v>5.9151911605837482</v>
      </c>
    </row>
    <row r="128" spans="1:20" x14ac:dyDescent="0.2">
      <c r="B128">
        <f t="shared" si="18"/>
        <v>125</v>
      </c>
      <c r="C128">
        <f t="shared" si="12"/>
        <v>31</v>
      </c>
      <c r="D128">
        <v>122</v>
      </c>
      <c r="E128">
        <v>153</v>
      </c>
      <c r="F128">
        <f>RnSPLINE!H$8</f>
        <v>5.3448275862068968</v>
      </c>
      <c r="G128">
        <f>RnSPLINE!H$9</f>
        <v>17.647058823529413</v>
      </c>
      <c r="H128">
        <f>RnSPLINE!M$8</f>
        <v>2.6536675979703626E-2</v>
      </c>
      <c r="I128">
        <f>RnSPLINE!M$9</f>
        <v>-2.6545706580769567E-2</v>
      </c>
      <c r="J128">
        <f t="shared" si="13"/>
        <v>0.90322580645161288</v>
      </c>
      <c r="K128">
        <f t="shared" si="14"/>
        <v>9.6774193548387094E-2</v>
      </c>
      <c r="L128">
        <f t="shared" si="15"/>
        <v>79</v>
      </c>
      <c r="M128" s="8">
        <f t="shared" si="16"/>
        <v>6.5353660930445594</v>
      </c>
      <c r="N128" s="6">
        <f t="shared" si="22"/>
        <v>6.2358971244384662</v>
      </c>
      <c r="O128" s="8">
        <f t="shared" si="19"/>
        <v>667.72331313704342</v>
      </c>
      <c r="P128" s="8">
        <f t="shared" si="20"/>
        <v>649.7227604048644</v>
      </c>
      <c r="Q128" s="8">
        <f t="shared" si="17"/>
        <v>6.2358971244384662</v>
      </c>
      <c r="T128" s="8">
        <f t="shared" si="21"/>
        <v>6.2358971244384662</v>
      </c>
    </row>
    <row r="129" spans="2:20" x14ac:dyDescent="0.2">
      <c r="B129">
        <f t="shared" si="18"/>
        <v>126</v>
      </c>
      <c r="C129">
        <f t="shared" si="12"/>
        <v>31</v>
      </c>
      <c r="D129">
        <v>122</v>
      </c>
      <c r="E129">
        <v>153</v>
      </c>
      <c r="F129">
        <f>RnSPLINE!H$8</f>
        <v>5.3448275862068968</v>
      </c>
      <c r="G129">
        <f>RnSPLINE!H$9</f>
        <v>17.647058823529413</v>
      </c>
      <c r="H129">
        <f>RnSPLINE!M$8</f>
        <v>2.6536675979703626E-2</v>
      </c>
      <c r="I129">
        <f>RnSPLINE!M$9</f>
        <v>-2.6545706580769567E-2</v>
      </c>
      <c r="J129">
        <f t="shared" si="13"/>
        <v>0.87096774193548387</v>
      </c>
      <c r="K129">
        <f t="shared" si="14"/>
        <v>0.12903225806451613</v>
      </c>
      <c r="L129">
        <f t="shared" si="15"/>
        <v>80</v>
      </c>
      <c r="M129" s="8">
        <f t="shared" si="16"/>
        <v>6.9322122619904478</v>
      </c>
      <c r="N129" s="6">
        <f t="shared" si="22"/>
        <v>6.5780027595089718</v>
      </c>
      <c r="O129" s="8">
        <f t="shared" si="19"/>
        <v>674.65552539903388</v>
      </c>
      <c r="P129" s="8">
        <f t="shared" si="20"/>
        <v>656.30076316437339</v>
      </c>
      <c r="Q129" s="8">
        <f t="shared" si="17"/>
        <v>6.5780027595089718</v>
      </c>
      <c r="T129" s="8">
        <f t="shared" si="21"/>
        <v>6.5780027595089718</v>
      </c>
    </row>
    <row r="130" spans="2:20" x14ac:dyDescent="0.2">
      <c r="B130">
        <f t="shared" si="18"/>
        <v>127</v>
      </c>
      <c r="C130">
        <f t="shared" si="12"/>
        <v>31</v>
      </c>
      <c r="D130">
        <v>122</v>
      </c>
      <c r="E130">
        <v>153</v>
      </c>
      <c r="F130">
        <f>RnSPLINE!H$8</f>
        <v>5.3448275862068968</v>
      </c>
      <c r="G130">
        <f>RnSPLINE!H$9</f>
        <v>17.647058823529413</v>
      </c>
      <c r="H130">
        <f>RnSPLINE!M$8</f>
        <v>2.6536675979703626E-2</v>
      </c>
      <c r="I130">
        <f>RnSPLINE!M$9</f>
        <v>-2.6545706580769567E-2</v>
      </c>
      <c r="J130">
        <f t="shared" si="13"/>
        <v>0.83870967741935487</v>
      </c>
      <c r="K130">
        <f t="shared" si="14"/>
        <v>0.16129032258064516</v>
      </c>
      <c r="L130">
        <f t="shared" si="15"/>
        <v>81</v>
      </c>
      <c r="M130" s="8">
        <f t="shared" si="16"/>
        <v>7.3290584309363354</v>
      </c>
      <c r="N130" s="6">
        <f t="shared" si="22"/>
        <v>6.939795730873958</v>
      </c>
      <c r="O130" s="8">
        <f t="shared" si="19"/>
        <v>681.98458382997023</v>
      </c>
      <c r="P130" s="8">
        <f t="shared" si="20"/>
        <v>663.24055889524732</v>
      </c>
      <c r="Q130" s="8">
        <f t="shared" si="17"/>
        <v>6.939795730873958</v>
      </c>
      <c r="T130" s="8">
        <f t="shared" si="21"/>
        <v>6.939795730873958</v>
      </c>
    </row>
    <row r="131" spans="2:20" x14ac:dyDescent="0.2">
      <c r="B131">
        <f t="shared" si="18"/>
        <v>128</v>
      </c>
      <c r="C131">
        <f t="shared" si="12"/>
        <v>31</v>
      </c>
      <c r="D131">
        <v>122</v>
      </c>
      <c r="E131">
        <v>153</v>
      </c>
      <c r="F131">
        <f>RnSPLINE!H$8</f>
        <v>5.3448275862068968</v>
      </c>
      <c r="G131">
        <f>RnSPLINE!H$9</f>
        <v>17.647058823529413</v>
      </c>
      <c r="H131">
        <f>RnSPLINE!M$8</f>
        <v>2.6536675979703626E-2</v>
      </c>
      <c r="I131">
        <f>RnSPLINE!M$9</f>
        <v>-2.6545706580769567E-2</v>
      </c>
      <c r="J131">
        <f t="shared" si="13"/>
        <v>0.80645161290322576</v>
      </c>
      <c r="K131">
        <f t="shared" si="14"/>
        <v>0.19354838709677419</v>
      </c>
      <c r="L131">
        <f t="shared" si="15"/>
        <v>82</v>
      </c>
      <c r="M131" s="8">
        <f t="shared" si="16"/>
        <v>7.725904599882222</v>
      </c>
      <c r="N131" s="6">
        <f t="shared" si="22"/>
        <v>7.3195637036121175</v>
      </c>
      <c r="O131" s="8">
        <f t="shared" si="19"/>
        <v>689.71048842985249</v>
      </c>
      <c r="P131" s="8">
        <f t="shared" si="20"/>
        <v>670.56012259885938</v>
      </c>
      <c r="Q131" s="8">
        <f t="shared" si="17"/>
        <v>7.3195637036121175</v>
      </c>
      <c r="T131" s="8">
        <f t="shared" si="21"/>
        <v>7.3195637036121175</v>
      </c>
    </row>
    <row r="132" spans="2:20" x14ac:dyDescent="0.2">
      <c r="B132">
        <f t="shared" si="18"/>
        <v>129</v>
      </c>
      <c r="C132">
        <f t="shared" ref="C132:C195" si="23">E132-D132</f>
        <v>31</v>
      </c>
      <c r="D132">
        <v>122</v>
      </c>
      <c r="E132">
        <v>153</v>
      </c>
      <c r="F132">
        <f>RnSPLINE!H$8</f>
        <v>5.3448275862068968</v>
      </c>
      <c r="G132">
        <f>RnSPLINE!H$9</f>
        <v>17.647058823529413</v>
      </c>
      <c r="H132">
        <f>RnSPLINE!M$8</f>
        <v>2.6536675979703626E-2</v>
      </c>
      <c r="I132">
        <f>RnSPLINE!M$9</f>
        <v>-2.6545706580769567E-2</v>
      </c>
      <c r="J132">
        <f t="shared" ref="J132:J195" si="24">(E132-B132)/C132</f>
        <v>0.77419354838709675</v>
      </c>
      <c r="K132">
        <f t="shared" ref="K132:K195" si="25">(B132-D132)/C132</f>
        <v>0.22580645161290322</v>
      </c>
      <c r="L132">
        <f t="shared" ref="L132:L195" si="26">B132-46</f>
        <v>83</v>
      </c>
      <c r="M132" s="8">
        <f t="shared" ref="M132:M195" si="27">J132*F132+K132*G132</f>
        <v>8.1227507688281104</v>
      </c>
      <c r="N132" s="6">
        <f t="shared" si="22"/>
        <v>7.7155943428021505</v>
      </c>
      <c r="O132" s="8">
        <f t="shared" si="19"/>
        <v>697.83323919868064</v>
      </c>
      <c r="P132" s="8">
        <f t="shared" si="20"/>
        <v>678.27571694166159</v>
      </c>
      <c r="Q132" s="8">
        <f t="shared" ref="Q132:Q195" si="28">M132+(((J132^3-J132)*H132+(K132^3-K132)*I132))*(C132^2)/6</f>
        <v>7.7155943428021505</v>
      </c>
      <c r="T132" s="8">
        <f t="shared" si="21"/>
        <v>7.7155943428021505</v>
      </c>
    </row>
    <row r="133" spans="2:20" x14ac:dyDescent="0.2">
      <c r="B133">
        <f t="shared" ref="B133:B196" si="29">B132+1</f>
        <v>130</v>
      </c>
      <c r="C133">
        <f t="shared" si="23"/>
        <v>31</v>
      </c>
      <c r="D133">
        <v>122</v>
      </c>
      <c r="E133">
        <v>153</v>
      </c>
      <c r="F133">
        <f>RnSPLINE!H$8</f>
        <v>5.3448275862068968</v>
      </c>
      <c r="G133">
        <f>RnSPLINE!H$9</f>
        <v>17.647058823529413</v>
      </c>
      <c r="H133">
        <f>RnSPLINE!M$8</f>
        <v>2.6536675979703626E-2</v>
      </c>
      <c r="I133">
        <f>RnSPLINE!M$9</f>
        <v>-2.6545706580769567E-2</v>
      </c>
      <c r="J133">
        <f t="shared" si="24"/>
        <v>0.74193548387096775</v>
      </c>
      <c r="K133">
        <f t="shared" si="25"/>
        <v>0.25806451612903225</v>
      </c>
      <c r="L133">
        <f t="shared" si="26"/>
        <v>84</v>
      </c>
      <c r="M133" s="8">
        <f t="shared" si="27"/>
        <v>8.5195969377739971</v>
      </c>
      <c r="N133" s="6">
        <f t="shared" si="22"/>
        <v>8.1261753135227455</v>
      </c>
      <c r="O133" s="8">
        <f t="shared" ref="O133:O196" si="30">O132+M133</f>
        <v>706.3528361364547</v>
      </c>
      <c r="P133" s="8">
        <f t="shared" ref="P133:P196" si="31">P132+N133</f>
        <v>686.40189225518429</v>
      </c>
      <c r="Q133" s="8">
        <f t="shared" si="28"/>
        <v>8.1261753135227455</v>
      </c>
      <c r="T133" s="8">
        <f t="shared" si="21"/>
        <v>8.1261753135227455</v>
      </c>
    </row>
    <row r="134" spans="2:20" x14ac:dyDescent="0.2">
      <c r="B134">
        <f t="shared" si="29"/>
        <v>131</v>
      </c>
      <c r="C134">
        <f t="shared" si="23"/>
        <v>31</v>
      </c>
      <c r="D134">
        <v>122</v>
      </c>
      <c r="E134">
        <v>153</v>
      </c>
      <c r="F134">
        <f>RnSPLINE!H$8</f>
        <v>5.3448275862068968</v>
      </c>
      <c r="G134">
        <f>RnSPLINE!H$9</f>
        <v>17.647058823529413</v>
      </c>
      <c r="H134">
        <f>RnSPLINE!M$8</f>
        <v>2.6536675979703626E-2</v>
      </c>
      <c r="I134">
        <f>RnSPLINE!M$9</f>
        <v>-2.6545706580769567E-2</v>
      </c>
      <c r="J134">
        <f t="shared" si="24"/>
        <v>0.70967741935483875</v>
      </c>
      <c r="K134">
        <f t="shared" si="25"/>
        <v>0.29032258064516131</v>
      </c>
      <c r="L134">
        <f t="shared" si="26"/>
        <v>85</v>
      </c>
      <c r="M134" s="8">
        <f t="shared" si="27"/>
        <v>8.9164431067198855</v>
      </c>
      <c r="N134" s="6">
        <f t="shared" si="22"/>
        <v>8.5495942808526024</v>
      </c>
      <c r="O134" s="8">
        <f t="shared" si="30"/>
        <v>715.26927924317454</v>
      </c>
      <c r="P134" s="8">
        <f t="shared" si="31"/>
        <v>694.9514865360369</v>
      </c>
      <c r="Q134" s="8">
        <f t="shared" si="28"/>
        <v>8.5495942808526024</v>
      </c>
      <c r="T134" s="8">
        <f t="shared" si="21"/>
        <v>8.5495942808526024</v>
      </c>
    </row>
    <row r="135" spans="2:20" x14ac:dyDescent="0.2">
      <c r="B135">
        <f t="shared" si="29"/>
        <v>132</v>
      </c>
      <c r="C135">
        <f t="shared" si="23"/>
        <v>31</v>
      </c>
      <c r="D135">
        <v>122</v>
      </c>
      <c r="E135">
        <v>153</v>
      </c>
      <c r="F135">
        <f>RnSPLINE!H$8</f>
        <v>5.3448275862068968</v>
      </c>
      <c r="G135">
        <f>RnSPLINE!H$9</f>
        <v>17.647058823529413</v>
      </c>
      <c r="H135">
        <f>RnSPLINE!M$8</f>
        <v>2.6536675979703626E-2</v>
      </c>
      <c r="I135">
        <f>RnSPLINE!M$9</f>
        <v>-2.6545706580769567E-2</v>
      </c>
      <c r="J135">
        <f t="shared" si="24"/>
        <v>0.67741935483870963</v>
      </c>
      <c r="K135">
        <f t="shared" si="25"/>
        <v>0.32258064516129031</v>
      </c>
      <c r="L135">
        <f t="shared" si="26"/>
        <v>86</v>
      </c>
      <c r="M135" s="8">
        <f t="shared" si="27"/>
        <v>9.3132892756657721</v>
      </c>
      <c r="N135" s="6">
        <f t="shared" si="22"/>
        <v>8.9841389098704081</v>
      </c>
      <c r="O135" s="8">
        <f t="shared" si="30"/>
        <v>724.58256851884028</v>
      </c>
      <c r="P135" s="8">
        <f t="shared" si="31"/>
        <v>703.93562544590725</v>
      </c>
      <c r="Q135" s="8">
        <f t="shared" si="28"/>
        <v>8.9841389098704081</v>
      </c>
      <c r="T135" s="8">
        <f t="shared" si="21"/>
        <v>8.9841389098704081</v>
      </c>
    </row>
    <row r="136" spans="2:20" x14ac:dyDescent="0.2">
      <c r="B136">
        <f t="shared" si="29"/>
        <v>133</v>
      </c>
      <c r="C136">
        <f t="shared" si="23"/>
        <v>31</v>
      </c>
      <c r="D136">
        <v>122</v>
      </c>
      <c r="E136">
        <v>153</v>
      </c>
      <c r="F136">
        <f>RnSPLINE!H$8</f>
        <v>5.3448275862068968</v>
      </c>
      <c r="G136">
        <f>RnSPLINE!H$9</f>
        <v>17.647058823529413</v>
      </c>
      <c r="H136">
        <f>RnSPLINE!M$8</f>
        <v>2.6536675979703626E-2</v>
      </c>
      <c r="I136">
        <f>RnSPLINE!M$9</f>
        <v>-2.6545706580769567E-2</v>
      </c>
      <c r="J136">
        <f t="shared" si="24"/>
        <v>0.64516129032258063</v>
      </c>
      <c r="K136">
        <f t="shared" si="25"/>
        <v>0.35483870967741937</v>
      </c>
      <c r="L136">
        <f t="shared" si="26"/>
        <v>87</v>
      </c>
      <c r="M136" s="8">
        <f t="shared" si="27"/>
        <v>9.7101354446116606</v>
      </c>
      <c r="N136" s="6">
        <f t="shared" si="22"/>
        <v>9.4280968656548652</v>
      </c>
      <c r="O136" s="8">
        <f t="shared" si="30"/>
        <v>734.29270396345191</v>
      </c>
      <c r="P136" s="8">
        <f t="shared" si="31"/>
        <v>713.36372231156213</v>
      </c>
      <c r="Q136" s="8">
        <f t="shared" si="28"/>
        <v>9.4280968656548652</v>
      </c>
      <c r="T136" s="8">
        <f t="shared" si="21"/>
        <v>9.4280968656548652</v>
      </c>
    </row>
    <row r="137" spans="2:20" x14ac:dyDescent="0.2">
      <c r="B137">
        <f t="shared" si="29"/>
        <v>134</v>
      </c>
      <c r="C137">
        <f t="shared" si="23"/>
        <v>31</v>
      </c>
      <c r="D137">
        <v>122</v>
      </c>
      <c r="E137">
        <v>153</v>
      </c>
      <c r="F137">
        <f>RnSPLINE!H$8</f>
        <v>5.3448275862068968</v>
      </c>
      <c r="G137">
        <f>RnSPLINE!H$9</f>
        <v>17.647058823529413</v>
      </c>
      <c r="H137">
        <f>RnSPLINE!M$8</f>
        <v>2.6536675979703626E-2</v>
      </c>
      <c r="I137">
        <f>RnSPLINE!M$9</f>
        <v>-2.6545706580769567E-2</v>
      </c>
      <c r="J137">
        <f t="shared" si="24"/>
        <v>0.61290322580645162</v>
      </c>
      <c r="K137">
        <f t="shared" si="25"/>
        <v>0.38709677419354838</v>
      </c>
      <c r="L137">
        <f t="shared" si="26"/>
        <v>88</v>
      </c>
      <c r="M137" s="8">
        <f t="shared" si="27"/>
        <v>10.106981613557547</v>
      </c>
      <c r="N137" s="6">
        <f t="shared" si="22"/>
        <v>9.8797558132846621</v>
      </c>
      <c r="O137" s="8">
        <f t="shared" si="30"/>
        <v>744.39968557700945</v>
      </c>
      <c r="P137" s="8">
        <f t="shared" si="31"/>
        <v>723.24347812484677</v>
      </c>
      <c r="Q137" s="8">
        <f t="shared" si="28"/>
        <v>9.8797558132846621</v>
      </c>
      <c r="T137" s="8">
        <f t="shared" si="21"/>
        <v>9.8797558132846621</v>
      </c>
    </row>
    <row r="138" spans="2:20" x14ac:dyDescent="0.2">
      <c r="B138">
        <f t="shared" si="29"/>
        <v>135</v>
      </c>
      <c r="C138">
        <f t="shared" si="23"/>
        <v>31</v>
      </c>
      <c r="D138">
        <v>122</v>
      </c>
      <c r="E138">
        <v>153</v>
      </c>
      <c r="F138">
        <f>RnSPLINE!H$8</f>
        <v>5.3448275862068968</v>
      </c>
      <c r="G138">
        <f>RnSPLINE!H$9</f>
        <v>17.647058823529413</v>
      </c>
      <c r="H138">
        <f>RnSPLINE!M$8</f>
        <v>2.6536675979703626E-2</v>
      </c>
      <c r="I138">
        <f>RnSPLINE!M$9</f>
        <v>-2.6545706580769567E-2</v>
      </c>
      <c r="J138">
        <f t="shared" si="24"/>
        <v>0.58064516129032262</v>
      </c>
      <c r="K138">
        <f t="shared" si="25"/>
        <v>0.41935483870967744</v>
      </c>
      <c r="L138">
        <f t="shared" si="26"/>
        <v>89</v>
      </c>
      <c r="M138" s="8">
        <f t="shared" si="27"/>
        <v>10.503827782503436</v>
      </c>
      <c r="N138" s="6">
        <f t="shared" si="22"/>
        <v>10.337403417838498</v>
      </c>
      <c r="O138" s="8">
        <f t="shared" si="30"/>
        <v>754.90351335951289</v>
      </c>
      <c r="P138" s="8">
        <f t="shared" si="31"/>
        <v>733.58088154268523</v>
      </c>
      <c r="Q138" s="8">
        <f t="shared" si="28"/>
        <v>10.337403417838498</v>
      </c>
      <c r="T138" s="8">
        <f t="shared" si="21"/>
        <v>10.337403417838498</v>
      </c>
    </row>
    <row r="139" spans="2:20" x14ac:dyDescent="0.2">
      <c r="B139">
        <f t="shared" si="29"/>
        <v>136</v>
      </c>
      <c r="C139">
        <f t="shared" si="23"/>
        <v>31</v>
      </c>
      <c r="D139">
        <v>122</v>
      </c>
      <c r="E139">
        <v>153</v>
      </c>
      <c r="F139">
        <f>RnSPLINE!H$8</f>
        <v>5.3448275862068968</v>
      </c>
      <c r="G139">
        <f>RnSPLINE!H$9</f>
        <v>17.647058823529413</v>
      </c>
      <c r="H139">
        <f>RnSPLINE!M$8</f>
        <v>2.6536675979703626E-2</v>
      </c>
      <c r="I139">
        <f>RnSPLINE!M$9</f>
        <v>-2.6545706580769567E-2</v>
      </c>
      <c r="J139">
        <f t="shared" si="24"/>
        <v>0.54838709677419351</v>
      </c>
      <c r="K139">
        <f t="shared" si="25"/>
        <v>0.45161290322580644</v>
      </c>
      <c r="L139">
        <f t="shared" si="26"/>
        <v>90</v>
      </c>
      <c r="M139" s="8">
        <f t="shared" si="27"/>
        <v>10.900673951449322</v>
      </c>
      <c r="N139" s="6">
        <f t="shared" si="22"/>
        <v>10.799327344395063</v>
      </c>
      <c r="O139" s="8">
        <f t="shared" si="30"/>
        <v>765.80418731096222</v>
      </c>
      <c r="P139" s="8">
        <f t="shared" si="31"/>
        <v>744.38020888708024</v>
      </c>
      <c r="Q139" s="8">
        <f t="shared" si="28"/>
        <v>10.799327344395063</v>
      </c>
      <c r="T139" s="8">
        <f t="shared" si="21"/>
        <v>10.799327344395063</v>
      </c>
    </row>
    <row r="140" spans="2:20" x14ac:dyDescent="0.2">
      <c r="B140">
        <f t="shared" si="29"/>
        <v>137</v>
      </c>
      <c r="C140">
        <f t="shared" si="23"/>
        <v>31</v>
      </c>
      <c r="D140">
        <v>122</v>
      </c>
      <c r="E140">
        <v>153</v>
      </c>
      <c r="F140">
        <f>RnSPLINE!H$8</f>
        <v>5.3448275862068968</v>
      </c>
      <c r="G140">
        <f>RnSPLINE!H$9</f>
        <v>17.647058823529413</v>
      </c>
      <c r="H140">
        <f>RnSPLINE!M$8</f>
        <v>2.6536675979703626E-2</v>
      </c>
      <c r="I140">
        <f>RnSPLINE!M$9</f>
        <v>-2.6545706580769567E-2</v>
      </c>
      <c r="J140">
        <f t="shared" si="24"/>
        <v>0.5161290322580645</v>
      </c>
      <c r="K140">
        <f t="shared" si="25"/>
        <v>0.4838709677419355</v>
      </c>
      <c r="L140">
        <f t="shared" si="26"/>
        <v>91</v>
      </c>
      <c r="M140" s="8">
        <f t="shared" si="27"/>
        <v>11.297520120395211</v>
      </c>
      <c r="N140" s="6">
        <f t="shared" si="22"/>
        <v>11.263815258033055</v>
      </c>
      <c r="O140" s="8">
        <f t="shared" si="30"/>
        <v>777.10170743135745</v>
      </c>
      <c r="P140" s="8">
        <f t="shared" si="31"/>
        <v>755.64402414511335</v>
      </c>
      <c r="Q140" s="8">
        <f t="shared" si="28"/>
        <v>11.263815258033055</v>
      </c>
      <c r="T140" s="8">
        <f t="shared" si="21"/>
        <v>11.263815258033055</v>
      </c>
    </row>
    <row r="141" spans="2:20" x14ac:dyDescent="0.2">
      <c r="B141">
        <f t="shared" si="29"/>
        <v>138</v>
      </c>
      <c r="C141">
        <f t="shared" si="23"/>
        <v>31</v>
      </c>
      <c r="D141">
        <v>122</v>
      </c>
      <c r="E141">
        <v>153</v>
      </c>
      <c r="F141">
        <f>RnSPLINE!H$8</f>
        <v>5.3448275862068968</v>
      </c>
      <c r="G141">
        <f>RnSPLINE!H$9</f>
        <v>17.647058823529413</v>
      </c>
      <c r="H141">
        <f>RnSPLINE!M$8</f>
        <v>2.6536675979703626E-2</v>
      </c>
      <c r="I141">
        <f>RnSPLINE!M$9</f>
        <v>-2.6545706580769567E-2</v>
      </c>
      <c r="J141">
        <f t="shared" si="24"/>
        <v>0.4838709677419355</v>
      </c>
      <c r="K141">
        <f t="shared" si="25"/>
        <v>0.5161290322580645</v>
      </c>
      <c r="L141">
        <f t="shared" si="26"/>
        <v>92</v>
      </c>
      <c r="M141" s="8">
        <f t="shared" si="27"/>
        <v>11.694366289341099</v>
      </c>
      <c r="N141" s="6">
        <f t="shared" si="22"/>
        <v>11.729154823831168</v>
      </c>
      <c r="O141" s="8">
        <f t="shared" si="30"/>
        <v>788.79607372069859</v>
      </c>
      <c r="P141" s="8">
        <f t="shared" si="31"/>
        <v>767.37317896894456</v>
      </c>
      <c r="Q141" s="8">
        <f t="shared" si="28"/>
        <v>11.729154823831168</v>
      </c>
      <c r="T141" s="8">
        <f t="shared" si="21"/>
        <v>11.729154823831168</v>
      </c>
    </row>
    <row r="142" spans="2:20" x14ac:dyDescent="0.2">
      <c r="B142">
        <f t="shared" si="29"/>
        <v>139</v>
      </c>
      <c r="C142">
        <f t="shared" si="23"/>
        <v>31</v>
      </c>
      <c r="D142">
        <v>122</v>
      </c>
      <c r="E142">
        <v>153</v>
      </c>
      <c r="F142">
        <f>RnSPLINE!H$8</f>
        <v>5.3448275862068968</v>
      </c>
      <c r="G142">
        <f>RnSPLINE!H$9</f>
        <v>17.647058823529413</v>
      </c>
      <c r="H142">
        <f>RnSPLINE!M$8</f>
        <v>2.6536675979703626E-2</v>
      </c>
      <c r="I142">
        <f>RnSPLINE!M$9</f>
        <v>-2.6545706580769567E-2</v>
      </c>
      <c r="J142">
        <f t="shared" si="24"/>
        <v>0.45161290322580644</v>
      </c>
      <c r="K142">
        <f t="shared" si="25"/>
        <v>0.54838709677419351</v>
      </c>
      <c r="L142">
        <f t="shared" si="26"/>
        <v>93</v>
      </c>
      <c r="M142" s="8">
        <f t="shared" si="27"/>
        <v>12.091212458286986</v>
      </c>
      <c r="N142" s="6">
        <f t="shared" si="22"/>
        <v>12.193633706868091</v>
      </c>
      <c r="O142" s="8">
        <f t="shared" si="30"/>
        <v>800.88728617898562</v>
      </c>
      <c r="P142" s="8">
        <f t="shared" si="31"/>
        <v>779.56681267581268</v>
      </c>
      <c r="Q142" s="8">
        <f t="shared" si="28"/>
        <v>12.193633706868091</v>
      </c>
      <c r="T142" s="8">
        <f t="shared" si="21"/>
        <v>12.193633706868091</v>
      </c>
    </row>
    <row r="143" spans="2:20" x14ac:dyDescent="0.2">
      <c r="B143">
        <f t="shared" si="29"/>
        <v>140</v>
      </c>
      <c r="C143">
        <f t="shared" si="23"/>
        <v>31</v>
      </c>
      <c r="D143">
        <v>122</v>
      </c>
      <c r="E143">
        <v>153</v>
      </c>
      <c r="F143">
        <f>RnSPLINE!H$8</f>
        <v>5.3448275862068968</v>
      </c>
      <c r="G143">
        <f>RnSPLINE!H$9</f>
        <v>17.647058823529413</v>
      </c>
      <c r="H143">
        <f>RnSPLINE!M$8</f>
        <v>2.6536675979703626E-2</v>
      </c>
      <c r="I143">
        <f>RnSPLINE!M$9</f>
        <v>-2.6545706580769567E-2</v>
      </c>
      <c r="J143">
        <f t="shared" si="24"/>
        <v>0.41935483870967744</v>
      </c>
      <c r="K143">
        <f t="shared" si="25"/>
        <v>0.58064516129032262</v>
      </c>
      <c r="L143">
        <f t="shared" si="26"/>
        <v>94</v>
      </c>
      <c r="M143" s="8">
        <f t="shared" si="27"/>
        <v>12.488058627232874</v>
      </c>
      <c r="N143" s="6">
        <f t="shared" si="22"/>
        <v>12.655539572222526</v>
      </c>
      <c r="O143" s="8">
        <f t="shared" si="30"/>
        <v>813.37534480621844</v>
      </c>
      <c r="P143" s="8">
        <f t="shared" si="31"/>
        <v>792.22235224803524</v>
      </c>
      <c r="Q143" s="8">
        <f t="shared" si="28"/>
        <v>12.655539572222526</v>
      </c>
      <c r="T143" s="8">
        <f t="shared" si="21"/>
        <v>12.655539572222526</v>
      </c>
    </row>
    <row r="144" spans="2:20" x14ac:dyDescent="0.2">
      <c r="B144">
        <f t="shared" si="29"/>
        <v>141</v>
      </c>
      <c r="C144">
        <f t="shared" si="23"/>
        <v>31</v>
      </c>
      <c r="D144">
        <v>122</v>
      </c>
      <c r="E144">
        <v>153</v>
      </c>
      <c r="F144">
        <f>RnSPLINE!H$8</f>
        <v>5.3448275862068968</v>
      </c>
      <c r="G144">
        <f>RnSPLINE!H$9</f>
        <v>17.647058823529413</v>
      </c>
      <c r="H144">
        <f>RnSPLINE!M$8</f>
        <v>2.6536675979703626E-2</v>
      </c>
      <c r="I144">
        <f>RnSPLINE!M$9</f>
        <v>-2.6545706580769567E-2</v>
      </c>
      <c r="J144">
        <f t="shared" si="24"/>
        <v>0.38709677419354838</v>
      </c>
      <c r="K144">
        <f t="shared" si="25"/>
        <v>0.61290322580645162</v>
      </c>
      <c r="L144">
        <f t="shared" si="26"/>
        <v>95</v>
      </c>
      <c r="M144" s="8">
        <f t="shared" si="27"/>
        <v>12.884904796178761</v>
      </c>
      <c r="N144" s="6">
        <f t="shared" si="22"/>
        <v>13.113160084973163</v>
      </c>
      <c r="O144" s="8">
        <f t="shared" si="30"/>
        <v>826.26024960239715</v>
      </c>
      <c r="P144" s="8">
        <f t="shared" si="31"/>
        <v>805.33551233300841</v>
      </c>
      <c r="Q144" s="8">
        <f t="shared" si="28"/>
        <v>13.113160084973163</v>
      </c>
      <c r="T144" s="8">
        <f t="shared" si="21"/>
        <v>13.113160084973163</v>
      </c>
    </row>
    <row r="145" spans="1:20" x14ac:dyDescent="0.2">
      <c r="B145">
        <f t="shared" si="29"/>
        <v>142</v>
      </c>
      <c r="C145">
        <f t="shared" si="23"/>
        <v>31</v>
      </c>
      <c r="D145">
        <v>122</v>
      </c>
      <c r="E145">
        <v>153</v>
      </c>
      <c r="F145">
        <f>RnSPLINE!H$8</f>
        <v>5.3448275862068968</v>
      </c>
      <c r="G145">
        <f>RnSPLINE!H$9</f>
        <v>17.647058823529413</v>
      </c>
      <c r="H145">
        <f>RnSPLINE!M$8</f>
        <v>2.6536675979703626E-2</v>
      </c>
      <c r="I145">
        <f>RnSPLINE!M$9</f>
        <v>-2.6545706580769567E-2</v>
      </c>
      <c r="J145">
        <f t="shared" si="24"/>
        <v>0.35483870967741937</v>
      </c>
      <c r="K145">
        <f t="shared" si="25"/>
        <v>0.64516129032258063</v>
      </c>
      <c r="L145">
        <f t="shared" si="26"/>
        <v>96</v>
      </c>
      <c r="M145" s="8">
        <f t="shared" si="27"/>
        <v>13.281750965124647</v>
      </c>
      <c r="N145" s="6">
        <f t="shared" si="22"/>
        <v>13.564782910198696</v>
      </c>
      <c r="O145" s="8">
        <f t="shared" si="30"/>
        <v>839.54200056752177</v>
      </c>
      <c r="P145" s="8">
        <f t="shared" si="31"/>
        <v>818.9002952432071</v>
      </c>
      <c r="Q145" s="8">
        <f t="shared" si="28"/>
        <v>13.564782910198696</v>
      </c>
      <c r="T145" s="8">
        <f t="shared" si="21"/>
        <v>13.564782910198696</v>
      </c>
    </row>
    <row r="146" spans="1:20" x14ac:dyDescent="0.2">
      <c r="B146">
        <f t="shared" si="29"/>
        <v>143</v>
      </c>
      <c r="C146">
        <f t="shared" si="23"/>
        <v>31</v>
      </c>
      <c r="D146">
        <v>122</v>
      </c>
      <c r="E146">
        <v>153</v>
      </c>
      <c r="F146">
        <f>RnSPLINE!H$8</f>
        <v>5.3448275862068968</v>
      </c>
      <c r="G146">
        <f>RnSPLINE!H$9</f>
        <v>17.647058823529413</v>
      </c>
      <c r="H146">
        <f>RnSPLINE!M$8</f>
        <v>2.6536675979703626E-2</v>
      </c>
      <c r="I146">
        <f>RnSPLINE!M$9</f>
        <v>-2.6545706580769567E-2</v>
      </c>
      <c r="J146">
        <f t="shared" si="24"/>
        <v>0.32258064516129031</v>
      </c>
      <c r="K146">
        <f t="shared" si="25"/>
        <v>0.67741935483870963</v>
      </c>
      <c r="L146">
        <f t="shared" si="26"/>
        <v>97</v>
      </c>
      <c r="M146" s="8">
        <f t="shared" si="27"/>
        <v>13.678597134070536</v>
      </c>
      <c r="N146" s="6">
        <f t="shared" si="22"/>
        <v>14.008695712977824</v>
      </c>
      <c r="O146" s="8">
        <f t="shared" si="30"/>
        <v>853.22059770159228</v>
      </c>
      <c r="P146" s="8">
        <f t="shared" si="31"/>
        <v>832.90899095618488</v>
      </c>
      <c r="Q146" s="8">
        <f t="shared" si="28"/>
        <v>14.008695712977824</v>
      </c>
      <c r="T146" s="8">
        <f t="shared" si="21"/>
        <v>14.008695712977824</v>
      </c>
    </row>
    <row r="147" spans="1:20" x14ac:dyDescent="0.2">
      <c r="B147">
        <f t="shared" si="29"/>
        <v>144</v>
      </c>
      <c r="C147">
        <f t="shared" si="23"/>
        <v>31</v>
      </c>
      <c r="D147">
        <v>122</v>
      </c>
      <c r="E147">
        <v>153</v>
      </c>
      <c r="F147">
        <f>RnSPLINE!H$8</f>
        <v>5.3448275862068968</v>
      </c>
      <c r="G147">
        <f>RnSPLINE!H$9</f>
        <v>17.647058823529413</v>
      </c>
      <c r="H147">
        <f>RnSPLINE!M$8</f>
        <v>2.6536675979703626E-2</v>
      </c>
      <c r="I147">
        <f>RnSPLINE!M$9</f>
        <v>-2.6545706580769567E-2</v>
      </c>
      <c r="J147">
        <f t="shared" si="24"/>
        <v>0.29032258064516131</v>
      </c>
      <c r="K147">
        <f t="shared" si="25"/>
        <v>0.70967741935483875</v>
      </c>
      <c r="L147">
        <f t="shared" si="26"/>
        <v>98</v>
      </c>
      <c r="M147" s="8">
        <f t="shared" si="27"/>
        <v>14.075443303016424</v>
      </c>
      <c r="N147" s="6">
        <f t="shared" si="22"/>
        <v>14.443186158389237</v>
      </c>
      <c r="O147" s="8">
        <f t="shared" si="30"/>
        <v>867.2960410046087</v>
      </c>
      <c r="P147" s="8">
        <f t="shared" si="31"/>
        <v>847.35217711457415</v>
      </c>
      <c r="Q147" s="8">
        <f t="shared" si="28"/>
        <v>14.443186158389237</v>
      </c>
      <c r="T147" s="8">
        <f t="shared" si="21"/>
        <v>14.443186158389237</v>
      </c>
    </row>
    <row r="148" spans="1:20" x14ac:dyDescent="0.2">
      <c r="B148">
        <f t="shared" si="29"/>
        <v>145</v>
      </c>
      <c r="C148">
        <f t="shared" si="23"/>
        <v>31</v>
      </c>
      <c r="D148">
        <v>122</v>
      </c>
      <c r="E148">
        <v>153</v>
      </c>
      <c r="F148">
        <f>RnSPLINE!H$8</f>
        <v>5.3448275862068968</v>
      </c>
      <c r="G148">
        <f>RnSPLINE!H$9</f>
        <v>17.647058823529413</v>
      </c>
      <c r="H148">
        <f>RnSPLINE!M$8</f>
        <v>2.6536675979703626E-2</v>
      </c>
      <c r="I148">
        <f>RnSPLINE!M$9</f>
        <v>-2.6545706580769567E-2</v>
      </c>
      <c r="J148">
        <f t="shared" si="24"/>
        <v>0.25806451612903225</v>
      </c>
      <c r="K148">
        <f t="shared" si="25"/>
        <v>0.74193548387096775</v>
      </c>
      <c r="L148">
        <f t="shared" si="26"/>
        <v>99</v>
      </c>
      <c r="M148" s="8">
        <f t="shared" si="27"/>
        <v>14.472289471962313</v>
      </c>
      <c r="N148" s="6">
        <f t="shared" si="22"/>
        <v>14.86654191151163</v>
      </c>
      <c r="O148" s="8">
        <f t="shared" si="30"/>
        <v>881.76833047657101</v>
      </c>
      <c r="P148" s="8">
        <f t="shared" si="31"/>
        <v>862.21871902608575</v>
      </c>
      <c r="Q148" s="8">
        <f t="shared" si="28"/>
        <v>14.86654191151163</v>
      </c>
      <c r="T148" s="8">
        <f t="shared" si="21"/>
        <v>14.86654191151163</v>
      </c>
    </row>
    <row r="149" spans="1:20" x14ac:dyDescent="0.2">
      <c r="B149">
        <f t="shared" si="29"/>
        <v>146</v>
      </c>
      <c r="C149">
        <f t="shared" si="23"/>
        <v>31</v>
      </c>
      <c r="D149">
        <v>122</v>
      </c>
      <c r="E149">
        <v>153</v>
      </c>
      <c r="F149">
        <f>RnSPLINE!H$8</f>
        <v>5.3448275862068968</v>
      </c>
      <c r="G149">
        <f>RnSPLINE!H$9</f>
        <v>17.647058823529413</v>
      </c>
      <c r="H149">
        <f>RnSPLINE!M$8</f>
        <v>2.6536675979703626E-2</v>
      </c>
      <c r="I149">
        <f>RnSPLINE!M$9</f>
        <v>-2.6545706580769567E-2</v>
      </c>
      <c r="J149">
        <f t="shared" si="24"/>
        <v>0.22580645161290322</v>
      </c>
      <c r="K149">
        <f t="shared" si="25"/>
        <v>0.77419354838709675</v>
      </c>
      <c r="L149">
        <f t="shared" si="26"/>
        <v>100</v>
      </c>
      <c r="M149" s="8">
        <f t="shared" si="27"/>
        <v>14.869135640908198</v>
      </c>
      <c r="N149" s="6">
        <f t="shared" si="22"/>
        <v>15.277050637423697</v>
      </c>
      <c r="O149" s="8">
        <f t="shared" si="30"/>
        <v>896.63746611747922</v>
      </c>
      <c r="P149" s="8">
        <f t="shared" si="31"/>
        <v>877.49576966350946</v>
      </c>
      <c r="Q149" s="8">
        <f t="shared" si="28"/>
        <v>15.277050637423697</v>
      </c>
      <c r="T149" s="8">
        <f t="shared" si="21"/>
        <v>15.277050637423697</v>
      </c>
    </row>
    <row r="150" spans="1:20" x14ac:dyDescent="0.2">
      <c r="B150">
        <f t="shared" si="29"/>
        <v>147</v>
      </c>
      <c r="C150">
        <f t="shared" si="23"/>
        <v>31</v>
      </c>
      <c r="D150">
        <v>122</v>
      </c>
      <c r="E150">
        <v>153</v>
      </c>
      <c r="F150">
        <f>RnSPLINE!H$8</f>
        <v>5.3448275862068968</v>
      </c>
      <c r="G150">
        <f>RnSPLINE!H$9</f>
        <v>17.647058823529413</v>
      </c>
      <c r="H150">
        <f>RnSPLINE!M$8</f>
        <v>2.6536675979703626E-2</v>
      </c>
      <c r="I150">
        <f>RnSPLINE!M$9</f>
        <v>-2.6545706580769567E-2</v>
      </c>
      <c r="J150">
        <f t="shared" si="24"/>
        <v>0.19354838709677419</v>
      </c>
      <c r="K150">
        <f t="shared" si="25"/>
        <v>0.80645161290322576</v>
      </c>
      <c r="L150">
        <f t="shared" si="26"/>
        <v>101</v>
      </c>
      <c r="M150" s="8">
        <f t="shared" si="27"/>
        <v>15.265981809854088</v>
      </c>
      <c r="N150" s="6">
        <f t="shared" si="22"/>
        <v>15.673000001204137</v>
      </c>
      <c r="O150" s="8">
        <f t="shared" si="30"/>
        <v>911.90344792733333</v>
      </c>
      <c r="P150" s="8">
        <f t="shared" si="31"/>
        <v>893.16876966471364</v>
      </c>
      <c r="Q150" s="8">
        <f t="shared" si="28"/>
        <v>15.673000001204137</v>
      </c>
      <c r="T150" s="8">
        <f t="shared" si="21"/>
        <v>15.673000001204137</v>
      </c>
    </row>
    <row r="151" spans="1:20" x14ac:dyDescent="0.2">
      <c r="B151">
        <f t="shared" si="29"/>
        <v>148</v>
      </c>
      <c r="C151">
        <f t="shared" si="23"/>
        <v>31</v>
      </c>
      <c r="D151">
        <v>122</v>
      </c>
      <c r="E151">
        <v>153</v>
      </c>
      <c r="F151">
        <f>RnSPLINE!H$8</f>
        <v>5.3448275862068968</v>
      </c>
      <c r="G151">
        <f>RnSPLINE!H$9</f>
        <v>17.647058823529413</v>
      </c>
      <c r="H151">
        <f>RnSPLINE!M$8</f>
        <v>2.6536675979703626E-2</v>
      </c>
      <c r="I151">
        <f>RnSPLINE!M$9</f>
        <v>-2.6545706580769567E-2</v>
      </c>
      <c r="J151">
        <f t="shared" si="24"/>
        <v>0.16129032258064516</v>
      </c>
      <c r="K151">
        <f t="shared" si="25"/>
        <v>0.83870967741935487</v>
      </c>
      <c r="L151">
        <f t="shared" si="26"/>
        <v>102</v>
      </c>
      <c r="M151" s="8">
        <f t="shared" si="27"/>
        <v>15.662827978799976</v>
      </c>
      <c r="N151" s="6">
        <f t="shared" si="22"/>
        <v>16.05267766793164</v>
      </c>
      <c r="O151" s="8">
        <f t="shared" si="30"/>
        <v>927.56627590613334</v>
      </c>
      <c r="P151" s="8">
        <f t="shared" si="31"/>
        <v>909.22144733264531</v>
      </c>
      <c r="Q151" s="8">
        <f t="shared" si="28"/>
        <v>16.05267766793164</v>
      </c>
      <c r="T151" s="8">
        <f t="shared" si="21"/>
        <v>16.05267766793164</v>
      </c>
    </row>
    <row r="152" spans="1:20" x14ac:dyDescent="0.2">
      <c r="B152">
        <f t="shared" si="29"/>
        <v>149</v>
      </c>
      <c r="C152">
        <f t="shared" si="23"/>
        <v>31</v>
      </c>
      <c r="D152">
        <v>122</v>
      </c>
      <c r="E152">
        <v>153</v>
      </c>
      <c r="F152">
        <f>RnSPLINE!H$8</f>
        <v>5.3448275862068968</v>
      </c>
      <c r="G152">
        <f>RnSPLINE!H$9</f>
        <v>17.647058823529413</v>
      </c>
      <c r="H152">
        <f>RnSPLINE!M$8</f>
        <v>2.6536675979703626E-2</v>
      </c>
      <c r="I152">
        <f>RnSPLINE!M$9</f>
        <v>-2.6545706580769567E-2</v>
      </c>
      <c r="J152">
        <f t="shared" si="24"/>
        <v>0.12903225806451613</v>
      </c>
      <c r="K152">
        <f t="shared" si="25"/>
        <v>0.87096774193548387</v>
      </c>
      <c r="L152">
        <f t="shared" si="26"/>
        <v>103</v>
      </c>
      <c r="M152" s="8">
        <f t="shared" si="27"/>
        <v>16.059674147745863</v>
      </c>
      <c r="N152" s="6">
        <f t="shared" si="22"/>
        <v>16.414371302684899</v>
      </c>
      <c r="O152" s="8">
        <f t="shared" si="30"/>
        <v>943.62595005387925</v>
      </c>
      <c r="P152" s="8">
        <f t="shared" si="31"/>
        <v>925.63581863533022</v>
      </c>
      <c r="Q152" s="8">
        <f t="shared" si="28"/>
        <v>16.414371302684899</v>
      </c>
      <c r="T152" s="8">
        <f t="shared" si="21"/>
        <v>16.414371302684899</v>
      </c>
    </row>
    <row r="153" spans="1:20" x14ac:dyDescent="0.2">
      <c r="B153">
        <f t="shared" si="29"/>
        <v>150</v>
      </c>
      <c r="C153">
        <f t="shared" si="23"/>
        <v>31</v>
      </c>
      <c r="D153">
        <v>122</v>
      </c>
      <c r="E153">
        <v>153</v>
      </c>
      <c r="F153">
        <f>RnSPLINE!H$8</f>
        <v>5.3448275862068968</v>
      </c>
      <c r="G153">
        <f>RnSPLINE!H$9</f>
        <v>17.647058823529413</v>
      </c>
      <c r="H153">
        <f>RnSPLINE!M$8</f>
        <v>2.6536675979703626E-2</v>
      </c>
      <c r="I153">
        <f>RnSPLINE!M$9</f>
        <v>-2.6545706580769567E-2</v>
      </c>
      <c r="J153">
        <f t="shared" si="24"/>
        <v>9.6774193548387094E-2</v>
      </c>
      <c r="K153">
        <f t="shared" si="25"/>
        <v>0.90322580645161288</v>
      </c>
      <c r="L153">
        <f t="shared" si="26"/>
        <v>104</v>
      </c>
      <c r="M153" s="8">
        <f t="shared" si="27"/>
        <v>16.456520316691748</v>
      </c>
      <c r="N153" s="6">
        <f t="shared" si="22"/>
        <v>16.756368570542609</v>
      </c>
      <c r="O153" s="8">
        <f t="shared" si="30"/>
        <v>960.08247037057095</v>
      </c>
      <c r="P153" s="8">
        <f t="shared" si="31"/>
        <v>942.3921872058728</v>
      </c>
      <c r="Q153" s="8">
        <f t="shared" si="28"/>
        <v>16.756368570542609</v>
      </c>
      <c r="T153" s="8">
        <f t="shared" si="21"/>
        <v>16.756368570542609</v>
      </c>
    </row>
    <row r="154" spans="1:20" x14ac:dyDescent="0.2">
      <c r="B154">
        <f t="shared" si="29"/>
        <v>151</v>
      </c>
      <c r="C154">
        <f t="shared" si="23"/>
        <v>31</v>
      </c>
      <c r="D154">
        <v>122</v>
      </c>
      <c r="E154">
        <v>153</v>
      </c>
      <c r="F154">
        <f>RnSPLINE!H$8</f>
        <v>5.3448275862068968</v>
      </c>
      <c r="G154">
        <f>RnSPLINE!H$9</f>
        <v>17.647058823529413</v>
      </c>
      <c r="H154">
        <f>RnSPLINE!M$8</f>
        <v>2.6536675979703626E-2</v>
      </c>
      <c r="I154">
        <f>RnSPLINE!M$9</f>
        <v>-2.6545706580769567E-2</v>
      </c>
      <c r="J154">
        <f t="shared" si="24"/>
        <v>6.4516129032258063E-2</v>
      </c>
      <c r="K154">
        <f t="shared" si="25"/>
        <v>0.93548387096774188</v>
      </c>
      <c r="L154">
        <f t="shared" si="26"/>
        <v>105</v>
      </c>
      <c r="M154" s="8">
        <f t="shared" si="27"/>
        <v>16.853366485637636</v>
      </c>
      <c r="N154" s="6">
        <f t="shared" si="22"/>
        <v>17.076957136583474</v>
      </c>
      <c r="O154" s="8">
        <f t="shared" si="30"/>
        <v>976.93583685620854</v>
      </c>
      <c r="P154" s="8">
        <f t="shared" si="31"/>
        <v>959.46914434245627</v>
      </c>
      <c r="Q154" s="8">
        <f t="shared" si="28"/>
        <v>17.076957136583474</v>
      </c>
      <c r="T154" s="8">
        <f t="shared" si="21"/>
        <v>17.076957136583474</v>
      </c>
    </row>
    <row r="155" spans="1:20" x14ac:dyDescent="0.2">
      <c r="B155">
        <f t="shared" si="29"/>
        <v>152</v>
      </c>
      <c r="C155">
        <f t="shared" si="23"/>
        <v>31</v>
      </c>
      <c r="D155">
        <v>122</v>
      </c>
      <c r="E155">
        <v>153</v>
      </c>
      <c r="F155">
        <f>RnSPLINE!H$8</f>
        <v>5.3448275862068968</v>
      </c>
      <c r="G155">
        <f>RnSPLINE!H$9</f>
        <v>17.647058823529413</v>
      </c>
      <c r="H155">
        <f>RnSPLINE!M$8</f>
        <v>2.6536675979703626E-2</v>
      </c>
      <c r="I155">
        <f>RnSPLINE!M$9</f>
        <v>-2.6545706580769567E-2</v>
      </c>
      <c r="J155">
        <f t="shared" si="24"/>
        <v>3.2258064516129031E-2</v>
      </c>
      <c r="K155">
        <f t="shared" si="25"/>
        <v>0.967741935483871</v>
      </c>
      <c r="L155">
        <f t="shared" si="26"/>
        <v>106</v>
      </c>
      <c r="M155" s="8">
        <f t="shared" si="27"/>
        <v>17.250212654583525</v>
      </c>
      <c r="N155" s="6">
        <f t="shared" si="22"/>
        <v>17.374424665886174</v>
      </c>
      <c r="O155" s="8">
        <f t="shared" si="30"/>
        <v>994.18604951079203</v>
      </c>
      <c r="P155" s="8">
        <f t="shared" si="31"/>
        <v>976.84356900834246</v>
      </c>
      <c r="Q155" s="8">
        <f t="shared" si="28"/>
        <v>17.374424665886174</v>
      </c>
      <c r="T155" s="8">
        <f t="shared" si="21"/>
        <v>17.374424665886174</v>
      </c>
    </row>
    <row r="156" spans="1:20" x14ac:dyDescent="0.2">
      <c r="A156">
        <v>153</v>
      </c>
      <c r="B156">
        <f t="shared" si="29"/>
        <v>153</v>
      </c>
      <c r="C156">
        <f t="shared" si="23"/>
        <v>31</v>
      </c>
      <c r="D156">
        <v>122</v>
      </c>
      <c r="E156">
        <v>153</v>
      </c>
      <c r="F156">
        <f>RnSPLINE!H$8</f>
        <v>5.3448275862068968</v>
      </c>
      <c r="G156">
        <f>RnSPLINE!H$9</f>
        <v>17.647058823529413</v>
      </c>
      <c r="H156">
        <f>RnSPLINE!M$8</f>
        <v>2.6536675979703626E-2</v>
      </c>
      <c r="I156">
        <f>RnSPLINE!M$9</f>
        <v>-2.6545706580769567E-2</v>
      </c>
      <c r="J156">
        <f t="shared" si="24"/>
        <v>0</v>
      </c>
      <c r="K156">
        <f t="shared" si="25"/>
        <v>1</v>
      </c>
      <c r="L156">
        <f t="shared" si="26"/>
        <v>107</v>
      </c>
      <c r="M156" s="8">
        <f t="shared" si="27"/>
        <v>17.647058823529413</v>
      </c>
      <c r="N156" s="6">
        <f t="shared" si="22"/>
        <v>17.647058823529413</v>
      </c>
      <c r="O156" s="8">
        <f t="shared" si="30"/>
        <v>1011.8331083343214</v>
      </c>
      <c r="P156" s="8">
        <f t="shared" si="31"/>
        <v>994.49062783187185</v>
      </c>
      <c r="Q156" s="8">
        <f t="shared" si="28"/>
        <v>17.647058823529413</v>
      </c>
      <c r="T156" s="8">
        <f t="shared" si="21"/>
        <v>17.647058823529413</v>
      </c>
    </row>
    <row r="157" spans="1:20" x14ac:dyDescent="0.2">
      <c r="B157">
        <f t="shared" si="29"/>
        <v>154</v>
      </c>
      <c r="C157">
        <f t="shared" si="23"/>
        <v>30</v>
      </c>
      <c r="D157">
        <v>153</v>
      </c>
      <c r="E157">
        <v>183</v>
      </c>
      <c r="F157">
        <f>RnSPLINE!H$9</f>
        <v>17.647058823529413</v>
      </c>
      <c r="G157">
        <f>RnSPLINE!H$10</f>
        <v>20.666666666666668</v>
      </c>
      <c r="H157" s="10">
        <f>RnSPLINE!M$9</f>
        <v>-2.6545706580769567E-2</v>
      </c>
      <c r="I157" s="10">
        <f>RnSPLINE!M$10</f>
        <v>2.1292793414506659E-2</v>
      </c>
      <c r="J157">
        <f t="shared" si="24"/>
        <v>0.96666666666666667</v>
      </c>
      <c r="K157">
        <f t="shared" si="25"/>
        <v>3.3333333333333333E-2</v>
      </c>
      <c r="L157">
        <f t="shared" si="26"/>
        <v>108</v>
      </c>
      <c r="M157" s="8">
        <f t="shared" si="27"/>
        <v>17.747712418300654</v>
      </c>
      <c r="N157" s="6">
        <f t="shared" si="22"/>
        <v>17.893698433189851</v>
      </c>
      <c r="O157" s="8">
        <f t="shared" si="30"/>
        <v>1029.580820752622</v>
      </c>
      <c r="P157" s="8">
        <f t="shared" si="31"/>
        <v>1012.3843262650616</v>
      </c>
      <c r="Q157" s="8">
        <f t="shared" si="28"/>
        <v>17.893698433189851</v>
      </c>
      <c r="T157" s="8">
        <f t="shared" si="21"/>
        <v>17.893698433189851</v>
      </c>
    </row>
    <row r="158" spans="1:20" x14ac:dyDescent="0.2">
      <c r="B158">
        <f t="shared" si="29"/>
        <v>155</v>
      </c>
      <c r="C158">
        <f t="shared" si="23"/>
        <v>30</v>
      </c>
      <c r="D158">
        <v>153</v>
      </c>
      <c r="E158">
        <v>183</v>
      </c>
      <c r="F158">
        <f>RnSPLINE!H$9</f>
        <v>17.647058823529413</v>
      </c>
      <c r="G158">
        <f>RnSPLINE!H$10</f>
        <v>20.666666666666668</v>
      </c>
      <c r="H158" s="10">
        <f>RnSPLINE!M$9</f>
        <v>-2.6545706580769567E-2</v>
      </c>
      <c r="I158" s="10">
        <f>RnSPLINE!M$10</f>
        <v>2.1292793414506659E-2</v>
      </c>
      <c r="J158">
        <f t="shared" si="24"/>
        <v>0.93333333333333335</v>
      </c>
      <c r="K158">
        <f t="shared" si="25"/>
        <v>6.6666666666666666E-2</v>
      </c>
      <c r="L158">
        <f t="shared" si="26"/>
        <v>109</v>
      </c>
      <c r="M158" s="8">
        <f t="shared" si="27"/>
        <v>17.848366013071896</v>
      </c>
      <c r="N158" s="6">
        <f t="shared" si="22"/>
        <v>18.115386952936028</v>
      </c>
      <c r="O158" s="8">
        <f t="shared" si="30"/>
        <v>1047.4291867656939</v>
      </c>
      <c r="P158" s="8">
        <f t="shared" si="31"/>
        <v>1030.4997132179976</v>
      </c>
      <c r="Q158" s="8">
        <f t="shared" si="28"/>
        <v>18.115386952936028</v>
      </c>
      <c r="T158" s="8">
        <f t="shared" si="21"/>
        <v>18.115386952936028</v>
      </c>
    </row>
    <row r="159" spans="1:20" x14ac:dyDescent="0.2">
      <c r="B159">
        <f t="shared" si="29"/>
        <v>156</v>
      </c>
      <c r="C159">
        <f t="shared" si="23"/>
        <v>30</v>
      </c>
      <c r="D159">
        <v>153</v>
      </c>
      <c r="E159">
        <v>183</v>
      </c>
      <c r="F159">
        <f>RnSPLINE!H$9</f>
        <v>17.647058823529413</v>
      </c>
      <c r="G159">
        <f>RnSPLINE!H$10</f>
        <v>20.666666666666668</v>
      </c>
      <c r="H159" s="10">
        <f>RnSPLINE!M$9</f>
        <v>-2.6545706580769567E-2</v>
      </c>
      <c r="I159" s="10">
        <f>RnSPLINE!M$10</f>
        <v>2.1292793414506659E-2</v>
      </c>
      <c r="J159">
        <f t="shared" si="24"/>
        <v>0.9</v>
      </c>
      <c r="K159">
        <f t="shared" si="25"/>
        <v>0.1</v>
      </c>
      <c r="L159">
        <f t="shared" si="26"/>
        <v>110</v>
      </c>
      <c r="M159" s="8">
        <f t="shared" si="27"/>
        <v>17.949019607843141</v>
      </c>
      <c r="N159" s="6">
        <f t="shared" si="22"/>
        <v>18.313718999434457</v>
      </c>
      <c r="O159" s="8">
        <f t="shared" si="30"/>
        <v>1065.3782063735371</v>
      </c>
      <c r="P159" s="8">
        <f t="shared" si="31"/>
        <v>1048.8134322174321</v>
      </c>
      <c r="Q159" s="8">
        <f t="shared" si="28"/>
        <v>18.313718999434457</v>
      </c>
      <c r="T159" s="8">
        <f t="shared" si="21"/>
        <v>18.313718999434457</v>
      </c>
    </row>
    <row r="160" spans="1:20" x14ac:dyDescent="0.2">
      <c r="B160">
        <f t="shared" si="29"/>
        <v>157</v>
      </c>
      <c r="C160">
        <f t="shared" si="23"/>
        <v>30</v>
      </c>
      <c r="D160">
        <v>153</v>
      </c>
      <c r="E160">
        <v>183</v>
      </c>
      <c r="F160">
        <f>RnSPLINE!H$9</f>
        <v>17.647058823529413</v>
      </c>
      <c r="G160">
        <f>RnSPLINE!H$10</f>
        <v>20.666666666666668</v>
      </c>
      <c r="H160" s="10">
        <f>RnSPLINE!M$9</f>
        <v>-2.6545706580769567E-2</v>
      </c>
      <c r="I160" s="10">
        <f>RnSPLINE!M$10</f>
        <v>2.1292793414506659E-2</v>
      </c>
      <c r="J160">
        <f t="shared" si="24"/>
        <v>0.8666666666666667</v>
      </c>
      <c r="K160">
        <f t="shared" si="25"/>
        <v>0.13333333333333333</v>
      </c>
      <c r="L160">
        <f t="shared" si="26"/>
        <v>111</v>
      </c>
      <c r="M160" s="8">
        <f t="shared" si="27"/>
        <v>18.049673202614379</v>
      </c>
      <c r="N160" s="6">
        <f t="shared" si="22"/>
        <v>18.490289189351635</v>
      </c>
      <c r="O160" s="8">
        <f t="shared" si="30"/>
        <v>1083.4278795761516</v>
      </c>
      <c r="P160" s="8">
        <f t="shared" si="31"/>
        <v>1067.3037214067838</v>
      </c>
      <c r="Q160" s="8">
        <f t="shared" si="28"/>
        <v>18.490289189351635</v>
      </c>
      <c r="T160" s="8">
        <f t="shared" si="21"/>
        <v>18.490289189351635</v>
      </c>
    </row>
    <row r="161" spans="2:20" x14ac:dyDescent="0.2">
      <c r="B161">
        <f t="shared" si="29"/>
        <v>158</v>
      </c>
      <c r="C161">
        <f t="shared" si="23"/>
        <v>30</v>
      </c>
      <c r="D161">
        <v>153</v>
      </c>
      <c r="E161">
        <v>183</v>
      </c>
      <c r="F161">
        <f>RnSPLINE!H$9</f>
        <v>17.647058823529413</v>
      </c>
      <c r="G161">
        <f>RnSPLINE!H$10</f>
        <v>20.666666666666668</v>
      </c>
      <c r="H161" s="10">
        <f>RnSPLINE!M$9</f>
        <v>-2.6545706580769567E-2</v>
      </c>
      <c r="I161" s="10">
        <f>RnSPLINE!M$10</f>
        <v>2.1292793414506659E-2</v>
      </c>
      <c r="J161">
        <f t="shared" si="24"/>
        <v>0.83333333333333337</v>
      </c>
      <c r="K161">
        <f t="shared" si="25"/>
        <v>0.16666666666666666</v>
      </c>
      <c r="L161">
        <f t="shared" si="26"/>
        <v>112</v>
      </c>
      <c r="M161" s="8">
        <f t="shared" si="27"/>
        <v>18.150326797385624</v>
      </c>
      <c r="N161" s="6">
        <f t="shared" si="22"/>
        <v>18.646692139354091</v>
      </c>
      <c r="O161" s="8">
        <f t="shared" si="30"/>
        <v>1101.5782063735371</v>
      </c>
      <c r="P161" s="8">
        <f t="shared" si="31"/>
        <v>1085.950413546138</v>
      </c>
      <c r="Q161" s="8">
        <f t="shared" si="28"/>
        <v>18.646692139354091</v>
      </c>
      <c r="T161" s="8">
        <f t="shared" si="21"/>
        <v>18.646692139354091</v>
      </c>
    </row>
    <row r="162" spans="2:20" x14ac:dyDescent="0.2">
      <c r="B162">
        <f t="shared" si="29"/>
        <v>159</v>
      </c>
      <c r="C162">
        <f t="shared" si="23"/>
        <v>30</v>
      </c>
      <c r="D162">
        <v>153</v>
      </c>
      <c r="E162">
        <v>183</v>
      </c>
      <c r="F162">
        <f>RnSPLINE!H$9</f>
        <v>17.647058823529413</v>
      </c>
      <c r="G162">
        <f>RnSPLINE!H$10</f>
        <v>20.666666666666668</v>
      </c>
      <c r="H162" s="10">
        <f>RnSPLINE!M$9</f>
        <v>-2.6545706580769567E-2</v>
      </c>
      <c r="I162" s="10">
        <f>RnSPLINE!M$10</f>
        <v>2.1292793414506659E-2</v>
      </c>
      <c r="J162">
        <f t="shared" si="24"/>
        <v>0.8</v>
      </c>
      <c r="K162">
        <f t="shared" si="25"/>
        <v>0.2</v>
      </c>
      <c r="L162">
        <f t="shared" si="26"/>
        <v>113</v>
      </c>
      <c r="M162" s="8">
        <f t="shared" si="27"/>
        <v>18.250980392156865</v>
      </c>
      <c r="N162" s="6">
        <f t="shared" si="22"/>
        <v>18.784522466108317</v>
      </c>
      <c r="O162" s="8">
        <f t="shared" si="30"/>
        <v>1119.829186765694</v>
      </c>
      <c r="P162" s="8">
        <f t="shared" si="31"/>
        <v>1104.7349360122462</v>
      </c>
      <c r="Q162" s="8">
        <f t="shared" si="28"/>
        <v>18.784522466108317</v>
      </c>
      <c r="T162" s="8">
        <f t="shared" si="21"/>
        <v>18.784522466108317</v>
      </c>
    </row>
    <row r="163" spans="2:20" x14ac:dyDescent="0.2">
      <c r="B163">
        <f t="shared" si="29"/>
        <v>160</v>
      </c>
      <c r="C163">
        <f t="shared" si="23"/>
        <v>30</v>
      </c>
      <c r="D163">
        <v>153</v>
      </c>
      <c r="E163">
        <v>183</v>
      </c>
      <c r="F163">
        <f>RnSPLINE!H$9</f>
        <v>17.647058823529413</v>
      </c>
      <c r="G163">
        <f>RnSPLINE!H$10</f>
        <v>20.666666666666668</v>
      </c>
      <c r="H163" s="10">
        <f>RnSPLINE!M$9</f>
        <v>-2.6545706580769567E-2</v>
      </c>
      <c r="I163" s="10">
        <f>RnSPLINE!M$10</f>
        <v>2.1292793414506659E-2</v>
      </c>
      <c r="J163">
        <f t="shared" si="24"/>
        <v>0.76666666666666672</v>
      </c>
      <c r="K163">
        <f t="shared" si="25"/>
        <v>0.23333333333333334</v>
      </c>
      <c r="L163">
        <f t="shared" si="26"/>
        <v>114</v>
      </c>
      <c r="M163" s="8">
        <f t="shared" si="27"/>
        <v>18.351633986928107</v>
      </c>
      <c r="N163" s="6">
        <f t="shared" si="22"/>
        <v>18.905374786280831</v>
      </c>
      <c r="O163" s="8">
        <f t="shared" si="30"/>
        <v>1138.1808207526221</v>
      </c>
      <c r="P163" s="8">
        <f t="shared" si="31"/>
        <v>1123.640310798527</v>
      </c>
      <c r="Q163" s="8">
        <f t="shared" si="28"/>
        <v>18.905374786280831</v>
      </c>
      <c r="T163" s="8">
        <f t="shared" si="21"/>
        <v>18.905374786280831</v>
      </c>
    </row>
    <row r="164" spans="2:20" x14ac:dyDescent="0.2">
      <c r="B164">
        <f t="shared" si="29"/>
        <v>161</v>
      </c>
      <c r="C164">
        <f t="shared" si="23"/>
        <v>30</v>
      </c>
      <c r="D164">
        <v>153</v>
      </c>
      <c r="E164">
        <v>183</v>
      </c>
      <c r="F164">
        <f>RnSPLINE!H$9</f>
        <v>17.647058823529413</v>
      </c>
      <c r="G164">
        <f>RnSPLINE!H$10</f>
        <v>20.666666666666668</v>
      </c>
      <c r="H164" s="10">
        <f>RnSPLINE!M$9</f>
        <v>-2.6545706580769567E-2</v>
      </c>
      <c r="I164" s="10">
        <f>RnSPLINE!M$10</f>
        <v>2.1292793414506659E-2</v>
      </c>
      <c r="J164">
        <f t="shared" si="24"/>
        <v>0.73333333333333328</v>
      </c>
      <c r="K164">
        <f t="shared" si="25"/>
        <v>0.26666666666666666</v>
      </c>
      <c r="L164">
        <f t="shared" si="26"/>
        <v>115</v>
      </c>
      <c r="M164" s="8">
        <f t="shared" si="27"/>
        <v>18.452287581699345</v>
      </c>
      <c r="N164" s="6">
        <f t="shared" si="22"/>
        <v>19.010843716538137</v>
      </c>
      <c r="O164" s="8">
        <f t="shared" si="30"/>
        <v>1156.6331083343214</v>
      </c>
      <c r="P164" s="8">
        <f t="shared" si="31"/>
        <v>1142.6511545150652</v>
      </c>
      <c r="Q164" s="8">
        <f t="shared" si="28"/>
        <v>19.010843716538137</v>
      </c>
      <c r="T164" s="8">
        <f t="shared" si="21"/>
        <v>19.010843716538137</v>
      </c>
    </row>
    <row r="165" spans="2:20" x14ac:dyDescent="0.2">
      <c r="B165">
        <f t="shared" si="29"/>
        <v>162</v>
      </c>
      <c r="C165">
        <f t="shared" si="23"/>
        <v>30</v>
      </c>
      <c r="D165">
        <v>153</v>
      </c>
      <c r="E165">
        <v>183</v>
      </c>
      <c r="F165">
        <f>RnSPLINE!H$9</f>
        <v>17.647058823529413</v>
      </c>
      <c r="G165">
        <f>RnSPLINE!H$10</f>
        <v>20.666666666666668</v>
      </c>
      <c r="H165" s="10">
        <f>RnSPLINE!M$9</f>
        <v>-2.6545706580769567E-2</v>
      </c>
      <c r="I165" s="10">
        <f>RnSPLINE!M$10</f>
        <v>2.1292793414506659E-2</v>
      </c>
      <c r="J165">
        <f t="shared" si="24"/>
        <v>0.7</v>
      </c>
      <c r="K165">
        <f t="shared" si="25"/>
        <v>0.3</v>
      </c>
      <c r="L165">
        <f t="shared" si="26"/>
        <v>116</v>
      </c>
      <c r="M165" s="8">
        <f t="shared" si="27"/>
        <v>18.55294117647059</v>
      </c>
      <c r="N165" s="6">
        <f t="shared" si="22"/>
        <v>19.102523873546751</v>
      </c>
      <c r="O165" s="8">
        <f t="shared" si="30"/>
        <v>1175.1860495107919</v>
      </c>
      <c r="P165" s="8">
        <f t="shared" si="31"/>
        <v>1161.7536783886119</v>
      </c>
      <c r="Q165" s="8">
        <f t="shared" si="28"/>
        <v>19.102523873546751</v>
      </c>
      <c r="T165" s="8">
        <f t="shared" si="21"/>
        <v>19.102523873546751</v>
      </c>
    </row>
    <row r="166" spans="2:20" x14ac:dyDescent="0.2">
      <c r="B166">
        <f t="shared" si="29"/>
        <v>163</v>
      </c>
      <c r="C166">
        <f t="shared" si="23"/>
        <v>30</v>
      </c>
      <c r="D166">
        <v>153</v>
      </c>
      <c r="E166">
        <v>183</v>
      </c>
      <c r="F166">
        <f>RnSPLINE!H$9</f>
        <v>17.647058823529413</v>
      </c>
      <c r="G166">
        <f>RnSPLINE!H$10</f>
        <v>20.666666666666668</v>
      </c>
      <c r="H166" s="10">
        <f>RnSPLINE!M$9</f>
        <v>-2.6545706580769567E-2</v>
      </c>
      <c r="I166" s="10">
        <f>RnSPLINE!M$10</f>
        <v>2.1292793414506659E-2</v>
      </c>
      <c r="J166">
        <f t="shared" si="24"/>
        <v>0.66666666666666663</v>
      </c>
      <c r="K166">
        <f t="shared" si="25"/>
        <v>0.33333333333333331</v>
      </c>
      <c r="L166">
        <f t="shared" si="26"/>
        <v>117</v>
      </c>
      <c r="M166" s="8">
        <f t="shared" si="27"/>
        <v>18.653594771241831</v>
      </c>
      <c r="N166" s="6">
        <f t="shared" si="22"/>
        <v>19.182009873973179</v>
      </c>
      <c r="O166" s="8">
        <f t="shared" si="30"/>
        <v>1193.8396442820338</v>
      </c>
      <c r="P166" s="8">
        <f t="shared" si="31"/>
        <v>1180.935688262585</v>
      </c>
      <c r="Q166" s="8">
        <f t="shared" si="28"/>
        <v>19.182009873973179</v>
      </c>
      <c r="T166" s="8">
        <f t="shared" si="21"/>
        <v>19.182009873973179</v>
      </c>
    </row>
    <row r="167" spans="2:20" x14ac:dyDescent="0.2">
      <c r="B167">
        <f t="shared" si="29"/>
        <v>164</v>
      </c>
      <c r="C167">
        <f t="shared" si="23"/>
        <v>30</v>
      </c>
      <c r="D167">
        <v>153</v>
      </c>
      <c r="E167">
        <v>183</v>
      </c>
      <c r="F167">
        <f>RnSPLINE!H$9</f>
        <v>17.647058823529413</v>
      </c>
      <c r="G167">
        <f>RnSPLINE!H$10</f>
        <v>20.666666666666668</v>
      </c>
      <c r="H167" s="10">
        <f>RnSPLINE!M$9</f>
        <v>-2.6545706580769567E-2</v>
      </c>
      <c r="I167" s="10">
        <f>RnSPLINE!M$10</f>
        <v>2.1292793414506659E-2</v>
      </c>
      <c r="J167">
        <f t="shared" si="24"/>
        <v>0.6333333333333333</v>
      </c>
      <c r="K167">
        <f t="shared" si="25"/>
        <v>0.36666666666666664</v>
      </c>
      <c r="L167">
        <f t="shared" si="26"/>
        <v>118</v>
      </c>
      <c r="M167" s="8">
        <f t="shared" si="27"/>
        <v>18.754248366013073</v>
      </c>
      <c r="N167" s="6">
        <f t="shared" si="22"/>
        <v>19.250896334483926</v>
      </c>
      <c r="O167" s="8">
        <f t="shared" si="30"/>
        <v>1212.5938926480469</v>
      </c>
      <c r="P167" s="8">
        <f t="shared" si="31"/>
        <v>1200.186584597069</v>
      </c>
      <c r="Q167" s="8">
        <f t="shared" si="28"/>
        <v>19.250896334483926</v>
      </c>
      <c r="T167" s="8">
        <f t="shared" si="21"/>
        <v>19.250896334483926</v>
      </c>
    </row>
    <row r="168" spans="2:20" x14ac:dyDescent="0.2">
      <c r="B168">
        <f t="shared" si="29"/>
        <v>165</v>
      </c>
      <c r="C168">
        <f t="shared" si="23"/>
        <v>30</v>
      </c>
      <c r="D168">
        <v>153</v>
      </c>
      <c r="E168">
        <v>183</v>
      </c>
      <c r="F168">
        <f>RnSPLINE!H$9</f>
        <v>17.647058823529413</v>
      </c>
      <c r="G168">
        <f>RnSPLINE!H$10</f>
        <v>20.666666666666668</v>
      </c>
      <c r="H168" s="10">
        <f>RnSPLINE!M$9</f>
        <v>-2.6545706580769567E-2</v>
      </c>
      <c r="I168" s="10">
        <f>RnSPLINE!M$10</f>
        <v>2.1292793414506659E-2</v>
      </c>
      <c r="J168">
        <f t="shared" si="24"/>
        <v>0.6</v>
      </c>
      <c r="K168">
        <f t="shared" si="25"/>
        <v>0.4</v>
      </c>
      <c r="L168">
        <f t="shared" si="26"/>
        <v>119</v>
      </c>
      <c r="M168" s="8">
        <f t="shared" si="27"/>
        <v>18.854901960784314</v>
      </c>
      <c r="N168" s="6">
        <f t="shared" si="22"/>
        <v>19.310777871745504</v>
      </c>
      <c r="O168" s="8">
        <f t="shared" si="30"/>
        <v>1231.4487946088311</v>
      </c>
      <c r="P168" s="8">
        <f t="shared" si="31"/>
        <v>1219.4973624688146</v>
      </c>
      <c r="Q168" s="8">
        <f t="shared" si="28"/>
        <v>19.310777871745504</v>
      </c>
      <c r="T168" s="8">
        <f t="shared" si="21"/>
        <v>19.310777871745504</v>
      </c>
    </row>
    <row r="169" spans="2:20" x14ac:dyDescent="0.2">
      <c r="B169">
        <f t="shared" si="29"/>
        <v>166</v>
      </c>
      <c r="C169">
        <f t="shared" si="23"/>
        <v>30</v>
      </c>
      <c r="D169">
        <v>153</v>
      </c>
      <c r="E169">
        <v>183</v>
      </c>
      <c r="F169">
        <f>RnSPLINE!H$9</f>
        <v>17.647058823529413</v>
      </c>
      <c r="G169">
        <f>RnSPLINE!H$10</f>
        <v>20.666666666666668</v>
      </c>
      <c r="H169" s="10">
        <f>RnSPLINE!M$9</f>
        <v>-2.6545706580769567E-2</v>
      </c>
      <c r="I169" s="10">
        <f>RnSPLINE!M$10</f>
        <v>2.1292793414506659E-2</v>
      </c>
      <c r="J169">
        <f t="shared" si="24"/>
        <v>0.56666666666666665</v>
      </c>
      <c r="K169">
        <f t="shared" si="25"/>
        <v>0.43333333333333335</v>
      </c>
      <c r="L169">
        <f t="shared" si="26"/>
        <v>120</v>
      </c>
      <c r="M169" s="8">
        <f t="shared" si="27"/>
        <v>18.955555555555556</v>
      </c>
      <c r="N169" s="6">
        <f t="shared" si="22"/>
        <v>19.363249102424426</v>
      </c>
      <c r="O169" s="8">
        <f t="shared" si="30"/>
        <v>1250.4043501643866</v>
      </c>
      <c r="P169" s="8">
        <f t="shared" si="31"/>
        <v>1238.8606115712389</v>
      </c>
      <c r="Q169" s="8">
        <f t="shared" si="28"/>
        <v>19.363249102424426</v>
      </c>
      <c r="T169" s="8">
        <f t="shared" si="21"/>
        <v>19.363249102424426</v>
      </c>
    </row>
    <row r="170" spans="2:20" x14ac:dyDescent="0.2">
      <c r="B170">
        <f t="shared" si="29"/>
        <v>167</v>
      </c>
      <c r="C170">
        <f t="shared" si="23"/>
        <v>30</v>
      </c>
      <c r="D170">
        <v>153</v>
      </c>
      <c r="E170">
        <v>183</v>
      </c>
      <c r="F170">
        <f>RnSPLINE!H$9</f>
        <v>17.647058823529413</v>
      </c>
      <c r="G170">
        <f>RnSPLINE!H$10</f>
        <v>20.666666666666668</v>
      </c>
      <c r="H170" s="10">
        <f>RnSPLINE!M$9</f>
        <v>-2.6545706580769567E-2</v>
      </c>
      <c r="I170" s="10">
        <f>RnSPLINE!M$10</f>
        <v>2.1292793414506659E-2</v>
      </c>
      <c r="J170">
        <f t="shared" si="24"/>
        <v>0.53333333333333333</v>
      </c>
      <c r="K170">
        <f t="shared" si="25"/>
        <v>0.46666666666666667</v>
      </c>
      <c r="L170">
        <f t="shared" si="26"/>
        <v>121</v>
      </c>
      <c r="M170" s="8">
        <f t="shared" si="27"/>
        <v>19.056209150326801</v>
      </c>
      <c r="N170" s="6">
        <f t="shared" si="22"/>
        <v>19.4099046431872</v>
      </c>
      <c r="O170" s="8">
        <f t="shared" si="30"/>
        <v>1269.4605593147135</v>
      </c>
      <c r="P170" s="8">
        <f t="shared" si="31"/>
        <v>1258.2705162144262</v>
      </c>
      <c r="Q170" s="8">
        <f t="shared" si="28"/>
        <v>19.4099046431872</v>
      </c>
      <c r="T170" s="8">
        <f t="shared" si="21"/>
        <v>19.4099046431872</v>
      </c>
    </row>
    <row r="171" spans="2:20" x14ac:dyDescent="0.2">
      <c r="B171">
        <f t="shared" si="29"/>
        <v>168</v>
      </c>
      <c r="C171">
        <f t="shared" si="23"/>
        <v>30</v>
      </c>
      <c r="D171">
        <v>153</v>
      </c>
      <c r="E171">
        <v>183</v>
      </c>
      <c r="F171">
        <f>RnSPLINE!H$9</f>
        <v>17.647058823529413</v>
      </c>
      <c r="G171">
        <f>RnSPLINE!H$10</f>
        <v>20.666666666666668</v>
      </c>
      <c r="H171" s="10">
        <f>RnSPLINE!M$9</f>
        <v>-2.6545706580769567E-2</v>
      </c>
      <c r="I171" s="10">
        <f>RnSPLINE!M$10</f>
        <v>2.1292793414506659E-2</v>
      </c>
      <c r="J171">
        <f t="shared" si="24"/>
        <v>0.5</v>
      </c>
      <c r="K171">
        <f t="shared" si="25"/>
        <v>0.5</v>
      </c>
      <c r="L171">
        <f t="shared" si="26"/>
        <v>122</v>
      </c>
      <c r="M171" s="8">
        <f t="shared" si="27"/>
        <v>19.156862745098039</v>
      </c>
      <c r="N171" s="6">
        <f t="shared" si="22"/>
        <v>19.452339110700326</v>
      </c>
      <c r="O171" s="8">
        <f t="shared" si="30"/>
        <v>1288.6174220598116</v>
      </c>
      <c r="P171" s="8">
        <f t="shared" si="31"/>
        <v>1277.7228553251264</v>
      </c>
      <c r="Q171" s="8">
        <f t="shared" si="28"/>
        <v>19.452339110700326</v>
      </c>
      <c r="T171" s="8">
        <f t="shared" si="21"/>
        <v>19.452339110700326</v>
      </c>
    </row>
    <row r="172" spans="2:20" x14ac:dyDescent="0.2">
      <c r="B172">
        <f t="shared" si="29"/>
        <v>169</v>
      </c>
      <c r="C172">
        <f t="shared" si="23"/>
        <v>30</v>
      </c>
      <c r="D172">
        <v>153</v>
      </c>
      <c r="E172">
        <v>183</v>
      </c>
      <c r="F172">
        <f>RnSPLINE!H$9</f>
        <v>17.647058823529413</v>
      </c>
      <c r="G172">
        <f>RnSPLINE!H$10</f>
        <v>20.666666666666668</v>
      </c>
      <c r="H172" s="10">
        <f>RnSPLINE!M$9</f>
        <v>-2.6545706580769567E-2</v>
      </c>
      <c r="I172" s="10">
        <f>RnSPLINE!M$10</f>
        <v>2.1292793414506659E-2</v>
      </c>
      <c r="J172">
        <f t="shared" si="24"/>
        <v>0.46666666666666667</v>
      </c>
      <c r="K172">
        <f t="shared" si="25"/>
        <v>0.53333333333333333</v>
      </c>
      <c r="L172">
        <f t="shared" si="26"/>
        <v>123</v>
      </c>
      <c r="M172" s="8">
        <f t="shared" si="27"/>
        <v>19.257516339869284</v>
      </c>
      <c r="N172" s="6">
        <f t="shared" si="22"/>
        <v>19.492147121630328</v>
      </c>
      <c r="O172" s="8">
        <f t="shared" si="30"/>
        <v>1307.8749383996808</v>
      </c>
      <c r="P172" s="8">
        <f t="shared" si="31"/>
        <v>1297.2150024467567</v>
      </c>
      <c r="Q172" s="8">
        <f t="shared" si="28"/>
        <v>19.492147121630328</v>
      </c>
      <c r="T172" s="8">
        <f t="shared" si="21"/>
        <v>19.492147121630328</v>
      </c>
    </row>
    <row r="173" spans="2:20" x14ac:dyDescent="0.2">
      <c r="B173">
        <f t="shared" si="29"/>
        <v>170</v>
      </c>
      <c r="C173">
        <f t="shared" si="23"/>
        <v>30</v>
      </c>
      <c r="D173">
        <v>153</v>
      </c>
      <c r="E173">
        <v>183</v>
      </c>
      <c r="F173">
        <f>RnSPLINE!H$9</f>
        <v>17.647058823529413</v>
      </c>
      <c r="G173">
        <f>RnSPLINE!H$10</f>
        <v>20.666666666666668</v>
      </c>
      <c r="H173" s="10">
        <f>RnSPLINE!M$9</f>
        <v>-2.6545706580769567E-2</v>
      </c>
      <c r="I173" s="10">
        <f>RnSPLINE!M$10</f>
        <v>2.1292793414506659E-2</v>
      </c>
      <c r="J173">
        <f t="shared" si="24"/>
        <v>0.43333333333333335</v>
      </c>
      <c r="K173">
        <f t="shared" si="25"/>
        <v>0.56666666666666665</v>
      </c>
      <c r="L173">
        <f t="shared" si="26"/>
        <v>124</v>
      </c>
      <c r="M173" s="8">
        <f t="shared" si="27"/>
        <v>19.358169934640525</v>
      </c>
      <c r="N173" s="6">
        <f t="shared" si="22"/>
        <v>19.530923292643706</v>
      </c>
      <c r="O173" s="8">
        <f t="shared" si="30"/>
        <v>1327.2331083343213</v>
      </c>
      <c r="P173" s="8">
        <f t="shared" si="31"/>
        <v>1316.7459257394003</v>
      </c>
      <c r="Q173" s="8">
        <f t="shared" si="28"/>
        <v>19.530923292643706</v>
      </c>
      <c r="T173" s="8">
        <f t="shared" si="21"/>
        <v>19.530923292643706</v>
      </c>
    </row>
    <row r="174" spans="2:20" x14ac:dyDescent="0.2">
      <c r="B174">
        <f t="shared" si="29"/>
        <v>171</v>
      </c>
      <c r="C174">
        <f t="shared" si="23"/>
        <v>30</v>
      </c>
      <c r="D174">
        <v>153</v>
      </c>
      <c r="E174">
        <v>183</v>
      </c>
      <c r="F174">
        <f>RnSPLINE!H$9</f>
        <v>17.647058823529413</v>
      </c>
      <c r="G174">
        <f>RnSPLINE!H$10</f>
        <v>20.666666666666668</v>
      </c>
      <c r="H174" s="10">
        <f>RnSPLINE!M$9</f>
        <v>-2.6545706580769567E-2</v>
      </c>
      <c r="I174" s="10">
        <f>RnSPLINE!M$10</f>
        <v>2.1292793414506659E-2</v>
      </c>
      <c r="J174">
        <f t="shared" si="24"/>
        <v>0.4</v>
      </c>
      <c r="K174">
        <f t="shared" si="25"/>
        <v>0.6</v>
      </c>
      <c r="L174">
        <f t="shared" si="26"/>
        <v>125</v>
      </c>
      <c r="M174" s="8">
        <f t="shared" si="27"/>
        <v>19.458823529411767</v>
      </c>
      <c r="N174" s="6">
        <f t="shared" si="22"/>
        <v>19.570262240406969</v>
      </c>
      <c r="O174" s="8">
        <f t="shared" si="30"/>
        <v>1346.6919318637331</v>
      </c>
      <c r="P174" s="8">
        <f t="shared" si="31"/>
        <v>1336.3161879798072</v>
      </c>
      <c r="Q174" s="8">
        <f t="shared" si="28"/>
        <v>19.570262240406969</v>
      </c>
      <c r="T174" s="8">
        <f t="shared" si="21"/>
        <v>19.570262240406969</v>
      </c>
    </row>
    <row r="175" spans="2:20" x14ac:dyDescent="0.2">
      <c r="B175">
        <f t="shared" si="29"/>
        <v>172</v>
      </c>
      <c r="C175">
        <f t="shared" si="23"/>
        <v>30</v>
      </c>
      <c r="D175">
        <v>153</v>
      </c>
      <c r="E175">
        <v>183</v>
      </c>
      <c r="F175">
        <f>RnSPLINE!H$9</f>
        <v>17.647058823529413</v>
      </c>
      <c r="G175">
        <f>RnSPLINE!H$10</f>
        <v>20.666666666666668</v>
      </c>
      <c r="H175" s="10">
        <f>RnSPLINE!M$9</f>
        <v>-2.6545706580769567E-2</v>
      </c>
      <c r="I175" s="10">
        <f>RnSPLINE!M$10</f>
        <v>2.1292793414506659E-2</v>
      </c>
      <c r="J175">
        <f t="shared" si="24"/>
        <v>0.36666666666666664</v>
      </c>
      <c r="K175">
        <f t="shared" si="25"/>
        <v>0.6333333333333333</v>
      </c>
      <c r="L175">
        <f t="shared" si="26"/>
        <v>126</v>
      </c>
      <c r="M175" s="8">
        <f t="shared" si="27"/>
        <v>19.559477124183005</v>
      </c>
      <c r="N175" s="6">
        <f t="shared" si="22"/>
        <v>19.611758581586624</v>
      </c>
      <c r="O175" s="8">
        <f t="shared" si="30"/>
        <v>1366.2514089879162</v>
      </c>
      <c r="P175" s="8">
        <f t="shared" si="31"/>
        <v>1355.9279465613938</v>
      </c>
      <c r="Q175" s="8">
        <f t="shared" si="28"/>
        <v>19.611758581586624</v>
      </c>
      <c r="T175" s="8">
        <f t="shared" si="21"/>
        <v>19.611758581586624</v>
      </c>
    </row>
    <row r="176" spans="2:20" x14ac:dyDescent="0.2">
      <c r="B176">
        <f t="shared" si="29"/>
        <v>173</v>
      </c>
      <c r="C176">
        <f t="shared" si="23"/>
        <v>30</v>
      </c>
      <c r="D176">
        <v>153</v>
      </c>
      <c r="E176">
        <v>183</v>
      </c>
      <c r="F176">
        <f>RnSPLINE!H$9</f>
        <v>17.647058823529413</v>
      </c>
      <c r="G176">
        <f>RnSPLINE!H$10</f>
        <v>20.666666666666668</v>
      </c>
      <c r="H176" s="10">
        <f>RnSPLINE!M$9</f>
        <v>-2.6545706580769567E-2</v>
      </c>
      <c r="I176" s="10">
        <f>RnSPLINE!M$10</f>
        <v>2.1292793414506659E-2</v>
      </c>
      <c r="J176">
        <f t="shared" si="24"/>
        <v>0.33333333333333331</v>
      </c>
      <c r="K176">
        <f t="shared" si="25"/>
        <v>0.66666666666666663</v>
      </c>
      <c r="L176">
        <f t="shared" si="26"/>
        <v>127</v>
      </c>
      <c r="M176" s="8">
        <f t="shared" si="27"/>
        <v>19.66013071895425</v>
      </c>
      <c r="N176" s="6">
        <f t="shared" si="22"/>
        <v>19.657006932849193</v>
      </c>
      <c r="O176" s="8">
        <f t="shared" si="30"/>
        <v>1385.9115397068704</v>
      </c>
      <c r="P176" s="8">
        <f t="shared" si="31"/>
        <v>1375.5849534942431</v>
      </c>
      <c r="Q176" s="8">
        <f t="shared" si="28"/>
        <v>19.657006932849193</v>
      </c>
      <c r="T176" s="8">
        <f t="shared" si="21"/>
        <v>19.657006932849193</v>
      </c>
    </row>
    <row r="177" spans="1:20" x14ac:dyDescent="0.2">
      <c r="B177">
        <f t="shared" si="29"/>
        <v>174</v>
      </c>
      <c r="C177">
        <f t="shared" si="23"/>
        <v>30</v>
      </c>
      <c r="D177">
        <v>153</v>
      </c>
      <c r="E177">
        <v>183</v>
      </c>
      <c r="F177">
        <f>RnSPLINE!H$9</f>
        <v>17.647058823529413</v>
      </c>
      <c r="G177">
        <f>RnSPLINE!H$10</f>
        <v>20.666666666666668</v>
      </c>
      <c r="H177" s="10">
        <f>RnSPLINE!M$9</f>
        <v>-2.6545706580769567E-2</v>
      </c>
      <c r="I177" s="10">
        <f>RnSPLINE!M$10</f>
        <v>2.1292793414506659E-2</v>
      </c>
      <c r="J177">
        <f t="shared" si="24"/>
        <v>0.3</v>
      </c>
      <c r="K177">
        <f t="shared" si="25"/>
        <v>0.7</v>
      </c>
      <c r="L177">
        <f t="shared" si="26"/>
        <v>128</v>
      </c>
      <c r="M177" s="8">
        <f t="shared" si="27"/>
        <v>19.760784313725491</v>
      </c>
      <c r="N177" s="6">
        <f t="shared" si="22"/>
        <v>19.707601910861172</v>
      </c>
      <c r="O177" s="8">
        <f t="shared" si="30"/>
        <v>1405.6723240205959</v>
      </c>
      <c r="P177" s="8">
        <f t="shared" si="31"/>
        <v>1395.2925554051044</v>
      </c>
      <c r="Q177" s="8">
        <f t="shared" si="28"/>
        <v>19.707601910861172</v>
      </c>
      <c r="T177" s="8">
        <f t="shared" si="21"/>
        <v>19.707601910861172</v>
      </c>
    </row>
    <row r="178" spans="1:20" x14ac:dyDescent="0.2">
      <c r="B178">
        <f t="shared" si="29"/>
        <v>175</v>
      </c>
      <c r="C178">
        <f t="shared" si="23"/>
        <v>30</v>
      </c>
      <c r="D178">
        <v>153</v>
      </c>
      <c r="E178">
        <v>183</v>
      </c>
      <c r="F178">
        <f>RnSPLINE!H$9</f>
        <v>17.647058823529413</v>
      </c>
      <c r="G178">
        <f>RnSPLINE!H$10</f>
        <v>20.666666666666668</v>
      </c>
      <c r="H178" s="10">
        <f>RnSPLINE!M$9</f>
        <v>-2.6545706580769567E-2</v>
      </c>
      <c r="I178" s="10">
        <f>RnSPLINE!M$10</f>
        <v>2.1292793414506659E-2</v>
      </c>
      <c r="J178">
        <f t="shared" si="24"/>
        <v>0.26666666666666666</v>
      </c>
      <c r="K178">
        <f t="shared" si="25"/>
        <v>0.73333333333333328</v>
      </c>
      <c r="L178">
        <f t="shared" si="26"/>
        <v>129</v>
      </c>
      <c r="M178" s="8">
        <f t="shared" si="27"/>
        <v>19.861437908496733</v>
      </c>
      <c r="N178" s="6">
        <f t="shared" si="22"/>
        <v>19.765138132289078</v>
      </c>
      <c r="O178" s="8">
        <f t="shared" si="30"/>
        <v>1425.5337619290926</v>
      </c>
      <c r="P178" s="8">
        <f t="shared" si="31"/>
        <v>1415.0576935373936</v>
      </c>
      <c r="Q178" s="8">
        <f t="shared" si="28"/>
        <v>19.765138132289078</v>
      </c>
      <c r="T178" s="8">
        <f t="shared" ref="T178:T241" si="32">N178</f>
        <v>19.765138132289078</v>
      </c>
    </row>
    <row r="179" spans="1:20" x14ac:dyDescent="0.2">
      <c r="B179">
        <f t="shared" si="29"/>
        <v>176</v>
      </c>
      <c r="C179">
        <f t="shared" si="23"/>
        <v>30</v>
      </c>
      <c r="D179">
        <v>153</v>
      </c>
      <c r="E179">
        <v>183</v>
      </c>
      <c r="F179">
        <f>RnSPLINE!H$9</f>
        <v>17.647058823529413</v>
      </c>
      <c r="G179">
        <f>RnSPLINE!H$10</f>
        <v>20.666666666666668</v>
      </c>
      <c r="H179" s="10">
        <f>RnSPLINE!M$9</f>
        <v>-2.6545706580769567E-2</v>
      </c>
      <c r="I179" s="10">
        <f>RnSPLINE!M$10</f>
        <v>2.1292793414506659E-2</v>
      </c>
      <c r="J179">
        <f t="shared" si="24"/>
        <v>0.23333333333333334</v>
      </c>
      <c r="K179">
        <f t="shared" si="25"/>
        <v>0.76666666666666672</v>
      </c>
      <c r="L179">
        <f t="shared" si="26"/>
        <v>130</v>
      </c>
      <c r="M179" s="8">
        <f t="shared" si="27"/>
        <v>19.962091503267978</v>
      </c>
      <c r="N179" s="6">
        <f t="shared" si="22"/>
        <v>19.831210213799416</v>
      </c>
      <c r="O179" s="8">
        <f t="shared" si="30"/>
        <v>1445.4958534323607</v>
      </c>
      <c r="P179" s="8">
        <f t="shared" si="31"/>
        <v>1434.8889037511931</v>
      </c>
      <c r="Q179" s="8">
        <f t="shared" si="28"/>
        <v>19.831210213799416</v>
      </c>
      <c r="T179" s="8">
        <f t="shared" si="32"/>
        <v>19.831210213799416</v>
      </c>
    </row>
    <row r="180" spans="1:20" x14ac:dyDescent="0.2">
      <c r="B180">
        <f t="shared" si="29"/>
        <v>177</v>
      </c>
      <c r="C180">
        <f t="shared" si="23"/>
        <v>30</v>
      </c>
      <c r="D180">
        <v>153</v>
      </c>
      <c r="E180">
        <v>183</v>
      </c>
      <c r="F180">
        <f>RnSPLINE!H$9</f>
        <v>17.647058823529413</v>
      </c>
      <c r="G180">
        <f>RnSPLINE!H$10</f>
        <v>20.666666666666668</v>
      </c>
      <c r="H180" s="10">
        <f>RnSPLINE!M$9</f>
        <v>-2.6545706580769567E-2</v>
      </c>
      <c r="I180" s="10">
        <f>RnSPLINE!M$10</f>
        <v>2.1292793414506659E-2</v>
      </c>
      <c r="J180">
        <f t="shared" si="24"/>
        <v>0.2</v>
      </c>
      <c r="K180">
        <f t="shared" si="25"/>
        <v>0.8</v>
      </c>
      <c r="L180">
        <f t="shared" si="26"/>
        <v>131</v>
      </c>
      <c r="M180" s="8">
        <f t="shared" si="27"/>
        <v>20.062745098039219</v>
      </c>
      <c r="N180" s="6">
        <f t="shared" si="22"/>
        <v>19.907412772058695</v>
      </c>
      <c r="O180" s="8">
        <f t="shared" si="30"/>
        <v>1465.5585985303999</v>
      </c>
      <c r="P180" s="8">
        <f t="shared" si="31"/>
        <v>1454.7963165232518</v>
      </c>
      <c r="Q180" s="8">
        <f t="shared" si="28"/>
        <v>19.907412772058695</v>
      </c>
      <c r="T180" s="8">
        <f t="shared" si="32"/>
        <v>19.907412772058695</v>
      </c>
    </row>
    <row r="181" spans="1:20" x14ac:dyDescent="0.2">
      <c r="B181">
        <f t="shared" si="29"/>
        <v>178</v>
      </c>
      <c r="C181">
        <f t="shared" si="23"/>
        <v>30</v>
      </c>
      <c r="D181">
        <v>153</v>
      </c>
      <c r="E181">
        <v>183</v>
      </c>
      <c r="F181">
        <f>RnSPLINE!H$9</f>
        <v>17.647058823529413</v>
      </c>
      <c r="G181">
        <f>RnSPLINE!H$10</f>
        <v>20.666666666666668</v>
      </c>
      <c r="H181" s="10">
        <f>RnSPLINE!M$9</f>
        <v>-2.6545706580769567E-2</v>
      </c>
      <c r="I181" s="10">
        <f>RnSPLINE!M$10</f>
        <v>2.1292793414506659E-2</v>
      </c>
      <c r="J181">
        <f t="shared" si="24"/>
        <v>0.16666666666666666</v>
      </c>
      <c r="K181">
        <f t="shared" si="25"/>
        <v>0.83333333333333337</v>
      </c>
      <c r="L181">
        <f t="shared" si="26"/>
        <v>132</v>
      </c>
      <c r="M181" s="8">
        <f t="shared" si="27"/>
        <v>20.16339869281046</v>
      </c>
      <c r="N181" s="6">
        <f t="shared" si="22"/>
        <v>19.995340423733424</v>
      </c>
      <c r="O181" s="8">
        <f t="shared" si="30"/>
        <v>1485.7219972232103</v>
      </c>
      <c r="P181" s="8">
        <f t="shared" si="31"/>
        <v>1474.7916569469853</v>
      </c>
      <c r="Q181" s="8">
        <f t="shared" si="28"/>
        <v>19.995340423733424</v>
      </c>
      <c r="T181" s="8">
        <f t="shared" si="32"/>
        <v>19.995340423733424</v>
      </c>
    </row>
    <row r="182" spans="1:20" x14ac:dyDescent="0.2">
      <c r="B182">
        <f t="shared" si="29"/>
        <v>179</v>
      </c>
      <c r="C182">
        <f t="shared" si="23"/>
        <v>30</v>
      </c>
      <c r="D182">
        <v>153</v>
      </c>
      <c r="E182">
        <v>183</v>
      </c>
      <c r="F182">
        <f>RnSPLINE!H$9</f>
        <v>17.647058823529413</v>
      </c>
      <c r="G182">
        <f>RnSPLINE!H$10</f>
        <v>20.666666666666668</v>
      </c>
      <c r="H182" s="10">
        <f>RnSPLINE!M$9</f>
        <v>-2.6545706580769567E-2</v>
      </c>
      <c r="I182" s="10">
        <f>RnSPLINE!M$10</f>
        <v>2.1292793414506659E-2</v>
      </c>
      <c r="J182">
        <f t="shared" si="24"/>
        <v>0.13333333333333333</v>
      </c>
      <c r="K182">
        <f t="shared" si="25"/>
        <v>0.8666666666666667</v>
      </c>
      <c r="L182">
        <f t="shared" si="26"/>
        <v>133</v>
      </c>
      <c r="M182" s="8">
        <f t="shared" si="27"/>
        <v>20.264052287581698</v>
      </c>
      <c r="N182" s="6">
        <f t="shared" si="22"/>
        <v>20.096587785490112</v>
      </c>
      <c r="O182" s="8">
        <f t="shared" si="30"/>
        <v>1505.9860495107921</v>
      </c>
      <c r="P182" s="8">
        <f t="shared" si="31"/>
        <v>1494.8882447324754</v>
      </c>
      <c r="Q182" s="8">
        <f t="shared" si="28"/>
        <v>20.096587785490112</v>
      </c>
      <c r="T182" s="8">
        <f t="shared" si="32"/>
        <v>20.096587785490112</v>
      </c>
    </row>
    <row r="183" spans="1:20" x14ac:dyDescent="0.2">
      <c r="B183">
        <f t="shared" si="29"/>
        <v>180</v>
      </c>
      <c r="C183">
        <f t="shared" si="23"/>
        <v>30</v>
      </c>
      <c r="D183">
        <v>153</v>
      </c>
      <c r="E183">
        <v>183</v>
      </c>
      <c r="F183">
        <f>RnSPLINE!H$9</f>
        <v>17.647058823529413</v>
      </c>
      <c r="G183">
        <f>RnSPLINE!H$10</f>
        <v>20.666666666666668</v>
      </c>
      <c r="H183" s="10">
        <f>RnSPLINE!M$9</f>
        <v>-2.6545706580769567E-2</v>
      </c>
      <c r="I183" s="10">
        <f>RnSPLINE!M$10</f>
        <v>2.1292793414506659E-2</v>
      </c>
      <c r="J183">
        <f t="shared" si="24"/>
        <v>0.1</v>
      </c>
      <c r="K183">
        <f t="shared" si="25"/>
        <v>0.9</v>
      </c>
      <c r="L183">
        <f t="shared" si="26"/>
        <v>134</v>
      </c>
      <c r="M183" s="8">
        <f t="shared" si="27"/>
        <v>20.364705882352943</v>
      </c>
      <c r="N183" s="6">
        <f t="shared" ref="N183:N246" si="33">Q183</f>
        <v>20.212749473995277</v>
      </c>
      <c r="O183" s="8">
        <f t="shared" si="30"/>
        <v>1526.3507553931449</v>
      </c>
      <c r="P183" s="8">
        <f t="shared" si="31"/>
        <v>1515.1009942064707</v>
      </c>
      <c r="Q183" s="8">
        <f t="shared" si="28"/>
        <v>20.212749473995277</v>
      </c>
      <c r="T183" s="8">
        <f t="shared" si="32"/>
        <v>20.212749473995277</v>
      </c>
    </row>
    <row r="184" spans="1:20" x14ac:dyDescent="0.2">
      <c r="B184">
        <f t="shared" si="29"/>
        <v>181</v>
      </c>
      <c r="C184">
        <f t="shared" si="23"/>
        <v>30</v>
      </c>
      <c r="D184">
        <v>153</v>
      </c>
      <c r="E184">
        <v>183</v>
      </c>
      <c r="F184">
        <f>RnSPLINE!H$9</f>
        <v>17.647058823529413</v>
      </c>
      <c r="G184">
        <f>RnSPLINE!H$10</f>
        <v>20.666666666666668</v>
      </c>
      <c r="H184" s="10">
        <f>RnSPLINE!M$9</f>
        <v>-2.6545706580769567E-2</v>
      </c>
      <c r="I184" s="10">
        <f>RnSPLINE!M$10</f>
        <v>2.1292793414506659E-2</v>
      </c>
      <c r="J184">
        <f t="shared" si="24"/>
        <v>6.6666666666666666E-2</v>
      </c>
      <c r="K184">
        <f t="shared" si="25"/>
        <v>0.93333333333333335</v>
      </c>
      <c r="L184">
        <f t="shared" si="26"/>
        <v>135</v>
      </c>
      <c r="M184" s="8">
        <f t="shared" si="27"/>
        <v>20.465359477124185</v>
      </c>
      <c r="N184" s="6">
        <f t="shared" si="33"/>
        <v>20.345420105915416</v>
      </c>
      <c r="O184" s="8">
        <f t="shared" si="30"/>
        <v>1546.8161148702691</v>
      </c>
      <c r="P184" s="8">
        <f t="shared" si="31"/>
        <v>1535.446414312386</v>
      </c>
      <c r="Q184" s="8">
        <f t="shared" si="28"/>
        <v>20.345420105915416</v>
      </c>
      <c r="T184" s="8">
        <f t="shared" si="32"/>
        <v>20.345420105915416</v>
      </c>
    </row>
    <row r="185" spans="1:20" x14ac:dyDescent="0.2">
      <c r="B185">
        <f t="shared" si="29"/>
        <v>182</v>
      </c>
      <c r="C185">
        <f t="shared" si="23"/>
        <v>30</v>
      </c>
      <c r="D185">
        <v>153</v>
      </c>
      <c r="E185">
        <v>183</v>
      </c>
      <c r="F185">
        <f>RnSPLINE!H$9</f>
        <v>17.647058823529413</v>
      </c>
      <c r="G185">
        <f>RnSPLINE!H$10</f>
        <v>20.666666666666668</v>
      </c>
      <c r="H185" s="10">
        <f>RnSPLINE!M$9</f>
        <v>-2.6545706580769567E-2</v>
      </c>
      <c r="I185" s="10">
        <f>RnSPLINE!M$10</f>
        <v>2.1292793414506659E-2</v>
      </c>
      <c r="J185">
        <f t="shared" si="24"/>
        <v>3.3333333333333333E-2</v>
      </c>
      <c r="K185">
        <f t="shared" si="25"/>
        <v>0.96666666666666667</v>
      </c>
      <c r="L185">
        <f t="shared" si="26"/>
        <v>136</v>
      </c>
      <c r="M185" s="8">
        <f t="shared" si="27"/>
        <v>20.566013071895426</v>
      </c>
      <c r="N185" s="6">
        <f t="shared" si="33"/>
        <v>20.496194297917043</v>
      </c>
      <c r="O185" s="8">
        <f t="shared" si="30"/>
        <v>1567.3821279421645</v>
      </c>
      <c r="P185" s="8">
        <f t="shared" si="31"/>
        <v>1555.9426086103031</v>
      </c>
      <c r="Q185" s="8">
        <f t="shared" si="28"/>
        <v>20.496194297917043</v>
      </c>
      <c r="T185" s="8">
        <f t="shared" si="32"/>
        <v>20.496194297917043</v>
      </c>
    </row>
    <row r="186" spans="1:20" x14ac:dyDescent="0.2">
      <c r="A186">
        <v>183</v>
      </c>
      <c r="B186">
        <f t="shared" si="29"/>
        <v>183</v>
      </c>
      <c r="C186">
        <f t="shared" si="23"/>
        <v>30</v>
      </c>
      <c r="D186">
        <v>153</v>
      </c>
      <c r="E186">
        <v>183</v>
      </c>
      <c r="F186">
        <f>RnSPLINE!H$9</f>
        <v>17.647058823529413</v>
      </c>
      <c r="G186">
        <f>RnSPLINE!H$10</f>
        <v>20.666666666666668</v>
      </c>
      <c r="H186" s="10">
        <f>RnSPLINE!M$9</f>
        <v>-2.6545706580769567E-2</v>
      </c>
      <c r="I186" s="10">
        <f>RnSPLINE!M$10</f>
        <v>2.1292793414506659E-2</v>
      </c>
      <c r="J186">
        <f t="shared" si="24"/>
        <v>0</v>
      </c>
      <c r="K186">
        <f t="shared" si="25"/>
        <v>1</v>
      </c>
      <c r="L186">
        <f t="shared" si="26"/>
        <v>137</v>
      </c>
      <c r="M186" s="8">
        <f t="shared" si="27"/>
        <v>20.666666666666668</v>
      </c>
      <c r="N186" s="6">
        <f t="shared" si="33"/>
        <v>20.666666666666668</v>
      </c>
      <c r="O186" s="8">
        <f t="shared" si="30"/>
        <v>1588.0487946088313</v>
      </c>
      <c r="P186" s="8">
        <f t="shared" si="31"/>
        <v>1576.6092752769698</v>
      </c>
      <c r="Q186" s="8">
        <f t="shared" si="28"/>
        <v>20.666666666666668</v>
      </c>
      <c r="T186" s="8">
        <f t="shared" si="32"/>
        <v>20.666666666666668</v>
      </c>
    </row>
    <row r="187" spans="1:20" x14ac:dyDescent="0.2">
      <c r="B187">
        <f t="shared" si="29"/>
        <v>184</v>
      </c>
      <c r="C187">
        <f t="shared" si="23"/>
        <v>31</v>
      </c>
      <c r="D187">
        <v>183</v>
      </c>
      <c r="E187">
        <v>214</v>
      </c>
      <c r="F187">
        <f>RnSPLINE!H$10</f>
        <v>20.666666666666668</v>
      </c>
      <c r="G187">
        <f>RnSPLINE!H$11</f>
        <v>30</v>
      </c>
      <c r="H187" s="10">
        <f>RnSPLINE!M$10</f>
        <v>2.1292793414506659E-2</v>
      </c>
      <c r="I187" s="10">
        <f>RnSPLINE!M$11</f>
        <v>-1.9316759834546803E-2</v>
      </c>
      <c r="J187">
        <f t="shared" si="24"/>
        <v>0.967741935483871</v>
      </c>
      <c r="K187">
        <f t="shared" si="25"/>
        <v>3.2258064516129031E-2</v>
      </c>
      <c r="L187">
        <f t="shared" si="26"/>
        <v>138</v>
      </c>
      <c r="M187" s="8">
        <f t="shared" si="27"/>
        <v>20.967741935483872</v>
      </c>
      <c r="N187" s="6">
        <f t="shared" si="33"/>
        <v>20.857947728454935</v>
      </c>
      <c r="O187" s="8">
        <f t="shared" si="30"/>
        <v>1609.0165365443152</v>
      </c>
      <c r="P187" s="8">
        <f t="shared" si="31"/>
        <v>1597.4672230054248</v>
      </c>
      <c r="Q187" s="8">
        <f t="shared" si="28"/>
        <v>20.857947728454935</v>
      </c>
      <c r="T187" s="8">
        <f t="shared" si="32"/>
        <v>20.857947728454935</v>
      </c>
    </row>
    <row r="188" spans="1:20" x14ac:dyDescent="0.2">
      <c r="B188">
        <f t="shared" si="29"/>
        <v>185</v>
      </c>
      <c r="C188">
        <f t="shared" si="23"/>
        <v>31</v>
      </c>
      <c r="D188">
        <v>183</v>
      </c>
      <c r="E188">
        <v>214</v>
      </c>
      <c r="F188">
        <f>RnSPLINE!H$10</f>
        <v>20.666666666666668</v>
      </c>
      <c r="G188">
        <f>RnSPLINE!H$11</f>
        <v>30</v>
      </c>
      <c r="H188" s="10">
        <f>RnSPLINE!M$10</f>
        <v>2.1292793414506659E-2</v>
      </c>
      <c r="I188" s="10">
        <f>RnSPLINE!M$11</f>
        <v>-1.9316759834546803E-2</v>
      </c>
      <c r="J188">
        <f t="shared" si="24"/>
        <v>0.93548387096774188</v>
      </c>
      <c r="K188">
        <f t="shared" si="25"/>
        <v>6.4516129032258063E-2</v>
      </c>
      <c r="L188">
        <f t="shared" si="26"/>
        <v>139</v>
      </c>
      <c r="M188" s="8">
        <f t="shared" si="27"/>
        <v>21.268817204301072</v>
      </c>
      <c r="N188" s="6">
        <f t="shared" si="33"/>
        <v>21.069211598069025</v>
      </c>
      <c r="O188" s="8">
        <f t="shared" si="30"/>
        <v>1630.2853537486162</v>
      </c>
      <c r="P188" s="8">
        <f t="shared" si="31"/>
        <v>1618.5364346034937</v>
      </c>
      <c r="Q188" s="8">
        <f t="shared" si="28"/>
        <v>21.069211598069025</v>
      </c>
      <c r="T188" s="8">
        <f t="shared" si="32"/>
        <v>21.069211598069025</v>
      </c>
    </row>
    <row r="189" spans="1:20" x14ac:dyDescent="0.2">
      <c r="B189">
        <f t="shared" si="29"/>
        <v>186</v>
      </c>
      <c r="C189">
        <f t="shared" si="23"/>
        <v>31</v>
      </c>
      <c r="D189">
        <v>183</v>
      </c>
      <c r="E189">
        <v>214</v>
      </c>
      <c r="F189">
        <f>RnSPLINE!H$10</f>
        <v>20.666666666666668</v>
      </c>
      <c r="G189">
        <f>RnSPLINE!H$11</f>
        <v>30</v>
      </c>
      <c r="H189" s="10">
        <f>RnSPLINE!M$10</f>
        <v>2.1292793414506659E-2</v>
      </c>
      <c r="I189" s="10">
        <f>RnSPLINE!M$11</f>
        <v>-1.9316759834546803E-2</v>
      </c>
      <c r="J189">
        <f t="shared" si="24"/>
        <v>0.90322580645161288</v>
      </c>
      <c r="K189">
        <f t="shared" si="25"/>
        <v>9.6774193548387094E-2</v>
      </c>
      <c r="L189">
        <f t="shared" si="26"/>
        <v>140</v>
      </c>
      <c r="M189" s="8">
        <f t="shared" si="27"/>
        <v>21.56989247311828</v>
      </c>
      <c r="N189" s="6">
        <f t="shared" si="33"/>
        <v>21.299148289920272</v>
      </c>
      <c r="O189" s="8">
        <f t="shared" si="30"/>
        <v>1651.8552462217344</v>
      </c>
      <c r="P189" s="8">
        <f t="shared" si="31"/>
        <v>1639.8355828934141</v>
      </c>
      <c r="Q189" s="8">
        <f t="shared" si="28"/>
        <v>21.299148289920272</v>
      </c>
      <c r="T189" s="8">
        <f t="shared" si="32"/>
        <v>21.299148289920272</v>
      </c>
    </row>
    <row r="190" spans="1:20" x14ac:dyDescent="0.2">
      <c r="B190">
        <f t="shared" si="29"/>
        <v>187</v>
      </c>
      <c r="C190">
        <f t="shared" si="23"/>
        <v>31</v>
      </c>
      <c r="D190">
        <v>183</v>
      </c>
      <c r="E190">
        <v>214</v>
      </c>
      <c r="F190">
        <f>RnSPLINE!H$10</f>
        <v>20.666666666666668</v>
      </c>
      <c r="G190">
        <f>RnSPLINE!H$11</f>
        <v>30</v>
      </c>
      <c r="H190" s="10">
        <f>RnSPLINE!M$10</f>
        <v>2.1292793414506659E-2</v>
      </c>
      <c r="I190" s="10">
        <f>RnSPLINE!M$11</f>
        <v>-1.9316759834546803E-2</v>
      </c>
      <c r="J190">
        <f t="shared" si="24"/>
        <v>0.87096774193548387</v>
      </c>
      <c r="K190">
        <f t="shared" si="25"/>
        <v>0.12903225806451613</v>
      </c>
      <c r="L190">
        <f t="shared" si="26"/>
        <v>141</v>
      </c>
      <c r="M190" s="8">
        <f t="shared" si="27"/>
        <v>21.870967741935484</v>
      </c>
      <c r="N190" s="6">
        <f t="shared" si="33"/>
        <v>21.546447818419985</v>
      </c>
      <c r="O190" s="8">
        <f t="shared" si="30"/>
        <v>1673.7262139636698</v>
      </c>
      <c r="P190" s="8">
        <f t="shared" si="31"/>
        <v>1661.382030711834</v>
      </c>
      <c r="Q190" s="8">
        <f t="shared" si="28"/>
        <v>21.546447818419985</v>
      </c>
      <c r="T190" s="8">
        <f t="shared" si="32"/>
        <v>21.546447818419985</v>
      </c>
    </row>
    <row r="191" spans="1:20" x14ac:dyDescent="0.2">
      <c r="B191">
        <f t="shared" si="29"/>
        <v>188</v>
      </c>
      <c r="C191">
        <f t="shared" si="23"/>
        <v>31</v>
      </c>
      <c r="D191">
        <v>183</v>
      </c>
      <c r="E191">
        <v>214</v>
      </c>
      <c r="F191">
        <f>RnSPLINE!H$10</f>
        <v>20.666666666666668</v>
      </c>
      <c r="G191">
        <f>RnSPLINE!H$11</f>
        <v>30</v>
      </c>
      <c r="H191" s="10">
        <f>RnSPLINE!M$10</f>
        <v>2.1292793414506659E-2</v>
      </c>
      <c r="I191" s="10">
        <f>RnSPLINE!M$11</f>
        <v>-1.9316759834546803E-2</v>
      </c>
      <c r="J191">
        <f t="shared" si="24"/>
        <v>0.83870967741935487</v>
      </c>
      <c r="K191">
        <f t="shared" si="25"/>
        <v>0.16129032258064516</v>
      </c>
      <c r="L191">
        <f t="shared" si="26"/>
        <v>142</v>
      </c>
      <c r="M191" s="8">
        <f t="shared" si="27"/>
        <v>22.172043010752692</v>
      </c>
      <c r="N191" s="6">
        <f t="shared" si="33"/>
        <v>21.809800197979492</v>
      </c>
      <c r="O191" s="8">
        <f t="shared" si="30"/>
        <v>1695.8982569744226</v>
      </c>
      <c r="P191" s="8">
        <f t="shared" si="31"/>
        <v>1683.1918309098135</v>
      </c>
      <c r="Q191" s="8">
        <f t="shared" si="28"/>
        <v>21.809800197979492</v>
      </c>
      <c r="T191" s="8">
        <f t="shared" si="32"/>
        <v>21.809800197979492</v>
      </c>
    </row>
    <row r="192" spans="1:20" x14ac:dyDescent="0.2">
      <c r="B192">
        <f t="shared" si="29"/>
        <v>189</v>
      </c>
      <c r="C192">
        <f t="shared" si="23"/>
        <v>31</v>
      </c>
      <c r="D192">
        <v>183</v>
      </c>
      <c r="E192">
        <v>214</v>
      </c>
      <c r="F192">
        <f>RnSPLINE!H$10</f>
        <v>20.666666666666668</v>
      </c>
      <c r="G192">
        <f>RnSPLINE!H$11</f>
        <v>30</v>
      </c>
      <c r="H192" s="10">
        <f>RnSPLINE!M$10</f>
        <v>2.1292793414506659E-2</v>
      </c>
      <c r="I192" s="10">
        <f>RnSPLINE!M$11</f>
        <v>-1.9316759834546803E-2</v>
      </c>
      <c r="J192">
        <f t="shared" si="24"/>
        <v>0.80645161290322576</v>
      </c>
      <c r="K192">
        <f t="shared" si="25"/>
        <v>0.19354838709677419</v>
      </c>
      <c r="L192">
        <f t="shared" si="26"/>
        <v>143</v>
      </c>
      <c r="M192" s="8">
        <f t="shared" si="27"/>
        <v>22.473118279569896</v>
      </c>
      <c r="N192" s="6">
        <f t="shared" si="33"/>
        <v>22.087895443010105</v>
      </c>
      <c r="O192" s="8">
        <f t="shared" si="30"/>
        <v>1718.3713752539925</v>
      </c>
      <c r="P192" s="8">
        <f t="shared" si="31"/>
        <v>1705.2797263528237</v>
      </c>
      <c r="Q192" s="8">
        <f t="shared" si="28"/>
        <v>22.087895443010105</v>
      </c>
      <c r="T192" s="8">
        <f t="shared" si="32"/>
        <v>22.087895443010105</v>
      </c>
    </row>
    <row r="193" spans="2:20" x14ac:dyDescent="0.2">
      <c r="B193">
        <f t="shared" si="29"/>
        <v>190</v>
      </c>
      <c r="C193">
        <f t="shared" si="23"/>
        <v>31</v>
      </c>
      <c r="D193">
        <v>183</v>
      </c>
      <c r="E193">
        <v>214</v>
      </c>
      <c r="F193">
        <f>RnSPLINE!H$10</f>
        <v>20.666666666666668</v>
      </c>
      <c r="G193">
        <f>RnSPLINE!H$11</f>
        <v>30</v>
      </c>
      <c r="H193" s="10">
        <f>RnSPLINE!M$10</f>
        <v>2.1292793414506659E-2</v>
      </c>
      <c r="I193" s="10">
        <f>RnSPLINE!M$11</f>
        <v>-1.9316759834546803E-2</v>
      </c>
      <c r="J193">
        <f t="shared" si="24"/>
        <v>0.77419354838709675</v>
      </c>
      <c r="K193">
        <f t="shared" si="25"/>
        <v>0.22580645161290322</v>
      </c>
      <c r="L193">
        <f t="shared" si="26"/>
        <v>144</v>
      </c>
      <c r="M193" s="8">
        <f t="shared" si="27"/>
        <v>22.774193548387096</v>
      </c>
      <c r="N193" s="6">
        <f t="shared" si="33"/>
        <v>22.379423567923144</v>
      </c>
      <c r="O193" s="8">
        <f t="shared" si="30"/>
        <v>1741.1455688023796</v>
      </c>
      <c r="P193" s="8">
        <f t="shared" si="31"/>
        <v>1727.6591499207468</v>
      </c>
      <c r="Q193" s="8">
        <f t="shared" si="28"/>
        <v>22.379423567923144</v>
      </c>
      <c r="T193" s="8">
        <f t="shared" si="32"/>
        <v>22.379423567923144</v>
      </c>
    </row>
    <row r="194" spans="2:20" x14ac:dyDescent="0.2">
      <c r="B194">
        <f t="shared" si="29"/>
        <v>191</v>
      </c>
      <c r="C194">
        <f t="shared" si="23"/>
        <v>31</v>
      </c>
      <c r="D194">
        <v>183</v>
      </c>
      <c r="E194">
        <v>214</v>
      </c>
      <c r="F194">
        <f>RnSPLINE!H$10</f>
        <v>20.666666666666668</v>
      </c>
      <c r="G194">
        <f>RnSPLINE!H$11</f>
        <v>30</v>
      </c>
      <c r="H194" s="10">
        <f>RnSPLINE!M$10</f>
        <v>2.1292793414506659E-2</v>
      </c>
      <c r="I194" s="10">
        <f>RnSPLINE!M$11</f>
        <v>-1.9316759834546803E-2</v>
      </c>
      <c r="J194">
        <f t="shared" si="24"/>
        <v>0.74193548387096775</v>
      </c>
      <c r="K194">
        <f t="shared" si="25"/>
        <v>0.25806451612903225</v>
      </c>
      <c r="L194">
        <f t="shared" si="26"/>
        <v>145</v>
      </c>
      <c r="M194" s="8">
        <f t="shared" si="27"/>
        <v>23.075268817204304</v>
      </c>
      <c r="N194" s="6">
        <f t="shared" si="33"/>
        <v>22.683074587129948</v>
      </c>
      <c r="O194" s="8">
        <f t="shared" si="30"/>
        <v>1764.2208376195838</v>
      </c>
      <c r="P194" s="8">
        <f t="shared" si="31"/>
        <v>1750.3422245078768</v>
      </c>
      <c r="Q194" s="8">
        <f t="shared" si="28"/>
        <v>22.683074587129948</v>
      </c>
      <c r="T194" s="8">
        <f t="shared" si="32"/>
        <v>22.683074587129948</v>
      </c>
    </row>
    <row r="195" spans="2:20" x14ac:dyDescent="0.2">
      <c r="B195">
        <f t="shared" si="29"/>
        <v>192</v>
      </c>
      <c r="C195">
        <f t="shared" si="23"/>
        <v>31</v>
      </c>
      <c r="D195">
        <v>183</v>
      </c>
      <c r="E195">
        <v>214</v>
      </c>
      <c r="F195">
        <f>RnSPLINE!H$10</f>
        <v>20.666666666666668</v>
      </c>
      <c r="G195">
        <f>RnSPLINE!H$11</f>
        <v>30</v>
      </c>
      <c r="H195" s="10">
        <f>RnSPLINE!M$10</f>
        <v>2.1292793414506659E-2</v>
      </c>
      <c r="I195" s="10">
        <f>RnSPLINE!M$11</f>
        <v>-1.9316759834546803E-2</v>
      </c>
      <c r="J195">
        <f t="shared" si="24"/>
        <v>0.70967741935483875</v>
      </c>
      <c r="K195">
        <f t="shared" si="25"/>
        <v>0.29032258064516131</v>
      </c>
      <c r="L195">
        <f t="shared" si="26"/>
        <v>146</v>
      </c>
      <c r="M195" s="8">
        <f t="shared" si="27"/>
        <v>23.376344086021508</v>
      </c>
      <c r="N195" s="6">
        <f t="shared" si="33"/>
        <v>22.997538515041818</v>
      </c>
      <c r="O195" s="8">
        <f t="shared" si="30"/>
        <v>1787.5971817056054</v>
      </c>
      <c r="P195" s="8">
        <f t="shared" si="31"/>
        <v>1773.3397630229188</v>
      </c>
      <c r="Q195" s="8">
        <f t="shared" si="28"/>
        <v>22.997538515041818</v>
      </c>
      <c r="T195" s="8">
        <f t="shared" si="32"/>
        <v>22.997538515041818</v>
      </c>
    </row>
    <row r="196" spans="2:20" x14ac:dyDescent="0.2">
      <c r="B196">
        <f t="shared" si="29"/>
        <v>193</v>
      </c>
      <c r="C196">
        <f t="shared" ref="C196:C259" si="34">E196-D196</f>
        <v>31</v>
      </c>
      <c r="D196">
        <v>183</v>
      </c>
      <c r="E196">
        <v>214</v>
      </c>
      <c r="F196">
        <f>RnSPLINE!H$10</f>
        <v>20.666666666666668</v>
      </c>
      <c r="G196">
        <f>RnSPLINE!H$11</f>
        <v>30</v>
      </c>
      <c r="H196" s="10">
        <f>RnSPLINE!M$10</f>
        <v>2.1292793414506659E-2</v>
      </c>
      <c r="I196" s="10">
        <f>RnSPLINE!M$11</f>
        <v>-1.9316759834546803E-2</v>
      </c>
      <c r="J196">
        <f t="shared" ref="J196:J259" si="35">(E196-B196)/C196</f>
        <v>0.67741935483870963</v>
      </c>
      <c r="K196">
        <f t="shared" ref="K196:K259" si="36">(B196-D196)/C196</f>
        <v>0.32258064516129031</v>
      </c>
      <c r="L196">
        <f t="shared" ref="L196:L259" si="37">B196-46</f>
        <v>147</v>
      </c>
      <c r="M196" s="8">
        <f t="shared" ref="M196:M259" si="38">J196*F196+K196*G196</f>
        <v>23.677419354838712</v>
      </c>
      <c r="N196" s="6">
        <f t="shared" si="33"/>
        <v>23.321505366070085</v>
      </c>
      <c r="O196" s="8">
        <f t="shared" si="30"/>
        <v>1811.2746010604442</v>
      </c>
      <c r="P196" s="8">
        <f t="shared" si="31"/>
        <v>1796.6612683889889</v>
      </c>
      <c r="Q196" s="8">
        <f t="shared" ref="Q196:Q259" si="39">M196+(((J196^3-J196)*H196+(K196^3-K196)*I196))*(C196^2)/6</f>
        <v>23.321505366070085</v>
      </c>
      <c r="T196" s="8">
        <f t="shared" si="32"/>
        <v>23.321505366070085</v>
      </c>
    </row>
    <row r="197" spans="2:20" x14ac:dyDescent="0.2">
      <c r="B197">
        <f t="shared" ref="B197:B260" si="40">B196+1</f>
        <v>194</v>
      </c>
      <c r="C197">
        <f t="shared" si="34"/>
        <v>31</v>
      </c>
      <c r="D197">
        <v>183</v>
      </c>
      <c r="E197">
        <v>214</v>
      </c>
      <c r="F197">
        <f>RnSPLINE!H$10</f>
        <v>20.666666666666668</v>
      </c>
      <c r="G197">
        <f>RnSPLINE!H$11</f>
        <v>30</v>
      </c>
      <c r="H197" s="10">
        <f>RnSPLINE!M$10</f>
        <v>2.1292793414506659E-2</v>
      </c>
      <c r="I197" s="10">
        <f>RnSPLINE!M$11</f>
        <v>-1.9316759834546803E-2</v>
      </c>
      <c r="J197">
        <f t="shared" si="35"/>
        <v>0.64516129032258063</v>
      </c>
      <c r="K197">
        <f t="shared" si="36"/>
        <v>0.35483870967741937</v>
      </c>
      <c r="L197">
        <f t="shared" si="37"/>
        <v>148</v>
      </c>
      <c r="M197" s="8">
        <f t="shared" si="38"/>
        <v>23.978494623655916</v>
      </c>
      <c r="N197" s="6">
        <f t="shared" si="33"/>
        <v>23.653665154626065</v>
      </c>
      <c r="O197" s="8">
        <f t="shared" ref="O197:O260" si="41">O196+M197</f>
        <v>1835.2530956841001</v>
      </c>
      <c r="P197" s="8">
        <f t="shared" ref="P197:P260" si="42">P196+N197</f>
        <v>1820.3149335436149</v>
      </c>
      <c r="Q197" s="8">
        <f t="shared" si="39"/>
        <v>23.653665154626065</v>
      </c>
      <c r="T197" s="8">
        <f t="shared" si="32"/>
        <v>23.653665154626065</v>
      </c>
    </row>
    <row r="198" spans="2:20" x14ac:dyDescent="0.2">
      <c r="B198">
        <f t="shared" si="40"/>
        <v>195</v>
      </c>
      <c r="C198">
        <f t="shared" si="34"/>
        <v>31</v>
      </c>
      <c r="D198">
        <v>183</v>
      </c>
      <c r="E198">
        <v>214</v>
      </c>
      <c r="F198">
        <f>RnSPLINE!H$10</f>
        <v>20.666666666666668</v>
      </c>
      <c r="G198">
        <f>RnSPLINE!H$11</f>
        <v>30</v>
      </c>
      <c r="H198" s="10">
        <f>RnSPLINE!M$10</f>
        <v>2.1292793414506659E-2</v>
      </c>
      <c r="I198" s="10">
        <f>RnSPLINE!M$11</f>
        <v>-1.9316759834546803E-2</v>
      </c>
      <c r="J198">
        <f t="shared" si="35"/>
        <v>0.61290322580645162</v>
      </c>
      <c r="K198">
        <f t="shared" si="36"/>
        <v>0.38709677419354838</v>
      </c>
      <c r="L198">
        <f t="shared" si="37"/>
        <v>149</v>
      </c>
      <c r="M198" s="8">
        <f t="shared" si="38"/>
        <v>24.27956989247312</v>
      </c>
      <c r="N198" s="6">
        <f t="shared" si="33"/>
        <v>23.992707895121082</v>
      </c>
      <c r="O198" s="8">
        <f t="shared" si="41"/>
        <v>1859.5326655765732</v>
      </c>
      <c r="P198" s="8">
        <f t="shared" si="42"/>
        <v>1844.307641438736</v>
      </c>
      <c r="Q198" s="8">
        <f t="shared" si="39"/>
        <v>23.992707895121082</v>
      </c>
      <c r="T198" s="8">
        <f t="shared" si="32"/>
        <v>23.992707895121082</v>
      </c>
    </row>
    <row r="199" spans="2:20" x14ac:dyDescent="0.2">
      <c r="B199">
        <f t="shared" si="40"/>
        <v>196</v>
      </c>
      <c r="C199">
        <f t="shared" si="34"/>
        <v>31</v>
      </c>
      <c r="D199">
        <v>183</v>
      </c>
      <c r="E199">
        <v>214</v>
      </c>
      <c r="F199">
        <f>RnSPLINE!H$10</f>
        <v>20.666666666666668</v>
      </c>
      <c r="G199">
        <f>RnSPLINE!H$11</f>
        <v>30</v>
      </c>
      <c r="H199" s="10">
        <f>RnSPLINE!M$10</f>
        <v>2.1292793414506659E-2</v>
      </c>
      <c r="I199" s="10">
        <f>RnSPLINE!M$11</f>
        <v>-1.9316759834546803E-2</v>
      </c>
      <c r="J199">
        <f t="shared" si="35"/>
        <v>0.58064516129032262</v>
      </c>
      <c r="K199">
        <f t="shared" si="36"/>
        <v>0.41935483870967744</v>
      </c>
      <c r="L199">
        <f t="shared" si="37"/>
        <v>150</v>
      </c>
      <c r="M199" s="8">
        <f t="shared" si="38"/>
        <v>24.580645161290327</v>
      </c>
      <c r="N199" s="6">
        <f t="shared" si="33"/>
        <v>24.33732360196646</v>
      </c>
      <c r="O199" s="8">
        <f t="shared" si="41"/>
        <v>1884.1133107378635</v>
      </c>
      <c r="P199" s="8">
        <f t="shared" si="42"/>
        <v>1868.6449650407026</v>
      </c>
      <c r="Q199" s="8">
        <f t="shared" si="39"/>
        <v>24.33732360196646</v>
      </c>
      <c r="T199" s="8">
        <f t="shared" si="32"/>
        <v>24.33732360196646</v>
      </c>
    </row>
    <row r="200" spans="2:20" x14ac:dyDescent="0.2">
      <c r="B200">
        <f t="shared" si="40"/>
        <v>197</v>
      </c>
      <c r="C200">
        <f t="shared" si="34"/>
        <v>31</v>
      </c>
      <c r="D200">
        <v>183</v>
      </c>
      <c r="E200">
        <v>214</v>
      </c>
      <c r="F200">
        <f>RnSPLINE!H$10</f>
        <v>20.666666666666668</v>
      </c>
      <c r="G200">
        <f>RnSPLINE!H$11</f>
        <v>30</v>
      </c>
      <c r="H200" s="10">
        <f>RnSPLINE!M$10</f>
        <v>2.1292793414506659E-2</v>
      </c>
      <c r="I200" s="10">
        <f>RnSPLINE!M$11</f>
        <v>-1.9316759834546803E-2</v>
      </c>
      <c r="J200">
        <f t="shared" si="35"/>
        <v>0.54838709677419351</v>
      </c>
      <c r="K200">
        <f t="shared" si="36"/>
        <v>0.45161290322580644</v>
      </c>
      <c r="L200">
        <f t="shared" si="37"/>
        <v>151</v>
      </c>
      <c r="M200" s="8">
        <f t="shared" si="38"/>
        <v>24.881720430107528</v>
      </c>
      <c r="N200" s="6">
        <f t="shared" si="33"/>
        <v>24.686202289573508</v>
      </c>
      <c r="O200" s="8">
        <f t="shared" si="41"/>
        <v>1908.9950311679711</v>
      </c>
      <c r="P200" s="8">
        <f t="shared" si="42"/>
        <v>1893.331167330276</v>
      </c>
      <c r="Q200" s="8">
        <f t="shared" si="39"/>
        <v>24.686202289573508</v>
      </c>
      <c r="T200" s="8">
        <f t="shared" si="32"/>
        <v>24.686202289573508</v>
      </c>
    </row>
    <row r="201" spans="2:20" x14ac:dyDescent="0.2">
      <c r="B201">
        <f t="shared" si="40"/>
        <v>198</v>
      </c>
      <c r="C201">
        <f t="shared" si="34"/>
        <v>31</v>
      </c>
      <c r="D201">
        <v>183</v>
      </c>
      <c r="E201">
        <v>214</v>
      </c>
      <c r="F201">
        <f>RnSPLINE!H$10</f>
        <v>20.666666666666668</v>
      </c>
      <c r="G201">
        <f>RnSPLINE!H$11</f>
        <v>30</v>
      </c>
      <c r="H201" s="10">
        <f>RnSPLINE!M$10</f>
        <v>2.1292793414506659E-2</v>
      </c>
      <c r="I201" s="10">
        <f>RnSPLINE!M$11</f>
        <v>-1.9316759834546803E-2</v>
      </c>
      <c r="J201">
        <f t="shared" si="35"/>
        <v>0.5161290322580645</v>
      </c>
      <c r="K201">
        <f t="shared" si="36"/>
        <v>0.4838709677419355</v>
      </c>
      <c r="L201">
        <f t="shared" si="37"/>
        <v>152</v>
      </c>
      <c r="M201" s="8">
        <f t="shared" si="38"/>
        <v>25.182795698924732</v>
      </c>
      <c r="N201" s="6">
        <f t="shared" si="33"/>
        <v>25.038033972353556</v>
      </c>
      <c r="O201" s="8">
        <f t="shared" si="41"/>
        <v>1934.1778268668959</v>
      </c>
      <c r="P201" s="8">
        <f t="shared" si="42"/>
        <v>1918.3692013026296</v>
      </c>
      <c r="Q201" s="8">
        <f t="shared" si="39"/>
        <v>25.038033972353556</v>
      </c>
      <c r="T201" s="8">
        <f t="shared" si="32"/>
        <v>25.038033972353556</v>
      </c>
    </row>
    <row r="202" spans="2:20" x14ac:dyDescent="0.2">
      <c r="B202">
        <f t="shared" si="40"/>
        <v>199</v>
      </c>
      <c r="C202">
        <f t="shared" si="34"/>
        <v>31</v>
      </c>
      <c r="D202">
        <v>183</v>
      </c>
      <c r="E202">
        <v>214</v>
      </c>
      <c r="F202">
        <f>RnSPLINE!H$10</f>
        <v>20.666666666666668</v>
      </c>
      <c r="G202">
        <f>RnSPLINE!H$11</f>
        <v>30</v>
      </c>
      <c r="H202" s="10">
        <f>RnSPLINE!M$10</f>
        <v>2.1292793414506659E-2</v>
      </c>
      <c r="I202" s="10">
        <f>RnSPLINE!M$11</f>
        <v>-1.9316759834546803E-2</v>
      </c>
      <c r="J202">
        <f t="shared" si="35"/>
        <v>0.4838709677419355</v>
      </c>
      <c r="K202">
        <f t="shared" si="36"/>
        <v>0.5161290322580645</v>
      </c>
      <c r="L202">
        <f t="shared" si="37"/>
        <v>153</v>
      </c>
      <c r="M202" s="8">
        <f t="shared" si="38"/>
        <v>25.483870967741936</v>
      </c>
      <c r="N202" s="6">
        <f t="shared" si="33"/>
        <v>25.391508664717929</v>
      </c>
      <c r="O202" s="8">
        <f t="shared" si="41"/>
        <v>1959.6616978346378</v>
      </c>
      <c r="P202" s="8">
        <f t="shared" si="42"/>
        <v>1943.7607099673476</v>
      </c>
      <c r="Q202" s="8">
        <f t="shared" si="39"/>
        <v>25.391508664717929</v>
      </c>
      <c r="T202" s="8">
        <f t="shared" si="32"/>
        <v>25.391508664717929</v>
      </c>
    </row>
    <row r="203" spans="2:20" x14ac:dyDescent="0.2">
      <c r="B203">
        <f t="shared" si="40"/>
        <v>200</v>
      </c>
      <c r="C203">
        <f t="shared" si="34"/>
        <v>31</v>
      </c>
      <c r="D203">
        <v>183</v>
      </c>
      <c r="E203">
        <v>214</v>
      </c>
      <c r="F203">
        <f>RnSPLINE!H$10</f>
        <v>20.666666666666668</v>
      </c>
      <c r="G203">
        <f>RnSPLINE!H$11</f>
        <v>30</v>
      </c>
      <c r="H203" s="10">
        <f>RnSPLINE!M$10</f>
        <v>2.1292793414506659E-2</v>
      </c>
      <c r="I203" s="10">
        <f>RnSPLINE!M$11</f>
        <v>-1.9316759834546803E-2</v>
      </c>
      <c r="J203">
        <f t="shared" si="35"/>
        <v>0.45161290322580644</v>
      </c>
      <c r="K203">
        <f t="shared" si="36"/>
        <v>0.54838709677419351</v>
      </c>
      <c r="L203">
        <f t="shared" si="37"/>
        <v>154</v>
      </c>
      <c r="M203" s="8">
        <f t="shared" si="38"/>
        <v>25.784946236559136</v>
      </c>
      <c r="N203" s="6">
        <f t="shared" si="33"/>
        <v>25.745316381077934</v>
      </c>
      <c r="O203" s="8">
        <f t="shared" si="41"/>
        <v>1985.4466440711969</v>
      </c>
      <c r="P203" s="8">
        <f t="shared" si="42"/>
        <v>1969.5060263484254</v>
      </c>
      <c r="Q203" s="8">
        <f t="shared" si="39"/>
        <v>25.745316381077934</v>
      </c>
      <c r="T203" s="8">
        <f t="shared" si="32"/>
        <v>25.745316381077934</v>
      </c>
    </row>
    <row r="204" spans="2:20" x14ac:dyDescent="0.2">
      <c r="B204">
        <f t="shared" si="40"/>
        <v>201</v>
      </c>
      <c r="C204">
        <f t="shared" si="34"/>
        <v>31</v>
      </c>
      <c r="D204">
        <v>183</v>
      </c>
      <c r="E204">
        <v>214</v>
      </c>
      <c r="F204">
        <f>RnSPLINE!H$10</f>
        <v>20.666666666666668</v>
      </c>
      <c r="G204">
        <f>RnSPLINE!H$11</f>
        <v>30</v>
      </c>
      <c r="H204" s="10">
        <f>RnSPLINE!M$10</f>
        <v>2.1292793414506659E-2</v>
      </c>
      <c r="I204" s="10">
        <f>RnSPLINE!M$11</f>
        <v>-1.9316759834546803E-2</v>
      </c>
      <c r="J204">
        <f t="shared" si="35"/>
        <v>0.41935483870967744</v>
      </c>
      <c r="K204">
        <f t="shared" si="36"/>
        <v>0.58064516129032262</v>
      </c>
      <c r="L204">
        <f t="shared" si="37"/>
        <v>155</v>
      </c>
      <c r="M204" s="8">
        <f t="shared" si="38"/>
        <v>26.086021505376348</v>
      </c>
      <c r="N204" s="6">
        <f t="shared" si="33"/>
        <v>26.098147135844911</v>
      </c>
      <c r="O204" s="8">
        <f t="shared" si="41"/>
        <v>2011.5326655765732</v>
      </c>
      <c r="P204" s="8">
        <f t="shared" si="42"/>
        <v>1995.6041734842704</v>
      </c>
      <c r="Q204" s="8">
        <f t="shared" si="39"/>
        <v>26.098147135844911</v>
      </c>
      <c r="T204" s="8">
        <f t="shared" si="32"/>
        <v>26.098147135844911</v>
      </c>
    </row>
    <row r="205" spans="2:20" x14ac:dyDescent="0.2">
      <c r="B205">
        <f t="shared" si="40"/>
        <v>202</v>
      </c>
      <c r="C205">
        <f t="shared" si="34"/>
        <v>31</v>
      </c>
      <c r="D205">
        <v>183</v>
      </c>
      <c r="E205">
        <v>214</v>
      </c>
      <c r="F205">
        <f>RnSPLINE!H$10</f>
        <v>20.666666666666668</v>
      </c>
      <c r="G205">
        <f>RnSPLINE!H$11</f>
        <v>30</v>
      </c>
      <c r="H205" s="10">
        <f>RnSPLINE!M$10</f>
        <v>2.1292793414506659E-2</v>
      </c>
      <c r="I205" s="10">
        <f>RnSPLINE!M$11</f>
        <v>-1.9316759834546803E-2</v>
      </c>
      <c r="J205">
        <f t="shared" si="35"/>
        <v>0.38709677419354838</v>
      </c>
      <c r="K205">
        <f t="shared" si="36"/>
        <v>0.61290322580645162</v>
      </c>
      <c r="L205">
        <f t="shared" si="37"/>
        <v>156</v>
      </c>
      <c r="M205" s="8">
        <f t="shared" si="38"/>
        <v>26.387096774193548</v>
      </c>
      <c r="N205" s="6">
        <f t="shared" si="33"/>
        <v>26.448690943430162</v>
      </c>
      <c r="O205" s="8">
        <f t="shared" si="41"/>
        <v>2037.9197623507669</v>
      </c>
      <c r="P205" s="8">
        <f t="shared" si="42"/>
        <v>2022.0528644277006</v>
      </c>
      <c r="Q205" s="8">
        <f t="shared" si="39"/>
        <v>26.448690943430162</v>
      </c>
      <c r="T205" s="8">
        <f t="shared" si="32"/>
        <v>26.448690943430162</v>
      </c>
    </row>
    <row r="206" spans="2:20" x14ac:dyDescent="0.2">
      <c r="B206">
        <f t="shared" si="40"/>
        <v>203</v>
      </c>
      <c r="C206">
        <f t="shared" si="34"/>
        <v>31</v>
      </c>
      <c r="D206">
        <v>183</v>
      </c>
      <c r="E206">
        <v>214</v>
      </c>
      <c r="F206">
        <f>RnSPLINE!H$10</f>
        <v>20.666666666666668</v>
      </c>
      <c r="G206">
        <f>RnSPLINE!H$11</f>
        <v>30</v>
      </c>
      <c r="H206" s="10">
        <f>RnSPLINE!M$10</f>
        <v>2.1292793414506659E-2</v>
      </c>
      <c r="I206" s="10">
        <f>RnSPLINE!M$11</f>
        <v>-1.9316759834546803E-2</v>
      </c>
      <c r="J206">
        <f t="shared" si="35"/>
        <v>0.35483870967741937</v>
      </c>
      <c r="K206">
        <f t="shared" si="36"/>
        <v>0.64516129032258063</v>
      </c>
      <c r="L206">
        <f t="shared" si="37"/>
        <v>157</v>
      </c>
      <c r="M206" s="8">
        <f t="shared" si="38"/>
        <v>26.688172043010752</v>
      </c>
      <c r="N206" s="6">
        <f t="shared" si="33"/>
        <v>26.795637818245019</v>
      </c>
      <c r="O206" s="8">
        <f t="shared" si="41"/>
        <v>2064.6079343937777</v>
      </c>
      <c r="P206" s="8">
        <f t="shared" si="42"/>
        <v>2048.8485022459454</v>
      </c>
      <c r="Q206" s="8">
        <f t="shared" si="39"/>
        <v>26.795637818245019</v>
      </c>
      <c r="T206" s="8">
        <f t="shared" si="32"/>
        <v>26.795637818245019</v>
      </c>
    </row>
    <row r="207" spans="2:20" x14ac:dyDescent="0.2">
      <c r="B207">
        <f t="shared" si="40"/>
        <v>204</v>
      </c>
      <c r="C207">
        <f t="shared" si="34"/>
        <v>31</v>
      </c>
      <c r="D207">
        <v>183</v>
      </c>
      <c r="E207">
        <v>214</v>
      </c>
      <c r="F207">
        <f>RnSPLINE!H$10</f>
        <v>20.666666666666668</v>
      </c>
      <c r="G207">
        <f>RnSPLINE!H$11</f>
        <v>30</v>
      </c>
      <c r="H207" s="10">
        <f>RnSPLINE!M$10</f>
        <v>2.1292793414506659E-2</v>
      </c>
      <c r="I207" s="10">
        <f>RnSPLINE!M$11</f>
        <v>-1.9316759834546803E-2</v>
      </c>
      <c r="J207">
        <f t="shared" si="35"/>
        <v>0.32258064516129031</v>
      </c>
      <c r="K207">
        <f t="shared" si="36"/>
        <v>0.67741935483870963</v>
      </c>
      <c r="L207">
        <f t="shared" si="37"/>
        <v>158</v>
      </c>
      <c r="M207" s="8">
        <f t="shared" si="38"/>
        <v>26.989247311827956</v>
      </c>
      <c r="N207" s="6">
        <f t="shared" si="33"/>
        <v>27.137677774700798</v>
      </c>
      <c r="O207" s="8">
        <f t="shared" si="41"/>
        <v>2091.5971817056056</v>
      </c>
      <c r="P207" s="8">
        <f t="shared" si="42"/>
        <v>2075.9861800206463</v>
      </c>
      <c r="Q207" s="8">
        <f t="shared" si="39"/>
        <v>27.137677774700798</v>
      </c>
      <c r="T207" s="8">
        <f t="shared" si="32"/>
        <v>27.137677774700798</v>
      </c>
    </row>
    <row r="208" spans="2:20" x14ac:dyDescent="0.2">
      <c r="B208">
        <f t="shared" si="40"/>
        <v>205</v>
      </c>
      <c r="C208">
        <f t="shared" si="34"/>
        <v>31</v>
      </c>
      <c r="D208">
        <v>183</v>
      </c>
      <c r="E208">
        <v>214</v>
      </c>
      <c r="F208">
        <f>RnSPLINE!H$10</f>
        <v>20.666666666666668</v>
      </c>
      <c r="G208">
        <f>RnSPLINE!H$11</f>
        <v>30</v>
      </c>
      <c r="H208" s="10">
        <f>RnSPLINE!M$10</f>
        <v>2.1292793414506659E-2</v>
      </c>
      <c r="I208" s="10">
        <f>RnSPLINE!M$11</f>
        <v>-1.9316759834546803E-2</v>
      </c>
      <c r="J208">
        <f t="shared" si="35"/>
        <v>0.29032258064516131</v>
      </c>
      <c r="K208">
        <f t="shared" si="36"/>
        <v>0.70967741935483875</v>
      </c>
      <c r="L208">
        <f t="shared" si="37"/>
        <v>159</v>
      </c>
      <c r="M208" s="8">
        <f t="shared" si="38"/>
        <v>27.290322580645164</v>
      </c>
      <c r="N208" s="6">
        <f t="shared" si="33"/>
        <v>27.473500827208827</v>
      </c>
      <c r="O208" s="8">
        <f t="shared" si="41"/>
        <v>2118.887504286251</v>
      </c>
      <c r="P208" s="8">
        <f t="shared" si="42"/>
        <v>2103.459680847855</v>
      </c>
      <c r="Q208" s="8">
        <f t="shared" si="39"/>
        <v>27.473500827208827</v>
      </c>
      <c r="T208" s="8">
        <f t="shared" si="32"/>
        <v>27.473500827208827</v>
      </c>
    </row>
    <row r="209" spans="1:20" x14ac:dyDescent="0.2">
      <c r="B209">
        <f t="shared" si="40"/>
        <v>206</v>
      </c>
      <c r="C209">
        <f t="shared" si="34"/>
        <v>31</v>
      </c>
      <c r="D209">
        <v>183</v>
      </c>
      <c r="E209">
        <v>214</v>
      </c>
      <c r="F209">
        <f>RnSPLINE!H$10</f>
        <v>20.666666666666668</v>
      </c>
      <c r="G209">
        <f>RnSPLINE!H$11</f>
        <v>30</v>
      </c>
      <c r="H209" s="10">
        <f>RnSPLINE!M$10</f>
        <v>2.1292793414506659E-2</v>
      </c>
      <c r="I209" s="10">
        <f>RnSPLINE!M$11</f>
        <v>-1.9316759834546803E-2</v>
      </c>
      <c r="J209">
        <f t="shared" si="35"/>
        <v>0.25806451612903225</v>
      </c>
      <c r="K209">
        <f t="shared" si="36"/>
        <v>0.74193548387096775</v>
      </c>
      <c r="L209">
        <f t="shared" si="37"/>
        <v>160</v>
      </c>
      <c r="M209" s="8">
        <f t="shared" si="38"/>
        <v>27.591397849462368</v>
      </c>
      <c r="N209" s="6">
        <f t="shared" si="33"/>
        <v>27.801796990180417</v>
      </c>
      <c r="O209" s="8">
        <f t="shared" si="41"/>
        <v>2146.4789021357133</v>
      </c>
      <c r="P209" s="8">
        <f t="shared" si="42"/>
        <v>2131.2614778380353</v>
      </c>
      <c r="Q209" s="8">
        <f t="shared" si="39"/>
        <v>27.801796990180417</v>
      </c>
      <c r="T209" s="8">
        <f t="shared" si="32"/>
        <v>27.801796990180417</v>
      </c>
    </row>
    <row r="210" spans="1:20" x14ac:dyDescent="0.2">
      <c r="B210">
        <f t="shared" si="40"/>
        <v>207</v>
      </c>
      <c r="C210">
        <f t="shared" si="34"/>
        <v>31</v>
      </c>
      <c r="D210">
        <v>183</v>
      </c>
      <c r="E210">
        <v>214</v>
      </c>
      <c r="F210">
        <f>RnSPLINE!H$10</f>
        <v>20.666666666666668</v>
      </c>
      <c r="G210">
        <f>RnSPLINE!H$11</f>
        <v>30</v>
      </c>
      <c r="H210" s="10">
        <f>RnSPLINE!M$10</f>
        <v>2.1292793414506659E-2</v>
      </c>
      <c r="I210" s="10">
        <f>RnSPLINE!M$11</f>
        <v>-1.9316759834546803E-2</v>
      </c>
      <c r="J210">
        <f t="shared" si="35"/>
        <v>0.22580645161290322</v>
      </c>
      <c r="K210">
        <f t="shared" si="36"/>
        <v>0.77419354838709675</v>
      </c>
      <c r="L210">
        <f t="shared" si="37"/>
        <v>161</v>
      </c>
      <c r="M210" s="8">
        <f t="shared" si="38"/>
        <v>27.892473118279572</v>
      </c>
      <c r="N210" s="6">
        <f t="shared" si="33"/>
        <v>28.121256278026895</v>
      </c>
      <c r="O210" s="8">
        <f t="shared" si="41"/>
        <v>2174.3713752539929</v>
      </c>
      <c r="P210" s="8">
        <f t="shared" si="42"/>
        <v>2159.3827341160622</v>
      </c>
      <c r="Q210" s="8">
        <f t="shared" si="39"/>
        <v>28.121256278026895</v>
      </c>
      <c r="T210" s="8">
        <f t="shared" si="32"/>
        <v>28.121256278026895</v>
      </c>
    </row>
    <row r="211" spans="1:20" x14ac:dyDescent="0.2">
      <c r="B211">
        <f t="shared" si="40"/>
        <v>208</v>
      </c>
      <c r="C211">
        <f t="shared" si="34"/>
        <v>31</v>
      </c>
      <c r="D211">
        <v>183</v>
      </c>
      <c r="E211">
        <v>214</v>
      </c>
      <c r="F211">
        <f>RnSPLINE!H$10</f>
        <v>20.666666666666668</v>
      </c>
      <c r="G211">
        <f>RnSPLINE!H$11</f>
        <v>30</v>
      </c>
      <c r="H211" s="10">
        <f>RnSPLINE!M$10</f>
        <v>2.1292793414506659E-2</v>
      </c>
      <c r="I211" s="10">
        <f>RnSPLINE!M$11</f>
        <v>-1.9316759834546803E-2</v>
      </c>
      <c r="J211">
        <f t="shared" si="35"/>
        <v>0.19354838709677419</v>
      </c>
      <c r="K211">
        <f t="shared" si="36"/>
        <v>0.80645161290322576</v>
      </c>
      <c r="L211">
        <f t="shared" si="37"/>
        <v>162</v>
      </c>
      <c r="M211" s="8">
        <f t="shared" si="38"/>
        <v>28.193548387096772</v>
      </c>
      <c r="N211" s="6">
        <f t="shared" si="33"/>
        <v>28.430568705159576</v>
      </c>
      <c r="O211" s="8">
        <f t="shared" si="41"/>
        <v>2202.5649236410895</v>
      </c>
      <c r="P211" s="8">
        <f t="shared" si="42"/>
        <v>2187.8133028212219</v>
      </c>
      <c r="Q211" s="8">
        <f t="shared" si="39"/>
        <v>28.430568705159576</v>
      </c>
      <c r="T211" s="8">
        <f t="shared" si="32"/>
        <v>28.430568705159576</v>
      </c>
    </row>
    <row r="212" spans="1:20" x14ac:dyDescent="0.2">
      <c r="B212">
        <f t="shared" si="40"/>
        <v>209</v>
      </c>
      <c r="C212">
        <f t="shared" si="34"/>
        <v>31</v>
      </c>
      <c r="D212">
        <v>183</v>
      </c>
      <c r="E212">
        <v>214</v>
      </c>
      <c r="F212">
        <f>RnSPLINE!H$10</f>
        <v>20.666666666666668</v>
      </c>
      <c r="G212">
        <f>RnSPLINE!H$11</f>
        <v>30</v>
      </c>
      <c r="H212" s="10">
        <f>RnSPLINE!M$10</f>
        <v>2.1292793414506659E-2</v>
      </c>
      <c r="I212" s="10">
        <f>RnSPLINE!M$11</f>
        <v>-1.9316759834546803E-2</v>
      </c>
      <c r="J212">
        <f t="shared" si="35"/>
        <v>0.16129032258064516</v>
      </c>
      <c r="K212">
        <f t="shared" si="36"/>
        <v>0.83870967741935487</v>
      </c>
      <c r="L212">
        <f t="shared" si="37"/>
        <v>163</v>
      </c>
      <c r="M212" s="8">
        <f t="shared" si="38"/>
        <v>28.49462365591398</v>
      </c>
      <c r="N212" s="6">
        <f t="shared" si="33"/>
        <v>28.728424285989789</v>
      </c>
      <c r="O212" s="8">
        <f t="shared" si="41"/>
        <v>2231.0595472970035</v>
      </c>
      <c r="P212" s="8">
        <f t="shared" si="42"/>
        <v>2216.5417271072115</v>
      </c>
      <c r="Q212" s="8">
        <f t="shared" si="39"/>
        <v>28.728424285989789</v>
      </c>
      <c r="T212" s="8">
        <f t="shared" si="32"/>
        <v>28.728424285989789</v>
      </c>
    </row>
    <row r="213" spans="1:20" x14ac:dyDescent="0.2">
      <c r="B213">
        <f t="shared" si="40"/>
        <v>210</v>
      </c>
      <c r="C213">
        <f t="shared" si="34"/>
        <v>31</v>
      </c>
      <c r="D213">
        <v>183</v>
      </c>
      <c r="E213">
        <v>214</v>
      </c>
      <c r="F213">
        <f>RnSPLINE!H$10</f>
        <v>20.666666666666668</v>
      </c>
      <c r="G213">
        <f>RnSPLINE!H$11</f>
        <v>30</v>
      </c>
      <c r="H213" s="10">
        <f>RnSPLINE!M$10</f>
        <v>2.1292793414506659E-2</v>
      </c>
      <c r="I213" s="10">
        <f>RnSPLINE!M$11</f>
        <v>-1.9316759834546803E-2</v>
      </c>
      <c r="J213">
        <f t="shared" si="35"/>
        <v>0.12903225806451613</v>
      </c>
      <c r="K213">
        <f t="shared" si="36"/>
        <v>0.87096774193548387</v>
      </c>
      <c r="L213">
        <f t="shared" si="37"/>
        <v>164</v>
      </c>
      <c r="M213" s="8">
        <f t="shared" si="38"/>
        <v>28.795698924731184</v>
      </c>
      <c r="N213" s="6">
        <f t="shared" si="33"/>
        <v>29.013513034928852</v>
      </c>
      <c r="O213" s="8">
        <f t="shared" si="41"/>
        <v>2259.8552462217349</v>
      </c>
      <c r="P213" s="8">
        <f t="shared" si="42"/>
        <v>2245.5552401421405</v>
      </c>
      <c r="Q213" s="8">
        <f t="shared" si="39"/>
        <v>29.013513034928852</v>
      </c>
      <c r="T213" s="8">
        <f t="shared" si="32"/>
        <v>29.013513034928852</v>
      </c>
    </row>
    <row r="214" spans="1:20" x14ac:dyDescent="0.2">
      <c r="B214">
        <f t="shared" si="40"/>
        <v>211</v>
      </c>
      <c r="C214">
        <f t="shared" si="34"/>
        <v>31</v>
      </c>
      <c r="D214">
        <v>183</v>
      </c>
      <c r="E214">
        <v>214</v>
      </c>
      <c r="F214">
        <f>RnSPLINE!H$10</f>
        <v>20.666666666666668</v>
      </c>
      <c r="G214">
        <f>RnSPLINE!H$11</f>
        <v>30</v>
      </c>
      <c r="H214" s="10">
        <f>RnSPLINE!M$10</f>
        <v>2.1292793414506659E-2</v>
      </c>
      <c r="I214" s="10">
        <f>RnSPLINE!M$11</f>
        <v>-1.9316759834546803E-2</v>
      </c>
      <c r="J214">
        <f t="shared" si="35"/>
        <v>9.6774193548387094E-2</v>
      </c>
      <c r="K214">
        <f t="shared" si="36"/>
        <v>0.90322580645161288</v>
      </c>
      <c r="L214">
        <f t="shared" si="37"/>
        <v>165</v>
      </c>
      <c r="M214" s="8">
        <f t="shared" si="38"/>
        <v>29.096774193548388</v>
      </c>
      <c r="N214" s="6">
        <f t="shared" si="33"/>
        <v>29.28452496638808</v>
      </c>
      <c r="O214" s="8">
        <f t="shared" si="41"/>
        <v>2288.9520204152832</v>
      </c>
      <c r="P214" s="8">
        <f t="shared" si="42"/>
        <v>2274.8397651085288</v>
      </c>
      <c r="Q214" s="8">
        <f t="shared" si="39"/>
        <v>29.28452496638808</v>
      </c>
      <c r="T214" s="8">
        <f t="shared" si="32"/>
        <v>29.28452496638808</v>
      </c>
    </row>
    <row r="215" spans="1:20" x14ac:dyDescent="0.2">
      <c r="B215">
        <f t="shared" si="40"/>
        <v>212</v>
      </c>
      <c r="C215">
        <f t="shared" si="34"/>
        <v>31</v>
      </c>
      <c r="D215">
        <v>183</v>
      </c>
      <c r="E215">
        <v>214</v>
      </c>
      <c r="F215">
        <f>RnSPLINE!H$10</f>
        <v>20.666666666666668</v>
      </c>
      <c r="G215">
        <f>RnSPLINE!H$11</f>
        <v>30</v>
      </c>
      <c r="H215" s="10">
        <f>RnSPLINE!M$10</f>
        <v>2.1292793414506659E-2</v>
      </c>
      <c r="I215" s="10">
        <f>RnSPLINE!M$11</f>
        <v>-1.9316759834546803E-2</v>
      </c>
      <c r="J215">
        <f t="shared" si="35"/>
        <v>6.4516129032258063E-2</v>
      </c>
      <c r="K215">
        <f t="shared" si="36"/>
        <v>0.93548387096774188</v>
      </c>
      <c r="L215">
        <f t="shared" si="37"/>
        <v>166</v>
      </c>
      <c r="M215" s="8">
        <f t="shared" si="38"/>
        <v>29.397849462365588</v>
      </c>
      <c r="N215" s="6">
        <f t="shared" si="33"/>
        <v>29.540150094778799</v>
      </c>
      <c r="O215" s="8">
        <f t="shared" si="41"/>
        <v>2318.3498698776489</v>
      </c>
      <c r="P215" s="8">
        <f t="shared" si="42"/>
        <v>2304.3799152033075</v>
      </c>
      <c r="Q215" s="8">
        <f t="shared" si="39"/>
        <v>29.540150094778799</v>
      </c>
      <c r="T215" s="8">
        <f t="shared" si="32"/>
        <v>29.540150094778799</v>
      </c>
    </row>
    <row r="216" spans="1:20" x14ac:dyDescent="0.2">
      <c r="B216">
        <f t="shared" si="40"/>
        <v>213</v>
      </c>
      <c r="C216">
        <f t="shared" si="34"/>
        <v>31</v>
      </c>
      <c r="D216">
        <v>183</v>
      </c>
      <c r="E216">
        <v>214</v>
      </c>
      <c r="F216">
        <f>RnSPLINE!H$10</f>
        <v>20.666666666666668</v>
      </c>
      <c r="G216">
        <f>RnSPLINE!H$11</f>
        <v>30</v>
      </c>
      <c r="H216" s="10">
        <f>RnSPLINE!M$10</f>
        <v>2.1292793414506659E-2</v>
      </c>
      <c r="I216" s="10">
        <f>RnSPLINE!M$11</f>
        <v>-1.9316759834546803E-2</v>
      </c>
      <c r="J216">
        <f t="shared" si="35"/>
        <v>3.2258064516129031E-2</v>
      </c>
      <c r="K216">
        <f t="shared" si="36"/>
        <v>0.967741935483871</v>
      </c>
      <c r="L216">
        <f t="shared" si="37"/>
        <v>167</v>
      </c>
      <c r="M216" s="8">
        <f t="shared" si="38"/>
        <v>29.698924731182796</v>
      </c>
      <c r="N216" s="6">
        <f t="shared" si="33"/>
        <v>29.779078434512336</v>
      </c>
      <c r="O216" s="8">
        <f t="shared" si="41"/>
        <v>2348.0487946088315</v>
      </c>
      <c r="P216" s="8">
        <f t="shared" si="42"/>
        <v>2334.15899363782</v>
      </c>
      <c r="Q216" s="8">
        <f t="shared" si="39"/>
        <v>29.779078434512336</v>
      </c>
      <c r="T216" s="8">
        <f t="shared" si="32"/>
        <v>29.779078434512336</v>
      </c>
    </row>
    <row r="217" spans="1:20" x14ac:dyDescent="0.2">
      <c r="A217">
        <v>214</v>
      </c>
      <c r="B217">
        <f t="shared" si="40"/>
        <v>214</v>
      </c>
      <c r="C217">
        <f t="shared" si="34"/>
        <v>31</v>
      </c>
      <c r="D217">
        <v>183</v>
      </c>
      <c r="E217">
        <v>214</v>
      </c>
      <c r="F217">
        <f>RnSPLINE!H$10</f>
        <v>20.666666666666668</v>
      </c>
      <c r="G217">
        <f>RnSPLINE!H$11</f>
        <v>30</v>
      </c>
      <c r="H217" s="10">
        <f>RnSPLINE!M$10</f>
        <v>2.1292793414506659E-2</v>
      </c>
      <c r="I217" s="10">
        <f>RnSPLINE!M$11</f>
        <v>-1.9316759834546803E-2</v>
      </c>
      <c r="J217">
        <f t="shared" si="35"/>
        <v>0</v>
      </c>
      <c r="K217">
        <f t="shared" si="36"/>
        <v>1</v>
      </c>
      <c r="L217">
        <f t="shared" si="37"/>
        <v>168</v>
      </c>
      <c r="M217" s="8">
        <f t="shared" si="38"/>
        <v>30</v>
      </c>
      <c r="N217" s="6">
        <f t="shared" si="33"/>
        <v>30</v>
      </c>
      <c r="O217" s="8">
        <f t="shared" si="41"/>
        <v>2378.0487946088315</v>
      </c>
      <c r="P217" s="8">
        <f t="shared" si="42"/>
        <v>2364.15899363782</v>
      </c>
      <c r="Q217" s="8">
        <f t="shared" si="39"/>
        <v>30</v>
      </c>
      <c r="T217" s="8">
        <f t="shared" si="32"/>
        <v>30</v>
      </c>
    </row>
    <row r="218" spans="1:20" x14ac:dyDescent="0.2">
      <c r="B218">
        <f t="shared" si="40"/>
        <v>215</v>
      </c>
      <c r="C218">
        <f t="shared" si="34"/>
        <v>30</v>
      </c>
      <c r="D218">
        <v>214</v>
      </c>
      <c r="E218">
        <v>244</v>
      </c>
      <c r="F218">
        <f>RnSPLINE!H$11</f>
        <v>30</v>
      </c>
      <c r="G218">
        <f>RnSPLINE!H$12</f>
        <v>31</v>
      </c>
      <c r="H218" s="10">
        <f>RnSPLINE!M$11</f>
        <v>-1.9316759834546803E-2</v>
      </c>
      <c r="I218" s="10">
        <f>RnSPLINE!M$12</f>
        <v>3.0038830353926013E-3</v>
      </c>
      <c r="J218">
        <f t="shared" si="35"/>
        <v>0.96666666666666667</v>
      </c>
      <c r="K218">
        <f t="shared" si="36"/>
        <v>3.3333333333333333E-2</v>
      </c>
      <c r="L218">
        <f t="shared" si="37"/>
        <v>169</v>
      </c>
      <c r="M218" s="8">
        <f t="shared" si="38"/>
        <v>30.033333333333331</v>
      </c>
      <c r="N218" s="6">
        <f t="shared" si="33"/>
        <v>30.201947140156062</v>
      </c>
      <c r="O218" s="8">
        <f t="shared" si="41"/>
        <v>2408.0821279421648</v>
      </c>
      <c r="P218" s="8">
        <f t="shared" si="42"/>
        <v>2394.3609407779759</v>
      </c>
      <c r="Q218" s="8">
        <f t="shared" si="39"/>
        <v>30.201947140156062</v>
      </c>
      <c r="T218" s="8">
        <f t="shared" si="32"/>
        <v>30.201947140156062</v>
      </c>
    </row>
    <row r="219" spans="1:20" x14ac:dyDescent="0.2">
      <c r="B219">
        <f t="shared" si="40"/>
        <v>216</v>
      </c>
      <c r="C219">
        <f t="shared" si="34"/>
        <v>30</v>
      </c>
      <c r="D219">
        <v>214</v>
      </c>
      <c r="E219">
        <v>244</v>
      </c>
      <c r="F219">
        <f>RnSPLINE!H$11</f>
        <v>30</v>
      </c>
      <c r="G219">
        <f>RnSPLINE!H$12</f>
        <v>31</v>
      </c>
      <c r="H219" s="10">
        <f>RnSPLINE!M$11</f>
        <v>-1.9316759834546803E-2</v>
      </c>
      <c r="I219" s="10">
        <f>RnSPLINE!M$12</f>
        <v>3.0038830353926013E-3</v>
      </c>
      <c r="J219">
        <f t="shared" si="35"/>
        <v>0.93333333333333335</v>
      </c>
      <c r="K219">
        <f t="shared" si="36"/>
        <v>6.6666666666666666E-2</v>
      </c>
      <c r="L219">
        <f t="shared" si="37"/>
        <v>170</v>
      </c>
      <c r="M219" s="8">
        <f t="shared" si="38"/>
        <v>30.066666666666666</v>
      </c>
      <c r="N219" s="6">
        <f t="shared" si="33"/>
        <v>30.385321541906581</v>
      </c>
      <c r="O219" s="8">
        <f t="shared" si="41"/>
        <v>2438.1487946088314</v>
      </c>
      <c r="P219" s="8">
        <f t="shared" si="42"/>
        <v>2424.7462623198826</v>
      </c>
      <c r="Q219" s="8">
        <f t="shared" si="39"/>
        <v>30.385321541906581</v>
      </c>
      <c r="T219" s="8">
        <f t="shared" si="32"/>
        <v>30.385321541906581</v>
      </c>
    </row>
    <row r="220" spans="1:20" x14ac:dyDescent="0.2">
      <c r="B220">
        <f t="shared" si="40"/>
        <v>217</v>
      </c>
      <c r="C220">
        <f t="shared" si="34"/>
        <v>30</v>
      </c>
      <c r="D220">
        <v>214</v>
      </c>
      <c r="E220">
        <v>244</v>
      </c>
      <c r="F220">
        <f>RnSPLINE!H$11</f>
        <v>30</v>
      </c>
      <c r="G220">
        <f>RnSPLINE!H$12</f>
        <v>31</v>
      </c>
      <c r="H220" s="10">
        <f>RnSPLINE!M$11</f>
        <v>-1.9316759834546803E-2</v>
      </c>
      <c r="I220" s="10">
        <f>RnSPLINE!M$12</f>
        <v>3.0038830353926013E-3</v>
      </c>
      <c r="J220">
        <f t="shared" si="35"/>
        <v>0.9</v>
      </c>
      <c r="K220">
        <f t="shared" si="36"/>
        <v>0.1</v>
      </c>
      <c r="L220">
        <f t="shared" si="37"/>
        <v>171</v>
      </c>
      <c r="M220" s="8">
        <f t="shared" si="38"/>
        <v>30.1</v>
      </c>
      <c r="N220" s="6">
        <f t="shared" si="33"/>
        <v>30.550867226680545</v>
      </c>
      <c r="O220" s="8">
        <f t="shared" si="41"/>
        <v>2468.2487946088313</v>
      </c>
      <c r="P220" s="8">
        <f t="shared" si="42"/>
        <v>2455.2971295465632</v>
      </c>
      <c r="Q220" s="8">
        <f t="shared" si="39"/>
        <v>30.550867226680545</v>
      </c>
      <c r="T220" s="8">
        <f t="shared" si="32"/>
        <v>30.550867226680545</v>
      </c>
    </row>
    <row r="221" spans="1:20" x14ac:dyDescent="0.2">
      <c r="B221">
        <f t="shared" si="40"/>
        <v>218</v>
      </c>
      <c r="C221">
        <f t="shared" si="34"/>
        <v>30</v>
      </c>
      <c r="D221">
        <v>214</v>
      </c>
      <c r="E221">
        <v>244</v>
      </c>
      <c r="F221">
        <f>RnSPLINE!H$11</f>
        <v>30</v>
      </c>
      <c r="G221">
        <f>RnSPLINE!H$12</f>
        <v>31</v>
      </c>
      <c r="H221" s="10">
        <f>RnSPLINE!M$11</f>
        <v>-1.9316759834546803E-2</v>
      </c>
      <c r="I221" s="10">
        <f>RnSPLINE!M$12</f>
        <v>3.0038830353926013E-3</v>
      </c>
      <c r="J221">
        <f t="shared" si="35"/>
        <v>0.8666666666666667</v>
      </c>
      <c r="K221">
        <f t="shared" si="36"/>
        <v>0.13333333333333333</v>
      </c>
      <c r="L221">
        <f t="shared" si="37"/>
        <v>172</v>
      </c>
      <c r="M221" s="8">
        <f t="shared" si="38"/>
        <v>30.133333333333333</v>
      </c>
      <c r="N221" s="6">
        <f t="shared" si="33"/>
        <v>30.699328215906956</v>
      </c>
      <c r="O221" s="8">
        <f t="shared" si="41"/>
        <v>2498.3821279421645</v>
      </c>
      <c r="P221" s="8">
        <f t="shared" si="42"/>
        <v>2485.9964577624701</v>
      </c>
      <c r="Q221" s="8">
        <f t="shared" si="39"/>
        <v>30.699328215906956</v>
      </c>
      <c r="T221" s="8">
        <f t="shared" si="32"/>
        <v>30.699328215906956</v>
      </c>
    </row>
    <row r="222" spans="1:20" x14ac:dyDescent="0.2">
      <c r="B222">
        <f t="shared" si="40"/>
        <v>219</v>
      </c>
      <c r="C222">
        <f t="shared" si="34"/>
        <v>30</v>
      </c>
      <c r="D222">
        <v>214</v>
      </c>
      <c r="E222">
        <v>244</v>
      </c>
      <c r="F222">
        <f>RnSPLINE!H$11</f>
        <v>30</v>
      </c>
      <c r="G222">
        <f>RnSPLINE!H$12</f>
        <v>31</v>
      </c>
      <c r="H222" s="10">
        <f>RnSPLINE!M$11</f>
        <v>-1.9316759834546803E-2</v>
      </c>
      <c r="I222" s="10">
        <f>RnSPLINE!M$12</f>
        <v>3.0038830353926013E-3</v>
      </c>
      <c r="J222">
        <f t="shared" si="35"/>
        <v>0.83333333333333337</v>
      </c>
      <c r="K222">
        <f t="shared" si="36"/>
        <v>0.16666666666666666</v>
      </c>
      <c r="L222">
        <f t="shared" si="37"/>
        <v>173</v>
      </c>
      <c r="M222" s="8">
        <f t="shared" si="38"/>
        <v>30.166666666666664</v>
      </c>
      <c r="N222" s="6">
        <f t="shared" si="33"/>
        <v>30.831448531014811</v>
      </c>
      <c r="O222" s="8">
        <f t="shared" si="41"/>
        <v>2528.548794608831</v>
      </c>
      <c r="P222" s="8">
        <f t="shared" si="42"/>
        <v>2516.8279062934848</v>
      </c>
      <c r="Q222" s="8">
        <f t="shared" si="39"/>
        <v>30.831448531014811</v>
      </c>
      <c r="T222" s="8">
        <f t="shared" si="32"/>
        <v>30.831448531014811</v>
      </c>
    </row>
    <row r="223" spans="1:20" x14ac:dyDescent="0.2">
      <c r="B223">
        <f t="shared" si="40"/>
        <v>220</v>
      </c>
      <c r="C223">
        <f t="shared" si="34"/>
        <v>30</v>
      </c>
      <c r="D223">
        <v>214</v>
      </c>
      <c r="E223">
        <v>244</v>
      </c>
      <c r="F223">
        <f>RnSPLINE!H$11</f>
        <v>30</v>
      </c>
      <c r="G223">
        <f>RnSPLINE!H$12</f>
        <v>31</v>
      </c>
      <c r="H223" s="10">
        <f>RnSPLINE!M$11</f>
        <v>-1.9316759834546803E-2</v>
      </c>
      <c r="I223" s="10">
        <f>RnSPLINE!M$12</f>
        <v>3.0038830353926013E-3</v>
      </c>
      <c r="J223">
        <f t="shared" si="35"/>
        <v>0.8</v>
      </c>
      <c r="K223">
        <f t="shared" si="36"/>
        <v>0.2</v>
      </c>
      <c r="L223">
        <f t="shared" si="37"/>
        <v>174</v>
      </c>
      <c r="M223" s="8">
        <f t="shared" si="38"/>
        <v>30.2</v>
      </c>
      <c r="N223" s="6">
        <f t="shared" si="33"/>
        <v>30.947972193433113</v>
      </c>
      <c r="O223" s="8">
        <f t="shared" si="41"/>
        <v>2558.7487946088308</v>
      </c>
      <c r="P223" s="8">
        <f t="shared" si="42"/>
        <v>2547.7758784869179</v>
      </c>
      <c r="Q223" s="8">
        <f t="shared" si="39"/>
        <v>30.947972193433113</v>
      </c>
      <c r="T223" s="8">
        <f t="shared" si="32"/>
        <v>30.947972193433113</v>
      </c>
    </row>
    <row r="224" spans="1:20" x14ac:dyDescent="0.2">
      <c r="B224">
        <f t="shared" si="40"/>
        <v>221</v>
      </c>
      <c r="C224">
        <f t="shared" si="34"/>
        <v>30</v>
      </c>
      <c r="D224">
        <v>214</v>
      </c>
      <c r="E224">
        <v>244</v>
      </c>
      <c r="F224">
        <f>RnSPLINE!H$11</f>
        <v>30</v>
      </c>
      <c r="G224">
        <f>RnSPLINE!H$12</f>
        <v>31</v>
      </c>
      <c r="H224" s="10">
        <f>RnSPLINE!M$11</f>
        <v>-1.9316759834546803E-2</v>
      </c>
      <c r="I224" s="10">
        <f>RnSPLINE!M$12</f>
        <v>3.0038830353926013E-3</v>
      </c>
      <c r="J224">
        <f t="shared" si="35"/>
        <v>0.76666666666666672</v>
      </c>
      <c r="K224">
        <f t="shared" si="36"/>
        <v>0.23333333333333334</v>
      </c>
      <c r="L224">
        <f t="shared" si="37"/>
        <v>175</v>
      </c>
      <c r="M224" s="8">
        <f t="shared" si="38"/>
        <v>30.233333333333334</v>
      </c>
      <c r="N224" s="6">
        <f t="shared" si="33"/>
        <v>31.049643224590856</v>
      </c>
      <c r="O224" s="8">
        <f t="shared" si="41"/>
        <v>2588.982127942164</v>
      </c>
      <c r="P224" s="8">
        <f t="shared" si="42"/>
        <v>2578.8255217115088</v>
      </c>
      <c r="Q224" s="8">
        <f t="shared" si="39"/>
        <v>31.049643224590856</v>
      </c>
      <c r="T224" s="8">
        <f t="shared" si="32"/>
        <v>31.049643224590856</v>
      </c>
    </row>
    <row r="225" spans="2:20" x14ac:dyDescent="0.2">
      <c r="B225">
        <f t="shared" si="40"/>
        <v>222</v>
      </c>
      <c r="C225">
        <f t="shared" si="34"/>
        <v>30</v>
      </c>
      <c r="D225">
        <v>214</v>
      </c>
      <c r="E225">
        <v>244</v>
      </c>
      <c r="F225">
        <f>RnSPLINE!H$11</f>
        <v>30</v>
      </c>
      <c r="G225">
        <f>RnSPLINE!H$12</f>
        <v>31</v>
      </c>
      <c r="H225" s="10">
        <f>RnSPLINE!M$11</f>
        <v>-1.9316759834546803E-2</v>
      </c>
      <c r="I225" s="10">
        <f>RnSPLINE!M$12</f>
        <v>3.0038830353926013E-3</v>
      </c>
      <c r="J225">
        <f t="shared" si="35"/>
        <v>0.73333333333333328</v>
      </c>
      <c r="K225">
        <f t="shared" si="36"/>
        <v>0.26666666666666666</v>
      </c>
      <c r="L225">
        <f t="shared" si="37"/>
        <v>176</v>
      </c>
      <c r="M225" s="8">
        <f t="shared" si="38"/>
        <v>30.266666666666666</v>
      </c>
      <c r="N225" s="6">
        <f t="shared" si="33"/>
        <v>31.137205645917035</v>
      </c>
      <c r="O225" s="8">
        <f t="shared" si="41"/>
        <v>2619.2487946088308</v>
      </c>
      <c r="P225" s="8">
        <f t="shared" si="42"/>
        <v>2609.962727357426</v>
      </c>
      <c r="Q225" s="8">
        <f t="shared" si="39"/>
        <v>31.137205645917035</v>
      </c>
      <c r="T225" s="8">
        <f t="shared" si="32"/>
        <v>31.137205645917035</v>
      </c>
    </row>
    <row r="226" spans="2:20" x14ac:dyDescent="0.2">
      <c r="B226">
        <f t="shared" si="40"/>
        <v>223</v>
      </c>
      <c r="C226">
        <f t="shared" si="34"/>
        <v>30</v>
      </c>
      <c r="D226">
        <v>214</v>
      </c>
      <c r="E226">
        <v>244</v>
      </c>
      <c r="F226">
        <f>RnSPLINE!H$11</f>
        <v>30</v>
      </c>
      <c r="G226">
        <f>RnSPLINE!H$12</f>
        <v>31</v>
      </c>
      <c r="H226" s="10">
        <f>RnSPLINE!M$11</f>
        <v>-1.9316759834546803E-2</v>
      </c>
      <c r="I226" s="10">
        <f>RnSPLINE!M$12</f>
        <v>3.0038830353926013E-3</v>
      </c>
      <c r="J226">
        <f t="shared" si="35"/>
        <v>0.7</v>
      </c>
      <c r="K226">
        <f t="shared" si="36"/>
        <v>0.3</v>
      </c>
      <c r="L226">
        <f t="shared" si="37"/>
        <v>177</v>
      </c>
      <c r="M226" s="8">
        <f t="shared" si="38"/>
        <v>30.299999999999997</v>
      </c>
      <c r="N226" s="6">
        <f t="shared" si="33"/>
        <v>31.211403478840651</v>
      </c>
      <c r="O226" s="8">
        <f t="shared" si="41"/>
        <v>2649.548794608831</v>
      </c>
      <c r="P226" s="8">
        <f t="shared" si="42"/>
        <v>2641.1741308362666</v>
      </c>
      <c r="Q226" s="8">
        <f t="shared" si="39"/>
        <v>31.211403478840651</v>
      </c>
      <c r="T226" s="8">
        <f t="shared" si="32"/>
        <v>31.211403478840651</v>
      </c>
    </row>
    <row r="227" spans="2:20" x14ac:dyDescent="0.2">
      <c r="B227">
        <f t="shared" si="40"/>
        <v>224</v>
      </c>
      <c r="C227">
        <f t="shared" si="34"/>
        <v>30</v>
      </c>
      <c r="D227">
        <v>214</v>
      </c>
      <c r="E227">
        <v>244</v>
      </c>
      <c r="F227">
        <f>RnSPLINE!H$11</f>
        <v>30</v>
      </c>
      <c r="G227">
        <f>RnSPLINE!H$12</f>
        <v>31</v>
      </c>
      <c r="H227" s="10">
        <f>RnSPLINE!M$11</f>
        <v>-1.9316759834546803E-2</v>
      </c>
      <c r="I227" s="10">
        <f>RnSPLINE!M$12</f>
        <v>3.0038830353926013E-3</v>
      </c>
      <c r="J227">
        <f t="shared" si="35"/>
        <v>0.66666666666666663</v>
      </c>
      <c r="K227">
        <f t="shared" si="36"/>
        <v>0.33333333333333331</v>
      </c>
      <c r="L227">
        <f t="shared" si="37"/>
        <v>178</v>
      </c>
      <c r="M227" s="8">
        <f t="shared" si="38"/>
        <v>30.333333333333332</v>
      </c>
      <c r="N227" s="6">
        <f t="shared" si="33"/>
        <v>31.272980744790704</v>
      </c>
      <c r="O227" s="8">
        <f t="shared" si="41"/>
        <v>2679.8821279421645</v>
      </c>
      <c r="P227" s="8">
        <f t="shared" si="42"/>
        <v>2672.4471115810575</v>
      </c>
      <c r="Q227" s="8">
        <f t="shared" si="39"/>
        <v>31.272980744790704</v>
      </c>
      <c r="T227" s="8">
        <f t="shared" si="32"/>
        <v>31.272980744790704</v>
      </c>
    </row>
    <row r="228" spans="2:20" x14ac:dyDescent="0.2">
      <c r="B228">
        <f t="shared" si="40"/>
        <v>225</v>
      </c>
      <c r="C228">
        <f t="shared" si="34"/>
        <v>30</v>
      </c>
      <c r="D228">
        <v>214</v>
      </c>
      <c r="E228">
        <v>244</v>
      </c>
      <c r="F228">
        <f>RnSPLINE!H$11</f>
        <v>30</v>
      </c>
      <c r="G228">
        <f>RnSPLINE!H$12</f>
        <v>31</v>
      </c>
      <c r="H228" s="10">
        <f>RnSPLINE!M$11</f>
        <v>-1.9316759834546803E-2</v>
      </c>
      <c r="I228" s="10">
        <f>RnSPLINE!M$12</f>
        <v>3.0038830353926013E-3</v>
      </c>
      <c r="J228">
        <f t="shared" si="35"/>
        <v>0.6333333333333333</v>
      </c>
      <c r="K228">
        <f t="shared" si="36"/>
        <v>0.36666666666666664</v>
      </c>
      <c r="L228">
        <f t="shared" si="37"/>
        <v>179</v>
      </c>
      <c r="M228" s="8">
        <f t="shared" si="38"/>
        <v>30.366666666666667</v>
      </c>
      <c r="N228" s="6">
        <f t="shared" si="33"/>
        <v>31.322681465196194</v>
      </c>
      <c r="O228" s="8">
        <f t="shared" si="41"/>
        <v>2710.2487946088313</v>
      </c>
      <c r="P228" s="8">
        <f t="shared" si="42"/>
        <v>2703.7697930462537</v>
      </c>
      <c r="Q228" s="8">
        <f t="shared" si="39"/>
        <v>31.322681465196194</v>
      </c>
      <c r="T228" s="8">
        <f t="shared" si="32"/>
        <v>31.322681465196194</v>
      </c>
    </row>
    <row r="229" spans="2:20" x14ac:dyDescent="0.2">
      <c r="B229">
        <f t="shared" si="40"/>
        <v>226</v>
      </c>
      <c r="C229">
        <f t="shared" si="34"/>
        <v>30</v>
      </c>
      <c r="D229">
        <v>214</v>
      </c>
      <c r="E229">
        <v>244</v>
      </c>
      <c r="F229">
        <f>RnSPLINE!H$11</f>
        <v>30</v>
      </c>
      <c r="G229">
        <f>RnSPLINE!H$12</f>
        <v>31</v>
      </c>
      <c r="H229" s="10">
        <f>RnSPLINE!M$11</f>
        <v>-1.9316759834546803E-2</v>
      </c>
      <c r="I229" s="10">
        <f>RnSPLINE!M$12</f>
        <v>3.0038830353926013E-3</v>
      </c>
      <c r="J229">
        <f t="shared" si="35"/>
        <v>0.6</v>
      </c>
      <c r="K229">
        <f t="shared" si="36"/>
        <v>0.4</v>
      </c>
      <c r="L229">
        <f t="shared" si="37"/>
        <v>180</v>
      </c>
      <c r="M229" s="8">
        <f t="shared" si="38"/>
        <v>30.4</v>
      </c>
      <c r="N229" s="6">
        <f t="shared" si="33"/>
        <v>31.361249661486106</v>
      </c>
      <c r="O229" s="8">
        <f t="shared" si="41"/>
        <v>2740.6487946088314</v>
      </c>
      <c r="P229" s="8">
        <f t="shared" si="42"/>
        <v>2735.1310427077397</v>
      </c>
      <c r="Q229" s="8">
        <f t="shared" si="39"/>
        <v>31.361249661486106</v>
      </c>
      <c r="T229" s="8">
        <f t="shared" si="32"/>
        <v>31.361249661486106</v>
      </c>
    </row>
    <row r="230" spans="2:20" x14ac:dyDescent="0.2">
      <c r="B230">
        <f t="shared" si="40"/>
        <v>227</v>
      </c>
      <c r="C230">
        <f t="shared" si="34"/>
        <v>30</v>
      </c>
      <c r="D230">
        <v>214</v>
      </c>
      <c r="E230">
        <v>244</v>
      </c>
      <c r="F230">
        <f>RnSPLINE!H$11</f>
        <v>30</v>
      </c>
      <c r="G230">
        <f>RnSPLINE!H$12</f>
        <v>31</v>
      </c>
      <c r="H230" s="10">
        <f>RnSPLINE!M$11</f>
        <v>-1.9316759834546803E-2</v>
      </c>
      <c r="I230" s="10">
        <f>RnSPLINE!M$12</f>
        <v>3.0038830353926013E-3</v>
      </c>
      <c r="J230">
        <f t="shared" si="35"/>
        <v>0.56666666666666665</v>
      </c>
      <c r="K230">
        <f t="shared" si="36"/>
        <v>0.43333333333333335</v>
      </c>
      <c r="L230">
        <f t="shared" si="37"/>
        <v>181</v>
      </c>
      <c r="M230" s="8">
        <f t="shared" si="38"/>
        <v>30.433333333333334</v>
      </c>
      <c r="N230" s="6">
        <f t="shared" si="33"/>
        <v>31.389429355089455</v>
      </c>
      <c r="O230" s="8">
        <f t="shared" si="41"/>
        <v>2771.0821279421648</v>
      </c>
      <c r="P230" s="8">
        <f t="shared" si="42"/>
        <v>2766.520472062829</v>
      </c>
      <c r="Q230" s="8">
        <f t="shared" si="39"/>
        <v>31.389429355089455</v>
      </c>
      <c r="T230" s="8">
        <f t="shared" si="32"/>
        <v>31.389429355089455</v>
      </c>
    </row>
    <row r="231" spans="2:20" x14ac:dyDescent="0.2">
      <c r="B231">
        <f t="shared" si="40"/>
        <v>228</v>
      </c>
      <c r="C231">
        <f t="shared" si="34"/>
        <v>30</v>
      </c>
      <c r="D231">
        <v>214</v>
      </c>
      <c r="E231">
        <v>244</v>
      </c>
      <c r="F231">
        <f>RnSPLINE!H$11</f>
        <v>30</v>
      </c>
      <c r="G231">
        <f>RnSPLINE!H$12</f>
        <v>31</v>
      </c>
      <c r="H231" s="10">
        <f>RnSPLINE!M$11</f>
        <v>-1.9316759834546803E-2</v>
      </c>
      <c r="I231" s="10">
        <f>RnSPLINE!M$12</f>
        <v>3.0038830353926013E-3</v>
      </c>
      <c r="J231">
        <f t="shared" si="35"/>
        <v>0.53333333333333333</v>
      </c>
      <c r="K231">
        <f t="shared" si="36"/>
        <v>0.46666666666666667</v>
      </c>
      <c r="L231">
        <f t="shared" si="37"/>
        <v>182</v>
      </c>
      <c r="M231" s="8">
        <f t="shared" si="38"/>
        <v>30.466666666666669</v>
      </c>
      <c r="N231" s="6">
        <f t="shared" si="33"/>
        <v>31.407964567435229</v>
      </c>
      <c r="O231" s="8">
        <f t="shared" si="41"/>
        <v>2801.5487946088315</v>
      </c>
      <c r="P231" s="8">
        <f t="shared" si="42"/>
        <v>2797.9284366302641</v>
      </c>
      <c r="Q231" s="8">
        <f t="shared" si="39"/>
        <v>31.407964567435229</v>
      </c>
      <c r="T231" s="8">
        <f t="shared" si="32"/>
        <v>31.407964567435229</v>
      </c>
    </row>
    <row r="232" spans="2:20" x14ac:dyDescent="0.2">
      <c r="B232">
        <f t="shared" si="40"/>
        <v>229</v>
      </c>
      <c r="C232">
        <f t="shared" si="34"/>
        <v>30</v>
      </c>
      <c r="D232">
        <v>214</v>
      </c>
      <c r="E232">
        <v>244</v>
      </c>
      <c r="F232">
        <f>RnSPLINE!H$11</f>
        <v>30</v>
      </c>
      <c r="G232">
        <f>RnSPLINE!H$12</f>
        <v>31</v>
      </c>
      <c r="H232" s="10">
        <f>RnSPLINE!M$11</f>
        <v>-1.9316759834546803E-2</v>
      </c>
      <c r="I232" s="10">
        <f>RnSPLINE!M$12</f>
        <v>3.0038830353926013E-3</v>
      </c>
      <c r="J232">
        <f t="shared" si="35"/>
        <v>0.5</v>
      </c>
      <c r="K232">
        <f t="shared" si="36"/>
        <v>0.5</v>
      </c>
      <c r="L232">
        <f t="shared" si="37"/>
        <v>183</v>
      </c>
      <c r="M232" s="8">
        <f t="shared" si="38"/>
        <v>30.5</v>
      </c>
      <c r="N232" s="6">
        <f t="shared" si="33"/>
        <v>31.417599319952423</v>
      </c>
      <c r="O232" s="8">
        <f t="shared" si="41"/>
        <v>2832.0487946088315</v>
      </c>
      <c r="P232" s="8">
        <f t="shared" si="42"/>
        <v>2829.3460359502164</v>
      </c>
      <c r="Q232" s="8">
        <f t="shared" si="39"/>
        <v>31.417599319952423</v>
      </c>
      <c r="T232" s="8">
        <f t="shared" si="32"/>
        <v>31.417599319952423</v>
      </c>
    </row>
    <row r="233" spans="2:20" x14ac:dyDescent="0.2">
      <c r="B233">
        <f t="shared" si="40"/>
        <v>230</v>
      </c>
      <c r="C233">
        <f t="shared" si="34"/>
        <v>30</v>
      </c>
      <c r="D233">
        <v>214</v>
      </c>
      <c r="E233">
        <v>244</v>
      </c>
      <c r="F233">
        <f>RnSPLINE!H$11</f>
        <v>30</v>
      </c>
      <c r="G233">
        <f>RnSPLINE!H$12</f>
        <v>31</v>
      </c>
      <c r="H233" s="10">
        <f>RnSPLINE!M$11</f>
        <v>-1.9316759834546803E-2</v>
      </c>
      <c r="I233" s="10">
        <f>RnSPLINE!M$12</f>
        <v>3.0038830353926013E-3</v>
      </c>
      <c r="J233">
        <f t="shared" si="35"/>
        <v>0.46666666666666667</v>
      </c>
      <c r="K233">
        <f t="shared" si="36"/>
        <v>0.53333333333333333</v>
      </c>
      <c r="L233">
        <f t="shared" si="37"/>
        <v>184</v>
      </c>
      <c r="M233" s="8">
        <f t="shared" si="38"/>
        <v>30.533333333333331</v>
      </c>
      <c r="N233" s="6">
        <f t="shared" si="33"/>
        <v>31.419077634070042</v>
      </c>
      <c r="O233" s="8">
        <f t="shared" si="41"/>
        <v>2862.5821279421648</v>
      </c>
      <c r="P233" s="8">
        <f t="shared" si="42"/>
        <v>2860.7651135842866</v>
      </c>
      <c r="Q233" s="8">
        <f t="shared" si="39"/>
        <v>31.419077634070042</v>
      </c>
      <c r="T233" s="8">
        <f t="shared" si="32"/>
        <v>31.419077634070042</v>
      </c>
    </row>
    <row r="234" spans="2:20" x14ac:dyDescent="0.2">
      <c r="B234">
        <f t="shared" si="40"/>
        <v>231</v>
      </c>
      <c r="C234">
        <f t="shared" si="34"/>
        <v>30</v>
      </c>
      <c r="D234">
        <v>214</v>
      </c>
      <c r="E234">
        <v>244</v>
      </c>
      <c r="F234">
        <f>RnSPLINE!H$11</f>
        <v>30</v>
      </c>
      <c r="G234">
        <f>RnSPLINE!H$12</f>
        <v>31</v>
      </c>
      <c r="H234" s="10">
        <f>RnSPLINE!M$11</f>
        <v>-1.9316759834546803E-2</v>
      </c>
      <c r="I234" s="10">
        <f>RnSPLINE!M$12</f>
        <v>3.0038830353926013E-3</v>
      </c>
      <c r="J234">
        <f t="shared" si="35"/>
        <v>0.43333333333333335</v>
      </c>
      <c r="K234">
        <f t="shared" si="36"/>
        <v>0.56666666666666665</v>
      </c>
      <c r="L234">
        <f t="shared" si="37"/>
        <v>185</v>
      </c>
      <c r="M234" s="8">
        <f t="shared" si="38"/>
        <v>30.566666666666666</v>
      </c>
      <c r="N234" s="6">
        <f t="shared" si="33"/>
        <v>31.413143531217084</v>
      </c>
      <c r="O234" s="8">
        <f t="shared" si="41"/>
        <v>2893.1487946088314</v>
      </c>
      <c r="P234" s="8">
        <f t="shared" si="42"/>
        <v>2892.1782571155036</v>
      </c>
      <c r="Q234" s="8">
        <f t="shared" si="39"/>
        <v>31.413143531217084</v>
      </c>
      <c r="T234" s="8">
        <f t="shared" si="32"/>
        <v>31.413143531217084</v>
      </c>
    </row>
    <row r="235" spans="2:20" x14ac:dyDescent="0.2">
      <c r="B235">
        <f t="shared" si="40"/>
        <v>232</v>
      </c>
      <c r="C235">
        <f t="shared" si="34"/>
        <v>30</v>
      </c>
      <c r="D235">
        <v>214</v>
      </c>
      <c r="E235">
        <v>244</v>
      </c>
      <c r="F235">
        <f>RnSPLINE!H$11</f>
        <v>30</v>
      </c>
      <c r="G235">
        <f>RnSPLINE!H$12</f>
        <v>31</v>
      </c>
      <c r="H235" s="10">
        <f>RnSPLINE!M$11</f>
        <v>-1.9316759834546803E-2</v>
      </c>
      <c r="I235" s="10">
        <f>RnSPLINE!M$12</f>
        <v>3.0038830353926013E-3</v>
      </c>
      <c r="J235">
        <f t="shared" si="35"/>
        <v>0.4</v>
      </c>
      <c r="K235">
        <f t="shared" si="36"/>
        <v>0.6</v>
      </c>
      <c r="L235">
        <f t="shared" si="37"/>
        <v>186</v>
      </c>
      <c r="M235" s="8">
        <f t="shared" si="38"/>
        <v>30.599999999999998</v>
      </c>
      <c r="N235" s="6">
        <f t="shared" si="33"/>
        <v>31.400541032822542</v>
      </c>
      <c r="O235" s="8">
        <f t="shared" si="41"/>
        <v>2923.7487946088313</v>
      </c>
      <c r="P235" s="8">
        <f t="shared" si="42"/>
        <v>2923.5787981483263</v>
      </c>
      <c r="Q235" s="8">
        <f t="shared" si="39"/>
        <v>31.400541032822542</v>
      </c>
      <c r="T235" s="8">
        <f t="shared" si="32"/>
        <v>31.400541032822542</v>
      </c>
    </row>
    <row r="236" spans="2:20" x14ac:dyDescent="0.2">
      <c r="B236">
        <f t="shared" si="40"/>
        <v>233</v>
      </c>
      <c r="C236">
        <f t="shared" si="34"/>
        <v>30</v>
      </c>
      <c r="D236">
        <v>214</v>
      </c>
      <c r="E236">
        <v>244</v>
      </c>
      <c r="F236">
        <f>RnSPLINE!H$11</f>
        <v>30</v>
      </c>
      <c r="G236">
        <f>RnSPLINE!H$12</f>
        <v>31</v>
      </c>
      <c r="H236" s="10">
        <f>RnSPLINE!M$11</f>
        <v>-1.9316759834546803E-2</v>
      </c>
      <c r="I236" s="10">
        <f>RnSPLINE!M$12</f>
        <v>3.0038830353926013E-3</v>
      </c>
      <c r="J236">
        <f t="shared" si="35"/>
        <v>0.36666666666666664</v>
      </c>
      <c r="K236">
        <f t="shared" si="36"/>
        <v>0.6333333333333333</v>
      </c>
      <c r="L236">
        <f t="shared" si="37"/>
        <v>187</v>
      </c>
      <c r="M236" s="8">
        <f t="shared" si="38"/>
        <v>30.633333333333333</v>
      </c>
      <c r="N236" s="6">
        <f t="shared" si="33"/>
        <v>31.382014160315421</v>
      </c>
      <c r="O236" s="8">
        <f t="shared" si="41"/>
        <v>2954.3821279421645</v>
      </c>
      <c r="P236" s="8">
        <f t="shared" si="42"/>
        <v>2954.9608123086418</v>
      </c>
      <c r="Q236" s="8">
        <f t="shared" si="39"/>
        <v>31.382014160315421</v>
      </c>
      <c r="T236" s="8">
        <f t="shared" si="32"/>
        <v>31.382014160315421</v>
      </c>
    </row>
    <row r="237" spans="2:20" x14ac:dyDescent="0.2">
      <c r="B237">
        <f t="shared" si="40"/>
        <v>234</v>
      </c>
      <c r="C237">
        <f t="shared" si="34"/>
        <v>30</v>
      </c>
      <c r="D237">
        <v>214</v>
      </c>
      <c r="E237">
        <v>244</v>
      </c>
      <c r="F237">
        <f>RnSPLINE!H$11</f>
        <v>30</v>
      </c>
      <c r="G237">
        <f>RnSPLINE!H$12</f>
        <v>31</v>
      </c>
      <c r="H237" s="10">
        <f>RnSPLINE!M$11</f>
        <v>-1.9316759834546803E-2</v>
      </c>
      <c r="I237" s="10">
        <f>RnSPLINE!M$12</f>
        <v>3.0038830353926013E-3</v>
      </c>
      <c r="J237">
        <f t="shared" si="35"/>
        <v>0.33333333333333331</v>
      </c>
      <c r="K237">
        <f t="shared" si="36"/>
        <v>0.66666666666666663</v>
      </c>
      <c r="L237">
        <f t="shared" si="37"/>
        <v>188</v>
      </c>
      <c r="M237" s="8">
        <f t="shared" si="38"/>
        <v>30.666666666666664</v>
      </c>
      <c r="N237" s="6">
        <f t="shared" si="33"/>
        <v>31.358306935124713</v>
      </c>
      <c r="O237" s="8">
        <f t="shared" si="41"/>
        <v>2985.048794608831</v>
      </c>
      <c r="P237" s="8">
        <f t="shared" si="42"/>
        <v>2986.3191192437666</v>
      </c>
      <c r="Q237" s="8">
        <f t="shared" si="39"/>
        <v>31.358306935124713</v>
      </c>
      <c r="T237" s="8">
        <f t="shared" si="32"/>
        <v>31.358306935124713</v>
      </c>
    </row>
    <row r="238" spans="2:20" x14ac:dyDescent="0.2">
      <c r="B238">
        <f t="shared" si="40"/>
        <v>235</v>
      </c>
      <c r="C238">
        <f t="shared" si="34"/>
        <v>30</v>
      </c>
      <c r="D238">
        <v>214</v>
      </c>
      <c r="E238">
        <v>244</v>
      </c>
      <c r="F238">
        <f>RnSPLINE!H$11</f>
        <v>30</v>
      </c>
      <c r="G238">
        <f>RnSPLINE!H$12</f>
        <v>31</v>
      </c>
      <c r="H238" s="10">
        <f>RnSPLINE!M$11</f>
        <v>-1.9316759834546803E-2</v>
      </c>
      <c r="I238" s="10">
        <f>RnSPLINE!M$12</f>
        <v>3.0038830353926013E-3</v>
      </c>
      <c r="J238">
        <f t="shared" si="35"/>
        <v>0.3</v>
      </c>
      <c r="K238">
        <f t="shared" si="36"/>
        <v>0.7</v>
      </c>
      <c r="L238">
        <f t="shared" si="37"/>
        <v>189</v>
      </c>
      <c r="M238" s="8">
        <f t="shared" si="38"/>
        <v>30.7</v>
      </c>
      <c r="N238" s="6">
        <f t="shared" si="33"/>
        <v>31.330163378679416</v>
      </c>
      <c r="O238" s="8">
        <f t="shared" si="41"/>
        <v>3015.7487946088308</v>
      </c>
      <c r="P238" s="8">
        <f t="shared" si="42"/>
        <v>3017.6492826224462</v>
      </c>
      <c r="Q238" s="8">
        <f t="shared" si="39"/>
        <v>31.330163378679416</v>
      </c>
      <c r="T238" s="8">
        <f t="shared" si="32"/>
        <v>31.330163378679416</v>
      </c>
    </row>
    <row r="239" spans="2:20" x14ac:dyDescent="0.2">
      <c r="B239">
        <f t="shared" si="40"/>
        <v>236</v>
      </c>
      <c r="C239">
        <f t="shared" si="34"/>
        <v>30</v>
      </c>
      <c r="D239">
        <v>214</v>
      </c>
      <c r="E239">
        <v>244</v>
      </c>
      <c r="F239">
        <f>RnSPLINE!H$11</f>
        <v>30</v>
      </c>
      <c r="G239">
        <f>RnSPLINE!H$12</f>
        <v>31</v>
      </c>
      <c r="H239" s="10">
        <f>RnSPLINE!M$11</f>
        <v>-1.9316759834546803E-2</v>
      </c>
      <c r="I239" s="10">
        <f>RnSPLINE!M$12</f>
        <v>3.0038830353926013E-3</v>
      </c>
      <c r="J239">
        <f t="shared" si="35"/>
        <v>0.26666666666666666</v>
      </c>
      <c r="K239">
        <f t="shared" si="36"/>
        <v>0.73333333333333328</v>
      </c>
      <c r="L239">
        <f t="shared" si="37"/>
        <v>190</v>
      </c>
      <c r="M239" s="8">
        <f t="shared" si="38"/>
        <v>30.733333333333331</v>
      </c>
      <c r="N239" s="6">
        <f t="shared" si="33"/>
        <v>31.29832751240853</v>
      </c>
      <c r="O239" s="8">
        <f t="shared" si="41"/>
        <v>3046.482127942164</v>
      </c>
      <c r="P239" s="8">
        <f t="shared" si="42"/>
        <v>3048.9476101348546</v>
      </c>
      <c r="Q239" s="8">
        <f t="shared" si="39"/>
        <v>31.29832751240853</v>
      </c>
      <c r="T239" s="8">
        <f t="shared" si="32"/>
        <v>31.29832751240853</v>
      </c>
    </row>
    <row r="240" spans="2:20" x14ac:dyDescent="0.2">
      <c r="B240">
        <f t="shared" si="40"/>
        <v>237</v>
      </c>
      <c r="C240">
        <f t="shared" si="34"/>
        <v>30</v>
      </c>
      <c r="D240">
        <v>214</v>
      </c>
      <c r="E240">
        <v>244</v>
      </c>
      <c r="F240">
        <f>RnSPLINE!H$11</f>
        <v>30</v>
      </c>
      <c r="G240">
        <f>RnSPLINE!H$12</f>
        <v>31</v>
      </c>
      <c r="H240" s="10">
        <f>RnSPLINE!M$11</f>
        <v>-1.9316759834546803E-2</v>
      </c>
      <c r="I240" s="10">
        <f>RnSPLINE!M$12</f>
        <v>3.0038830353926013E-3</v>
      </c>
      <c r="J240">
        <f t="shared" si="35"/>
        <v>0.23333333333333334</v>
      </c>
      <c r="K240">
        <f t="shared" si="36"/>
        <v>0.76666666666666672</v>
      </c>
      <c r="L240">
        <f t="shared" si="37"/>
        <v>191</v>
      </c>
      <c r="M240" s="8">
        <f t="shared" si="38"/>
        <v>30.766666666666669</v>
      </c>
      <c r="N240" s="6">
        <f t="shared" si="33"/>
        <v>31.26354335774106</v>
      </c>
      <c r="O240" s="8">
        <f t="shared" si="41"/>
        <v>3077.2487946088308</v>
      </c>
      <c r="P240" s="8">
        <f t="shared" si="42"/>
        <v>3080.2111534925957</v>
      </c>
      <c r="Q240" s="8">
        <f t="shared" si="39"/>
        <v>31.26354335774106</v>
      </c>
      <c r="T240" s="8">
        <f t="shared" si="32"/>
        <v>31.26354335774106</v>
      </c>
    </row>
    <row r="241" spans="1:20" x14ac:dyDescent="0.2">
      <c r="B241">
        <f t="shared" si="40"/>
        <v>238</v>
      </c>
      <c r="C241">
        <f t="shared" si="34"/>
        <v>30</v>
      </c>
      <c r="D241">
        <v>214</v>
      </c>
      <c r="E241">
        <v>244</v>
      </c>
      <c r="F241">
        <f>RnSPLINE!H$11</f>
        <v>30</v>
      </c>
      <c r="G241">
        <f>RnSPLINE!H$12</f>
        <v>31</v>
      </c>
      <c r="H241" s="10">
        <f>RnSPLINE!M$11</f>
        <v>-1.9316759834546803E-2</v>
      </c>
      <c r="I241" s="10">
        <f>RnSPLINE!M$12</f>
        <v>3.0038830353926013E-3</v>
      </c>
      <c r="J241">
        <f t="shared" si="35"/>
        <v>0.2</v>
      </c>
      <c r="K241">
        <f t="shared" si="36"/>
        <v>0.8</v>
      </c>
      <c r="L241">
        <f t="shared" si="37"/>
        <v>192</v>
      </c>
      <c r="M241" s="8">
        <f t="shared" si="38"/>
        <v>30.8</v>
      </c>
      <c r="N241" s="6">
        <f t="shared" si="33"/>
        <v>31.226554936105988</v>
      </c>
      <c r="O241" s="8">
        <f t="shared" si="41"/>
        <v>3108.048794608831</v>
      </c>
      <c r="P241" s="8">
        <f t="shared" si="42"/>
        <v>3111.4377084287016</v>
      </c>
      <c r="Q241" s="8">
        <f t="shared" si="39"/>
        <v>31.226554936105988</v>
      </c>
      <c r="T241" s="8">
        <f t="shared" si="32"/>
        <v>31.226554936105988</v>
      </c>
    </row>
    <row r="242" spans="1:20" x14ac:dyDescent="0.2">
      <c r="B242">
        <f t="shared" si="40"/>
        <v>239</v>
      </c>
      <c r="C242">
        <f t="shared" si="34"/>
        <v>30</v>
      </c>
      <c r="D242">
        <v>214</v>
      </c>
      <c r="E242">
        <v>244</v>
      </c>
      <c r="F242">
        <f>RnSPLINE!H$11</f>
        <v>30</v>
      </c>
      <c r="G242">
        <f>RnSPLINE!H$12</f>
        <v>31</v>
      </c>
      <c r="H242" s="10">
        <f>RnSPLINE!M$11</f>
        <v>-1.9316759834546803E-2</v>
      </c>
      <c r="I242" s="10">
        <f>RnSPLINE!M$12</f>
        <v>3.0038830353926013E-3</v>
      </c>
      <c r="J242">
        <f t="shared" si="35"/>
        <v>0.16666666666666666</v>
      </c>
      <c r="K242">
        <f t="shared" si="36"/>
        <v>0.83333333333333337</v>
      </c>
      <c r="L242">
        <f t="shared" si="37"/>
        <v>193</v>
      </c>
      <c r="M242" s="8">
        <f t="shared" si="38"/>
        <v>30.833333333333336</v>
      </c>
      <c r="N242" s="6">
        <f t="shared" si="33"/>
        <v>31.188106268932327</v>
      </c>
      <c r="O242" s="8">
        <f t="shared" si="41"/>
        <v>3138.8821279421645</v>
      </c>
      <c r="P242" s="8">
        <f t="shared" si="42"/>
        <v>3142.6258146976338</v>
      </c>
      <c r="Q242" s="8">
        <f t="shared" si="39"/>
        <v>31.188106268932327</v>
      </c>
      <c r="T242" s="8">
        <f t="shared" ref="T242:T305" si="43">N242</f>
        <v>31.188106268932327</v>
      </c>
    </row>
    <row r="243" spans="1:20" x14ac:dyDescent="0.2">
      <c r="B243">
        <f t="shared" si="40"/>
        <v>240</v>
      </c>
      <c r="C243">
        <f t="shared" si="34"/>
        <v>30</v>
      </c>
      <c r="D243">
        <v>214</v>
      </c>
      <c r="E243">
        <v>244</v>
      </c>
      <c r="F243">
        <f>RnSPLINE!H$11</f>
        <v>30</v>
      </c>
      <c r="G243">
        <f>RnSPLINE!H$12</f>
        <v>31</v>
      </c>
      <c r="H243" s="10">
        <f>RnSPLINE!M$11</f>
        <v>-1.9316759834546803E-2</v>
      </c>
      <c r="I243" s="10">
        <f>RnSPLINE!M$12</f>
        <v>3.0038830353926013E-3</v>
      </c>
      <c r="J243">
        <f t="shared" si="35"/>
        <v>0.13333333333333333</v>
      </c>
      <c r="K243">
        <f t="shared" si="36"/>
        <v>0.8666666666666667</v>
      </c>
      <c r="L243">
        <f t="shared" si="37"/>
        <v>194</v>
      </c>
      <c r="M243" s="8">
        <f t="shared" si="38"/>
        <v>30.866666666666667</v>
      </c>
      <c r="N243" s="6">
        <f t="shared" si="33"/>
        <v>31.148941377649063</v>
      </c>
      <c r="O243" s="8">
        <f t="shared" si="41"/>
        <v>3169.7487946088313</v>
      </c>
      <c r="P243" s="8">
        <f t="shared" si="42"/>
        <v>3173.7747560752828</v>
      </c>
      <c r="Q243" s="8">
        <f t="shared" si="39"/>
        <v>31.148941377649063</v>
      </c>
      <c r="T243" s="8">
        <f t="shared" si="43"/>
        <v>31.148941377649063</v>
      </c>
    </row>
    <row r="244" spans="1:20" x14ac:dyDescent="0.2">
      <c r="B244">
        <f t="shared" si="40"/>
        <v>241</v>
      </c>
      <c r="C244">
        <f t="shared" si="34"/>
        <v>30</v>
      </c>
      <c r="D244">
        <v>214</v>
      </c>
      <c r="E244">
        <v>244</v>
      </c>
      <c r="F244">
        <f>RnSPLINE!H$11</f>
        <v>30</v>
      </c>
      <c r="G244">
        <f>RnSPLINE!H$12</f>
        <v>31</v>
      </c>
      <c r="H244" s="10">
        <f>RnSPLINE!M$11</f>
        <v>-1.9316759834546803E-2</v>
      </c>
      <c r="I244" s="10">
        <f>RnSPLINE!M$12</f>
        <v>3.0038830353926013E-3</v>
      </c>
      <c r="J244">
        <f t="shared" si="35"/>
        <v>0.1</v>
      </c>
      <c r="K244">
        <f t="shared" si="36"/>
        <v>0.9</v>
      </c>
      <c r="L244">
        <f t="shared" si="37"/>
        <v>195</v>
      </c>
      <c r="M244" s="8">
        <f t="shared" si="38"/>
        <v>30.900000000000002</v>
      </c>
      <c r="N244" s="6">
        <f t="shared" si="33"/>
        <v>31.1098042836852</v>
      </c>
      <c r="O244" s="8">
        <f t="shared" si="41"/>
        <v>3200.6487946088314</v>
      </c>
      <c r="P244" s="8">
        <f t="shared" si="42"/>
        <v>3204.884560358968</v>
      </c>
      <c r="Q244" s="8">
        <f t="shared" si="39"/>
        <v>31.1098042836852</v>
      </c>
      <c r="T244" s="8">
        <f t="shared" si="43"/>
        <v>31.1098042836852</v>
      </c>
    </row>
    <row r="245" spans="1:20" x14ac:dyDescent="0.2">
      <c r="B245">
        <f t="shared" si="40"/>
        <v>242</v>
      </c>
      <c r="C245">
        <f t="shared" si="34"/>
        <v>30</v>
      </c>
      <c r="D245">
        <v>214</v>
      </c>
      <c r="E245">
        <v>244</v>
      </c>
      <c r="F245">
        <f>RnSPLINE!H$11</f>
        <v>30</v>
      </c>
      <c r="G245">
        <f>RnSPLINE!H$12</f>
        <v>31</v>
      </c>
      <c r="H245" s="10">
        <f>RnSPLINE!M$11</f>
        <v>-1.9316759834546803E-2</v>
      </c>
      <c r="I245" s="10">
        <f>RnSPLINE!M$12</f>
        <v>3.0038830353926013E-3</v>
      </c>
      <c r="J245">
        <f t="shared" si="35"/>
        <v>6.6666666666666666E-2</v>
      </c>
      <c r="K245">
        <f t="shared" si="36"/>
        <v>0.93333333333333335</v>
      </c>
      <c r="L245">
        <f t="shared" si="37"/>
        <v>196</v>
      </c>
      <c r="M245" s="8">
        <f t="shared" si="38"/>
        <v>30.933333333333334</v>
      </c>
      <c r="N245" s="6">
        <f t="shared" si="33"/>
        <v>31.071439008469738</v>
      </c>
      <c r="O245" s="8">
        <f t="shared" si="41"/>
        <v>3231.5821279421648</v>
      </c>
      <c r="P245" s="8">
        <f t="shared" si="42"/>
        <v>3235.9559993674379</v>
      </c>
      <c r="Q245" s="8">
        <f t="shared" si="39"/>
        <v>31.071439008469738</v>
      </c>
      <c r="T245" s="8">
        <f t="shared" si="43"/>
        <v>31.071439008469738</v>
      </c>
    </row>
    <row r="246" spans="1:20" x14ac:dyDescent="0.2">
      <c r="B246">
        <f t="shared" si="40"/>
        <v>243</v>
      </c>
      <c r="C246">
        <f t="shared" si="34"/>
        <v>30</v>
      </c>
      <c r="D246">
        <v>214</v>
      </c>
      <c r="E246">
        <v>244</v>
      </c>
      <c r="F246">
        <f>RnSPLINE!H$11</f>
        <v>30</v>
      </c>
      <c r="G246">
        <f>RnSPLINE!H$12</f>
        <v>31</v>
      </c>
      <c r="H246" s="10">
        <f>RnSPLINE!M$11</f>
        <v>-1.9316759834546803E-2</v>
      </c>
      <c r="I246" s="10">
        <f>RnSPLINE!M$12</f>
        <v>3.0038830353926013E-3</v>
      </c>
      <c r="J246">
        <f t="shared" si="35"/>
        <v>3.3333333333333333E-2</v>
      </c>
      <c r="K246">
        <f t="shared" si="36"/>
        <v>0.96666666666666667</v>
      </c>
      <c r="L246">
        <f t="shared" si="37"/>
        <v>197</v>
      </c>
      <c r="M246" s="8">
        <f t="shared" si="38"/>
        <v>30.966666666666669</v>
      </c>
      <c r="N246" s="6">
        <f t="shared" si="33"/>
        <v>31.034589573431674</v>
      </c>
      <c r="O246" s="8">
        <f t="shared" si="41"/>
        <v>3262.5487946088315</v>
      </c>
      <c r="P246" s="8">
        <f t="shared" si="42"/>
        <v>3266.9905889408697</v>
      </c>
      <c r="Q246" s="8">
        <f t="shared" si="39"/>
        <v>31.034589573431674</v>
      </c>
      <c r="T246" s="8">
        <f t="shared" si="43"/>
        <v>31.034589573431674</v>
      </c>
    </row>
    <row r="247" spans="1:20" x14ac:dyDescent="0.2">
      <c r="A247">
        <v>244</v>
      </c>
      <c r="B247">
        <f t="shared" si="40"/>
        <v>244</v>
      </c>
      <c r="C247">
        <f t="shared" si="34"/>
        <v>30</v>
      </c>
      <c r="D247">
        <v>214</v>
      </c>
      <c r="E247">
        <v>244</v>
      </c>
      <c r="F247">
        <f>RnSPLINE!H$11</f>
        <v>30</v>
      </c>
      <c r="G247">
        <f>RnSPLINE!H$12</f>
        <v>31</v>
      </c>
      <c r="H247" s="10">
        <f>RnSPLINE!M$11</f>
        <v>-1.9316759834546803E-2</v>
      </c>
      <c r="I247" s="10">
        <f>RnSPLINE!M$12</f>
        <v>3.0038830353926013E-3</v>
      </c>
      <c r="J247">
        <f t="shared" si="35"/>
        <v>0</v>
      </c>
      <c r="K247">
        <f t="shared" si="36"/>
        <v>1</v>
      </c>
      <c r="L247">
        <f t="shared" si="37"/>
        <v>198</v>
      </c>
      <c r="M247" s="8">
        <f t="shared" si="38"/>
        <v>31</v>
      </c>
      <c r="N247" s="6">
        <f t="shared" ref="N247:N310" si="44">Q247</f>
        <v>31</v>
      </c>
      <c r="O247" s="8">
        <f t="shared" si="41"/>
        <v>3293.5487946088315</v>
      </c>
      <c r="P247" s="8">
        <f t="shared" si="42"/>
        <v>3297.9905889408697</v>
      </c>
      <c r="Q247" s="8">
        <f t="shared" si="39"/>
        <v>31</v>
      </c>
      <c r="T247" s="8">
        <f t="shared" si="43"/>
        <v>31</v>
      </c>
    </row>
    <row r="248" spans="1:20" x14ac:dyDescent="0.2">
      <c r="B248">
        <f t="shared" si="40"/>
        <v>245</v>
      </c>
      <c r="C248">
        <f t="shared" si="34"/>
        <v>31</v>
      </c>
      <c r="D248">
        <v>244</v>
      </c>
      <c r="E248">
        <v>275</v>
      </c>
      <c r="F248">
        <f>RnSPLINE!H$12</f>
        <v>31</v>
      </c>
      <c r="G248">
        <f>RnSPLINE!H$13</f>
        <v>31</v>
      </c>
      <c r="H248" s="10">
        <f>RnSPLINE!M$12</f>
        <v>3.0038830353926013E-3</v>
      </c>
      <c r="I248" s="10">
        <f>RnSPLINE!M$13</f>
        <v>4.2029241027441216E-4</v>
      </c>
      <c r="J248">
        <f t="shared" si="35"/>
        <v>0.967741935483871</v>
      </c>
      <c r="K248">
        <f t="shared" si="36"/>
        <v>3.2258064516129031E-2</v>
      </c>
      <c r="L248">
        <f t="shared" si="37"/>
        <v>199</v>
      </c>
      <c r="M248" s="8">
        <f t="shared" si="38"/>
        <v>31</v>
      </c>
      <c r="N248" s="6">
        <f t="shared" si="44"/>
        <v>30.968276415760045</v>
      </c>
      <c r="O248" s="8">
        <f t="shared" si="41"/>
        <v>3324.5487946088315</v>
      </c>
      <c r="P248" s="8">
        <f t="shared" si="42"/>
        <v>3328.9588653566298</v>
      </c>
      <c r="Q248" s="8">
        <f t="shared" si="39"/>
        <v>30.968276415760045</v>
      </c>
      <c r="T248" s="8">
        <f t="shared" si="43"/>
        <v>30.968276415760045</v>
      </c>
    </row>
    <row r="249" spans="1:20" x14ac:dyDescent="0.2">
      <c r="B249">
        <f t="shared" si="40"/>
        <v>246</v>
      </c>
      <c r="C249">
        <f t="shared" si="34"/>
        <v>31</v>
      </c>
      <c r="D249">
        <v>244</v>
      </c>
      <c r="E249">
        <v>275</v>
      </c>
      <c r="F249">
        <f>RnSPLINE!H$12</f>
        <v>31</v>
      </c>
      <c r="G249">
        <f>RnSPLINE!H$13</f>
        <v>31</v>
      </c>
      <c r="H249" s="10">
        <f>RnSPLINE!M$12</f>
        <v>3.0038830353926013E-3</v>
      </c>
      <c r="I249" s="10">
        <f>RnSPLINE!M$13</f>
        <v>4.2029241027441216E-4</v>
      </c>
      <c r="J249">
        <f t="shared" si="35"/>
        <v>0.93548387096774188</v>
      </c>
      <c r="K249">
        <f t="shared" si="36"/>
        <v>6.4516129032258063E-2</v>
      </c>
      <c r="L249">
        <f t="shared" si="37"/>
        <v>200</v>
      </c>
      <c r="M249" s="8">
        <f t="shared" si="38"/>
        <v>31</v>
      </c>
      <c r="N249" s="6">
        <f t="shared" si="44"/>
        <v>30.939473372922411</v>
      </c>
      <c r="O249" s="8">
        <f t="shared" si="41"/>
        <v>3355.5487946088315</v>
      </c>
      <c r="P249" s="8">
        <f t="shared" si="42"/>
        <v>3359.8983387295521</v>
      </c>
      <c r="Q249" s="8">
        <f t="shared" si="39"/>
        <v>30.939473372922411</v>
      </c>
      <c r="T249" s="8">
        <f t="shared" si="43"/>
        <v>30.939473372922411</v>
      </c>
    </row>
    <row r="250" spans="1:20" x14ac:dyDescent="0.2">
      <c r="B250">
        <f t="shared" si="40"/>
        <v>247</v>
      </c>
      <c r="C250">
        <f t="shared" si="34"/>
        <v>31</v>
      </c>
      <c r="D250">
        <v>244</v>
      </c>
      <c r="E250">
        <v>275</v>
      </c>
      <c r="F250">
        <f>RnSPLINE!H$12</f>
        <v>31</v>
      </c>
      <c r="G250">
        <f>RnSPLINE!H$13</f>
        <v>31</v>
      </c>
      <c r="H250" s="10">
        <f>RnSPLINE!M$12</f>
        <v>3.0038830353926013E-3</v>
      </c>
      <c r="I250" s="10">
        <f>RnSPLINE!M$13</f>
        <v>4.2029241027441216E-4</v>
      </c>
      <c r="J250">
        <f t="shared" si="35"/>
        <v>0.90322580645161288</v>
      </c>
      <c r="K250">
        <f t="shared" si="36"/>
        <v>9.6774193548387094E-2</v>
      </c>
      <c r="L250">
        <f t="shared" si="37"/>
        <v>201</v>
      </c>
      <c r="M250" s="8">
        <f t="shared" si="38"/>
        <v>31</v>
      </c>
      <c r="N250" s="6">
        <f t="shared" si="44"/>
        <v>30.913507529854034</v>
      </c>
      <c r="O250" s="8">
        <f t="shared" si="41"/>
        <v>3386.5487946088315</v>
      </c>
      <c r="P250" s="8">
        <f t="shared" si="42"/>
        <v>3390.8118462594061</v>
      </c>
      <c r="Q250" s="8">
        <f t="shared" si="39"/>
        <v>30.913507529854034</v>
      </c>
      <c r="T250" s="8">
        <f t="shared" si="43"/>
        <v>30.913507529854034</v>
      </c>
    </row>
    <row r="251" spans="1:20" x14ac:dyDescent="0.2">
      <c r="B251">
        <f t="shared" si="40"/>
        <v>248</v>
      </c>
      <c r="C251">
        <f t="shared" si="34"/>
        <v>31</v>
      </c>
      <c r="D251">
        <v>244</v>
      </c>
      <c r="E251">
        <v>275</v>
      </c>
      <c r="F251">
        <f>RnSPLINE!H$12</f>
        <v>31</v>
      </c>
      <c r="G251">
        <f>RnSPLINE!H$13</f>
        <v>31</v>
      </c>
      <c r="H251" s="10">
        <f>RnSPLINE!M$12</f>
        <v>3.0038830353926013E-3</v>
      </c>
      <c r="I251" s="10">
        <f>RnSPLINE!M$13</f>
        <v>4.2029241027441216E-4</v>
      </c>
      <c r="J251">
        <f t="shared" si="35"/>
        <v>0.87096774193548387</v>
      </c>
      <c r="K251">
        <f t="shared" si="36"/>
        <v>0.12903225806451613</v>
      </c>
      <c r="L251">
        <f t="shared" si="37"/>
        <v>202</v>
      </c>
      <c r="M251" s="8">
        <f t="shared" si="38"/>
        <v>31</v>
      </c>
      <c r="N251" s="6">
        <f t="shared" si="44"/>
        <v>30.890295544921848</v>
      </c>
      <c r="O251" s="8">
        <f t="shared" si="41"/>
        <v>3417.5487946088315</v>
      </c>
      <c r="P251" s="8">
        <f t="shared" si="42"/>
        <v>3421.7021418043278</v>
      </c>
      <c r="Q251" s="8">
        <f t="shared" si="39"/>
        <v>30.890295544921848</v>
      </c>
      <c r="T251" s="8">
        <f t="shared" si="43"/>
        <v>30.890295544921848</v>
      </c>
    </row>
    <row r="252" spans="1:20" x14ac:dyDescent="0.2">
      <c r="B252">
        <f t="shared" si="40"/>
        <v>249</v>
      </c>
      <c r="C252">
        <f t="shared" si="34"/>
        <v>31</v>
      </c>
      <c r="D252">
        <v>244</v>
      </c>
      <c r="E252">
        <v>275</v>
      </c>
      <c r="F252">
        <f>RnSPLINE!H$12</f>
        <v>31</v>
      </c>
      <c r="G252">
        <f>RnSPLINE!H$13</f>
        <v>31</v>
      </c>
      <c r="H252" s="10">
        <f>RnSPLINE!M$12</f>
        <v>3.0038830353926013E-3</v>
      </c>
      <c r="I252" s="10">
        <f>RnSPLINE!M$13</f>
        <v>4.2029241027441216E-4</v>
      </c>
      <c r="J252">
        <f t="shared" si="35"/>
        <v>0.83870967741935487</v>
      </c>
      <c r="K252">
        <f t="shared" si="36"/>
        <v>0.16129032258064516</v>
      </c>
      <c r="L252">
        <f t="shared" si="37"/>
        <v>203</v>
      </c>
      <c r="M252" s="8">
        <f t="shared" si="38"/>
        <v>31</v>
      </c>
      <c r="N252" s="6">
        <f t="shared" si="44"/>
        <v>30.869754076492779</v>
      </c>
      <c r="O252" s="8">
        <f t="shared" si="41"/>
        <v>3448.5487946088315</v>
      </c>
      <c r="P252" s="8">
        <f t="shared" si="42"/>
        <v>3452.5718958808206</v>
      </c>
      <c r="Q252" s="8">
        <f t="shared" si="39"/>
        <v>30.869754076492779</v>
      </c>
      <c r="T252" s="8">
        <f t="shared" si="43"/>
        <v>30.869754076492779</v>
      </c>
    </row>
    <row r="253" spans="1:20" x14ac:dyDescent="0.2">
      <c r="B253">
        <f t="shared" si="40"/>
        <v>250</v>
      </c>
      <c r="C253">
        <f t="shared" si="34"/>
        <v>31</v>
      </c>
      <c r="D253">
        <v>244</v>
      </c>
      <c r="E253">
        <v>275</v>
      </c>
      <c r="F253">
        <f>RnSPLINE!H$12</f>
        <v>31</v>
      </c>
      <c r="G253">
        <f>RnSPLINE!H$13</f>
        <v>31</v>
      </c>
      <c r="H253" s="10">
        <f>RnSPLINE!M$12</f>
        <v>3.0038830353926013E-3</v>
      </c>
      <c r="I253" s="10">
        <f>RnSPLINE!M$13</f>
        <v>4.2029241027441216E-4</v>
      </c>
      <c r="J253">
        <f t="shared" si="35"/>
        <v>0.80645161290322576</v>
      </c>
      <c r="K253">
        <f t="shared" si="36"/>
        <v>0.19354838709677419</v>
      </c>
      <c r="L253">
        <f t="shared" si="37"/>
        <v>204</v>
      </c>
      <c r="M253" s="8">
        <f t="shared" si="38"/>
        <v>31</v>
      </c>
      <c r="N253" s="6">
        <f t="shared" si="44"/>
        <v>30.85179978293376</v>
      </c>
      <c r="O253" s="8">
        <f t="shared" si="41"/>
        <v>3479.5487946088315</v>
      </c>
      <c r="P253" s="8">
        <f t="shared" si="42"/>
        <v>3483.4236956637542</v>
      </c>
      <c r="Q253" s="8">
        <f t="shared" si="39"/>
        <v>30.85179978293376</v>
      </c>
      <c r="T253" s="8">
        <f t="shared" si="43"/>
        <v>30.85179978293376</v>
      </c>
    </row>
    <row r="254" spans="1:20" x14ac:dyDescent="0.2">
      <c r="B254">
        <f t="shared" si="40"/>
        <v>251</v>
      </c>
      <c r="C254">
        <f t="shared" si="34"/>
        <v>31</v>
      </c>
      <c r="D254">
        <v>244</v>
      </c>
      <c r="E254">
        <v>275</v>
      </c>
      <c r="F254">
        <f>RnSPLINE!H$12</f>
        <v>31</v>
      </c>
      <c r="G254">
        <f>RnSPLINE!H$13</f>
        <v>31</v>
      </c>
      <c r="H254" s="10">
        <f>RnSPLINE!M$12</f>
        <v>3.0038830353926013E-3</v>
      </c>
      <c r="I254" s="10">
        <f>RnSPLINE!M$13</f>
        <v>4.2029241027441216E-4</v>
      </c>
      <c r="J254">
        <f t="shared" si="35"/>
        <v>0.77419354838709675</v>
      </c>
      <c r="K254">
        <f t="shared" si="36"/>
        <v>0.22580645161290322</v>
      </c>
      <c r="L254">
        <f t="shared" si="37"/>
        <v>205</v>
      </c>
      <c r="M254" s="8">
        <f t="shared" si="38"/>
        <v>31</v>
      </c>
      <c r="N254" s="6">
        <f t="shared" si="44"/>
        <v>30.836349322611724</v>
      </c>
      <c r="O254" s="8">
        <f t="shared" si="41"/>
        <v>3510.5487946088315</v>
      </c>
      <c r="P254" s="8">
        <f t="shared" si="42"/>
        <v>3514.2600449863658</v>
      </c>
      <c r="Q254" s="8">
        <f t="shared" si="39"/>
        <v>30.836349322611724</v>
      </c>
      <c r="T254" s="8">
        <f t="shared" si="43"/>
        <v>30.836349322611724</v>
      </c>
    </row>
    <row r="255" spans="1:20" x14ac:dyDescent="0.2">
      <c r="B255">
        <f t="shared" si="40"/>
        <v>252</v>
      </c>
      <c r="C255">
        <f t="shared" si="34"/>
        <v>31</v>
      </c>
      <c r="D255">
        <v>244</v>
      </c>
      <c r="E255">
        <v>275</v>
      </c>
      <c r="F255">
        <f>RnSPLINE!H$12</f>
        <v>31</v>
      </c>
      <c r="G255">
        <f>RnSPLINE!H$13</f>
        <v>31</v>
      </c>
      <c r="H255" s="10">
        <f>RnSPLINE!M$12</f>
        <v>3.0038830353926013E-3</v>
      </c>
      <c r="I255" s="10">
        <f>RnSPLINE!M$13</f>
        <v>4.2029241027441216E-4</v>
      </c>
      <c r="J255">
        <f t="shared" si="35"/>
        <v>0.74193548387096775</v>
      </c>
      <c r="K255">
        <f t="shared" si="36"/>
        <v>0.25806451612903225</v>
      </c>
      <c r="L255">
        <f t="shared" si="37"/>
        <v>206</v>
      </c>
      <c r="M255" s="8">
        <f t="shared" si="38"/>
        <v>31</v>
      </c>
      <c r="N255" s="6">
        <f t="shared" si="44"/>
        <v>30.823319353893602</v>
      </c>
      <c r="O255" s="8">
        <f t="shared" si="41"/>
        <v>3541.5487946088315</v>
      </c>
      <c r="P255" s="8">
        <f t="shared" si="42"/>
        <v>3545.0833643402593</v>
      </c>
      <c r="Q255" s="8">
        <f t="shared" si="39"/>
        <v>30.823319353893602</v>
      </c>
      <c r="T255" s="8">
        <f t="shared" si="43"/>
        <v>30.823319353893602</v>
      </c>
    </row>
    <row r="256" spans="1:20" x14ac:dyDescent="0.2">
      <c r="B256">
        <f t="shared" si="40"/>
        <v>253</v>
      </c>
      <c r="C256">
        <f t="shared" si="34"/>
        <v>31</v>
      </c>
      <c r="D256">
        <v>244</v>
      </c>
      <c r="E256">
        <v>275</v>
      </c>
      <c r="F256">
        <f>RnSPLINE!H$12</f>
        <v>31</v>
      </c>
      <c r="G256">
        <f>RnSPLINE!H$13</f>
        <v>31</v>
      </c>
      <c r="H256" s="10">
        <f>RnSPLINE!M$12</f>
        <v>3.0038830353926013E-3</v>
      </c>
      <c r="I256" s="10">
        <f>RnSPLINE!M$13</f>
        <v>4.2029241027441216E-4</v>
      </c>
      <c r="J256">
        <f t="shared" si="35"/>
        <v>0.70967741935483875</v>
      </c>
      <c r="K256">
        <f t="shared" si="36"/>
        <v>0.29032258064516131</v>
      </c>
      <c r="L256">
        <f t="shared" si="37"/>
        <v>207</v>
      </c>
      <c r="M256" s="8">
        <f t="shared" si="38"/>
        <v>31</v>
      </c>
      <c r="N256" s="6">
        <f t="shared" si="44"/>
        <v>30.812626535146325</v>
      </c>
      <c r="O256" s="8">
        <f t="shared" si="41"/>
        <v>3572.5487946088315</v>
      </c>
      <c r="P256" s="8">
        <f t="shared" si="42"/>
        <v>3575.8959908754055</v>
      </c>
      <c r="Q256" s="8">
        <f t="shared" si="39"/>
        <v>30.812626535146325</v>
      </c>
      <c r="T256" s="8">
        <f t="shared" si="43"/>
        <v>30.812626535146325</v>
      </c>
    </row>
    <row r="257" spans="2:20" x14ac:dyDescent="0.2">
      <c r="B257">
        <f t="shared" si="40"/>
        <v>254</v>
      </c>
      <c r="C257">
        <f t="shared" si="34"/>
        <v>31</v>
      </c>
      <c r="D257">
        <v>244</v>
      </c>
      <c r="E257">
        <v>275</v>
      </c>
      <c r="F257">
        <f>RnSPLINE!H$12</f>
        <v>31</v>
      </c>
      <c r="G257">
        <f>RnSPLINE!H$13</f>
        <v>31</v>
      </c>
      <c r="H257" s="10">
        <f>RnSPLINE!M$12</f>
        <v>3.0038830353926013E-3</v>
      </c>
      <c r="I257" s="10">
        <f>RnSPLINE!M$13</f>
        <v>4.2029241027441216E-4</v>
      </c>
      <c r="J257">
        <f t="shared" si="35"/>
        <v>0.67741935483870963</v>
      </c>
      <c r="K257">
        <f t="shared" si="36"/>
        <v>0.32258064516129031</v>
      </c>
      <c r="L257">
        <f t="shared" si="37"/>
        <v>208</v>
      </c>
      <c r="M257" s="8">
        <f t="shared" si="38"/>
        <v>31</v>
      </c>
      <c r="N257" s="6">
        <f t="shared" si="44"/>
        <v>30.804187524736829</v>
      </c>
      <c r="O257" s="8">
        <f t="shared" si="41"/>
        <v>3603.5487946088315</v>
      </c>
      <c r="P257" s="8">
        <f t="shared" si="42"/>
        <v>3606.7001784001422</v>
      </c>
      <c r="Q257" s="8">
        <f t="shared" si="39"/>
        <v>30.804187524736829</v>
      </c>
      <c r="T257" s="8">
        <f t="shared" si="43"/>
        <v>30.804187524736829</v>
      </c>
    </row>
    <row r="258" spans="2:20" x14ac:dyDescent="0.2">
      <c r="B258">
        <f t="shared" si="40"/>
        <v>255</v>
      </c>
      <c r="C258">
        <f t="shared" si="34"/>
        <v>31</v>
      </c>
      <c r="D258">
        <v>244</v>
      </c>
      <c r="E258">
        <v>275</v>
      </c>
      <c r="F258">
        <f>RnSPLINE!H$12</f>
        <v>31</v>
      </c>
      <c r="G258">
        <f>RnSPLINE!H$13</f>
        <v>31</v>
      </c>
      <c r="H258" s="10">
        <f>RnSPLINE!M$12</f>
        <v>3.0038830353926013E-3</v>
      </c>
      <c r="I258" s="10">
        <f>RnSPLINE!M$13</f>
        <v>4.2029241027441216E-4</v>
      </c>
      <c r="J258">
        <f t="shared" si="35"/>
        <v>0.64516129032258063</v>
      </c>
      <c r="K258">
        <f t="shared" si="36"/>
        <v>0.35483870967741937</v>
      </c>
      <c r="L258">
        <f t="shared" si="37"/>
        <v>209</v>
      </c>
      <c r="M258" s="8">
        <f t="shared" si="38"/>
        <v>31</v>
      </c>
      <c r="N258" s="6">
        <f t="shared" si="44"/>
        <v>30.797918981032041</v>
      </c>
      <c r="O258" s="8">
        <f t="shared" si="41"/>
        <v>3634.5487946088315</v>
      </c>
      <c r="P258" s="8">
        <f t="shared" si="42"/>
        <v>3637.4980973811744</v>
      </c>
      <c r="Q258" s="8">
        <f t="shared" si="39"/>
        <v>30.797918981032041</v>
      </c>
      <c r="T258" s="8">
        <f t="shared" si="43"/>
        <v>30.797918981032041</v>
      </c>
    </row>
    <row r="259" spans="2:20" x14ac:dyDescent="0.2">
      <c r="B259">
        <f t="shared" si="40"/>
        <v>256</v>
      </c>
      <c r="C259">
        <f t="shared" si="34"/>
        <v>31</v>
      </c>
      <c r="D259">
        <v>244</v>
      </c>
      <c r="E259">
        <v>275</v>
      </c>
      <c r="F259">
        <f>RnSPLINE!H$12</f>
        <v>31</v>
      </c>
      <c r="G259">
        <f>RnSPLINE!H$13</f>
        <v>31</v>
      </c>
      <c r="H259" s="10">
        <f>RnSPLINE!M$12</f>
        <v>3.0038830353926013E-3</v>
      </c>
      <c r="I259" s="10">
        <f>RnSPLINE!M$13</f>
        <v>4.2029241027441216E-4</v>
      </c>
      <c r="J259">
        <f t="shared" si="35"/>
        <v>0.61290322580645162</v>
      </c>
      <c r="K259">
        <f t="shared" si="36"/>
        <v>0.38709677419354838</v>
      </c>
      <c r="L259">
        <f t="shared" si="37"/>
        <v>210</v>
      </c>
      <c r="M259" s="8">
        <f t="shared" si="38"/>
        <v>31</v>
      </c>
      <c r="N259" s="6">
        <f t="shared" si="44"/>
        <v>30.793737562398892</v>
      </c>
      <c r="O259" s="8">
        <f t="shared" si="41"/>
        <v>3665.5487946088315</v>
      </c>
      <c r="P259" s="8">
        <f t="shared" si="42"/>
        <v>3668.2918349435731</v>
      </c>
      <c r="Q259" s="8">
        <f t="shared" si="39"/>
        <v>30.793737562398892</v>
      </c>
      <c r="T259" s="8">
        <f t="shared" si="43"/>
        <v>30.793737562398892</v>
      </c>
    </row>
    <row r="260" spans="2:20" x14ac:dyDescent="0.2">
      <c r="B260">
        <f t="shared" si="40"/>
        <v>257</v>
      </c>
      <c r="C260">
        <f t="shared" ref="C260:C323" si="45">E260-D260</f>
        <v>31</v>
      </c>
      <c r="D260">
        <v>244</v>
      </c>
      <c r="E260">
        <v>275</v>
      </c>
      <c r="F260">
        <f>RnSPLINE!H$12</f>
        <v>31</v>
      </c>
      <c r="G260">
        <f>RnSPLINE!H$13</f>
        <v>31</v>
      </c>
      <c r="H260" s="10">
        <f>RnSPLINE!M$12</f>
        <v>3.0038830353926013E-3</v>
      </c>
      <c r="I260" s="10">
        <f>RnSPLINE!M$13</f>
        <v>4.2029241027441216E-4</v>
      </c>
      <c r="J260">
        <f t="shared" ref="J260:J323" si="46">(E260-B260)/C260</f>
        <v>0.58064516129032262</v>
      </c>
      <c r="K260">
        <f t="shared" ref="K260:K323" si="47">(B260-D260)/C260</f>
        <v>0.41935483870967744</v>
      </c>
      <c r="L260">
        <f t="shared" ref="L260:L323" si="48">B260-46</f>
        <v>211</v>
      </c>
      <c r="M260" s="8">
        <f t="shared" ref="M260:M323" si="49">J260*F260+K260*G260</f>
        <v>31</v>
      </c>
      <c r="N260" s="6">
        <f t="shared" si="44"/>
        <v>30.791559927204318</v>
      </c>
      <c r="O260" s="8">
        <f t="shared" si="41"/>
        <v>3696.5487946088315</v>
      </c>
      <c r="P260" s="8">
        <f t="shared" si="42"/>
        <v>3699.0833948707773</v>
      </c>
      <c r="Q260" s="8">
        <f t="shared" ref="Q260:Q323" si="50">M260+(((J260^3-J260)*H260+(K260^3-K260)*I260))*(C260^2)/6</f>
        <v>30.791559927204318</v>
      </c>
      <c r="T260" s="8">
        <f t="shared" si="43"/>
        <v>30.791559927204318</v>
      </c>
    </row>
    <row r="261" spans="2:20" x14ac:dyDescent="0.2">
      <c r="B261">
        <f t="shared" ref="B261:B324" si="51">B260+1</f>
        <v>258</v>
      </c>
      <c r="C261">
        <f t="shared" si="45"/>
        <v>31</v>
      </c>
      <c r="D261">
        <v>244</v>
      </c>
      <c r="E261">
        <v>275</v>
      </c>
      <c r="F261">
        <f>RnSPLINE!H$12</f>
        <v>31</v>
      </c>
      <c r="G261">
        <f>RnSPLINE!H$13</f>
        <v>31</v>
      </c>
      <c r="H261" s="10">
        <f>RnSPLINE!M$12</f>
        <v>3.0038830353926013E-3</v>
      </c>
      <c r="I261" s="10">
        <f>RnSPLINE!M$13</f>
        <v>4.2029241027441216E-4</v>
      </c>
      <c r="J261">
        <f t="shared" si="46"/>
        <v>0.54838709677419351</v>
      </c>
      <c r="K261">
        <f t="shared" si="47"/>
        <v>0.45161290322580644</v>
      </c>
      <c r="L261">
        <f t="shared" si="48"/>
        <v>212</v>
      </c>
      <c r="M261" s="8">
        <f t="shared" si="49"/>
        <v>31</v>
      </c>
      <c r="N261" s="6">
        <f t="shared" si="44"/>
        <v>30.791302733815247</v>
      </c>
      <c r="O261" s="8">
        <f t="shared" ref="O261:O324" si="52">O260+M261</f>
        <v>3727.5487946088315</v>
      </c>
      <c r="P261" s="8">
        <f t="shared" ref="P261:P324" si="53">P260+N261</f>
        <v>3729.8746976045927</v>
      </c>
      <c r="Q261" s="8">
        <f t="shared" si="50"/>
        <v>30.791302733815247</v>
      </c>
      <c r="T261" s="8">
        <f t="shared" si="43"/>
        <v>30.791302733815247</v>
      </c>
    </row>
    <row r="262" spans="2:20" x14ac:dyDescent="0.2">
      <c r="B262">
        <f t="shared" si="51"/>
        <v>259</v>
      </c>
      <c r="C262">
        <f t="shared" si="45"/>
        <v>31</v>
      </c>
      <c r="D262">
        <v>244</v>
      </c>
      <c r="E262">
        <v>275</v>
      </c>
      <c r="F262">
        <f>RnSPLINE!H$12</f>
        <v>31</v>
      </c>
      <c r="G262">
        <f>RnSPLINE!H$13</f>
        <v>31</v>
      </c>
      <c r="H262" s="10">
        <f>RnSPLINE!M$12</f>
        <v>3.0038830353926013E-3</v>
      </c>
      <c r="I262" s="10">
        <f>RnSPLINE!M$13</f>
        <v>4.2029241027441216E-4</v>
      </c>
      <c r="J262">
        <f t="shared" si="46"/>
        <v>0.5161290322580645</v>
      </c>
      <c r="K262">
        <f t="shared" si="47"/>
        <v>0.4838709677419355</v>
      </c>
      <c r="L262">
        <f t="shared" si="48"/>
        <v>213</v>
      </c>
      <c r="M262" s="8">
        <f t="shared" si="49"/>
        <v>31</v>
      </c>
      <c r="N262" s="6">
        <f t="shared" si="44"/>
        <v>30.792882640598613</v>
      </c>
      <c r="O262" s="8">
        <f t="shared" si="52"/>
        <v>3758.5487946088315</v>
      </c>
      <c r="P262" s="8">
        <f t="shared" si="53"/>
        <v>3760.6675802451914</v>
      </c>
      <c r="Q262" s="8">
        <f t="shared" si="50"/>
        <v>30.792882640598613</v>
      </c>
      <c r="T262" s="8">
        <f t="shared" si="43"/>
        <v>30.792882640598613</v>
      </c>
    </row>
    <row r="263" spans="2:20" x14ac:dyDescent="0.2">
      <c r="B263">
        <f t="shared" si="51"/>
        <v>260</v>
      </c>
      <c r="C263">
        <f t="shared" si="45"/>
        <v>31</v>
      </c>
      <c r="D263">
        <v>244</v>
      </c>
      <c r="E263">
        <v>275</v>
      </c>
      <c r="F263">
        <f>RnSPLINE!H$12</f>
        <v>31</v>
      </c>
      <c r="G263">
        <f>RnSPLINE!H$13</f>
        <v>31</v>
      </c>
      <c r="H263" s="10">
        <f>RnSPLINE!M$12</f>
        <v>3.0038830353926013E-3</v>
      </c>
      <c r="I263" s="10">
        <f>RnSPLINE!M$13</f>
        <v>4.2029241027441216E-4</v>
      </c>
      <c r="J263">
        <f t="shared" si="46"/>
        <v>0.4838709677419355</v>
      </c>
      <c r="K263">
        <f t="shared" si="47"/>
        <v>0.5161290322580645</v>
      </c>
      <c r="L263">
        <f t="shared" si="48"/>
        <v>214</v>
      </c>
      <c r="M263" s="8">
        <f t="shared" si="49"/>
        <v>31</v>
      </c>
      <c r="N263" s="6">
        <f t="shared" si="44"/>
        <v>30.796216305921345</v>
      </c>
      <c r="O263" s="8">
        <f t="shared" si="52"/>
        <v>3789.5487946088315</v>
      </c>
      <c r="P263" s="8">
        <f t="shared" si="53"/>
        <v>3791.4637965511129</v>
      </c>
      <c r="Q263" s="8">
        <f t="shared" si="50"/>
        <v>30.796216305921345</v>
      </c>
      <c r="T263" s="8">
        <f t="shared" si="43"/>
        <v>30.796216305921345</v>
      </c>
    </row>
    <row r="264" spans="2:20" x14ac:dyDescent="0.2">
      <c r="B264">
        <f t="shared" si="51"/>
        <v>261</v>
      </c>
      <c r="C264">
        <f t="shared" si="45"/>
        <v>31</v>
      </c>
      <c r="D264">
        <v>244</v>
      </c>
      <c r="E264">
        <v>275</v>
      </c>
      <c r="F264">
        <f>RnSPLINE!H$12</f>
        <v>31</v>
      </c>
      <c r="G264">
        <f>RnSPLINE!H$13</f>
        <v>31</v>
      </c>
      <c r="H264" s="10">
        <f>RnSPLINE!M$12</f>
        <v>3.0038830353926013E-3</v>
      </c>
      <c r="I264" s="10">
        <f>RnSPLINE!M$13</f>
        <v>4.2029241027441216E-4</v>
      </c>
      <c r="J264">
        <f t="shared" si="46"/>
        <v>0.45161290322580644</v>
      </c>
      <c r="K264">
        <f t="shared" si="47"/>
        <v>0.54838709677419351</v>
      </c>
      <c r="L264">
        <f t="shared" si="48"/>
        <v>215</v>
      </c>
      <c r="M264" s="8">
        <f t="shared" si="49"/>
        <v>31</v>
      </c>
      <c r="N264" s="6">
        <f t="shared" si="44"/>
        <v>30.801220388150377</v>
      </c>
      <c r="O264" s="8">
        <f t="shared" si="52"/>
        <v>3820.5487946088315</v>
      </c>
      <c r="P264" s="8">
        <f t="shared" si="53"/>
        <v>3822.2650169392632</v>
      </c>
      <c r="Q264" s="8">
        <f t="shared" si="50"/>
        <v>30.801220388150377</v>
      </c>
      <c r="T264" s="8">
        <f t="shared" si="43"/>
        <v>30.801220388150377</v>
      </c>
    </row>
    <row r="265" spans="2:20" x14ac:dyDescent="0.2">
      <c r="B265">
        <f t="shared" si="51"/>
        <v>262</v>
      </c>
      <c r="C265">
        <f t="shared" si="45"/>
        <v>31</v>
      </c>
      <c r="D265">
        <v>244</v>
      </c>
      <c r="E265">
        <v>275</v>
      </c>
      <c r="F265">
        <f>RnSPLINE!H$12</f>
        <v>31</v>
      </c>
      <c r="G265">
        <f>RnSPLINE!H$13</f>
        <v>31</v>
      </c>
      <c r="H265" s="10">
        <f>RnSPLINE!M$12</f>
        <v>3.0038830353926013E-3</v>
      </c>
      <c r="I265" s="10">
        <f>RnSPLINE!M$13</f>
        <v>4.2029241027441216E-4</v>
      </c>
      <c r="J265">
        <f t="shared" si="46"/>
        <v>0.41935483870967744</v>
      </c>
      <c r="K265">
        <f t="shared" si="47"/>
        <v>0.58064516129032262</v>
      </c>
      <c r="L265">
        <f t="shared" si="48"/>
        <v>216</v>
      </c>
      <c r="M265" s="8">
        <f t="shared" si="49"/>
        <v>31</v>
      </c>
      <c r="N265" s="6">
        <f t="shared" si="44"/>
        <v>30.80781154565264</v>
      </c>
      <c r="O265" s="8">
        <f t="shared" si="52"/>
        <v>3851.5487946088315</v>
      </c>
      <c r="P265" s="8">
        <f t="shared" si="53"/>
        <v>3853.072828484916</v>
      </c>
      <c r="Q265" s="8">
        <f t="shared" si="50"/>
        <v>30.80781154565264</v>
      </c>
      <c r="T265" s="8">
        <f t="shared" si="43"/>
        <v>30.80781154565264</v>
      </c>
    </row>
    <row r="266" spans="2:20" x14ac:dyDescent="0.2">
      <c r="B266">
        <f t="shared" si="51"/>
        <v>263</v>
      </c>
      <c r="C266">
        <f t="shared" si="45"/>
        <v>31</v>
      </c>
      <c r="D266">
        <v>244</v>
      </c>
      <c r="E266">
        <v>275</v>
      </c>
      <c r="F266">
        <f>RnSPLINE!H$12</f>
        <v>31</v>
      </c>
      <c r="G266">
        <f>RnSPLINE!H$13</f>
        <v>31</v>
      </c>
      <c r="H266" s="10">
        <f>RnSPLINE!M$12</f>
        <v>3.0038830353926013E-3</v>
      </c>
      <c r="I266" s="10">
        <f>RnSPLINE!M$13</f>
        <v>4.2029241027441216E-4</v>
      </c>
      <c r="J266">
        <f t="shared" si="46"/>
        <v>0.38709677419354838</v>
      </c>
      <c r="K266">
        <f t="shared" si="47"/>
        <v>0.61290322580645162</v>
      </c>
      <c r="L266">
        <f t="shared" si="48"/>
        <v>217</v>
      </c>
      <c r="M266" s="8">
        <f t="shared" si="49"/>
        <v>31</v>
      </c>
      <c r="N266" s="6">
        <f t="shared" si="44"/>
        <v>30.815906436795068</v>
      </c>
      <c r="O266" s="8">
        <f t="shared" si="52"/>
        <v>3882.5487946088315</v>
      </c>
      <c r="P266" s="8">
        <f t="shared" si="53"/>
        <v>3883.8887349217111</v>
      </c>
      <c r="Q266" s="8">
        <f t="shared" si="50"/>
        <v>30.815906436795068</v>
      </c>
      <c r="T266" s="8">
        <f t="shared" si="43"/>
        <v>30.815906436795068</v>
      </c>
    </row>
    <row r="267" spans="2:20" x14ac:dyDescent="0.2">
      <c r="B267">
        <f t="shared" si="51"/>
        <v>264</v>
      </c>
      <c r="C267">
        <f t="shared" si="45"/>
        <v>31</v>
      </c>
      <c r="D267">
        <v>244</v>
      </c>
      <c r="E267">
        <v>275</v>
      </c>
      <c r="F267">
        <f>RnSPLINE!H$12</f>
        <v>31</v>
      </c>
      <c r="G267">
        <f>RnSPLINE!H$13</f>
        <v>31</v>
      </c>
      <c r="H267" s="10">
        <f>RnSPLINE!M$12</f>
        <v>3.0038830353926013E-3</v>
      </c>
      <c r="I267" s="10">
        <f>RnSPLINE!M$13</f>
        <v>4.2029241027441216E-4</v>
      </c>
      <c r="J267">
        <f t="shared" si="46"/>
        <v>0.35483870967741937</v>
      </c>
      <c r="K267">
        <f t="shared" si="47"/>
        <v>0.64516129032258063</v>
      </c>
      <c r="L267">
        <f t="shared" si="48"/>
        <v>218</v>
      </c>
      <c r="M267" s="8">
        <f t="shared" si="49"/>
        <v>31</v>
      </c>
      <c r="N267" s="6">
        <f t="shared" si="44"/>
        <v>30.82542171994459</v>
      </c>
      <c r="O267" s="8">
        <f t="shared" si="52"/>
        <v>3913.5487946088315</v>
      </c>
      <c r="P267" s="8">
        <f t="shared" si="53"/>
        <v>3914.7141566416558</v>
      </c>
      <c r="Q267" s="8">
        <f t="shared" si="50"/>
        <v>30.82542171994459</v>
      </c>
      <c r="T267" s="8">
        <f t="shared" si="43"/>
        <v>30.82542171994459</v>
      </c>
    </row>
    <row r="268" spans="2:20" x14ac:dyDescent="0.2">
      <c r="B268">
        <f t="shared" si="51"/>
        <v>265</v>
      </c>
      <c r="C268">
        <f t="shared" si="45"/>
        <v>31</v>
      </c>
      <c r="D268">
        <v>244</v>
      </c>
      <c r="E268">
        <v>275</v>
      </c>
      <c r="F268">
        <f>RnSPLINE!H$12</f>
        <v>31</v>
      </c>
      <c r="G268">
        <f>RnSPLINE!H$13</f>
        <v>31</v>
      </c>
      <c r="H268" s="10">
        <f>RnSPLINE!M$12</f>
        <v>3.0038830353926013E-3</v>
      </c>
      <c r="I268" s="10">
        <f>RnSPLINE!M$13</f>
        <v>4.2029241027441216E-4</v>
      </c>
      <c r="J268">
        <f t="shared" si="46"/>
        <v>0.32258064516129031</v>
      </c>
      <c r="K268">
        <f t="shared" si="47"/>
        <v>0.67741935483870963</v>
      </c>
      <c r="L268">
        <f t="shared" si="48"/>
        <v>219</v>
      </c>
      <c r="M268" s="8">
        <f t="shared" si="49"/>
        <v>31</v>
      </c>
      <c r="N268" s="6">
        <f t="shared" si="44"/>
        <v>30.836274053468134</v>
      </c>
      <c r="O268" s="8">
        <f t="shared" si="52"/>
        <v>3944.5487946088315</v>
      </c>
      <c r="P268" s="8">
        <f t="shared" si="53"/>
        <v>3945.5504306951239</v>
      </c>
      <c r="Q268" s="8">
        <f t="shared" si="50"/>
        <v>30.836274053468134</v>
      </c>
      <c r="T268" s="8">
        <f t="shared" si="43"/>
        <v>30.836274053468134</v>
      </c>
    </row>
    <row r="269" spans="2:20" x14ac:dyDescent="0.2">
      <c r="B269">
        <f t="shared" si="51"/>
        <v>266</v>
      </c>
      <c r="C269">
        <f t="shared" si="45"/>
        <v>31</v>
      </c>
      <c r="D269">
        <v>244</v>
      </c>
      <c r="E269">
        <v>275</v>
      </c>
      <c r="F269">
        <f>RnSPLINE!H$12</f>
        <v>31</v>
      </c>
      <c r="G269">
        <f>RnSPLINE!H$13</f>
        <v>31</v>
      </c>
      <c r="H269" s="10">
        <f>RnSPLINE!M$12</f>
        <v>3.0038830353926013E-3</v>
      </c>
      <c r="I269" s="10">
        <f>RnSPLINE!M$13</f>
        <v>4.2029241027441216E-4</v>
      </c>
      <c r="J269">
        <f t="shared" si="46"/>
        <v>0.29032258064516131</v>
      </c>
      <c r="K269">
        <f t="shared" si="47"/>
        <v>0.70967741935483875</v>
      </c>
      <c r="L269">
        <f t="shared" si="48"/>
        <v>220</v>
      </c>
      <c r="M269" s="8">
        <f t="shared" si="49"/>
        <v>31</v>
      </c>
      <c r="N269" s="6">
        <f t="shared" si="44"/>
        <v>30.84838009573264</v>
      </c>
      <c r="O269" s="8">
        <f t="shared" si="52"/>
        <v>3975.5487946088315</v>
      </c>
      <c r="P269" s="8">
        <f t="shared" si="53"/>
        <v>3976.3988107908567</v>
      </c>
      <c r="Q269" s="8">
        <f t="shared" si="50"/>
        <v>30.84838009573264</v>
      </c>
      <c r="T269" s="8">
        <f t="shared" si="43"/>
        <v>30.84838009573264</v>
      </c>
    </row>
    <row r="270" spans="2:20" x14ac:dyDescent="0.2">
      <c r="B270">
        <f t="shared" si="51"/>
        <v>267</v>
      </c>
      <c r="C270">
        <f t="shared" si="45"/>
        <v>31</v>
      </c>
      <c r="D270">
        <v>244</v>
      </c>
      <c r="E270">
        <v>275</v>
      </c>
      <c r="F270">
        <f>RnSPLINE!H$12</f>
        <v>31</v>
      </c>
      <c r="G270">
        <f>RnSPLINE!H$13</f>
        <v>31</v>
      </c>
      <c r="H270" s="10">
        <f>RnSPLINE!M$12</f>
        <v>3.0038830353926013E-3</v>
      </c>
      <c r="I270" s="10">
        <f>RnSPLINE!M$13</f>
        <v>4.2029241027441216E-4</v>
      </c>
      <c r="J270">
        <f t="shared" si="46"/>
        <v>0.25806451612903225</v>
      </c>
      <c r="K270">
        <f t="shared" si="47"/>
        <v>0.74193548387096775</v>
      </c>
      <c r="L270">
        <f t="shared" si="48"/>
        <v>221</v>
      </c>
      <c r="M270" s="8">
        <f t="shared" si="49"/>
        <v>31</v>
      </c>
      <c r="N270" s="6">
        <f t="shared" si="44"/>
        <v>30.861656505105032</v>
      </c>
      <c r="O270" s="8">
        <f t="shared" si="52"/>
        <v>4006.5487946088315</v>
      </c>
      <c r="P270" s="8">
        <f t="shared" si="53"/>
        <v>4007.2604672959619</v>
      </c>
      <c r="Q270" s="8">
        <f t="shared" si="50"/>
        <v>30.861656505105032</v>
      </c>
      <c r="T270" s="8">
        <f t="shared" si="43"/>
        <v>30.861656505105032</v>
      </c>
    </row>
    <row r="271" spans="2:20" x14ac:dyDescent="0.2">
      <c r="B271">
        <f t="shared" si="51"/>
        <v>268</v>
      </c>
      <c r="C271">
        <f t="shared" si="45"/>
        <v>31</v>
      </c>
      <c r="D271">
        <v>244</v>
      </c>
      <c r="E271">
        <v>275</v>
      </c>
      <c r="F271">
        <f>RnSPLINE!H$12</f>
        <v>31</v>
      </c>
      <c r="G271">
        <f>RnSPLINE!H$13</f>
        <v>31</v>
      </c>
      <c r="H271" s="10">
        <f>RnSPLINE!M$12</f>
        <v>3.0038830353926013E-3</v>
      </c>
      <c r="I271" s="10">
        <f>RnSPLINE!M$13</f>
        <v>4.2029241027441216E-4</v>
      </c>
      <c r="J271">
        <f t="shared" si="46"/>
        <v>0.22580645161290322</v>
      </c>
      <c r="K271">
        <f t="shared" si="47"/>
        <v>0.77419354838709675</v>
      </c>
      <c r="L271">
        <f t="shared" si="48"/>
        <v>222</v>
      </c>
      <c r="M271" s="8">
        <f t="shared" si="49"/>
        <v>31</v>
      </c>
      <c r="N271" s="6">
        <f t="shared" si="44"/>
        <v>30.876019939952247</v>
      </c>
      <c r="O271" s="8">
        <f t="shared" si="52"/>
        <v>4037.5487946088315</v>
      </c>
      <c r="P271" s="8">
        <f t="shared" si="53"/>
        <v>4038.136487235914</v>
      </c>
      <c r="Q271" s="8">
        <f t="shared" si="50"/>
        <v>30.876019939952247</v>
      </c>
      <c r="T271" s="8">
        <f t="shared" si="43"/>
        <v>30.876019939952247</v>
      </c>
    </row>
    <row r="272" spans="2:20" x14ac:dyDescent="0.2">
      <c r="B272">
        <f t="shared" si="51"/>
        <v>269</v>
      </c>
      <c r="C272">
        <f t="shared" si="45"/>
        <v>31</v>
      </c>
      <c r="D272">
        <v>244</v>
      </c>
      <c r="E272">
        <v>275</v>
      </c>
      <c r="F272">
        <f>RnSPLINE!H$12</f>
        <v>31</v>
      </c>
      <c r="G272">
        <f>RnSPLINE!H$13</f>
        <v>31</v>
      </c>
      <c r="H272" s="10">
        <f>RnSPLINE!M$12</f>
        <v>3.0038830353926013E-3</v>
      </c>
      <c r="I272" s="10">
        <f>RnSPLINE!M$13</f>
        <v>4.2029241027441216E-4</v>
      </c>
      <c r="J272">
        <f t="shared" si="46"/>
        <v>0.19354838709677419</v>
      </c>
      <c r="K272">
        <f t="shared" si="47"/>
        <v>0.80645161290322576</v>
      </c>
      <c r="L272">
        <f t="shared" si="48"/>
        <v>223</v>
      </c>
      <c r="M272" s="8">
        <f t="shared" si="49"/>
        <v>31</v>
      </c>
      <c r="N272" s="6">
        <f t="shared" si="44"/>
        <v>30.891387058641214</v>
      </c>
      <c r="O272" s="8">
        <f t="shared" si="52"/>
        <v>4068.5487946088315</v>
      </c>
      <c r="P272" s="8">
        <f t="shared" si="53"/>
        <v>4069.0278742945552</v>
      </c>
      <c r="Q272" s="8">
        <f t="shared" si="50"/>
        <v>30.891387058641214</v>
      </c>
      <c r="T272" s="8">
        <f t="shared" si="43"/>
        <v>30.891387058641214</v>
      </c>
    </row>
    <row r="273" spans="1:20" x14ac:dyDescent="0.2">
      <c r="B273">
        <f t="shared" si="51"/>
        <v>270</v>
      </c>
      <c r="C273">
        <f t="shared" si="45"/>
        <v>31</v>
      </c>
      <c r="D273">
        <v>244</v>
      </c>
      <c r="E273">
        <v>275</v>
      </c>
      <c r="F273">
        <f>RnSPLINE!H$12</f>
        <v>31</v>
      </c>
      <c r="G273">
        <f>RnSPLINE!H$13</f>
        <v>31</v>
      </c>
      <c r="H273" s="10">
        <f>RnSPLINE!M$12</f>
        <v>3.0038830353926013E-3</v>
      </c>
      <c r="I273" s="10">
        <f>RnSPLINE!M$13</f>
        <v>4.2029241027441216E-4</v>
      </c>
      <c r="J273">
        <f t="shared" si="46"/>
        <v>0.16129032258064516</v>
      </c>
      <c r="K273">
        <f t="shared" si="47"/>
        <v>0.83870967741935487</v>
      </c>
      <c r="L273">
        <f t="shared" si="48"/>
        <v>224</v>
      </c>
      <c r="M273" s="8">
        <f t="shared" si="49"/>
        <v>31</v>
      </c>
      <c r="N273" s="6">
        <f t="shared" si="44"/>
        <v>30.907674519538865</v>
      </c>
      <c r="O273" s="8">
        <f t="shared" si="52"/>
        <v>4099.5487946088315</v>
      </c>
      <c r="P273" s="8">
        <f t="shared" si="53"/>
        <v>4099.9355488140936</v>
      </c>
      <c r="Q273" s="8">
        <f t="shared" si="50"/>
        <v>30.907674519538865</v>
      </c>
      <c r="T273" s="8">
        <f t="shared" si="43"/>
        <v>30.907674519538865</v>
      </c>
    </row>
    <row r="274" spans="1:20" x14ac:dyDescent="0.2">
      <c r="B274">
        <f t="shared" si="51"/>
        <v>271</v>
      </c>
      <c r="C274">
        <f t="shared" si="45"/>
        <v>31</v>
      </c>
      <c r="D274">
        <v>244</v>
      </c>
      <c r="E274">
        <v>275</v>
      </c>
      <c r="F274">
        <f>RnSPLINE!H$12</f>
        <v>31</v>
      </c>
      <c r="G274">
        <f>RnSPLINE!H$13</f>
        <v>31</v>
      </c>
      <c r="H274" s="10">
        <f>RnSPLINE!M$12</f>
        <v>3.0038830353926013E-3</v>
      </c>
      <c r="I274" s="10">
        <f>RnSPLINE!M$13</f>
        <v>4.2029241027441216E-4</v>
      </c>
      <c r="J274">
        <f t="shared" si="46"/>
        <v>0.12903225806451613</v>
      </c>
      <c r="K274">
        <f t="shared" si="47"/>
        <v>0.87096774193548387</v>
      </c>
      <c r="L274">
        <f t="shared" si="48"/>
        <v>225</v>
      </c>
      <c r="M274" s="8">
        <f t="shared" si="49"/>
        <v>31</v>
      </c>
      <c r="N274" s="6">
        <f t="shared" si="44"/>
        <v>30.924798981012135</v>
      </c>
      <c r="O274" s="8">
        <f t="shared" si="52"/>
        <v>4130.5487946088315</v>
      </c>
      <c r="P274" s="8">
        <f t="shared" si="53"/>
        <v>4130.8603477951056</v>
      </c>
      <c r="Q274" s="8">
        <f t="shared" si="50"/>
        <v>30.924798981012135</v>
      </c>
      <c r="T274" s="8">
        <f t="shared" si="43"/>
        <v>30.924798981012135</v>
      </c>
    </row>
    <row r="275" spans="1:20" x14ac:dyDescent="0.2">
      <c r="B275">
        <f t="shared" si="51"/>
        <v>272</v>
      </c>
      <c r="C275">
        <f t="shared" si="45"/>
        <v>31</v>
      </c>
      <c r="D275">
        <v>244</v>
      </c>
      <c r="E275">
        <v>275</v>
      </c>
      <c r="F275">
        <f>RnSPLINE!H$12</f>
        <v>31</v>
      </c>
      <c r="G275">
        <f>RnSPLINE!H$13</f>
        <v>31</v>
      </c>
      <c r="H275" s="10">
        <f>RnSPLINE!M$12</f>
        <v>3.0038830353926013E-3</v>
      </c>
      <c r="I275" s="10">
        <f>RnSPLINE!M$13</f>
        <v>4.2029241027441216E-4</v>
      </c>
      <c r="J275">
        <f t="shared" si="46"/>
        <v>9.6774193548387094E-2</v>
      </c>
      <c r="K275">
        <f t="shared" si="47"/>
        <v>0.90322580645161288</v>
      </c>
      <c r="L275">
        <f t="shared" si="48"/>
        <v>226</v>
      </c>
      <c r="M275" s="8">
        <f t="shared" si="49"/>
        <v>31</v>
      </c>
      <c r="N275" s="6">
        <f t="shared" si="44"/>
        <v>30.94267710142795</v>
      </c>
      <c r="O275" s="8">
        <f t="shared" si="52"/>
        <v>4161.5487946088315</v>
      </c>
      <c r="P275" s="8">
        <f t="shared" si="53"/>
        <v>4161.8030248965333</v>
      </c>
      <c r="Q275" s="8">
        <f t="shared" si="50"/>
        <v>30.94267710142795</v>
      </c>
      <c r="T275" s="8">
        <f t="shared" si="43"/>
        <v>30.94267710142795</v>
      </c>
    </row>
    <row r="276" spans="1:20" x14ac:dyDescent="0.2">
      <c r="B276">
        <f t="shared" si="51"/>
        <v>273</v>
      </c>
      <c r="C276">
        <f t="shared" si="45"/>
        <v>31</v>
      </c>
      <c r="D276">
        <v>244</v>
      </c>
      <c r="E276">
        <v>275</v>
      </c>
      <c r="F276">
        <f>RnSPLINE!H$12</f>
        <v>31</v>
      </c>
      <c r="G276">
        <f>RnSPLINE!H$13</f>
        <v>31</v>
      </c>
      <c r="H276" s="10">
        <f>RnSPLINE!M$12</f>
        <v>3.0038830353926013E-3</v>
      </c>
      <c r="I276" s="10">
        <f>RnSPLINE!M$13</f>
        <v>4.2029241027441216E-4</v>
      </c>
      <c r="J276">
        <f t="shared" si="46"/>
        <v>6.4516129032258063E-2</v>
      </c>
      <c r="K276">
        <f t="shared" si="47"/>
        <v>0.93548387096774188</v>
      </c>
      <c r="L276">
        <f t="shared" si="48"/>
        <v>227</v>
      </c>
      <c r="M276" s="8">
        <f t="shared" si="49"/>
        <v>31</v>
      </c>
      <c r="N276" s="6">
        <f t="shared" si="44"/>
        <v>30.961225539153244</v>
      </c>
      <c r="O276" s="8">
        <f t="shared" si="52"/>
        <v>4192.5487946088315</v>
      </c>
      <c r="P276" s="8">
        <f t="shared" si="53"/>
        <v>4192.7642504356863</v>
      </c>
      <c r="Q276" s="8">
        <f t="shared" si="50"/>
        <v>30.961225539153244</v>
      </c>
      <c r="T276" s="8">
        <f t="shared" si="43"/>
        <v>30.961225539153244</v>
      </c>
    </row>
    <row r="277" spans="1:20" x14ac:dyDescent="0.2">
      <c r="B277">
        <f t="shared" si="51"/>
        <v>274</v>
      </c>
      <c r="C277">
        <f t="shared" si="45"/>
        <v>31</v>
      </c>
      <c r="D277">
        <v>244</v>
      </c>
      <c r="E277">
        <v>275</v>
      </c>
      <c r="F277">
        <f>RnSPLINE!H$12</f>
        <v>31</v>
      </c>
      <c r="G277">
        <f>RnSPLINE!H$13</f>
        <v>31</v>
      </c>
      <c r="H277" s="10">
        <f>RnSPLINE!M$12</f>
        <v>3.0038830353926013E-3</v>
      </c>
      <c r="I277" s="10">
        <f>RnSPLINE!M$13</f>
        <v>4.2029241027441216E-4</v>
      </c>
      <c r="J277">
        <f t="shared" si="46"/>
        <v>3.2258064516129031E-2</v>
      </c>
      <c r="K277">
        <f t="shared" si="47"/>
        <v>0.967741935483871</v>
      </c>
      <c r="L277">
        <f t="shared" si="48"/>
        <v>228</v>
      </c>
      <c r="M277" s="8">
        <f t="shared" si="49"/>
        <v>31</v>
      </c>
      <c r="N277" s="6">
        <f t="shared" si="44"/>
        <v>30.98036095255495</v>
      </c>
      <c r="O277" s="8">
        <f t="shared" si="52"/>
        <v>4223.5487946088315</v>
      </c>
      <c r="P277" s="8">
        <f t="shared" si="53"/>
        <v>4223.7446113882415</v>
      </c>
      <c r="Q277" s="8">
        <f t="shared" si="50"/>
        <v>30.98036095255495</v>
      </c>
      <c r="T277" s="8">
        <f t="shared" si="43"/>
        <v>30.98036095255495</v>
      </c>
    </row>
    <row r="278" spans="1:20" x14ac:dyDescent="0.2">
      <c r="A278">
        <v>275</v>
      </c>
      <c r="B278">
        <f t="shared" si="51"/>
        <v>275</v>
      </c>
      <c r="C278">
        <f t="shared" si="45"/>
        <v>31</v>
      </c>
      <c r="D278">
        <v>244</v>
      </c>
      <c r="E278">
        <v>275</v>
      </c>
      <c r="F278">
        <f>RnSPLINE!H$12</f>
        <v>31</v>
      </c>
      <c r="G278">
        <f>RnSPLINE!H$13</f>
        <v>31</v>
      </c>
      <c r="H278" s="10">
        <f>RnSPLINE!M$12</f>
        <v>3.0038830353926013E-3</v>
      </c>
      <c r="I278" s="10">
        <f>RnSPLINE!M$13</f>
        <v>4.2029241027441216E-4</v>
      </c>
      <c r="J278">
        <f t="shared" si="46"/>
        <v>0</v>
      </c>
      <c r="K278">
        <f t="shared" si="47"/>
        <v>1</v>
      </c>
      <c r="L278">
        <f t="shared" si="48"/>
        <v>229</v>
      </c>
      <c r="M278" s="8">
        <f t="shared" si="49"/>
        <v>31</v>
      </c>
      <c r="N278" s="6">
        <f t="shared" si="44"/>
        <v>31</v>
      </c>
      <c r="O278" s="8">
        <f t="shared" si="52"/>
        <v>4254.5487946088315</v>
      </c>
      <c r="P278" s="8">
        <f t="shared" si="53"/>
        <v>4254.7446113882415</v>
      </c>
      <c r="Q278" s="8">
        <f t="shared" si="50"/>
        <v>31</v>
      </c>
      <c r="T278" s="8">
        <f t="shared" si="43"/>
        <v>31</v>
      </c>
    </row>
    <row r="279" spans="1:20" x14ac:dyDescent="0.2">
      <c r="B279">
        <f t="shared" si="51"/>
        <v>276</v>
      </c>
      <c r="C279">
        <f t="shared" si="45"/>
        <v>30</v>
      </c>
      <c r="D279">
        <v>275</v>
      </c>
      <c r="E279">
        <v>305</v>
      </c>
      <c r="F279">
        <f>RnSPLINE!H$13</f>
        <v>31</v>
      </c>
      <c r="G279">
        <f>RnSPLINE!H$14</f>
        <v>30</v>
      </c>
      <c r="H279" s="10">
        <f>RnSPLINE!M$13</f>
        <v>4.2029241027441216E-4</v>
      </c>
      <c r="I279" s="10">
        <f>RnSPLINE!M$14</f>
        <v>-1.1479868271688296E-2</v>
      </c>
      <c r="J279">
        <f t="shared" si="46"/>
        <v>0.96666666666666667</v>
      </c>
      <c r="K279">
        <f t="shared" si="47"/>
        <v>3.3333333333333333E-2</v>
      </c>
      <c r="L279">
        <f t="shared" si="48"/>
        <v>230</v>
      </c>
      <c r="M279" s="8">
        <f t="shared" si="49"/>
        <v>30.966666666666669</v>
      </c>
      <c r="N279" s="6">
        <f t="shared" si="44"/>
        <v>31.020007118123715</v>
      </c>
      <c r="O279" s="8">
        <f t="shared" si="52"/>
        <v>4285.5154612754977</v>
      </c>
      <c r="P279" s="8">
        <f t="shared" si="53"/>
        <v>4285.764618506365</v>
      </c>
      <c r="Q279" s="8">
        <f t="shared" si="50"/>
        <v>31.020007118123715</v>
      </c>
      <c r="T279" s="8">
        <f t="shared" si="43"/>
        <v>31.020007118123715</v>
      </c>
    </row>
    <row r="280" spans="1:20" x14ac:dyDescent="0.2">
      <c r="B280">
        <f t="shared" si="51"/>
        <v>277</v>
      </c>
      <c r="C280">
        <f t="shared" si="45"/>
        <v>30</v>
      </c>
      <c r="D280">
        <v>275</v>
      </c>
      <c r="E280">
        <v>305</v>
      </c>
      <c r="F280">
        <f>RnSPLINE!H$13</f>
        <v>31</v>
      </c>
      <c r="G280">
        <f>RnSPLINE!H$14</f>
        <v>30</v>
      </c>
      <c r="H280" s="10">
        <f>RnSPLINE!M$13</f>
        <v>4.2029241027441216E-4</v>
      </c>
      <c r="I280" s="10">
        <f>RnSPLINE!M$14</f>
        <v>-1.1479868271688296E-2</v>
      </c>
      <c r="J280">
        <f t="shared" si="46"/>
        <v>0.93333333333333335</v>
      </c>
      <c r="K280">
        <f t="shared" si="47"/>
        <v>6.6666666666666666E-2</v>
      </c>
      <c r="L280">
        <f t="shared" si="48"/>
        <v>231</v>
      </c>
      <c r="M280" s="8">
        <f t="shared" si="49"/>
        <v>30.933333333333334</v>
      </c>
      <c r="N280" s="6">
        <f t="shared" si="44"/>
        <v>31.040037856634967</v>
      </c>
      <c r="O280" s="8">
        <f t="shared" si="52"/>
        <v>4316.4487946088311</v>
      </c>
      <c r="P280" s="8">
        <f t="shared" si="53"/>
        <v>4316.8046563629996</v>
      </c>
      <c r="Q280" s="8">
        <f t="shared" si="50"/>
        <v>31.040037856634967</v>
      </c>
      <c r="T280" s="8">
        <f t="shared" si="43"/>
        <v>31.040037856634967</v>
      </c>
    </row>
    <row r="281" spans="1:20" x14ac:dyDescent="0.2">
      <c r="B281">
        <f t="shared" si="51"/>
        <v>278</v>
      </c>
      <c r="C281">
        <f t="shared" si="45"/>
        <v>30</v>
      </c>
      <c r="D281">
        <v>275</v>
      </c>
      <c r="E281">
        <v>305</v>
      </c>
      <c r="F281">
        <f>RnSPLINE!H$13</f>
        <v>31</v>
      </c>
      <c r="G281">
        <f>RnSPLINE!H$14</f>
        <v>30</v>
      </c>
      <c r="H281" s="10">
        <f>RnSPLINE!M$13</f>
        <v>4.2029241027441216E-4</v>
      </c>
      <c r="I281" s="10">
        <f>RnSPLINE!M$14</f>
        <v>-1.1479868271688296E-2</v>
      </c>
      <c r="J281">
        <f t="shared" si="46"/>
        <v>0.9</v>
      </c>
      <c r="K281">
        <f t="shared" si="47"/>
        <v>0.1</v>
      </c>
      <c r="L281">
        <f t="shared" si="48"/>
        <v>232</v>
      </c>
      <c r="M281" s="8">
        <f t="shared" si="49"/>
        <v>30.900000000000002</v>
      </c>
      <c r="N281" s="6">
        <f t="shared" si="44"/>
        <v>31.059695543511033</v>
      </c>
      <c r="O281" s="8">
        <f t="shared" si="52"/>
        <v>4347.3487946088308</v>
      </c>
      <c r="P281" s="8">
        <f t="shared" si="53"/>
        <v>4347.8643519065108</v>
      </c>
      <c r="Q281" s="8">
        <f t="shared" si="50"/>
        <v>31.059695543511033</v>
      </c>
      <c r="T281" s="8">
        <f t="shared" si="43"/>
        <v>31.059695543511033</v>
      </c>
    </row>
    <row r="282" spans="1:20" x14ac:dyDescent="0.2">
      <c r="B282">
        <f t="shared" si="51"/>
        <v>279</v>
      </c>
      <c r="C282">
        <f t="shared" si="45"/>
        <v>30</v>
      </c>
      <c r="D282">
        <v>275</v>
      </c>
      <c r="E282">
        <v>305</v>
      </c>
      <c r="F282">
        <f>RnSPLINE!H$13</f>
        <v>31</v>
      </c>
      <c r="G282">
        <f>RnSPLINE!H$14</f>
        <v>30</v>
      </c>
      <c r="H282" s="10">
        <f>RnSPLINE!M$13</f>
        <v>4.2029241027441216E-4</v>
      </c>
      <c r="I282" s="10">
        <f>RnSPLINE!M$14</f>
        <v>-1.1479868271688296E-2</v>
      </c>
      <c r="J282">
        <f t="shared" si="46"/>
        <v>0.8666666666666667</v>
      </c>
      <c r="K282">
        <f t="shared" si="47"/>
        <v>0.13333333333333333</v>
      </c>
      <c r="L282">
        <f t="shared" si="48"/>
        <v>233</v>
      </c>
      <c r="M282" s="8">
        <f t="shared" si="49"/>
        <v>30.866666666666667</v>
      </c>
      <c r="N282" s="6">
        <f t="shared" si="44"/>
        <v>31.078583506729178</v>
      </c>
      <c r="O282" s="8">
        <f t="shared" si="52"/>
        <v>4378.2154612754975</v>
      </c>
      <c r="P282" s="8">
        <f t="shared" si="53"/>
        <v>4378.9429354132399</v>
      </c>
      <c r="Q282" s="8">
        <f t="shared" si="50"/>
        <v>31.078583506729178</v>
      </c>
      <c r="T282" s="8">
        <f t="shared" si="43"/>
        <v>31.078583506729178</v>
      </c>
    </row>
    <row r="283" spans="1:20" x14ac:dyDescent="0.2">
      <c r="B283">
        <f t="shared" si="51"/>
        <v>280</v>
      </c>
      <c r="C283">
        <f t="shared" si="45"/>
        <v>30</v>
      </c>
      <c r="D283">
        <v>275</v>
      </c>
      <c r="E283">
        <v>305</v>
      </c>
      <c r="F283">
        <f>RnSPLINE!H$13</f>
        <v>31</v>
      </c>
      <c r="G283">
        <f>RnSPLINE!H$14</f>
        <v>30</v>
      </c>
      <c r="H283" s="10">
        <f>RnSPLINE!M$13</f>
        <v>4.2029241027441216E-4</v>
      </c>
      <c r="I283" s="10">
        <f>RnSPLINE!M$14</f>
        <v>-1.1479868271688296E-2</v>
      </c>
      <c r="J283">
        <f t="shared" si="46"/>
        <v>0.83333333333333337</v>
      </c>
      <c r="K283">
        <f t="shared" si="47"/>
        <v>0.16666666666666666</v>
      </c>
      <c r="L283">
        <f t="shared" si="48"/>
        <v>234</v>
      </c>
      <c r="M283" s="8">
        <f t="shared" si="49"/>
        <v>30.833333333333336</v>
      </c>
      <c r="N283" s="6">
        <f t="shared" si="44"/>
        <v>31.096305074266667</v>
      </c>
      <c r="O283" s="8">
        <f t="shared" si="52"/>
        <v>4409.0487946088306</v>
      </c>
      <c r="P283" s="8">
        <f t="shared" si="53"/>
        <v>4410.0392404875065</v>
      </c>
      <c r="Q283" s="8">
        <f t="shared" si="50"/>
        <v>31.096305074266667</v>
      </c>
      <c r="T283" s="8">
        <f t="shared" si="43"/>
        <v>31.096305074266667</v>
      </c>
    </row>
    <row r="284" spans="1:20" x14ac:dyDescent="0.2">
      <c r="B284">
        <f t="shared" si="51"/>
        <v>281</v>
      </c>
      <c r="C284">
        <f t="shared" si="45"/>
        <v>30</v>
      </c>
      <c r="D284">
        <v>275</v>
      </c>
      <c r="E284">
        <v>305</v>
      </c>
      <c r="F284">
        <f>RnSPLINE!H$13</f>
        <v>31</v>
      </c>
      <c r="G284">
        <f>RnSPLINE!H$14</f>
        <v>30</v>
      </c>
      <c r="H284" s="10">
        <f>RnSPLINE!M$13</f>
        <v>4.2029241027441216E-4</v>
      </c>
      <c r="I284" s="10">
        <f>RnSPLINE!M$14</f>
        <v>-1.1479868271688296E-2</v>
      </c>
      <c r="J284">
        <f t="shared" si="46"/>
        <v>0.8</v>
      </c>
      <c r="K284">
        <f t="shared" si="47"/>
        <v>0.2</v>
      </c>
      <c r="L284">
        <f t="shared" si="48"/>
        <v>235</v>
      </c>
      <c r="M284" s="8">
        <f t="shared" si="49"/>
        <v>30.8</v>
      </c>
      <c r="N284" s="6">
        <f t="shared" si="44"/>
        <v>31.112463574100769</v>
      </c>
      <c r="O284" s="8">
        <f t="shared" si="52"/>
        <v>4439.8487946088308</v>
      </c>
      <c r="P284" s="8">
        <f t="shared" si="53"/>
        <v>4441.1517040616072</v>
      </c>
      <c r="Q284" s="8">
        <f t="shared" si="50"/>
        <v>31.112463574100769</v>
      </c>
      <c r="T284" s="8">
        <f t="shared" si="43"/>
        <v>31.112463574100769</v>
      </c>
    </row>
    <row r="285" spans="1:20" x14ac:dyDescent="0.2">
      <c r="B285">
        <f t="shared" si="51"/>
        <v>282</v>
      </c>
      <c r="C285">
        <f t="shared" si="45"/>
        <v>30</v>
      </c>
      <c r="D285">
        <v>275</v>
      </c>
      <c r="E285">
        <v>305</v>
      </c>
      <c r="F285">
        <f>RnSPLINE!H$13</f>
        <v>31</v>
      </c>
      <c r="G285">
        <f>RnSPLINE!H$14</f>
        <v>30</v>
      </c>
      <c r="H285" s="10">
        <f>RnSPLINE!M$13</f>
        <v>4.2029241027441216E-4</v>
      </c>
      <c r="I285" s="10">
        <f>RnSPLINE!M$14</f>
        <v>-1.1479868271688296E-2</v>
      </c>
      <c r="J285">
        <f t="shared" si="46"/>
        <v>0.76666666666666672</v>
      </c>
      <c r="K285">
        <f t="shared" si="47"/>
        <v>0.23333333333333334</v>
      </c>
      <c r="L285">
        <f t="shared" si="48"/>
        <v>236</v>
      </c>
      <c r="M285" s="8">
        <f t="shared" si="49"/>
        <v>30.766666666666669</v>
      </c>
      <c r="N285" s="6">
        <f t="shared" si="44"/>
        <v>31.126662334208756</v>
      </c>
      <c r="O285" s="8">
        <f t="shared" si="52"/>
        <v>4470.6154612754972</v>
      </c>
      <c r="P285" s="8">
        <f t="shared" si="53"/>
        <v>4472.2783663958162</v>
      </c>
      <c r="Q285" s="8">
        <f t="shared" si="50"/>
        <v>31.126662334208756</v>
      </c>
      <c r="T285" s="8">
        <f t="shared" si="43"/>
        <v>31.126662334208756</v>
      </c>
    </row>
    <row r="286" spans="1:20" x14ac:dyDescent="0.2">
      <c r="B286">
        <f t="shared" si="51"/>
        <v>283</v>
      </c>
      <c r="C286">
        <f t="shared" si="45"/>
        <v>30</v>
      </c>
      <c r="D286">
        <v>275</v>
      </c>
      <c r="E286">
        <v>305</v>
      </c>
      <c r="F286">
        <f>RnSPLINE!H$13</f>
        <v>31</v>
      </c>
      <c r="G286">
        <f>RnSPLINE!H$14</f>
        <v>30</v>
      </c>
      <c r="H286" s="10">
        <f>RnSPLINE!M$13</f>
        <v>4.2029241027441216E-4</v>
      </c>
      <c r="I286" s="10">
        <f>RnSPLINE!M$14</f>
        <v>-1.1479868271688296E-2</v>
      </c>
      <c r="J286">
        <f t="shared" si="46"/>
        <v>0.73333333333333328</v>
      </c>
      <c r="K286">
        <f t="shared" si="47"/>
        <v>0.26666666666666666</v>
      </c>
      <c r="L286">
        <f t="shared" si="48"/>
        <v>237</v>
      </c>
      <c r="M286" s="8">
        <f t="shared" si="49"/>
        <v>30.733333333333331</v>
      </c>
      <c r="N286" s="6">
        <f t="shared" si="44"/>
        <v>31.138504682567884</v>
      </c>
      <c r="O286" s="8">
        <f t="shared" si="52"/>
        <v>4501.3487946088308</v>
      </c>
      <c r="P286" s="8">
        <f t="shared" si="53"/>
        <v>4503.4168710783842</v>
      </c>
      <c r="Q286" s="8">
        <f t="shared" si="50"/>
        <v>31.138504682567884</v>
      </c>
      <c r="T286" s="8">
        <f t="shared" si="43"/>
        <v>31.138504682567884</v>
      </c>
    </row>
    <row r="287" spans="1:20" x14ac:dyDescent="0.2">
      <c r="B287">
        <f t="shared" si="51"/>
        <v>284</v>
      </c>
      <c r="C287">
        <f t="shared" si="45"/>
        <v>30</v>
      </c>
      <c r="D287">
        <v>275</v>
      </c>
      <c r="E287">
        <v>305</v>
      </c>
      <c r="F287">
        <f>RnSPLINE!H$13</f>
        <v>31</v>
      </c>
      <c r="G287">
        <f>RnSPLINE!H$14</f>
        <v>30</v>
      </c>
      <c r="H287" s="10">
        <f>RnSPLINE!M$13</f>
        <v>4.2029241027441216E-4</v>
      </c>
      <c r="I287" s="10">
        <f>RnSPLINE!M$14</f>
        <v>-1.1479868271688296E-2</v>
      </c>
      <c r="J287">
        <f t="shared" si="46"/>
        <v>0.7</v>
      </c>
      <c r="K287">
        <f t="shared" si="47"/>
        <v>0.3</v>
      </c>
      <c r="L287">
        <f t="shared" si="48"/>
        <v>238</v>
      </c>
      <c r="M287" s="8">
        <f t="shared" si="49"/>
        <v>30.7</v>
      </c>
      <c r="N287" s="6">
        <f t="shared" si="44"/>
        <v>31.147593947155439</v>
      </c>
      <c r="O287" s="8">
        <f t="shared" si="52"/>
        <v>4532.0487946088306</v>
      </c>
      <c r="P287" s="8">
        <f t="shared" si="53"/>
        <v>4534.5644650255399</v>
      </c>
      <c r="Q287" s="8">
        <f t="shared" si="50"/>
        <v>31.147593947155439</v>
      </c>
      <c r="T287" s="8">
        <f t="shared" si="43"/>
        <v>31.147593947155439</v>
      </c>
    </row>
    <row r="288" spans="1:20" x14ac:dyDescent="0.2">
      <c r="B288">
        <f t="shared" si="51"/>
        <v>285</v>
      </c>
      <c r="C288">
        <f t="shared" si="45"/>
        <v>30</v>
      </c>
      <c r="D288">
        <v>275</v>
      </c>
      <c r="E288">
        <v>305</v>
      </c>
      <c r="F288">
        <f>RnSPLINE!H$13</f>
        <v>31</v>
      </c>
      <c r="G288">
        <f>RnSPLINE!H$14</f>
        <v>30</v>
      </c>
      <c r="H288" s="10">
        <f>RnSPLINE!M$13</f>
        <v>4.2029241027441216E-4</v>
      </c>
      <c r="I288" s="10">
        <f>RnSPLINE!M$14</f>
        <v>-1.1479868271688296E-2</v>
      </c>
      <c r="J288">
        <f t="shared" si="46"/>
        <v>0.66666666666666663</v>
      </c>
      <c r="K288">
        <f t="shared" si="47"/>
        <v>0.33333333333333331</v>
      </c>
      <c r="L288">
        <f t="shared" si="48"/>
        <v>239</v>
      </c>
      <c r="M288" s="8">
        <f t="shared" si="49"/>
        <v>30.666666666666664</v>
      </c>
      <c r="N288" s="6">
        <f t="shared" si="44"/>
        <v>31.153533455948676</v>
      </c>
      <c r="O288" s="8">
        <f t="shared" si="52"/>
        <v>4562.7154612754975</v>
      </c>
      <c r="P288" s="8">
        <f t="shared" si="53"/>
        <v>4565.7179984814884</v>
      </c>
      <c r="Q288" s="8">
        <f t="shared" si="50"/>
        <v>31.153533455948676</v>
      </c>
      <c r="T288" s="8">
        <f t="shared" si="43"/>
        <v>31.153533455948676</v>
      </c>
    </row>
    <row r="289" spans="2:20" x14ac:dyDescent="0.2">
      <c r="B289">
        <f t="shared" si="51"/>
        <v>286</v>
      </c>
      <c r="C289">
        <f t="shared" si="45"/>
        <v>30</v>
      </c>
      <c r="D289">
        <v>275</v>
      </c>
      <c r="E289">
        <v>305</v>
      </c>
      <c r="F289">
        <f>RnSPLINE!H$13</f>
        <v>31</v>
      </c>
      <c r="G289">
        <f>RnSPLINE!H$14</f>
        <v>30</v>
      </c>
      <c r="H289" s="10">
        <f>RnSPLINE!M$13</f>
        <v>4.2029241027441216E-4</v>
      </c>
      <c r="I289" s="10">
        <f>RnSPLINE!M$14</f>
        <v>-1.1479868271688296E-2</v>
      </c>
      <c r="J289">
        <f t="shared" si="46"/>
        <v>0.6333333333333333</v>
      </c>
      <c r="K289">
        <f t="shared" si="47"/>
        <v>0.36666666666666664</v>
      </c>
      <c r="L289">
        <f t="shared" si="48"/>
        <v>240</v>
      </c>
      <c r="M289" s="8">
        <f t="shared" si="49"/>
        <v>30.633333333333333</v>
      </c>
      <c r="N289" s="6">
        <f t="shared" si="44"/>
        <v>31.15592653692487</v>
      </c>
      <c r="O289" s="8">
        <f t="shared" si="52"/>
        <v>4593.3487946088308</v>
      </c>
      <c r="P289" s="8">
        <f t="shared" si="53"/>
        <v>4596.8739250184135</v>
      </c>
      <c r="Q289" s="8">
        <f t="shared" si="50"/>
        <v>31.15592653692487</v>
      </c>
      <c r="T289" s="8">
        <f t="shared" si="43"/>
        <v>31.15592653692487</v>
      </c>
    </row>
    <row r="290" spans="2:20" x14ac:dyDescent="0.2">
      <c r="B290">
        <f t="shared" si="51"/>
        <v>287</v>
      </c>
      <c r="C290">
        <f t="shared" si="45"/>
        <v>30</v>
      </c>
      <c r="D290">
        <v>275</v>
      </c>
      <c r="E290">
        <v>305</v>
      </c>
      <c r="F290">
        <f>RnSPLINE!H$13</f>
        <v>31</v>
      </c>
      <c r="G290">
        <f>RnSPLINE!H$14</f>
        <v>30</v>
      </c>
      <c r="H290" s="10">
        <f>RnSPLINE!M$13</f>
        <v>4.2029241027441216E-4</v>
      </c>
      <c r="I290" s="10">
        <f>RnSPLINE!M$14</f>
        <v>-1.1479868271688296E-2</v>
      </c>
      <c r="J290">
        <f t="shared" si="46"/>
        <v>0.6</v>
      </c>
      <c r="K290">
        <f t="shared" si="47"/>
        <v>0.4</v>
      </c>
      <c r="L290">
        <f t="shared" si="48"/>
        <v>241</v>
      </c>
      <c r="M290" s="8">
        <f t="shared" si="49"/>
        <v>30.599999999999998</v>
      </c>
      <c r="N290" s="6">
        <f t="shared" si="44"/>
        <v>31.15437651806128</v>
      </c>
      <c r="O290" s="8">
        <f t="shared" si="52"/>
        <v>4623.9487946088311</v>
      </c>
      <c r="P290" s="8">
        <f t="shared" si="53"/>
        <v>4628.0283015364748</v>
      </c>
      <c r="Q290" s="8">
        <f t="shared" si="50"/>
        <v>31.15437651806128</v>
      </c>
      <c r="T290" s="8">
        <f t="shared" si="43"/>
        <v>31.15437651806128</v>
      </c>
    </row>
    <row r="291" spans="2:20" x14ac:dyDescent="0.2">
      <c r="B291">
        <f t="shared" si="51"/>
        <v>288</v>
      </c>
      <c r="C291">
        <f t="shared" si="45"/>
        <v>30</v>
      </c>
      <c r="D291">
        <v>275</v>
      </c>
      <c r="E291">
        <v>305</v>
      </c>
      <c r="F291">
        <f>RnSPLINE!H$13</f>
        <v>31</v>
      </c>
      <c r="G291">
        <f>RnSPLINE!H$14</f>
        <v>30</v>
      </c>
      <c r="H291" s="10">
        <f>RnSPLINE!M$13</f>
        <v>4.2029241027441216E-4</v>
      </c>
      <c r="I291" s="10">
        <f>RnSPLINE!M$14</f>
        <v>-1.1479868271688296E-2</v>
      </c>
      <c r="J291">
        <f t="shared" si="46"/>
        <v>0.56666666666666665</v>
      </c>
      <c r="K291">
        <f t="shared" si="47"/>
        <v>0.43333333333333335</v>
      </c>
      <c r="L291">
        <f t="shared" si="48"/>
        <v>242</v>
      </c>
      <c r="M291" s="8">
        <f t="shared" si="49"/>
        <v>30.566666666666666</v>
      </c>
      <c r="N291" s="6">
        <f t="shared" si="44"/>
        <v>31.148486727335186</v>
      </c>
      <c r="O291" s="8">
        <f t="shared" si="52"/>
        <v>4654.5154612754977</v>
      </c>
      <c r="P291" s="8">
        <f t="shared" si="53"/>
        <v>4659.1767882638096</v>
      </c>
      <c r="Q291" s="8">
        <f t="shared" si="50"/>
        <v>31.148486727335186</v>
      </c>
      <c r="T291" s="8">
        <f t="shared" si="43"/>
        <v>31.148486727335186</v>
      </c>
    </row>
    <row r="292" spans="2:20" x14ac:dyDescent="0.2">
      <c r="B292">
        <f t="shared" si="51"/>
        <v>289</v>
      </c>
      <c r="C292">
        <f t="shared" si="45"/>
        <v>30</v>
      </c>
      <c r="D292">
        <v>275</v>
      </c>
      <c r="E292">
        <v>305</v>
      </c>
      <c r="F292">
        <f>RnSPLINE!H$13</f>
        <v>31</v>
      </c>
      <c r="G292">
        <f>RnSPLINE!H$14</f>
        <v>30</v>
      </c>
      <c r="H292" s="10">
        <f>RnSPLINE!M$13</f>
        <v>4.2029241027441216E-4</v>
      </c>
      <c r="I292" s="10">
        <f>RnSPLINE!M$14</f>
        <v>-1.1479868271688296E-2</v>
      </c>
      <c r="J292">
        <f t="shared" si="46"/>
        <v>0.53333333333333333</v>
      </c>
      <c r="K292">
        <f t="shared" si="47"/>
        <v>0.46666666666666667</v>
      </c>
      <c r="L292">
        <f t="shared" si="48"/>
        <v>243</v>
      </c>
      <c r="M292" s="8">
        <f t="shared" si="49"/>
        <v>30.533333333333331</v>
      </c>
      <c r="N292" s="6">
        <f t="shared" si="44"/>
        <v>31.137860492723846</v>
      </c>
      <c r="O292" s="8">
        <f t="shared" si="52"/>
        <v>4685.0487946088315</v>
      </c>
      <c r="P292" s="8">
        <f t="shared" si="53"/>
        <v>4690.3146487565336</v>
      </c>
      <c r="Q292" s="8">
        <f t="shared" si="50"/>
        <v>31.137860492723846</v>
      </c>
      <c r="T292" s="8">
        <f t="shared" si="43"/>
        <v>31.137860492723846</v>
      </c>
    </row>
    <row r="293" spans="2:20" x14ac:dyDescent="0.2">
      <c r="B293">
        <f t="shared" si="51"/>
        <v>290</v>
      </c>
      <c r="C293">
        <f t="shared" si="45"/>
        <v>30</v>
      </c>
      <c r="D293">
        <v>275</v>
      </c>
      <c r="E293">
        <v>305</v>
      </c>
      <c r="F293">
        <f>RnSPLINE!H$13</f>
        <v>31</v>
      </c>
      <c r="G293">
        <f>RnSPLINE!H$14</f>
        <v>30</v>
      </c>
      <c r="H293" s="10">
        <f>RnSPLINE!M$13</f>
        <v>4.2029241027441216E-4</v>
      </c>
      <c r="I293" s="10">
        <f>RnSPLINE!M$14</f>
        <v>-1.1479868271688296E-2</v>
      </c>
      <c r="J293">
        <f t="shared" si="46"/>
        <v>0.5</v>
      </c>
      <c r="K293">
        <f t="shared" si="47"/>
        <v>0.5</v>
      </c>
      <c r="L293">
        <f t="shared" si="48"/>
        <v>244</v>
      </c>
      <c r="M293" s="8">
        <f t="shared" si="49"/>
        <v>30.5</v>
      </c>
      <c r="N293" s="6">
        <f t="shared" si="44"/>
        <v>31.122101142204531</v>
      </c>
      <c r="O293" s="8">
        <f t="shared" si="52"/>
        <v>4715.5487946088315</v>
      </c>
      <c r="P293" s="8">
        <f t="shared" si="53"/>
        <v>4721.4367498987385</v>
      </c>
      <c r="Q293" s="8">
        <f t="shared" si="50"/>
        <v>31.122101142204531</v>
      </c>
      <c r="T293" s="8">
        <f t="shared" si="43"/>
        <v>31.122101142204531</v>
      </c>
    </row>
    <row r="294" spans="2:20" x14ac:dyDescent="0.2">
      <c r="B294">
        <f t="shared" si="51"/>
        <v>291</v>
      </c>
      <c r="C294">
        <f t="shared" si="45"/>
        <v>30</v>
      </c>
      <c r="D294">
        <v>275</v>
      </c>
      <c r="E294">
        <v>305</v>
      </c>
      <c r="F294">
        <f>RnSPLINE!H$13</f>
        <v>31</v>
      </c>
      <c r="G294">
        <f>RnSPLINE!H$14</f>
        <v>30</v>
      </c>
      <c r="H294" s="10">
        <f>RnSPLINE!M$13</f>
        <v>4.2029241027441216E-4</v>
      </c>
      <c r="I294" s="10">
        <f>RnSPLINE!M$14</f>
        <v>-1.1479868271688296E-2</v>
      </c>
      <c r="J294">
        <f t="shared" si="46"/>
        <v>0.46666666666666667</v>
      </c>
      <c r="K294">
        <f t="shared" si="47"/>
        <v>0.53333333333333333</v>
      </c>
      <c r="L294">
        <f t="shared" si="48"/>
        <v>245</v>
      </c>
      <c r="M294" s="8">
        <f t="shared" si="49"/>
        <v>30.466666666666669</v>
      </c>
      <c r="N294" s="6">
        <f t="shared" si="44"/>
        <v>31.100812003754509</v>
      </c>
      <c r="O294" s="8">
        <f t="shared" si="52"/>
        <v>4746.0154612754977</v>
      </c>
      <c r="P294" s="8">
        <f t="shared" si="53"/>
        <v>4752.5375619024926</v>
      </c>
      <c r="Q294" s="8">
        <f t="shared" si="50"/>
        <v>31.100812003754509</v>
      </c>
      <c r="T294" s="8">
        <f t="shared" si="43"/>
        <v>31.100812003754509</v>
      </c>
    </row>
    <row r="295" spans="2:20" x14ac:dyDescent="0.2">
      <c r="B295">
        <f t="shared" si="51"/>
        <v>292</v>
      </c>
      <c r="C295">
        <f t="shared" si="45"/>
        <v>30</v>
      </c>
      <c r="D295">
        <v>275</v>
      </c>
      <c r="E295">
        <v>305</v>
      </c>
      <c r="F295">
        <f>RnSPLINE!H$13</f>
        <v>31</v>
      </c>
      <c r="G295">
        <f>RnSPLINE!H$14</f>
        <v>30</v>
      </c>
      <c r="H295" s="10">
        <f>RnSPLINE!M$13</f>
        <v>4.2029241027441216E-4</v>
      </c>
      <c r="I295" s="10">
        <f>RnSPLINE!M$14</f>
        <v>-1.1479868271688296E-2</v>
      </c>
      <c r="J295">
        <f t="shared" si="46"/>
        <v>0.43333333333333335</v>
      </c>
      <c r="K295">
        <f t="shared" si="47"/>
        <v>0.56666666666666665</v>
      </c>
      <c r="L295">
        <f t="shared" si="48"/>
        <v>246</v>
      </c>
      <c r="M295" s="8">
        <f t="shared" si="49"/>
        <v>30.433333333333334</v>
      </c>
      <c r="N295" s="6">
        <f t="shared" si="44"/>
        <v>31.073596405351047</v>
      </c>
      <c r="O295" s="8">
        <f t="shared" si="52"/>
        <v>4776.4487946088311</v>
      </c>
      <c r="P295" s="8">
        <f t="shared" si="53"/>
        <v>4783.6111583078437</v>
      </c>
      <c r="Q295" s="8">
        <f t="shared" si="50"/>
        <v>31.073596405351047</v>
      </c>
      <c r="T295" s="8">
        <f t="shared" si="43"/>
        <v>31.073596405351047</v>
      </c>
    </row>
    <row r="296" spans="2:20" x14ac:dyDescent="0.2">
      <c r="B296">
        <f t="shared" si="51"/>
        <v>293</v>
      </c>
      <c r="C296">
        <f t="shared" si="45"/>
        <v>30</v>
      </c>
      <c r="D296">
        <v>275</v>
      </c>
      <c r="E296">
        <v>305</v>
      </c>
      <c r="F296">
        <f>RnSPLINE!H$13</f>
        <v>31</v>
      </c>
      <c r="G296">
        <f>RnSPLINE!H$14</f>
        <v>30</v>
      </c>
      <c r="H296" s="10">
        <f>RnSPLINE!M$13</f>
        <v>4.2029241027441216E-4</v>
      </c>
      <c r="I296" s="10">
        <f>RnSPLINE!M$14</f>
        <v>-1.1479868271688296E-2</v>
      </c>
      <c r="J296">
        <f t="shared" si="46"/>
        <v>0.4</v>
      </c>
      <c r="K296">
        <f t="shared" si="47"/>
        <v>0.6</v>
      </c>
      <c r="L296">
        <f t="shared" si="48"/>
        <v>247</v>
      </c>
      <c r="M296" s="8">
        <f t="shared" si="49"/>
        <v>30.4</v>
      </c>
      <c r="N296" s="6">
        <f t="shared" si="44"/>
        <v>31.040057674971415</v>
      </c>
      <c r="O296" s="8">
        <f t="shared" si="52"/>
        <v>4806.8487946088308</v>
      </c>
      <c r="P296" s="8">
        <f t="shared" si="53"/>
        <v>4814.6512159828153</v>
      </c>
      <c r="Q296" s="8">
        <f t="shared" si="50"/>
        <v>31.040057674971415</v>
      </c>
      <c r="T296" s="8">
        <f t="shared" si="43"/>
        <v>31.040057674971415</v>
      </c>
    </row>
    <row r="297" spans="2:20" x14ac:dyDescent="0.2">
      <c r="B297">
        <f t="shared" si="51"/>
        <v>294</v>
      </c>
      <c r="C297">
        <f t="shared" si="45"/>
        <v>30</v>
      </c>
      <c r="D297">
        <v>275</v>
      </c>
      <c r="E297">
        <v>305</v>
      </c>
      <c r="F297">
        <f>RnSPLINE!H$13</f>
        <v>31</v>
      </c>
      <c r="G297">
        <f>RnSPLINE!H$14</f>
        <v>30</v>
      </c>
      <c r="H297" s="10">
        <f>RnSPLINE!M$13</f>
        <v>4.2029241027441216E-4</v>
      </c>
      <c r="I297" s="10">
        <f>RnSPLINE!M$14</f>
        <v>-1.1479868271688296E-2</v>
      </c>
      <c r="J297">
        <f t="shared" si="46"/>
        <v>0.36666666666666664</v>
      </c>
      <c r="K297">
        <f t="shared" si="47"/>
        <v>0.6333333333333333</v>
      </c>
      <c r="L297">
        <f t="shared" si="48"/>
        <v>248</v>
      </c>
      <c r="M297" s="8">
        <f t="shared" si="49"/>
        <v>30.366666666666667</v>
      </c>
      <c r="N297" s="6">
        <f t="shared" si="44"/>
        <v>30.999799140592881</v>
      </c>
      <c r="O297" s="8">
        <f t="shared" si="52"/>
        <v>4837.2154612754975</v>
      </c>
      <c r="P297" s="8">
        <f t="shared" si="53"/>
        <v>4845.6510151234079</v>
      </c>
      <c r="Q297" s="8">
        <f t="shared" si="50"/>
        <v>30.999799140592881</v>
      </c>
      <c r="T297" s="8">
        <f t="shared" si="43"/>
        <v>30.999799140592881</v>
      </c>
    </row>
    <row r="298" spans="2:20" x14ac:dyDescent="0.2">
      <c r="B298">
        <f t="shared" si="51"/>
        <v>295</v>
      </c>
      <c r="C298">
        <f t="shared" si="45"/>
        <v>30</v>
      </c>
      <c r="D298">
        <v>275</v>
      </c>
      <c r="E298">
        <v>305</v>
      </c>
      <c r="F298">
        <f>RnSPLINE!H$13</f>
        <v>31</v>
      </c>
      <c r="G298">
        <f>RnSPLINE!H$14</f>
        <v>30</v>
      </c>
      <c r="H298" s="10">
        <f>RnSPLINE!M$13</f>
        <v>4.2029241027441216E-4</v>
      </c>
      <c r="I298" s="10">
        <f>RnSPLINE!M$14</f>
        <v>-1.1479868271688296E-2</v>
      </c>
      <c r="J298">
        <f t="shared" si="46"/>
        <v>0.33333333333333331</v>
      </c>
      <c r="K298">
        <f t="shared" si="47"/>
        <v>0.66666666666666663</v>
      </c>
      <c r="L298">
        <f t="shared" si="48"/>
        <v>249</v>
      </c>
      <c r="M298" s="8">
        <f t="shared" si="49"/>
        <v>30.333333333333332</v>
      </c>
      <c r="N298" s="6">
        <f t="shared" si="44"/>
        <v>30.952424130192707</v>
      </c>
      <c r="O298" s="8">
        <f t="shared" si="52"/>
        <v>4867.5487946088306</v>
      </c>
      <c r="P298" s="8">
        <f t="shared" si="53"/>
        <v>4876.6034392536003</v>
      </c>
      <c r="Q298" s="8">
        <f t="shared" si="50"/>
        <v>30.952424130192707</v>
      </c>
      <c r="T298" s="8">
        <f t="shared" si="43"/>
        <v>30.952424130192707</v>
      </c>
    </row>
    <row r="299" spans="2:20" x14ac:dyDescent="0.2">
      <c r="B299">
        <f t="shared" si="51"/>
        <v>296</v>
      </c>
      <c r="C299">
        <f t="shared" si="45"/>
        <v>30</v>
      </c>
      <c r="D299">
        <v>275</v>
      </c>
      <c r="E299">
        <v>305</v>
      </c>
      <c r="F299">
        <f>RnSPLINE!H$13</f>
        <v>31</v>
      </c>
      <c r="G299">
        <f>RnSPLINE!H$14</f>
        <v>30</v>
      </c>
      <c r="H299" s="10">
        <f>RnSPLINE!M$13</f>
        <v>4.2029241027441216E-4</v>
      </c>
      <c r="I299" s="10">
        <f>RnSPLINE!M$14</f>
        <v>-1.1479868271688296E-2</v>
      </c>
      <c r="J299">
        <f t="shared" si="46"/>
        <v>0.3</v>
      </c>
      <c r="K299">
        <f t="shared" si="47"/>
        <v>0.7</v>
      </c>
      <c r="L299">
        <f t="shared" si="48"/>
        <v>250</v>
      </c>
      <c r="M299" s="8">
        <f t="shared" si="49"/>
        <v>30.299999999999997</v>
      </c>
      <c r="N299" s="6">
        <f t="shared" si="44"/>
        <v>30.897535971748169</v>
      </c>
      <c r="O299" s="8">
        <f t="shared" si="52"/>
        <v>4897.8487946088308</v>
      </c>
      <c r="P299" s="8">
        <f t="shared" si="53"/>
        <v>4907.5009752253482</v>
      </c>
      <c r="Q299" s="8">
        <f t="shared" si="50"/>
        <v>30.897535971748169</v>
      </c>
      <c r="T299" s="8">
        <f t="shared" si="43"/>
        <v>30.897535971748169</v>
      </c>
    </row>
    <row r="300" spans="2:20" x14ac:dyDescent="0.2">
      <c r="B300">
        <f t="shared" si="51"/>
        <v>297</v>
      </c>
      <c r="C300">
        <f t="shared" si="45"/>
        <v>30</v>
      </c>
      <c r="D300">
        <v>275</v>
      </c>
      <c r="E300">
        <v>305</v>
      </c>
      <c r="F300">
        <f>RnSPLINE!H$13</f>
        <v>31</v>
      </c>
      <c r="G300">
        <f>RnSPLINE!H$14</f>
        <v>30</v>
      </c>
      <c r="H300" s="10">
        <f>RnSPLINE!M$13</f>
        <v>4.2029241027441216E-4</v>
      </c>
      <c r="I300" s="10">
        <f>RnSPLINE!M$14</f>
        <v>-1.1479868271688296E-2</v>
      </c>
      <c r="J300">
        <f t="shared" si="46"/>
        <v>0.26666666666666666</v>
      </c>
      <c r="K300">
        <f t="shared" si="47"/>
        <v>0.73333333333333328</v>
      </c>
      <c r="L300">
        <f t="shared" si="48"/>
        <v>251</v>
      </c>
      <c r="M300" s="8">
        <f t="shared" si="49"/>
        <v>30.266666666666666</v>
      </c>
      <c r="N300" s="6">
        <f t="shared" si="44"/>
        <v>30.834737993236534</v>
      </c>
      <c r="O300" s="8">
        <f t="shared" si="52"/>
        <v>4928.1154612754972</v>
      </c>
      <c r="P300" s="8">
        <f t="shared" si="53"/>
        <v>4938.3357132185847</v>
      </c>
      <c r="Q300" s="8">
        <f t="shared" si="50"/>
        <v>30.834737993236534</v>
      </c>
      <c r="T300" s="8">
        <f t="shared" si="43"/>
        <v>30.834737993236534</v>
      </c>
    </row>
    <row r="301" spans="2:20" x14ac:dyDescent="0.2">
      <c r="B301">
        <f t="shared" si="51"/>
        <v>298</v>
      </c>
      <c r="C301">
        <f t="shared" si="45"/>
        <v>30</v>
      </c>
      <c r="D301">
        <v>275</v>
      </c>
      <c r="E301">
        <v>305</v>
      </c>
      <c r="F301">
        <f>RnSPLINE!H$13</f>
        <v>31</v>
      </c>
      <c r="G301">
        <f>RnSPLINE!H$14</f>
        <v>30</v>
      </c>
      <c r="H301" s="10">
        <f>RnSPLINE!M$13</f>
        <v>4.2029241027441216E-4</v>
      </c>
      <c r="I301" s="10">
        <f>RnSPLINE!M$14</f>
        <v>-1.1479868271688296E-2</v>
      </c>
      <c r="J301">
        <f t="shared" si="46"/>
        <v>0.23333333333333334</v>
      </c>
      <c r="K301">
        <f t="shared" si="47"/>
        <v>0.76666666666666672</v>
      </c>
      <c r="L301">
        <f t="shared" si="48"/>
        <v>252</v>
      </c>
      <c r="M301" s="8">
        <f t="shared" si="49"/>
        <v>30.233333333333334</v>
      </c>
      <c r="N301" s="6">
        <f t="shared" si="44"/>
        <v>30.763633522635065</v>
      </c>
      <c r="O301" s="8">
        <f t="shared" si="52"/>
        <v>4958.3487946088308</v>
      </c>
      <c r="P301" s="8">
        <f t="shared" si="53"/>
        <v>4969.09934674122</v>
      </c>
      <c r="Q301" s="8">
        <f t="shared" si="50"/>
        <v>30.763633522635065</v>
      </c>
      <c r="T301" s="8">
        <f t="shared" si="43"/>
        <v>30.763633522635065</v>
      </c>
    </row>
    <row r="302" spans="2:20" x14ac:dyDescent="0.2">
      <c r="B302">
        <f t="shared" si="51"/>
        <v>299</v>
      </c>
      <c r="C302">
        <f t="shared" si="45"/>
        <v>30</v>
      </c>
      <c r="D302">
        <v>275</v>
      </c>
      <c r="E302">
        <v>305</v>
      </c>
      <c r="F302">
        <f>RnSPLINE!H$13</f>
        <v>31</v>
      </c>
      <c r="G302">
        <f>RnSPLINE!H$14</f>
        <v>30</v>
      </c>
      <c r="H302" s="10">
        <f>RnSPLINE!M$13</f>
        <v>4.2029241027441216E-4</v>
      </c>
      <c r="I302" s="10">
        <f>RnSPLINE!M$14</f>
        <v>-1.1479868271688296E-2</v>
      </c>
      <c r="J302">
        <f t="shared" si="46"/>
        <v>0.2</v>
      </c>
      <c r="K302">
        <f t="shared" si="47"/>
        <v>0.8</v>
      </c>
      <c r="L302">
        <f t="shared" si="48"/>
        <v>253</v>
      </c>
      <c r="M302" s="8">
        <f t="shared" si="49"/>
        <v>30.2</v>
      </c>
      <c r="N302" s="6">
        <f t="shared" si="44"/>
        <v>30.683825887921031</v>
      </c>
      <c r="O302" s="8">
        <f t="shared" si="52"/>
        <v>4988.5487946088306</v>
      </c>
      <c r="P302" s="8">
        <f t="shared" si="53"/>
        <v>4999.7831726291406</v>
      </c>
      <c r="Q302" s="8">
        <f t="shared" si="50"/>
        <v>30.683825887921031</v>
      </c>
      <c r="T302" s="8">
        <f t="shared" si="43"/>
        <v>30.683825887921031</v>
      </c>
    </row>
    <row r="303" spans="2:20" x14ac:dyDescent="0.2">
      <c r="B303">
        <f t="shared" si="51"/>
        <v>300</v>
      </c>
      <c r="C303">
        <f t="shared" si="45"/>
        <v>30</v>
      </c>
      <c r="D303">
        <v>275</v>
      </c>
      <c r="E303">
        <v>305</v>
      </c>
      <c r="F303">
        <f>RnSPLINE!H$13</f>
        <v>31</v>
      </c>
      <c r="G303">
        <f>RnSPLINE!H$14</f>
        <v>30</v>
      </c>
      <c r="H303" s="10">
        <f>RnSPLINE!M$13</f>
        <v>4.2029241027441216E-4</v>
      </c>
      <c r="I303" s="10">
        <f>RnSPLINE!M$14</f>
        <v>-1.1479868271688296E-2</v>
      </c>
      <c r="J303">
        <f t="shared" si="46"/>
        <v>0.16666666666666666</v>
      </c>
      <c r="K303">
        <f t="shared" si="47"/>
        <v>0.83333333333333337</v>
      </c>
      <c r="L303">
        <f t="shared" si="48"/>
        <v>254</v>
      </c>
      <c r="M303" s="8">
        <f t="shared" si="49"/>
        <v>30.166666666666664</v>
      </c>
      <c r="N303" s="6">
        <f t="shared" si="44"/>
        <v>30.5949184170717</v>
      </c>
      <c r="O303" s="8">
        <f t="shared" si="52"/>
        <v>5018.7154612754975</v>
      </c>
      <c r="P303" s="8">
        <f t="shared" si="53"/>
        <v>5030.3780910462119</v>
      </c>
      <c r="Q303" s="8">
        <f t="shared" si="50"/>
        <v>30.5949184170717</v>
      </c>
      <c r="T303" s="8">
        <f t="shared" si="43"/>
        <v>30.5949184170717</v>
      </c>
    </row>
    <row r="304" spans="2:20" x14ac:dyDescent="0.2">
      <c r="B304">
        <f t="shared" si="51"/>
        <v>301</v>
      </c>
      <c r="C304">
        <f t="shared" si="45"/>
        <v>30</v>
      </c>
      <c r="D304">
        <v>275</v>
      </c>
      <c r="E304">
        <v>305</v>
      </c>
      <c r="F304">
        <f>RnSPLINE!H$13</f>
        <v>31</v>
      </c>
      <c r="G304">
        <f>RnSPLINE!H$14</f>
        <v>30</v>
      </c>
      <c r="H304" s="10">
        <f>RnSPLINE!M$13</f>
        <v>4.2029241027441216E-4</v>
      </c>
      <c r="I304" s="10">
        <f>RnSPLINE!M$14</f>
        <v>-1.1479868271688296E-2</v>
      </c>
      <c r="J304">
        <f t="shared" si="46"/>
        <v>0.13333333333333333</v>
      </c>
      <c r="K304">
        <f t="shared" si="47"/>
        <v>0.8666666666666667</v>
      </c>
      <c r="L304">
        <f t="shared" si="48"/>
        <v>255</v>
      </c>
      <c r="M304" s="8">
        <f t="shared" si="49"/>
        <v>30.133333333333333</v>
      </c>
      <c r="N304" s="6">
        <f t="shared" si="44"/>
        <v>30.496514438064345</v>
      </c>
      <c r="O304" s="8">
        <f t="shared" si="52"/>
        <v>5048.8487946088308</v>
      </c>
      <c r="P304" s="8">
        <f t="shared" si="53"/>
        <v>5060.8746054842759</v>
      </c>
      <c r="Q304" s="8">
        <f t="shared" si="50"/>
        <v>30.496514438064345</v>
      </c>
      <c r="T304" s="8">
        <f t="shared" si="43"/>
        <v>30.496514438064345</v>
      </c>
    </row>
    <row r="305" spans="1:20" x14ac:dyDescent="0.2">
      <c r="B305">
        <f t="shared" si="51"/>
        <v>302</v>
      </c>
      <c r="C305">
        <f t="shared" si="45"/>
        <v>30</v>
      </c>
      <c r="D305">
        <v>275</v>
      </c>
      <c r="E305">
        <v>305</v>
      </c>
      <c r="F305">
        <f>RnSPLINE!H$13</f>
        <v>31</v>
      </c>
      <c r="G305">
        <f>RnSPLINE!H$14</f>
        <v>30</v>
      </c>
      <c r="H305" s="10">
        <f>RnSPLINE!M$13</f>
        <v>4.2029241027441216E-4</v>
      </c>
      <c r="I305" s="10">
        <f>RnSPLINE!M$14</f>
        <v>-1.1479868271688296E-2</v>
      </c>
      <c r="J305">
        <f t="shared" si="46"/>
        <v>0.1</v>
      </c>
      <c r="K305">
        <f t="shared" si="47"/>
        <v>0.9</v>
      </c>
      <c r="L305">
        <f t="shared" si="48"/>
        <v>256</v>
      </c>
      <c r="M305" s="8">
        <f t="shared" si="49"/>
        <v>30.1</v>
      </c>
      <c r="N305" s="6">
        <f t="shared" si="44"/>
        <v>30.38821727887623</v>
      </c>
      <c r="O305" s="8">
        <f t="shared" si="52"/>
        <v>5078.9487946088311</v>
      </c>
      <c r="P305" s="8">
        <f t="shared" si="53"/>
        <v>5091.2628227631521</v>
      </c>
      <c r="Q305" s="8">
        <f t="shared" si="50"/>
        <v>30.38821727887623</v>
      </c>
      <c r="T305" s="8">
        <f t="shared" si="43"/>
        <v>30.38821727887623</v>
      </c>
    </row>
    <row r="306" spans="1:20" x14ac:dyDescent="0.2">
      <c r="B306">
        <f t="shared" si="51"/>
        <v>303</v>
      </c>
      <c r="C306">
        <f t="shared" si="45"/>
        <v>30</v>
      </c>
      <c r="D306">
        <v>275</v>
      </c>
      <c r="E306">
        <v>305</v>
      </c>
      <c r="F306">
        <f>RnSPLINE!H$13</f>
        <v>31</v>
      </c>
      <c r="G306">
        <f>RnSPLINE!H$14</f>
        <v>30</v>
      </c>
      <c r="H306" s="10">
        <f>RnSPLINE!M$13</f>
        <v>4.2029241027441216E-4</v>
      </c>
      <c r="I306" s="10">
        <f>RnSPLINE!M$14</f>
        <v>-1.1479868271688296E-2</v>
      </c>
      <c r="J306">
        <f t="shared" si="46"/>
        <v>6.6666666666666666E-2</v>
      </c>
      <c r="K306">
        <f t="shared" si="47"/>
        <v>0.93333333333333335</v>
      </c>
      <c r="L306">
        <f t="shared" si="48"/>
        <v>257</v>
      </c>
      <c r="M306" s="8">
        <f t="shared" si="49"/>
        <v>30.066666666666666</v>
      </c>
      <c r="N306" s="6">
        <f t="shared" si="44"/>
        <v>30.269630267484622</v>
      </c>
      <c r="O306" s="8">
        <f t="shared" si="52"/>
        <v>5109.0154612754977</v>
      </c>
      <c r="P306" s="8">
        <f t="shared" si="53"/>
        <v>5121.532453030637</v>
      </c>
      <c r="Q306" s="8">
        <f t="shared" si="50"/>
        <v>30.269630267484622</v>
      </c>
      <c r="T306" s="8">
        <f t="shared" ref="T306:T369" si="54">N306</f>
        <v>30.269630267484622</v>
      </c>
    </row>
    <row r="307" spans="1:20" x14ac:dyDescent="0.2">
      <c r="B307">
        <f t="shared" si="51"/>
        <v>304</v>
      </c>
      <c r="C307">
        <f t="shared" si="45"/>
        <v>30</v>
      </c>
      <c r="D307">
        <v>275</v>
      </c>
      <c r="E307">
        <v>305</v>
      </c>
      <c r="F307">
        <f>RnSPLINE!H$13</f>
        <v>31</v>
      </c>
      <c r="G307">
        <f>RnSPLINE!H$14</f>
        <v>30</v>
      </c>
      <c r="H307" s="10">
        <f>RnSPLINE!M$13</f>
        <v>4.2029241027441216E-4</v>
      </c>
      <c r="I307" s="10">
        <f>RnSPLINE!M$14</f>
        <v>-1.1479868271688296E-2</v>
      </c>
      <c r="J307">
        <f t="shared" si="46"/>
        <v>3.3333333333333333E-2</v>
      </c>
      <c r="K307">
        <f t="shared" si="47"/>
        <v>0.96666666666666667</v>
      </c>
      <c r="L307">
        <f t="shared" si="48"/>
        <v>258</v>
      </c>
      <c r="M307" s="8">
        <f t="shared" si="49"/>
        <v>30.033333333333331</v>
      </c>
      <c r="N307" s="6">
        <f t="shared" si="44"/>
        <v>30.140356731866788</v>
      </c>
      <c r="O307" s="8">
        <f t="shared" si="52"/>
        <v>5139.0487946088315</v>
      </c>
      <c r="P307" s="8">
        <f t="shared" si="53"/>
        <v>5151.6728097625037</v>
      </c>
      <c r="Q307" s="8">
        <f t="shared" si="50"/>
        <v>30.140356731866788</v>
      </c>
      <c r="T307" s="8">
        <f t="shared" si="54"/>
        <v>30.140356731866788</v>
      </c>
    </row>
    <row r="308" spans="1:20" x14ac:dyDescent="0.2">
      <c r="A308">
        <v>305</v>
      </c>
      <c r="B308">
        <f t="shared" si="51"/>
        <v>305</v>
      </c>
      <c r="C308">
        <f t="shared" si="45"/>
        <v>30</v>
      </c>
      <c r="D308">
        <v>275</v>
      </c>
      <c r="E308">
        <v>305</v>
      </c>
      <c r="F308">
        <f>RnSPLINE!H$13</f>
        <v>31</v>
      </c>
      <c r="G308">
        <f>RnSPLINE!H$14</f>
        <v>30</v>
      </c>
      <c r="H308" s="10">
        <f>RnSPLINE!M$13</f>
        <v>4.2029241027441216E-4</v>
      </c>
      <c r="I308" s="10">
        <f>RnSPLINE!M$14</f>
        <v>-1.1479868271688296E-2</v>
      </c>
      <c r="J308">
        <f t="shared" si="46"/>
        <v>0</v>
      </c>
      <c r="K308">
        <f t="shared" si="47"/>
        <v>1</v>
      </c>
      <c r="L308">
        <f t="shared" si="48"/>
        <v>259</v>
      </c>
      <c r="M308" s="8">
        <f t="shared" si="49"/>
        <v>30</v>
      </c>
      <c r="N308" s="6">
        <f t="shared" si="44"/>
        <v>30</v>
      </c>
      <c r="O308" s="8">
        <f t="shared" si="52"/>
        <v>5169.0487946088315</v>
      </c>
      <c r="P308" s="8">
        <f t="shared" si="53"/>
        <v>5181.6728097625037</v>
      </c>
      <c r="Q308" s="8">
        <f t="shared" si="50"/>
        <v>30</v>
      </c>
      <c r="T308" s="8">
        <f t="shared" si="54"/>
        <v>30</v>
      </c>
    </row>
    <row r="309" spans="1:20" x14ac:dyDescent="0.2">
      <c r="B309">
        <f t="shared" si="51"/>
        <v>306</v>
      </c>
      <c r="C309">
        <f t="shared" si="45"/>
        <v>31</v>
      </c>
      <c r="D309">
        <v>305</v>
      </c>
      <c r="E309">
        <v>336</v>
      </c>
      <c r="F309">
        <f>RnSPLINE!H$14</f>
        <v>30</v>
      </c>
      <c r="G309">
        <f>RnSPLINE!H$15</f>
        <v>20.666666666666668</v>
      </c>
      <c r="H309" s="10">
        <f>RnSPLINE!M$14</f>
        <v>-1.1479868271688296E-2</v>
      </c>
      <c r="I309" s="10">
        <f>RnSPLINE!M$15</f>
        <v>-7.0489179375963157E-3</v>
      </c>
      <c r="J309">
        <f t="shared" si="46"/>
        <v>0.967741935483871</v>
      </c>
      <c r="K309">
        <f t="shared" si="47"/>
        <v>3.2258064516129031E-2</v>
      </c>
      <c r="L309">
        <f t="shared" si="48"/>
        <v>260</v>
      </c>
      <c r="M309" s="8">
        <f t="shared" si="49"/>
        <v>29.698924731182796</v>
      </c>
      <c r="N309" s="6">
        <f t="shared" si="44"/>
        <v>29.848253334178935</v>
      </c>
      <c r="O309" s="8">
        <f t="shared" si="52"/>
        <v>5198.7477193400146</v>
      </c>
      <c r="P309" s="8">
        <f t="shared" si="53"/>
        <v>5211.5210630966831</v>
      </c>
      <c r="Q309" s="8">
        <f t="shared" si="50"/>
        <v>29.848253334178935</v>
      </c>
      <c r="T309" s="8">
        <f t="shared" si="54"/>
        <v>29.848253334178935</v>
      </c>
    </row>
    <row r="310" spans="1:20" x14ac:dyDescent="0.2">
      <c r="B310">
        <f t="shared" si="51"/>
        <v>307</v>
      </c>
      <c r="C310">
        <f t="shared" si="45"/>
        <v>31</v>
      </c>
      <c r="D310">
        <v>305</v>
      </c>
      <c r="E310">
        <v>336</v>
      </c>
      <c r="F310">
        <f>RnSPLINE!H$14</f>
        <v>30</v>
      </c>
      <c r="G310">
        <f>RnSPLINE!H$15</f>
        <v>20.666666666666668</v>
      </c>
      <c r="H310" s="10">
        <f>RnSPLINE!M$14</f>
        <v>-1.1479868271688296E-2</v>
      </c>
      <c r="I310" s="10">
        <f>RnSPLINE!M$15</f>
        <v>-7.0489179375963157E-3</v>
      </c>
      <c r="J310">
        <f t="shared" si="46"/>
        <v>0.93548387096774188</v>
      </c>
      <c r="K310">
        <f t="shared" si="47"/>
        <v>6.4516129032258063E-2</v>
      </c>
      <c r="L310">
        <f t="shared" si="48"/>
        <v>261</v>
      </c>
      <c r="M310" s="8">
        <f t="shared" si="49"/>
        <v>29.397849462365588</v>
      </c>
      <c r="N310" s="6">
        <f t="shared" si="44"/>
        <v>29.685169733967925</v>
      </c>
      <c r="O310" s="8">
        <f t="shared" si="52"/>
        <v>5228.1455688023798</v>
      </c>
      <c r="P310" s="8">
        <f t="shared" si="53"/>
        <v>5241.2062328306511</v>
      </c>
      <c r="Q310" s="8">
        <f t="shared" si="50"/>
        <v>29.685169733967925</v>
      </c>
      <c r="T310" s="8">
        <f t="shared" si="54"/>
        <v>29.685169733967925</v>
      </c>
    </row>
    <row r="311" spans="1:20" x14ac:dyDescent="0.2">
      <c r="B311">
        <f t="shared" si="51"/>
        <v>308</v>
      </c>
      <c r="C311">
        <f t="shared" si="45"/>
        <v>31</v>
      </c>
      <c r="D311">
        <v>305</v>
      </c>
      <c r="E311">
        <v>336</v>
      </c>
      <c r="F311">
        <f>RnSPLINE!H$14</f>
        <v>30</v>
      </c>
      <c r="G311">
        <f>RnSPLINE!H$15</f>
        <v>20.666666666666668</v>
      </c>
      <c r="H311" s="10">
        <f>RnSPLINE!M$14</f>
        <v>-1.1479868271688296E-2</v>
      </c>
      <c r="I311" s="10">
        <f>RnSPLINE!M$15</f>
        <v>-7.0489179375963157E-3</v>
      </c>
      <c r="J311">
        <f t="shared" si="46"/>
        <v>0.90322580645161288</v>
      </c>
      <c r="K311">
        <f t="shared" si="47"/>
        <v>9.6774193548387094E-2</v>
      </c>
      <c r="L311">
        <f t="shared" si="48"/>
        <v>262</v>
      </c>
      <c r="M311" s="8">
        <f t="shared" si="49"/>
        <v>29.096774193548388</v>
      </c>
      <c r="N311" s="6">
        <f t="shared" ref="N311:N374" si="55">Q311</f>
        <v>29.510892133248724</v>
      </c>
      <c r="O311" s="8">
        <f t="shared" si="52"/>
        <v>5257.2423429959281</v>
      </c>
      <c r="P311" s="8">
        <f t="shared" si="53"/>
        <v>5270.7171249638996</v>
      </c>
      <c r="Q311" s="8">
        <f t="shared" si="50"/>
        <v>29.510892133248724</v>
      </c>
      <c r="T311" s="8">
        <f t="shared" si="54"/>
        <v>29.510892133248724</v>
      </c>
    </row>
    <row r="312" spans="1:20" x14ac:dyDescent="0.2">
      <c r="B312">
        <f t="shared" si="51"/>
        <v>309</v>
      </c>
      <c r="C312">
        <f t="shared" si="45"/>
        <v>31</v>
      </c>
      <c r="D312">
        <v>305</v>
      </c>
      <c r="E312">
        <v>336</v>
      </c>
      <c r="F312">
        <f>RnSPLINE!H$14</f>
        <v>30</v>
      </c>
      <c r="G312">
        <f>RnSPLINE!H$15</f>
        <v>20.666666666666668</v>
      </c>
      <c r="H312" s="10">
        <f>RnSPLINE!M$14</f>
        <v>-1.1479868271688296E-2</v>
      </c>
      <c r="I312" s="10">
        <f>RnSPLINE!M$15</f>
        <v>-7.0489179375963157E-3</v>
      </c>
      <c r="J312">
        <f t="shared" si="46"/>
        <v>0.87096774193548387</v>
      </c>
      <c r="K312">
        <f t="shared" si="47"/>
        <v>0.12903225806451613</v>
      </c>
      <c r="L312">
        <f t="shared" si="48"/>
        <v>263</v>
      </c>
      <c r="M312" s="8">
        <f t="shared" si="49"/>
        <v>28.795698924731184</v>
      </c>
      <c r="N312" s="6">
        <f t="shared" si="55"/>
        <v>29.325563465903063</v>
      </c>
      <c r="O312" s="8">
        <f t="shared" si="52"/>
        <v>5286.0380419206595</v>
      </c>
      <c r="P312" s="8">
        <f t="shared" si="53"/>
        <v>5300.0426884298022</v>
      </c>
      <c r="Q312" s="8">
        <f t="shared" si="50"/>
        <v>29.325563465903063</v>
      </c>
      <c r="T312" s="8">
        <f t="shared" si="54"/>
        <v>29.325563465903063</v>
      </c>
    </row>
    <row r="313" spans="1:20" x14ac:dyDescent="0.2">
      <c r="B313">
        <f t="shared" si="51"/>
        <v>310</v>
      </c>
      <c r="C313">
        <f t="shared" si="45"/>
        <v>31</v>
      </c>
      <c r="D313">
        <v>305</v>
      </c>
      <c r="E313">
        <v>336</v>
      </c>
      <c r="F313">
        <f>RnSPLINE!H$14</f>
        <v>30</v>
      </c>
      <c r="G313">
        <f>RnSPLINE!H$15</f>
        <v>20.666666666666668</v>
      </c>
      <c r="H313" s="10">
        <f>RnSPLINE!M$14</f>
        <v>-1.1479868271688296E-2</v>
      </c>
      <c r="I313" s="10">
        <f>RnSPLINE!M$15</f>
        <v>-7.0489179375963157E-3</v>
      </c>
      <c r="J313">
        <f t="shared" si="46"/>
        <v>0.83870967741935487</v>
      </c>
      <c r="K313">
        <f t="shared" si="47"/>
        <v>0.16129032258064516</v>
      </c>
      <c r="L313">
        <f t="shared" si="48"/>
        <v>264</v>
      </c>
      <c r="M313" s="8">
        <f t="shared" si="49"/>
        <v>28.49462365591398</v>
      </c>
      <c r="N313" s="6">
        <f t="shared" si="55"/>
        <v>29.129326665812695</v>
      </c>
      <c r="O313" s="8">
        <f t="shared" si="52"/>
        <v>5314.532665576573</v>
      </c>
      <c r="P313" s="8">
        <f t="shared" si="53"/>
        <v>5329.1720150956153</v>
      </c>
      <c r="Q313" s="8">
        <f t="shared" si="50"/>
        <v>29.129326665812695</v>
      </c>
      <c r="T313" s="8">
        <f t="shared" si="54"/>
        <v>29.129326665812695</v>
      </c>
    </row>
    <row r="314" spans="1:20" x14ac:dyDescent="0.2">
      <c r="B314">
        <f t="shared" si="51"/>
        <v>311</v>
      </c>
      <c r="C314">
        <f t="shared" si="45"/>
        <v>31</v>
      </c>
      <c r="D314">
        <v>305</v>
      </c>
      <c r="E314">
        <v>336</v>
      </c>
      <c r="F314">
        <f>RnSPLINE!H$14</f>
        <v>30</v>
      </c>
      <c r="G314">
        <f>RnSPLINE!H$15</f>
        <v>20.666666666666668</v>
      </c>
      <c r="H314" s="10">
        <f>RnSPLINE!M$14</f>
        <v>-1.1479868271688296E-2</v>
      </c>
      <c r="I314" s="10">
        <f>RnSPLINE!M$15</f>
        <v>-7.0489179375963157E-3</v>
      </c>
      <c r="J314">
        <f t="shared" si="46"/>
        <v>0.80645161290322576</v>
      </c>
      <c r="K314">
        <f t="shared" si="47"/>
        <v>0.19354838709677419</v>
      </c>
      <c r="L314">
        <f t="shared" si="48"/>
        <v>265</v>
      </c>
      <c r="M314" s="8">
        <f t="shared" si="49"/>
        <v>28.193548387096772</v>
      </c>
      <c r="N314" s="6">
        <f t="shared" si="55"/>
        <v>28.92232466685936</v>
      </c>
      <c r="O314" s="8">
        <f t="shared" si="52"/>
        <v>5342.7262139636696</v>
      </c>
      <c r="P314" s="8">
        <f t="shared" si="53"/>
        <v>5358.0943397624742</v>
      </c>
      <c r="Q314" s="8">
        <f t="shared" si="50"/>
        <v>28.92232466685936</v>
      </c>
      <c r="T314" s="8">
        <f t="shared" si="54"/>
        <v>28.92232466685936</v>
      </c>
    </row>
    <row r="315" spans="1:20" x14ac:dyDescent="0.2">
      <c r="B315">
        <f t="shared" si="51"/>
        <v>312</v>
      </c>
      <c r="C315">
        <f t="shared" si="45"/>
        <v>31</v>
      </c>
      <c r="D315">
        <v>305</v>
      </c>
      <c r="E315">
        <v>336</v>
      </c>
      <c r="F315">
        <f>RnSPLINE!H$14</f>
        <v>30</v>
      </c>
      <c r="G315">
        <f>RnSPLINE!H$15</f>
        <v>20.666666666666668</v>
      </c>
      <c r="H315" s="10">
        <f>RnSPLINE!M$14</f>
        <v>-1.1479868271688296E-2</v>
      </c>
      <c r="I315" s="10">
        <f>RnSPLINE!M$15</f>
        <v>-7.0489179375963157E-3</v>
      </c>
      <c r="J315">
        <f t="shared" si="46"/>
        <v>0.77419354838709675</v>
      </c>
      <c r="K315">
        <f t="shared" si="47"/>
        <v>0.22580645161290322</v>
      </c>
      <c r="L315">
        <f t="shared" si="48"/>
        <v>266</v>
      </c>
      <c r="M315" s="8">
        <f t="shared" si="49"/>
        <v>27.892473118279572</v>
      </c>
      <c r="N315" s="6">
        <f t="shared" si="55"/>
        <v>28.704700402924811</v>
      </c>
      <c r="O315" s="8">
        <f t="shared" si="52"/>
        <v>5370.6186870819492</v>
      </c>
      <c r="P315" s="8">
        <f t="shared" si="53"/>
        <v>5386.7990401653988</v>
      </c>
      <c r="Q315" s="8">
        <f t="shared" si="50"/>
        <v>28.704700402924811</v>
      </c>
      <c r="T315" s="8">
        <f t="shared" si="54"/>
        <v>28.704700402924811</v>
      </c>
    </row>
    <row r="316" spans="1:20" x14ac:dyDescent="0.2">
      <c r="B316">
        <f t="shared" si="51"/>
        <v>313</v>
      </c>
      <c r="C316">
        <f t="shared" si="45"/>
        <v>31</v>
      </c>
      <c r="D316">
        <v>305</v>
      </c>
      <c r="E316">
        <v>336</v>
      </c>
      <c r="F316">
        <f>RnSPLINE!H$14</f>
        <v>30</v>
      </c>
      <c r="G316">
        <f>RnSPLINE!H$15</f>
        <v>20.666666666666668</v>
      </c>
      <c r="H316" s="10">
        <f>RnSPLINE!M$14</f>
        <v>-1.1479868271688296E-2</v>
      </c>
      <c r="I316" s="10">
        <f>RnSPLINE!M$15</f>
        <v>-7.0489179375963157E-3</v>
      </c>
      <c r="J316">
        <f t="shared" si="46"/>
        <v>0.74193548387096775</v>
      </c>
      <c r="K316">
        <f t="shared" si="47"/>
        <v>0.25806451612903225</v>
      </c>
      <c r="L316">
        <f t="shared" si="48"/>
        <v>267</v>
      </c>
      <c r="M316" s="8">
        <f t="shared" si="49"/>
        <v>27.591397849462368</v>
      </c>
      <c r="N316" s="6">
        <f t="shared" si="55"/>
        <v>28.476596807890786</v>
      </c>
      <c r="O316" s="8">
        <f t="shared" si="52"/>
        <v>5398.210084931412</v>
      </c>
      <c r="P316" s="8">
        <f t="shared" si="53"/>
        <v>5415.2756369732897</v>
      </c>
      <c r="Q316" s="8">
        <f t="shared" si="50"/>
        <v>28.476596807890786</v>
      </c>
      <c r="T316" s="8">
        <f t="shared" si="54"/>
        <v>28.476596807890786</v>
      </c>
    </row>
    <row r="317" spans="1:20" x14ac:dyDescent="0.2">
      <c r="B317">
        <f t="shared" si="51"/>
        <v>314</v>
      </c>
      <c r="C317">
        <f t="shared" si="45"/>
        <v>31</v>
      </c>
      <c r="D317">
        <v>305</v>
      </c>
      <c r="E317">
        <v>336</v>
      </c>
      <c r="F317">
        <f>RnSPLINE!H$14</f>
        <v>30</v>
      </c>
      <c r="G317">
        <f>RnSPLINE!H$15</f>
        <v>20.666666666666668</v>
      </c>
      <c r="H317" s="10">
        <f>RnSPLINE!M$14</f>
        <v>-1.1479868271688296E-2</v>
      </c>
      <c r="I317" s="10">
        <f>RnSPLINE!M$15</f>
        <v>-7.0489179375963157E-3</v>
      </c>
      <c r="J317">
        <f t="shared" si="46"/>
        <v>0.70967741935483875</v>
      </c>
      <c r="K317">
        <f t="shared" si="47"/>
        <v>0.29032258064516131</v>
      </c>
      <c r="L317">
        <f t="shared" si="48"/>
        <v>268</v>
      </c>
      <c r="M317" s="8">
        <f t="shared" si="49"/>
        <v>27.290322580645164</v>
      </c>
      <c r="N317" s="6">
        <f t="shared" si="55"/>
        <v>28.238156815639034</v>
      </c>
      <c r="O317" s="8">
        <f t="shared" si="52"/>
        <v>5425.5004075120569</v>
      </c>
      <c r="P317" s="8">
        <f t="shared" si="53"/>
        <v>5443.5137937889285</v>
      </c>
      <c r="Q317" s="8">
        <f t="shared" si="50"/>
        <v>28.238156815639034</v>
      </c>
      <c r="T317" s="8">
        <f t="shared" si="54"/>
        <v>28.238156815639034</v>
      </c>
    </row>
    <row r="318" spans="1:20" x14ac:dyDescent="0.2">
      <c r="B318">
        <f t="shared" si="51"/>
        <v>315</v>
      </c>
      <c r="C318">
        <f t="shared" si="45"/>
        <v>31</v>
      </c>
      <c r="D318">
        <v>305</v>
      </c>
      <c r="E318">
        <v>336</v>
      </c>
      <c r="F318">
        <f>RnSPLINE!H$14</f>
        <v>30</v>
      </c>
      <c r="G318">
        <f>RnSPLINE!H$15</f>
        <v>20.666666666666668</v>
      </c>
      <c r="H318" s="10">
        <f>RnSPLINE!M$14</f>
        <v>-1.1479868271688296E-2</v>
      </c>
      <c r="I318" s="10">
        <f>RnSPLINE!M$15</f>
        <v>-7.0489179375963157E-3</v>
      </c>
      <c r="J318">
        <f t="shared" si="46"/>
        <v>0.67741935483870963</v>
      </c>
      <c r="K318">
        <f t="shared" si="47"/>
        <v>0.32258064516129031</v>
      </c>
      <c r="L318">
        <f t="shared" si="48"/>
        <v>269</v>
      </c>
      <c r="M318" s="8">
        <f t="shared" si="49"/>
        <v>26.989247311827956</v>
      </c>
      <c r="N318" s="6">
        <f t="shared" si="55"/>
        <v>27.989523360051294</v>
      </c>
      <c r="O318" s="8">
        <f t="shared" si="52"/>
        <v>5452.4896548238848</v>
      </c>
      <c r="P318" s="8">
        <f t="shared" si="53"/>
        <v>5471.5033171489795</v>
      </c>
      <c r="Q318" s="8">
        <f t="shared" si="50"/>
        <v>27.989523360051294</v>
      </c>
      <c r="T318" s="8">
        <f t="shared" si="54"/>
        <v>27.989523360051294</v>
      </c>
    </row>
    <row r="319" spans="1:20" x14ac:dyDescent="0.2">
      <c r="B319">
        <f t="shared" si="51"/>
        <v>316</v>
      </c>
      <c r="C319">
        <f t="shared" si="45"/>
        <v>31</v>
      </c>
      <c r="D319">
        <v>305</v>
      </c>
      <c r="E319">
        <v>336</v>
      </c>
      <c r="F319">
        <f>RnSPLINE!H$14</f>
        <v>30</v>
      </c>
      <c r="G319">
        <f>RnSPLINE!H$15</f>
        <v>20.666666666666668</v>
      </c>
      <c r="H319" s="10">
        <f>RnSPLINE!M$14</f>
        <v>-1.1479868271688296E-2</v>
      </c>
      <c r="I319" s="10">
        <f>RnSPLINE!M$15</f>
        <v>-7.0489179375963157E-3</v>
      </c>
      <c r="J319">
        <f t="shared" si="46"/>
        <v>0.64516129032258063</v>
      </c>
      <c r="K319">
        <f t="shared" si="47"/>
        <v>0.35483870967741937</v>
      </c>
      <c r="L319">
        <f t="shared" si="48"/>
        <v>270</v>
      </c>
      <c r="M319" s="8">
        <f t="shared" si="49"/>
        <v>26.688172043010752</v>
      </c>
      <c r="N319" s="6">
        <f t="shared" si="55"/>
        <v>27.730839375009314</v>
      </c>
      <c r="O319" s="8">
        <f t="shared" si="52"/>
        <v>5479.1778268668959</v>
      </c>
      <c r="P319" s="8">
        <f t="shared" si="53"/>
        <v>5499.2341565239885</v>
      </c>
      <c r="Q319" s="8">
        <f t="shared" si="50"/>
        <v>27.730839375009314</v>
      </c>
      <c r="T319" s="8">
        <f t="shared" si="54"/>
        <v>27.730839375009314</v>
      </c>
    </row>
    <row r="320" spans="1:20" x14ac:dyDescent="0.2">
      <c r="B320">
        <f t="shared" si="51"/>
        <v>317</v>
      </c>
      <c r="C320">
        <f t="shared" si="45"/>
        <v>31</v>
      </c>
      <c r="D320">
        <v>305</v>
      </c>
      <c r="E320">
        <v>336</v>
      </c>
      <c r="F320">
        <f>RnSPLINE!H$14</f>
        <v>30</v>
      </c>
      <c r="G320">
        <f>RnSPLINE!H$15</f>
        <v>20.666666666666668</v>
      </c>
      <c r="H320" s="10">
        <f>RnSPLINE!M$14</f>
        <v>-1.1479868271688296E-2</v>
      </c>
      <c r="I320" s="10">
        <f>RnSPLINE!M$15</f>
        <v>-7.0489179375963157E-3</v>
      </c>
      <c r="J320">
        <f t="shared" si="46"/>
        <v>0.61290322580645162</v>
      </c>
      <c r="K320">
        <f t="shared" si="47"/>
        <v>0.38709677419354838</v>
      </c>
      <c r="L320">
        <f t="shared" si="48"/>
        <v>271</v>
      </c>
      <c r="M320" s="8">
        <f t="shared" si="49"/>
        <v>26.387096774193548</v>
      </c>
      <c r="N320" s="6">
        <f t="shared" si="55"/>
        <v>27.462247794394841</v>
      </c>
      <c r="O320" s="8">
        <f t="shared" si="52"/>
        <v>5505.5649236410891</v>
      </c>
      <c r="P320" s="8">
        <f t="shared" si="53"/>
        <v>5526.6964043183834</v>
      </c>
      <c r="Q320" s="8">
        <f t="shared" si="50"/>
        <v>27.462247794394841</v>
      </c>
      <c r="T320" s="8">
        <f t="shared" si="54"/>
        <v>27.462247794394841</v>
      </c>
    </row>
    <row r="321" spans="2:20" x14ac:dyDescent="0.2">
      <c r="B321">
        <f t="shared" si="51"/>
        <v>318</v>
      </c>
      <c r="C321">
        <f t="shared" si="45"/>
        <v>31</v>
      </c>
      <c r="D321">
        <v>305</v>
      </c>
      <c r="E321">
        <v>336</v>
      </c>
      <c r="F321">
        <f>RnSPLINE!H$14</f>
        <v>30</v>
      </c>
      <c r="G321">
        <f>RnSPLINE!H$15</f>
        <v>20.666666666666668</v>
      </c>
      <c r="H321" s="10">
        <f>RnSPLINE!M$14</f>
        <v>-1.1479868271688296E-2</v>
      </c>
      <c r="I321" s="10">
        <f>RnSPLINE!M$15</f>
        <v>-7.0489179375963157E-3</v>
      </c>
      <c r="J321">
        <f t="shared" si="46"/>
        <v>0.58064516129032262</v>
      </c>
      <c r="K321">
        <f t="shared" si="47"/>
        <v>0.41935483870967744</v>
      </c>
      <c r="L321">
        <f t="shared" si="48"/>
        <v>272</v>
      </c>
      <c r="M321" s="8">
        <f t="shared" si="49"/>
        <v>26.086021505376348</v>
      </c>
      <c r="N321" s="6">
        <f t="shared" si="55"/>
        <v>27.183891552089626</v>
      </c>
      <c r="O321" s="8">
        <f t="shared" si="52"/>
        <v>5531.6509451464653</v>
      </c>
      <c r="P321" s="8">
        <f t="shared" si="53"/>
        <v>5553.8802958704728</v>
      </c>
      <c r="Q321" s="8">
        <f t="shared" si="50"/>
        <v>27.183891552089626</v>
      </c>
      <c r="T321" s="8">
        <f t="shared" si="54"/>
        <v>27.183891552089626</v>
      </c>
    </row>
    <row r="322" spans="2:20" x14ac:dyDescent="0.2">
      <c r="B322">
        <f t="shared" si="51"/>
        <v>319</v>
      </c>
      <c r="C322">
        <f t="shared" si="45"/>
        <v>31</v>
      </c>
      <c r="D322">
        <v>305</v>
      </c>
      <c r="E322">
        <v>336</v>
      </c>
      <c r="F322">
        <f>RnSPLINE!H$14</f>
        <v>30</v>
      </c>
      <c r="G322">
        <f>RnSPLINE!H$15</f>
        <v>20.666666666666668</v>
      </c>
      <c r="H322" s="10">
        <f>RnSPLINE!M$14</f>
        <v>-1.1479868271688296E-2</v>
      </c>
      <c r="I322" s="10">
        <f>RnSPLINE!M$15</f>
        <v>-7.0489179375963157E-3</v>
      </c>
      <c r="J322">
        <f t="shared" si="46"/>
        <v>0.54838709677419351</v>
      </c>
      <c r="K322">
        <f t="shared" si="47"/>
        <v>0.45161290322580644</v>
      </c>
      <c r="L322">
        <f t="shared" si="48"/>
        <v>273</v>
      </c>
      <c r="M322" s="8">
        <f t="shared" si="49"/>
        <v>25.784946236559136</v>
      </c>
      <c r="N322" s="6">
        <f t="shared" si="55"/>
        <v>26.895913581975393</v>
      </c>
      <c r="O322" s="8">
        <f t="shared" si="52"/>
        <v>5557.4358913830247</v>
      </c>
      <c r="P322" s="8">
        <f t="shared" si="53"/>
        <v>5580.7762094524478</v>
      </c>
      <c r="Q322" s="8">
        <f t="shared" si="50"/>
        <v>26.895913581975393</v>
      </c>
      <c r="T322" s="8">
        <f t="shared" si="54"/>
        <v>26.895913581975393</v>
      </c>
    </row>
    <row r="323" spans="2:20" x14ac:dyDescent="0.2">
      <c r="B323">
        <f t="shared" si="51"/>
        <v>320</v>
      </c>
      <c r="C323">
        <f t="shared" si="45"/>
        <v>31</v>
      </c>
      <c r="D323">
        <v>305</v>
      </c>
      <c r="E323">
        <v>336</v>
      </c>
      <c r="F323">
        <f>RnSPLINE!H$14</f>
        <v>30</v>
      </c>
      <c r="G323">
        <f>RnSPLINE!H$15</f>
        <v>20.666666666666668</v>
      </c>
      <c r="H323" s="10">
        <f>RnSPLINE!M$14</f>
        <v>-1.1479868271688296E-2</v>
      </c>
      <c r="I323" s="10">
        <f>RnSPLINE!M$15</f>
        <v>-7.0489179375963157E-3</v>
      </c>
      <c r="J323">
        <f t="shared" si="46"/>
        <v>0.5161290322580645</v>
      </c>
      <c r="K323">
        <f t="shared" si="47"/>
        <v>0.4838709677419355</v>
      </c>
      <c r="L323">
        <f t="shared" si="48"/>
        <v>274</v>
      </c>
      <c r="M323" s="8">
        <f t="shared" si="49"/>
        <v>25.483870967741936</v>
      </c>
      <c r="N323" s="6">
        <f t="shared" si="55"/>
        <v>26.598456817933911</v>
      </c>
      <c r="O323" s="8">
        <f t="shared" si="52"/>
        <v>5582.9197623507662</v>
      </c>
      <c r="P323" s="8">
        <f t="shared" si="53"/>
        <v>5607.3746662703816</v>
      </c>
      <c r="Q323" s="8">
        <f t="shared" si="50"/>
        <v>26.598456817933911</v>
      </c>
      <c r="T323" s="8">
        <f t="shared" si="54"/>
        <v>26.598456817933911</v>
      </c>
    </row>
    <row r="324" spans="2:20" x14ac:dyDescent="0.2">
      <c r="B324">
        <f t="shared" si="51"/>
        <v>321</v>
      </c>
      <c r="C324">
        <f t="shared" ref="C324:C387" si="56">E324-D324</f>
        <v>31</v>
      </c>
      <c r="D324">
        <v>305</v>
      </c>
      <c r="E324">
        <v>336</v>
      </c>
      <c r="F324">
        <f>RnSPLINE!H$14</f>
        <v>30</v>
      </c>
      <c r="G324">
        <f>RnSPLINE!H$15</f>
        <v>20.666666666666668</v>
      </c>
      <c r="H324" s="10">
        <f>RnSPLINE!M$14</f>
        <v>-1.1479868271688296E-2</v>
      </c>
      <c r="I324" s="10">
        <f>RnSPLINE!M$15</f>
        <v>-7.0489179375963157E-3</v>
      </c>
      <c r="J324">
        <f t="shared" ref="J324:J387" si="57">(E324-B324)/C324</f>
        <v>0.4838709677419355</v>
      </c>
      <c r="K324">
        <f t="shared" ref="K324:K387" si="58">(B324-D324)/C324</f>
        <v>0.5161290322580645</v>
      </c>
      <c r="L324">
        <f t="shared" ref="L324:L387" si="59">B324-46</f>
        <v>275</v>
      </c>
      <c r="M324" s="8">
        <f t="shared" ref="M324:M387" si="60">J324*F324+K324*G324</f>
        <v>25.182795698924732</v>
      </c>
      <c r="N324" s="6">
        <f t="shared" si="55"/>
        <v>26.291664193846909</v>
      </c>
      <c r="O324" s="8">
        <f t="shared" si="52"/>
        <v>5608.1025580496907</v>
      </c>
      <c r="P324" s="8">
        <f t="shared" si="53"/>
        <v>5633.6663304642288</v>
      </c>
      <c r="Q324" s="8">
        <f t="shared" ref="Q324:Q387" si="61">M324+(((J324^3-J324)*H324+(K324^3-K324)*I324))*(C324^2)/6</f>
        <v>26.291664193846909</v>
      </c>
      <c r="T324" s="8">
        <f t="shared" si="54"/>
        <v>26.291664193846909</v>
      </c>
    </row>
    <row r="325" spans="2:20" x14ac:dyDescent="0.2">
      <c r="B325">
        <f t="shared" ref="B325:B388" si="62">B324+1</f>
        <v>322</v>
      </c>
      <c r="C325">
        <f t="shared" si="56"/>
        <v>31</v>
      </c>
      <c r="D325">
        <v>305</v>
      </c>
      <c r="E325">
        <v>336</v>
      </c>
      <c r="F325">
        <f>RnSPLINE!H$14</f>
        <v>30</v>
      </c>
      <c r="G325">
        <f>RnSPLINE!H$15</f>
        <v>20.666666666666668</v>
      </c>
      <c r="H325" s="10">
        <f>RnSPLINE!M$14</f>
        <v>-1.1479868271688296E-2</v>
      </c>
      <c r="I325" s="10">
        <f>RnSPLINE!M$15</f>
        <v>-7.0489179375963157E-3</v>
      </c>
      <c r="J325">
        <f t="shared" si="57"/>
        <v>0.45161290322580644</v>
      </c>
      <c r="K325">
        <f t="shared" si="58"/>
        <v>0.54838709677419351</v>
      </c>
      <c r="L325">
        <f t="shared" si="59"/>
        <v>276</v>
      </c>
      <c r="M325" s="8">
        <f t="shared" si="60"/>
        <v>24.881720430107528</v>
      </c>
      <c r="N325" s="6">
        <f t="shared" si="55"/>
        <v>25.97567864359614</v>
      </c>
      <c r="O325" s="8">
        <f t="shared" ref="O325:O388" si="63">O324+M325</f>
        <v>5632.9842784797984</v>
      </c>
      <c r="P325" s="8">
        <f t="shared" ref="P325:P388" si="64">P324+N325</f>
        <v>5659.6420091078253</v>
      </c>
      <c r="Q325" s="8">
        <f t="shared" si="61"/>
        <v>25.97567864359614</v>
      </c>
      <c r="T325" s="8">
        <f t="shared" si="54"/>
        <v>25.97567864359614</v>
      </c>
    </row>
    <row r="326" spans="2:20" x14ac:dyDescent="0.2">
      <c r="B326">
        <f t="shared" si="62"/>
        <v>323</v>
      </c>
      <c r="C326">
        <f t="shared" si="56"/>
        <v>31</v>
      </c>
      <c r="D326">
        <v>305</v>
      </c>
      <c r="E326">
        <v>336</v>
      </c>
      <c r="F326">
        <f>RnSPLINE!H$14</f>
        <v>30</v>
      </c>
      <c r="G326">
        <f>RnSPLINE!H$15</f>
        <v>20.666666666666668</v>
      </c>
      <c r="H326" s="10">
        <f>RnSPLINE!M$14</f>
        <v>-1.1479868271688296E-2</v>
      </c>
      <c r="I326" s="10">
        <f>RnSPLINE!M$15</f>
        <v>-7.0489179375963157E-3</v>
      </c>
      <c r="J326">
        <f t="shared" si="57"/>
        <v>0.41935483870967744</v>
      </c>
      <c r="K326">
        <f t="shared" si="58"/>
        <v>0.58064516129032262</v>
      </c>
      <c r="L326">
        <f t="shared" si="59"/>
        <v>277</v>
      </c>
      <c r="M326" s="8">
        <f t="shared" si="60"/>
        <v>24.580645161290327</v>
      </c>
      <c r="N326" s="6">
        <f t="shared" si="55"/>
        <v>25.650643101063348</v>
      </c>
      <c r="O326" s="8">
        <f t="shared" si="63"/>
        <v>5657.5649236410891</v>
      </c>
      <c r="P326" s="8">
        <f t="shared" si="64"/>
        <v>5685.2926522088883</v>
      </c>
      <c r="Q326" s="8">
        <f t="shared" si="61"/>
        <v>25.650643101063348</v>
      </c>
      <c r="T326" s="8">
        <f t="shared" si="54"/>
        <v>25.650643101063348</v>
      </c>
    </row>
    <row r="327" spans="2:20" x14ac:dyDescent="0.2">
      <c r="B327">
        <f t="shared" si="62"/>
        <v>324</v>
      </c>
      <c r="C327">
        <f t="shared" si="56"/>
        <v>31</v>
      </c>
      <c r="D327">
        <v>305</v>
      </c>
      <c r="E327">
        <v>336</v>
      </c>
      <c r="F327">
        <f>RnSPLINE!H$14</f>
        <v>30</v>
      </c>
      <c r="G327">
        <f>RnSPLINE!H$15</f>
        <v>20.666666666666668</v>
      </c>
      <c r="H327" s="10">
        <f>RnSPLINE!M$14</f>
        <v>-1.1479868271688296E-2</v>
      </c>
      <c r="I327" s="10">
        <f>RnSPLINE!M$15</f>
        <v>-7.0489179375963157E-3</v>
      </c>
      <c r="J327">
        <f t="shared" si="57"/>
        <v>0.38709677419354838</v>
      </c>
      <c r="K327">
        <f t="shared" si="58"/>
        <v>0.61290322580645162</v>
      </c>
      <c r="L327">
        <f t="shared" si="59"/>
        <v>278</v>
      </c>
      <c r="M327" s="8">
        <f t="shared" si="60"/>
        <v>24.27956989247312</v>
      </c>
      <c r="N327" s="6">
        <f t="shared" si="55"/>
        <v>25.316700500130271</v>
      </c>
      <c r="O327" s="8">
        <f t="shared" si="63"/>
        <v>5681.8444935335619</v>
      </c>
      <c r="P327" s="8">
        <f t="shared" si="64"/>
        <v>5710.6093527090188</v>
      </c>
      <c r="Q327" s="8">
        <f t="shared" si="61"/>
        <v>25.316700500130271</v>
      </c>
      <c r="T327" s="8">
        <f t="shared" si="54"/>
        <v>25.316700500130271</v>
      </c>
    </row>
    <row r="328" spans="2:20" x14ac:dyDescent="0.2">
      <c r="B328">
        <f t="shared" si="62"/>
        <v>325</v>
      </c>
      <c r="C328">
        <f t="shared" si="56"/>
        <v>31</v>
      </c>
      <c r="D328">
        <v>305</v>
      </c>
      <c r="E328">
        <v>336</v>
      </c>
      <c r="F328">
        <f>RnSPLINE!H$14</f>
        <v>30</v>
      </c>
      <c r="G328">
        <f>RnSPLINE!H$15</f>
        <v>20.666666666666668</v>
      </c>
      <c r="H328" s="10">
        <f>RnSPLINE!M$14</f>
        <v>-1.1479868271688296E-2</v>
      </c>
      <c r="I328" s="10">
        <f>RnSPLINE!M$15</f>
        <v>-7.0489179375963157E-3</v>
      </c>
      <c r="J328">
        <f t="shared" si="57"/>
        <v>0.35483870967741937</v>
      </c>
      <c r="K328">
        <f t="shared" si="58"/>
        <v>0.64516129032258063</v>
      </c>
      <c r="L328">
        <f t="shared" si="59"/>
        <v>279</v>
      </c>
      <c r="M328" s="8">
        <f t="shared" si="60"/>
        <v>23.978494623655916</v>
      </c>
      <c r="N328" s="6">
        <f t="shared" si="55"/>
        <v>24.973993774678661</v>
      </c>
      <c r="O328" s="8">
        <f t="shared" si="63"/>
        <v>5705.8229881572179</v>
      </c>
      <c r="P328" s="8">
        <f t="shared" si="64"/>
        <v>5735.5833464836978</v>
      </c>
      <c r="Q328" s="8">
        <f t="shared" si="61"/>
        <v>24.973993774678661</v>
      </c>
      <c r="T328" s="8">
        <f t="shared" si="54"/>
        <v>24.973993774678661</v>
      </c>
    </row>
    <row r="329" spans="2:20" x14ac:dyDescent="0.2">
      <c r="B329">
        <f t="shared" si="62"/>
        <v>326</v>
      </c>
      <c r="C329">
        <f t="shared" si="56"/>
        <v>31</v>
      </c>
      <c r="D329">
        <v>305</v>
      </c>
      <c r="E329">
        <v>336</v>
      </c>
      <c r="F329">
        <f>RnSPLINE!H$14</f>
        <v>30</v>
      </c>
      <c r="G329">
        <f>RnSPLINE!H$15</f>
        <v>20.666666666666668</v>
      </c>
      <c r="H329" s="10">
        <f>RnSPLINE!M$14</f>
        <v>-1.1479868271688296E-2</v>
      </c>
      <c r="I329" s="10">
        <f>RnSPLINE!M$15</f>
        <v>-7.0489179375963157E-3</v>
      </c>
      <c r="J329">
        <f t="shared" si="57"/>
        <v>0.32258064516129031</v>
      </c>
      <c r="K329">
        <f t="shared" si="58"/>
        <v>0.67741935483870963</v>
      </c>
      <c r="L329">
        <f t="shared" si="59"/>
        <v>280</v>
      </c>
      <c r="M329" s="8">
        <f t="shared" si="60"/>
        <v>23.677419354838712</v>
      </c>
      <c r="N329" s="6">
        <f t="shared" si="55"/>
        <v>24.62266585859026</v>
      </c>
      <c r="O329" s="8">
        <f t="shared" si="63"/>
        <v>5729.5004075120569</v>
      </c>
      <c r="P329" s="8">
        <f t="shared" si="64"/>
        <v>5760.206012342288</v>
      </c>
      <c r="Q329" s="8">
        <f t="shared" si="61"/>
        <v>24.62266585859026</v>
      </c>
      <c r="T329" s="8">
        <f t="shared" si="54"/>
        <v>24.62266585859026</v>
      </c>
    </row>
    <row r="330" spans="2:20" x14ac:dyDescent="0.2">
      <c r="B330">
        <f t="shared" si="62"/>
        <v>327</v>
      </c>
      <c r="C330">
        <f t="shared" si="56"/>
        <v>31</v>
      </c>
      <c r="D330">
        <v>305</v>
      </c>
      <c r="E330">
        <v>336</v>
      </c>
      <c r="F330">
        <f>RnSPLINE!H$14</f>
        <v>30</v>
      </c>
      <c r="G330">
        <f>RnSPLINE!H$15</f>
        <v>20.666666666666668</v>
      </c>
      <c r="H330" s="10">
        <f>RnSPLINE!M$14</f>
        <v>-1.1479868271688296E-2</v>
      </c>
      <c r="I330" s="10">
        <f>RnSPLINE!M$15</f>
        <v>-7.0489179375963157E-3</v>
      </c>
      <c r="J330">
        <f t="shared" si="57"/>
        <v>0.29032258064516131</v>
      </c>
      <c r="K330">
        <f t="shared" si="58"/>
        <v>0.70967741935483875</v>
      </c>
      <c r="L330">
        <f t="shared" si="59"/>
        <v>281</v>
      </c>
      <c r="M330" s="8">
        <f t="shared" si="60"/>
        <v>23.376344086021508</v>
      </c>
      <c r="N330" s="6">
        <f t="shared" si="55"/>
        <v>24.262859685746815</v>
      </c>
      <c r="O330" s="8">
        <f t="shared" si="63"/>
        <v>5752.876751598078</v>
      </c>
      <c r="P330" s="8">
        <f t="shared" si="64"/>
        <v>5784.4688720280346</v>
      </c>
      <c r="Q330" s="8">
        <f t="shared" si="61"/>
        <v>24.262859685746815</v>
      </c>
      <c r="T330" s="8">
        <f t="shared" si="54"/>
        <v>24.262859685746815</v>
      </c>
    </row>
    <row r="331" spans="2:20" x14ac:dyDescent="0.2">
      <c r="B331">
        <f t="shared" si="62"/>
        <v>328</v>
      </c>
      <c r="C331">
        <f t="shared" si="56"/>
        <v>31</v>
      </c>
      <c r="D331">
        <v>305</v>
      </c>
      <c r="E331">
        <v>336</v>
      </c>
      <c r="F331">
        <f>RnSPLINE!H$14</f>
        <v>30</v>
      </c>
      <c r="G331">
        <f>RnSPLINE!H$15</f>
        <v>20.666666666666668</v>
      </c>
      <c r="H331" s="10">
        <f>RnSPLINE!M$14</f>
        <v>-1.1479868271688296E-2</v>
      </c>
      <c r="I331" s="10">
        <f>RnSPLINE!M$15</f>
        <v>-7.0489179375963157E-3</v>
      </c>
      <c r="J331">
        <f t="shared" si="57"/>
        <v>0.25806451612903225</v>
      </c>
      <c r="K331">
        <f t="shared" si="58"/>
        <v>0.74193548387096775</v>
      </c>
      <c r="L331">
        <f t="shared" si="59"/>
        <v>282</v>
      </c>
      <c r="M331" s="8">
        <f t="shared" si="60"/>
        <v>23.075268817204304</v>
      </c>
      <c r="N331" s="6">
        <f t="shared" si="55"/>
        <v>23.894718190030069</v>
      </c>
      <c r="O331" s="8">
        <f t="shared" si="63"/>
        <v>5775.9520204152823</v>
      </c>
      <c r="P331" s="8">
        <f t="shared" si="64"/>
        <v>5808.3635902180649</v>
      </c>
      <c r="Q331" s="8">
        <f t="shared" si="61"/>
        <v>23.894718190030069</v>
      </c>
      <c r="T331" s="8">
        <f t="shared" si="54"/>
        <v>23.894718190030069</v>
      </c>
    </row>
    <row r="332" spans="2:20" x14ac:dyDescent="0.2">
      <c r="B332">
        <f t="shared" si="62"/>
        <v>329</v>
      </c>
      <c r="C332">
        <f t="shared" si="56"/>
        <v>31</v>
      </c>
      <c r="D332">
        <v>305</v>
      </c>
      <c r="E332">
        <v>336</v>
      </c>
      <c r="F332">
        <f>RnSPLINE!H$14</f>
        <v>30</v>
      </c>
      <c r="G332">
        <f>RnSPLINE!H$15</f>
        <v>20.666666666666668</v>
      </c>
      <c r="H332" s="10">
        <f>RnSPLINE!M$14</f>
        <v>-1.1479868271688296E-2</v>
      </c>
      <c r="I332" s="10">
        <f>RnSPLINE!M$15</f>
        <v>-7.0489179375963157E-3</v>
      </c>
      <c r="J332">
        <f t="shared" si="57"/>
        <v>0.22580645161290322</v>
      </c>
      <c r="K332">
        <f t="shared" si="58"/>
        <v>0.77419354838709675</v>
      </c>
      <c r="L332">
        <f t="shared" si="59"/>
        <v>283</v>
      </c>
      <c r="M332" s="8">
        <f t="shared" si="60"/>
        <v>22.774193548387096</v>
      </c>
      <c r="N332" s="6">
        <f t="shared" si="55"/>
        <v>23.518384305321764</v>
      </c>
      <c r="O332" s="8">
        <f t="shared" si="63"/>
        <v>5798.7262139636696</v>
      </c>
      <c r="P332" s="8">
        <f t="shared" si="64"/>
        <v>5831.8819745233868</v>
      </c>
      <c r="Q332" s="8">
        <f t="shared" si="61"/>
        <v>23.518384305321764</v>
      </c>
      <c r="T332" s="8">
        <f t="shared" si="54"/>
        <v>23.518384305321764</v>
      </c>
    </row>
    <row r="333" spans="2:20" x14ac:dyDescent="0.2">
      <c r="B333">
        <f t="shared" si="62"/>
        <v>330</v>
      </c>
      <c r="C333">
        <f t="shared" si="56"/>
        <v>31</v>
      </c>
      <c r="D333">
        <v>305</v>
      </c>
      <c r="E333">
        <v>336</v>
      </c>
      <c r="F333">
        <f>RnSPLINE!H$14</f>
        <v>30</v>
      </c>
      <c r="G333">
        <f>RnSPLINE!H$15</f>
        <v>20.666666666666668</v>
      </c>
      <c r="H333" s="10">
        <f>RnSPLINE!M$14</f>
        <v>-1.1479868271688296E-2</v>
      </c>
      <c r="I333" s="10">
        <f>RnSPLINE!M$15</f>
        <v>-7.0489179375963157E-3</v>
      </c>
      <c r="J333">
        <f t="shared" si="57"/>
        <v>0.19354838709677419</v>
      </c>
      <c r="K333">
        <f t="shared" si="58"/>
        <v>0.80645161290322576</v>
      </c>
      <c r="L333">
        <f t="shared" si="59"/>
        <v>284</v>
      </c>
      <c r="M333" s="8">
        <f t="shared" si="60"/>
        <v>22.473118279569896</v>
      </c>
      <c r="N333" s="6">
        <f t="shared" si="55"/>
        <v>23.134000965503656</v>
      </c>
      <c r="O333" s="8">
        <f t="shared" si="63"/>
        <v>5821.199332243239</v>
      </c>
      <c r="P333" s="8">
        <f t="shared" si="64"/>
        <v>5855.01597548889</v>
      </c>
      <c r="Q333" s="8">
        <f t="shared" si="61"/>
        <v>23.134000965503656</v>
      </c>
      <c r="T333" s="8">
        <f t="shared" si="54"/>
        <v>23.134000965503656</v>
      </c>
    </row>
    <row r="334" spans="2:20" x14ac:dyDescent="0.2">
      <c r="B334">
        <f t="shared" si="62"/>
        <v>331</v>
      </c>
      <c r="C334">
        <f t="shared" si="56"/>
        <v>31</v>
      </c>
      <c r="D334">
        <v>305</v>
      </c>
      <c r="E334">
        <v>336</v>
      </c>
      <c r="F334">
        <f>RnSPLINE!H$14</f>
        <v>30</v>
      </c>
      <c r="G334">
        <f>RnSPLINE!H$15</f>
        <v>20.666666666666668</v>
      </c>
      <c r="H334" s="10">
        <f>RnSPLINE!M$14</f>
        <v>-1.1479868271688296E-2</v>
      </c>
      <c r="I334" s="10">
        <f>RnSPLINE!M$15</f>
        <v>-7.0489179375963157E-3</v>
      </c>
      <c r="J334">
        <f t="shared" si="57"/>
        <v>0.16129032258064516</v>
      </c>
      <c r="K334">
        <f t="shared" si="58"/>
        <v>0.83870967741935487</v>
      </c>
      <c r="L334">
        <f t="shared" si="59"/>
        <v>285</v>
      </c>
      <c r="M334" s="8">
        <f t="shared" si="60"/>
        <v>22.172043010752692</v>
      </c>
      <c r="N334" s="6">
        <f t="shared" si="55"/>
        <v>22.741711104457476</v>
      </c>
      <c r="O334" s="8">
        <f t="shared" si="63"/>
        <v>5843.3713752539916</v>
      </c>
      <c r="P334" s="8">
        <f t="shared" si="64"/>
        <v>5877.7576865933479</v>
      </c>
      <c r="Q334" s="8">
        <f t="shared" si="61"/>
        <v>22.741711104457476</v>
      </c>
      <c r="T334" s="8">
        <f t="shared" si="54"/>
        <v>22.741711104457476</v>
      </c>
    </row>
    <row r="335" spans="2:20" x14ac:dyDescent="0.2">
      <c r="B335">
        <f t="shared" si="62"/>
        <v>332</v>
      </c>
      <c r="C335">
        <f t="shared" si="56"/>
        <v>31</v>
      </c>
      <c r="D335">
        <v>305</v>
      </c>
      <c r="E335">
        <v>336</v>
      </c>
      <c r="F335">
        <f>RnSPLINE!H$14</f>
        <v>30</v>
      </c>
      <c r="G335">
        <f>RnSPLINE!H$15</f>
        <v>20.666666666666668</v>
      </c>
      <c r="H335" s="10">
        <f>RnSPLINE!M$14</f>
        <v>-1.1479868271688296E-2</v>
      </c>
      <c r="I335" s="10">
        <f>RnSPLINE!M$15</f>
        <v>-7.0489179375963157E-3</v>
      </c>
      <c r="J335">
        <f t="shared" si="57"/>
        <v>0.12903225806451613</v>
      </c>
      <c r="K335">
        <f t="shared" si="58"/>
        <v>0.87096774193548387</v>
      </c>
      <c r="L335">
        <f t="shared" si="59"/>
        <v>286</v>
      </c>
      <c r="M335" s="8">
        <f t="shared" si="60"/>
        <v>21.870967741935484</v>
      </c>
      <c r="N335" s="6">
        <f t="shared" si="55"/>
        <v>22.341657656064974</v>
      </c>
      <c r="O335" s="8">
        <f t="shared" si="63"/>
        <v>5865.2423429959272</v>
      </c>
      <c r="P335" s="8">
        <f t="shared" si="64"/>
        <v>5900.0993442494128</v>
      </c>
      <c r="Q335" s="8">
        <f t="shared" si="61"/>
        <v>22.341657656064974</v>
      </c>
      <c r="T335" s="8">
        <f t="shared" si="54"/>
        <v>22.341657656064974</v>
      </c>
    </row>
    <row r="336" spans="2:20" x14ac:dyDescent="0.2">
      <c r="B336">
        <f t="shared" si="62"/>
        <v>333</v>
      </c>
      <c r="C336">
        <f t="shared" si="56"/>
        <v>31</v>
      </c>
      <c r="D336">
        <v>305</v>
      </c>
      <c r="E336">
        <v>336</v>
      </c>
      <c r="F336">
        <f>RnSPLINE!H$14</f>
        <v>30</v>
      </c>
      <c r="G336">
        <f>RnSPLINE!H$15</f>
        <v>20.666666666666668</v>
      </c>
      <c r="H336" s="10">
        <f>RnSPLINE!M$14</f>
        <v>-1.1479868271688296E-2</v>
      </c>
      <c r="I336" s="10">
        <f>RnSPLINE!M$15</f>
        <v>-7.0489179375963157E-3</v>
      </c>
      <c r="J336">
        <f t="shared" si="57"/>
        <v>9.6774193548387094E-2</v>
      </c>
      <c r="K336">
        <f t="shared" si="58"/>
        <v>0.90322580645161288</v>
      </c>
      <c r="L336">
        <f t="shared" si="59"/>
        <v>287</v>
      </c>
      <c r="M336" s="8">
        <f t="shared" si="60"/>
        <v>21.56989247311828</v>
      </c>
      <c r="N336" s="6">
        <f t="shared" si="55"/>
        <v>21.933983554207899</v>
      </c>
      <c r="O336" s="8">
        <f t="shared" si="63"/>
        <v>5886.8122354690458</v>
      </c>
      <c r="P336" s="8">
        <f t="shared" si="64"/>
        <v>5922.0333278036205</v>
      </c>
      <c r="Q336" s="8">
        <f t="shared" si="61"/>
        <v>21.933983554207899</v>
      </c>
      <c r="T336" s="8">
        <f t="shared" si="54"/>
        <v>21.933983554207899</v>
      </c>
    </row>
    <row r="337" spans="1:20" x14ac:dyDescent="0.2">
      <c r="B337">
        <f t="shared" si="62"/>
        <v>334</v>
      </c>
      <c r="C337">
        <f t="shared" si="56"/>
        <v>31</v>
      </c>
      <c r="D337">
        <v>305</v>
      </c>
      <c r="E337">
        <v>336</v>
      </c>
      <c r="F337">
        <f>RnSPLINE!H$14</f>
        <v>30</v>
      </c>
      <c r="G337">
        <f>RnSPLINE!H$15</f>
        <v>20.666666666666668</v>
      </c>
      <c r="H337" s="10">
        <f>RnSPLINE!M$14</f>
        <v>-1.1479868271688296E-2</v>
      </c>
      <c r="I337" s="10">
        <f>RnSPLINE!M$15</f>
        <v>-7.0489179375963157E-3</v>
      </c>
      <c r="J337">
        <f t="shared" si="57"/>
        <v>6.4516129032258063E-2</v>
      </c>
      <c r="K337">
        <f t="shared" si="58"/>
        <v>0.93548387096774188</v>
      </c>
      <c r="L337">
        <f t="shared" si="59"/>
        <v>288</v>
      </c>
      <c r="M337" s="8">
        <f t="shared" si="60"/>
        <v>21.268817204301072</v>
      </c>
      <c r="N337" s="6">
        <f t="shared" si="55"/>
        <v>21.518831732767989</v>
      </c>
      <c r="O337" s="8">
        <f t="shared" si="63"/>
        <v>5908.0810526733467</v>
      </c>
      <c r="P337" s="8">
        <f t="shared" si="64"/>
        <v>5943.5521595363889</v>
      </c>
      <c r="Q337" s="8">
        <f t="shared" si="61"/>
        <v>21.518831732767989</v>
      </c>
      <c r="T337" s="8">
        <f t="shared" si="54"/>
        <v>21.518831732767989</v>
      </c>
    </row>
    <row r="338" spans="1:20" x14ac:dyDescent="0.2">
      <c r="B338">
        <f t="shared" si="62"/>
        <v>335</v>
      </c>
      <c r="C338">
        <f t="shared" si="56"/>
        <v>31</v>
      </c>
      <c r="D338">
        <v>305</v>
      </c>
      <c r="E338">
        <v>336</v>
      </c>
      <c r="F338">
        <f>RnSPLINE!H$14</f>
        <v>30</v>
      </c>
      <c r="G338">
        <f>RnSPLINE!H$15</f>
        <v>20.666666666666668</v>
      </c>
      <c r="H338" s="10">
        <f>RnSPLINE!M$14</f>
        <v>-1.1479868271688296E-2</v>
      </c>
      <c r="I338" s="10">
        <f>RnSPLINE!M$15</f>
        <v>-7.0489179375963157E-3</v>
      </c>
      <c r="J338">
        <f t="shared" si="57"/>
        <v>3.2258064516129031E-2</v>
      </c>
      <c r="K338">
        <f t="shared" si="58"/>
        <v>0.967741935483871</v>
      </c>
      <c r="L338">
        <f t="shared" si="59"/>
        <v>289</v>
      </c>
      <c r="M338" s="8">
        <f t="shared" si="60"/>
        <v>20.967741935483872</v>
      </c>
      <c r="N338" s="6">
        <f t="shared" si="55"/>
        <v>21.096345125627</v>
      </c>
      <c r="O338" s="8">
        <f t="shared" si="63"/>
        <v>5929.0487946088306</v>
      </c>
      <c r="P338" s="8">
        <f t="shared" si="64"/>
        <v>5964.6485046620155</v>
      </c>
      <c r="Q338" s="8">
        <f t="shared" si="61"/>
        <v>21.096345125627</v>
      </c>
      <c r="T338" s="8">
        <f t="shared" si="54"/>
        <v>21.096345125627</v>
      </c>
    </row>
    <row r="339" spans="1:20" x14ac:dyDescent="0.2">
      <c r="A339">
        <v>336</v>
      </c>
      <c r="B339">
        <f t="shared" si="62"/>
        <v>336</v>
      </c>
      <c r="C339">
        <f t="shared" si="56"/>
        <v>31</v>
      </c>
      <c r="D339">
        <v>305</v>
      </c>
      <c r="E339">
        <v>336</v>
      </c>
      <c r="F339">
        <f>RnSPLINE!H$14</f>
        <v>30</v>
      </c>
      <c r="G339">
        <f>RnSPLINE!H$15</f>
        <v>20.666666666666668</v>
      </c>
      <c r="H339" s="10">
        <f>RnSPLINE!M$14</f>
        <v>-1.1479868271688296E-2</v>
      </c>
      <c r="I339" s="10">
        <f>RnSPLINE!M$15</f>
        <v>-7.0489179375963157E-3</v>
      </c>
      <c r="J339">
        <f t="shared" si="57"/>
        <v>0</v>
      </c>
      <c r="K339">
        <f t="shared" si="58"/>
        <v>1</v>
      </c>
      <c r="L339">
        <f t="shared" si="59"/>
        <v>290</v>
      </c>
      <c r="M339" s="8">
        <f t="shared" si="60"/>
        <v>20.666666666666668</v>
      </c>
      <c r="N339" s="6">
        <f t="shared" si="55"/>
        <v>20.666666666666668</v>
      </c>
      <c r="O339" s="8">
        <f t="shared" si="63"/>
        <v>5949.7154612754975</v>
      </c>
      <c r="P339" s="8">
        <f t="shared" si="64"/>
        <v>5985.3151713286825</v>
      </c>
      <c r="Q339" s="8">
        <f t="shared" si="61"/>
        <v>20.666666666666668</v>
      </c>
      <c r="T339" s="8">
        <f t="shared" si="54"/>
        <v>20.666666666666668</v>
      </c>
    </row>
    <row r="340" spans="1:20" x14ac:dyDescent="0.2">
      <c r="B340">
        <f t="shared" si="62"/>
        <v>337</v>
      </c>
      <c r="C340">
        <f t="shared" si="56"/>
        <v>30</v>
      </c>
      <c r="D340">
        <v>336</v>
      </c>
      <c r="E340">
        <v>366</v>
      </c>
      <c r="F340">
        <f>RnSPLINE!H$15</f>
        <v>20.666666666666668</v>
      </c>
      <c r="G340">
        <f>RnSPLINE!H$16</f>
        <v>8.5714285714285712</v>
      </c>
      <c r="H340" s="10">
        <f>RnSPLINE!M$15</f>
        <v>-7.0489179375963157E-3</v>
      </c>
      <c r="I340" s="10">
        <f>RnSPLINE!M$16</f>
        <v>2.010826328882313E-2</v>
      </c>
      <c r="J340">
        <f t="shared" si="57"/>
        <v>0.96666666666666667</v>
      </c>
      <c r="K340">
        <f t="shared" si="58"/>
        <v>3.3333333333333333E-2</v>
      </c>
      <c r="L340">
        <f t="shared" si="59"/>
        <v>291</v>
      </c>
      <c r="M340" s="8">
        <f t="shared" si="60"/>
        <v>20.263492063492063</v>
      </c>
      <c r="N340" s="6">
        <f t="shared" si="55"/>
        <v>20.230066340684147</v>
      </c>
      <c r="O340" s="8">
        <f t="shared" si="63"/>
        <v>5969.9789533389894</v>
      </c>
      <c r="P340" s="8">
        <f t="shared" si="64"/>
        <v>6005.5452376693665</v>
      </c>
      <c r="Q340" s="8">
        <f t="shared" si="61"/>
        <v>20.230066340684147</v>
      </c>
      <c r="T340" s="8">
        <f t="shared" si="54"/>
        <v>20.230066340684147</v>
      </c>
    </row>
    <row r="341" spans="1:20" x14ac:dyDescent="0.2">
      <c r="B341">
        <f t="shared" si="62"/>
        <v>338</v>
      </c>
      <c r="C341">
        <f t="shared" si="56"/>
        <v>30</v>
      </c>
      <c r="D341">
        <v>336</v>
      </c>
      <c r="E341">
        <v>366</v>
      </c>
      <c r="F341">
        <f>RnSPLINE!H$15</f>
        <v>20.666666666666668</v>
      </c>
      <c r="G341">
        <f>RnSPLINE!H$16</f>
        <v>8.5714285714285712</v>
      </c>
      <c r="H341" s="10">
        <f>RnSPLINE!M$15</f>
        <v>-7.0489179375963157E-3</v>
      </c>
      <c r="I341" s="10">
        <f>RnSPLINE!M$16</f>
        <v>2.010826328882313E-2</v>
      </c>
      <c r="J341">
        <f t="shared" si="57"/>
        <v>0.93333333333333335</v>
      </c>
      <c r="K341">
        <f t="shared" si="58"/>
        <v>6.6666666666666666E-2</v>
      </c>
      <c r="L341">
        <f t="shared" si="59"/>
        <v>292</v>
      </c>
      <c r="M341" s="8">
        <f t="shared" si="60"/>
        <v>19.860317460317464</v>
      </c>
      <c r="N341" s="6">
        <f t="shared" si="55"/>
        <v>19.787322336138253</v>
      </c>
      <c r="O341" s="8">
        <f t="shared" si="63"/>
        <v>5989.8392707993071</v>
      </c>
      <c r="P341" s="8">
        <f t="shared" si="64"/>
        <v>6025.332560005505</v>
      </c>
      <c r="Q341" s="8">
        <f t="shared" si="61"/>
        <v>19.787322336138253</v>
      </c>
      <c r="T341" s="8">
        <f t="shared" si="54"/>
        <v>19.787322336138253</v>
      </c>
    </row>
    <row r="342" spans="1:20" x14ac:dyDescent="0.2">
      <c r="B342">
        <f t="shared" si="62"/>
        <v>339</v>
      </c>
      <c r="C342">
        <f t="shared" si="56"/>
        <v>30</v>
      </c>
      <c r="D342">
        <v>336</v>
      </c>
      <c r="E342">
        <v>366</v>
      </c>
      <c r="F342">
        <f>RnSPLINE!H$15</f>
        <v>20.666666666666668</v>
      </c>
      <c r="G342">
        <f>RnSPLINE!H$16</f>
        <v>8.5714285714285712</v>
      </c>
      <c r="H342" s="10">
        <f>RnSPLINE!M$15</f>
        <v>-7.0489179375963157E-3</v>
      </c>
      <c r="I342" s="10">
        <f>RnSPLINE!M$16</f>
        <v>2.010826328882313E-2</v>
      </c>
      <c r="J342">
        <f t="shared" si="57"/>
        <v>0.9</v>
      </c>
      <c r="K342">
        <f t="shared" si="58"/>
        <v>0.1</v>
      </c>
      <c r="L342">
        <f t="shared" si="59"/>
        <v>293</v>
      </c>
      <c r="M342" s="8">
        <f t="shared" si="60"/>
        <v>19.457142857142859</v>
      </c>
      <c r="N342" s="6">
        <f t="shared" si="55"/>
        <v>19.339339892403181</v>
      </c>
      <c r="O342" s="8">
        <f t="shared" si="63"/>
        <v>6009.2964136564497</v>
      </c>
      <c r="P342" s="8">
        <f t="shared" si="64"/>
        <v>6044.6718998979086</v>
      </c>
      <c r="Q342" s="8">
        <f t="shared" si="61"/>
        <v>19.339339892403181</v>
      </c>
      <c r="T342" s="8">
        <f t="shared" si="54"/>
        <v>19.339339892403181</v>
      </c>
    </row>
    <row r="343" spans="1:20" x14ac:dyDescent="0.2">
      <c r="B343">
        <f t="shared" si="62"/>
        <v>340</v>
      </c>
      <c r="C343">
        <f t="shared" si="56"/>
        <v>30</v>
      </c>
      <c r="D343">
        <v>336</v>
      </c>
      <c r="E343">
        <v>366</v>
      </c>
      <c r="F343">
        <f>RnSPLINE!H$15</f>
        <v>20.666666666666668</v>
      </c>
      <c r="G343">
        <f>RnSPLINE!H$16</f>
        <v>8.5714285714285712</v>
      </c>
      <c r="H343" s="10">
        <f>RnSPLINE!M$15</f>
        <v>-7.0489179375963157E-3</v>
      </c>
      <c r="I343" s="10">
        <f>RnSPLINE!M$16</f>
        <v>2.010826328882313E-2</v>
      </c>
      <c r="J343">
        <f t="shared" si="57"/>
        <v>0.8666666666666667</v>
      </c>
      <c r="K343">
        <f t="shared" si="58"/>
        <v>0.13333333333333333</v>
      </c>
      <c r="L343">
        <f t="shared" si="59"/>
        <v>294</v>
      </c>
      <c r="M343" s="8">
        <f t="shared" si="60"/>
        <v>19.053968253968254</v>
      </c>
      <c r="N343" s="6">
        <f t="shared" si="55"/>
        <v>18.887024248853155</v>
      </c>
      <c r="O343" s="8">
        <f t="shared" si="63"/>
        <v>6028.350381910418</v>
      </c>
      <c r="P343" s="8">
        <f t="shared" si="64"/>
        <v>6063.5589241467615</v>
      </c>
      <c r="Q343" s="8">
        <f t="shared" si="61"/>
        <v>18.887024248853155</v>
      </c>
      <c r="T343" s="8">
        <f t="shared" si="54"/>
        <v>18.887024248853155</v>
      </c>
    </row>
    <row r="344" spans="1:20" x14ac:dyDescent="0.2">
      <c r="B344">
        <f t="shared" si="62"/>
        <v>341</v>
      </c>
      <c r="C344">
        <f t="shared" si="56"/>
        <v>30</v>
      </c>
      <c r="D344">
        <v>336</v>
      </c>
      <c r="E344">
        <v>366</v>
      </c>
      <c r="F344">
        <f>RnSPLINE!H$15</f>
        <v>20.666666666666668</v>
      </c>
      <c r="G344">
        <f>RnSPLINE!H$16</f>
        <v>8.5714285714285712</v>
      </c>
      <c r="H344" s="10">
        <f>RnSPLINE!M$15</f>
        <v>-7.0489179375963157E-3</v>
      </c>
      <c r="I344" s="10">
        <f>RnSPLINE!M$16</f>
        <v>2.010826328882313E-2</v>
      </c>
      <c r="J344">
        <f t="shared" si="57"/>
        <v>0.83333333333333337</v>
      </c>
      <c r="K344">
        <f t="shared" si="58"/>
        <v>0.16666666666666666</v>
      </c>
      <c r="L344">
        <f t="shared" si="59"/>
        <v>295</v>
      </c>
      <c r="M344" s="8">
        <f t="shared" si="60"/>
        <v>18.650793650793652</v>
      </c>
      <c r="N344" s="6">
        <f t="shared" si="55"/>
        <v>18.431280644862394</v>
      </c>
      <c r="O344" s="8">
        <f t="shared" si="63"/>
        <v>6047.0011755612113</v>
      </c>
      <c r="P344" s="8">
        <f t="shared" si="64"/>
        <v>6081.9902047916239</v>
      </c>
      <c r="Q344" s="8">
        <f t="shared" si="61"/>
        <v>18.431280644862394</v>
      </c>
      <c r="T344" s="8">
        <f t="shared" si="54"/>
        <v>18.431280644862394</v>
      </c>
    </row>
    <row r="345" spans="1:20" x14ac:dyDescent="0.2">
      <c r="B345">
        <f t="shared" si="62"/>
        <v>342</v>
      </c>
      <c r="C345">
        <f t="shared" si="56"/>
        <v>30</v>
      </c>
      <c r="D345">
        <v>336</v>
      </c>
      <c r="E345">
        <v>366</v>
      </c>
      <c r="F345">
        <f>RnSPLINE!H$15</f>
        <v>20.666666666666668</v>
      </c>
      <c r="G345">
        <f>RnSPLINE!H$16</f>
        <v>8.5714285714285712</v>
      </c>
      <c r="H345" s="10">
        <f>RnSPLINE!M$15</f>
        <v>-7.0489179375963157E-3</v>
      </c>
      <c r="I345" s="10">
        <f>RnSPLINE!M$16</f>
        <v>2.010826328882313E-2</v>
      </c>
      <c r="J345">
        <f t="shared" si="57"/>
        <v>0.8</v>
      </c>
      <c r="K345">
        <f t="shared" si="58"/>
        <v>0.2</v>
      </c>
      <c r="L345">
        <f t="shared" si="59"/>
        <v>296</v>
      </c>
      <c r="M345" s="8">
        <f t="shared" si="60"/>
        <v>18.24761904761905</v>
      </c>
      <c r="N345" s="6">
        <f t="shared" si="55"/>
        <v>17.973014319805106</v>
      </c>
      <c r="O345" s="8">
        <f t="shared" si="63"/>
        <v>6065.2487946088304</v>
      </c>
      <c r="P345" s="8">
        <f t="shared" si="64"/>
        <v>6099.9632191114288</v>
      </c>
      <c r="Q345" s="8">
        <f t="shared" si="61"/>
        <v>17.973014319805106</v>
      </c>
      <c r="T345" s="8">
        <f t="shared" si="54"/>
        <v>17.973014319805106</v>
      </c>
    </row>
    <row r="346" spans="1:20" x14ac:dyDescent="0.2">
      <c r="B346">
        <f t="shared" si="62"/>
        <v>343</v>
      </c>
      <c r="C346">
        <f t="shared" si="56"/>
        <v>30</v>
      </c>
      <c r="D346">
        <v>336</v>
      </c>
      <c r="E346">
        <v>366</v>
      </c>
      <c r="F346">
        <f>RnSPLINE!H$15</f>
        <v>20.666666666666668</v>
      </c>
      <c r="G346">
        <f>RnSPLINE!H$16</f>
        <v>8.5714285714285712</v>
      </c>
      <c r="H346" s="10">
        <f>RnSPLINE!M$15</f>
        <v>-7.0489179375963157E-3</v>
      </c>
      <c r="I346" s="10">
        <f>RnSPLINE!M$16</f>
        <v>2.010826328882313E-2</v>
      </c>
      <c r="J346">
        <f t="shared" si="57"/>
        <v>0.76666666666666672</v>
      </c>
      <c r="K346">
        <f t="shared" si="58"/>
        <v>0.23333333333333334</v>
      </c>
      <c r="L346">
        <f t="shared" si="59"/>
        <v>297</v>
      </c>
      <c r="M346" s="8">
        <f t="shared" si="60"/>
        <v>17.844444444444449</v>
      </c>
      <c r="N346" s="6">
        <f t="shared" si="55"/>
        <v>17.513130513055504</v>
      </c>
      <c r="O346" s="8">
        <f t="shared" si="63"/>
        <v>6083.0932390532753</v>
      </c>
      <c r="P346" s="8">
        <f t="shared" si="64"/>
        <v>6117.4763496244841</v>
      </c>
      <c r="Q346" s="8">
        <f t="shared" si="61"/>
        <v>17.513130513055504</v>
      </c>
      <c r="T346" s="8">
        <f t="shared" si="54"/>
        <v>17.513130513055504</v>
      </c>
    </row>
    <row r="347" spans="1:20" x14ac:dyDescent="0.2">
      <c r="B347">
        <f t="shared" si="62"/>
        <v>344</v>
      </c>
      <c r="C347">
        <f t="shared" si="56"/>
        <v>30</v>
      </c>
      <c r="D347">
        <v>336</v>
      </c>
      <c r="E347">
        <v>366</v>
      </c>
      <c r="F347">
        <f>RnSPLINE!H$15</f>
        <v>20.666666666666668</v>
      </c>
      <c r="G347">
        <f>RnSPLINE!H$16</f>
        <v>8.5714285714285712</v>
      </c>
      <c r="H347" s="10">
        <f>RnSPLINE!M$15</f>
        <v>-7.0489179375963157E-3</v>
      </c>
      <c r="I347" s="10">
        <f>RnSPLINE!M$16</f>
        <v>2.010826328882313E-2</v>
      </c>
      <c r="J347">
        <f t="shared" si="57"/>
        <v>0.73333333333333328</v>
      </c>
      <c r="K347">
        <f t="shared" si="58"/>
        <v>0.26666666666666666</v>
      </c>
      <c r="L347">
        <f t="shared" si="59"/>
        <v>298</v>
      </c>
      <c r="M347" s="8">
        <f t="shared" si="60"/>
        <v>17.44126984126984</v>
      </c>
      <c r="N347" s="6">
        <f t="shared" si="55"/>
        <v>17.052534463987797</v>
      </c>
      <c r="O347" s="8">
        <f t="shared" si="63"/>
        <v>6100.5345088945451</v>
      </c>
      <c r="P347" s="8">
        <f t="shared" si="64"/>
        <v>6134.5288840884723</v>
      </c>
      <c r="Q347" s="8">
        <f t="shared" si="61"/>
        <v>17.052534463987797</v>
      </c>
      <c r="T347" s="8">
        <f t="shared" si="54"/>
        <v>17.052534463987797</v>
      </c>
    </row>
    <row r="348" spans="1:20" x14ac:dyDescent="0.2">
      <c r="B348">
        <f t="shared" si="62"/>
        <v>345</v>
      </c>
      <c r="C348">
        <f t="shared" si="56"/>
        <v>30</v>
      </c>
      <c r="D348">
        <v>336</v>
      </c>
      <c r="E348">
        <v>366</v>
      </c>
      <c r="F348">
        <f>RnSPLINE!H$15</f>
        <v>20.666666666666668</v>
      </c>
      <c r="G348">
        <f>RnSPLINE!H$16</f>
        <v>8.5714285714285712</v>
      </c>
      <c r="H348" s="10">
        <f>RnSPLINE!M$15</f>
        <v>-7.0489179375963157E-3</v>
      </c>
      <c r="I348" s="10">
        <f>RnSPLINE!M$16</f>
        <v>2.010826328882313E-2</v>
      </c>
      <c r="J348">
        <f t="shared" si="57"/>
        <v>0.7</v>
      </c>
      <c r="K348">
        <f t="shared" si="58"/>
        <v>0.3</v>
      </c>
      <c r="L348">
        <f t="shared" si="59"/>
        <v>299</v>
      </c>
      <c r="M348" s="8">
        <f t="shared" si="60"/>
        <v>17.038095238095238</v>
      </c>
      <c r="N348" s="6">
        <f t="shared" si="55"/>
        <v>16.592131411976215</v>
      </c>
      <c r="O348" s="8">
        <f t="shared" si="63"/>
        <v>6117.5726041326407</v>
      </c>
      <c r="P348" s="8">
        <f t="shared" si="64"/>
        <v>6151.1210155004483</v>
      </c>
      <c r="Q348" s="8">
        <f t="shared" si="61"/>
        <v>16.592131411976215</v>
      </c>
      <c r="T348" s="8">
        <f t="shared" si="54"/>
        <v>16.592131411976215</v>
      </c>
    </row>
    <row r="349" spans="1:20" x14ac:dyDescent="0.2">
      <c r="B349">
        <f t="shared" si="62"/>
        <v>346</v>
      </c>
      <c r="C349">
        <f t="shared" si="56"/>
        <v>30</v>
      </c>
      <c r="D349">
        <v>336</v>
      </c>
      <c r="E349">
        <v>366</v>
      </c>
      <c r="F349">
        <f>RnSPLINE!H$15</f>
        <v>20.666666666666668</v>
      </c>
      <c r="G349">
        <f>RnSPLINE!H$16</f>
        <v>8.5714285714285712</v>
      </c>
      <c r="H349" s="10">
        <f>RnSPLINE!M$15</f>
        <v>-7.0489179375963157E-3</v>
      </c>
      <c r="I349" s="10">
        <f>RnSPLINE!M$16</f>
        <v>2.010826328882313E-2</v>
      </c>
      <c r="J349">
        <f t="shared" si="57"/>
        <v>0.66666666666666663</v>
      </c>
      <c r="K349">
        <f t="shared" si="58"/>
        <v>0.33333333333333331</v>
      </c>
      <c r="L349">
        <f t="shared" si="59"/>
        <v>300</v>
      </c>
      <c r="M349" s="8">
        <f t="shared" si="60"/>
        <v>16.634920634920636</v>
      </c>
      <c r="N349" s="6">
        <f t="shared" si="55"/>
        <v>16.13282659639496</v>
      </c>
      <c r="O349" s="8">
        <f t="shared" si="63"/>
        <v>6134.2075247675612</v>
      </c>
      <c r="P349" s="8">
        <f t="shared" si="64"/>
        <v>6167.2538420968431</v>
      </c>
      <c r="Q349" s="8">
        <f t="shared" si="61"/>
        <v>16.13282659639496</v>
      </c>
      <c r="T349" s="8">
        <f t="shared" si="54"/>
        <v>16.13282659639496</v>
      </c>
    </row>
    <row r="350" spans="1:20" x14ac:dyDescent="0.2">
      <c r="B350">
        <f t="shared" si="62"/>
        <v>347</v>
      </c>
      <c r="C350">
        <f t="shared" si="56"/>
        <v>30</v>
      </c>
      <c r="D350">
        <v>336</v>
      </c>
      <c r="E350">
        <v>366</v>
      </c>
      <c r="F350">
        <f>RnSPLINE!H$15</f>
        <v>20.666666666666668</v>
      </c>
      <c r="G350">
        <f>RnSPLINE!H$16</f>
        <v>8.5714285714285712</v>
      </c>
      <c r="H350" s="10">
        <f>RnSPLINE!M$15</f>
        <v>-7.0489179375963157E-3</v>
      </c>
      <c r="I350" s="10">
        <f>RnSPLINE!M$16</f>
        <v>2.010826328882313E-2</v>
      </c>
      <c r="J350">
        <f t="shared" si="57"/>
        <v>0.6333333333333333</v>
      </c>
      <c r="K350">
        <f t="shared" si="58"/>
        <v>0.36666666666666664</v>
      </c>
      <c r="L350">
        <f t="shared" si="59"/>
        <v>301</v>
      </c>
      <c r="M350" s="8">
        <f t="shared" si="60"/>
        <v>16.231746031746031</v>
      </c>
      <c r="N350" s="6">
        <f t="shared" si="55"/>
        <v>15.675525256618245</v>
      </c>
      <c r="O350" s="8">
        <f t="shared" si="63"/>
        <v>6150.4392707993075</v>
      </c>
      <c r="P350" s="8">
        <f t="shared" si="64"/>
        <v>6182.9293673534612</v>
      </c>
      <c r="Q350" s="8">
        <f t="shared" si="61"/>
        <v>15.675525256618245</v>
      </c>
      <c r="T350" s="8">
        <f t="shared" si="54"/>
        <v>15.675525256618245</v>
      </c>
    </row>
    <row r="351" spans="1:20" x14ac:dyDescent="0.2">
      <c r="B351">
        <f t="shared" si="62"/>
        <v>348</v>
      </c>
      <c r="C351">
        <f t="shared" si="56"/>
        <v>30</v>
      </c>
      <c r="D351">
        <v>336</v>
      </c>
      <c r="E351">
        <v>366</v>
      </c>
      <c r="F351">
        <f>RnSPLINE!H$15</f>
        <v>20.666666666666668</v>
      </c>
      <c r="G351">
        <f>RnSPLINE!H$16</f>
        <v>8.5714285714285712</v>
      </c>
      <c r="H351" s="10">
        <f>RnSPLINE!M$15</f>
        <v>-7.0489179375963157E-3</v>
      </c>
      <c r="I351" s="10">
        <f>RnSPLINE!M$16</f>
        <v>2.010826328882313E-2</v>
      </c>
      <c r="J351">
        <f t="shared" si="57"/>
        <v>0.6</v>
      </c>
      <c r="K351">
        <f t="shared" si="58"/>
        <v>0.4</v>
      </c>
      <c r="L351">
        <f t="shared" si="59"/>
        <v>302</v>
      </c>
      <c r="M351" s="8">
        <f t="shared" si="60"/>
        <v>15.828571428571429</v>
      </c>
      <c r="N351" s="6">
        <f t="shared" si="55"/>
        <v>15.221132632020291</v>
      </c>
      <c r="O351" s="8">
        <f t="shared" si="63"/>
        <v>6166.2678422278786</v>
      </c>
      <c r="P351" s="8">
        <f t="shared" si="64"/>
        <v>6198.1504999854815</v>
      </c>
      <c r="Q351" s="8">
        <f t="shared" si="61"/>
        <v>15.221132632020291</v>
      </c>
      <c r="T351" s="8">
        <f t="shared" si="54"/>
        <v>15.221132632020291</v>
      </c>
    </row>
    <row r="352" spans="1:20" x14ac:dyDescent="0.2">
      <c r="B352">
        <f t="shared" si="62"/>
        <v>349</v>
      </c>
      <c r="C352">
        <f t="shared" si="56"/>
        <v>30</v>
      </c>
      <c r="D352">
        <v>336</v>
      </c>
      <c r="E352">
        <v>366</v>
      </c>
      <c r="F352">
        <f>RnSPLINE!H$15</f>
        <v>20.666666666666668</v>
      </c>
      <c r="G352">
        <f>RnSPLINE!H$16</f>
        <v>8.5714285714285712</v>
      </c>
      <c r="H352" s="10">
        <f>RnSPLINE!M$15</f>
        <v>-7.0489179375963157E-3</v>
      </c>
      <c r="I352" s="10">
        <f>RnSPLINE!M$16</f>
        <v>2.010826328882313E-2</v>
      </c>
      <c r="J352">
        <f t="shared" si="57"/>
        <v>0.56666666666666665</v>
      </c>
      <c r="K352">
        <f t="shared" si="58"/>
        <v>0.43333333333333335</v>
      </c>
      <c r="L352">
        <f t="shared" si="59"/>
        <v>303</v>
      </c>
      <c r="M352" s="8">
        <f t="shared" si="60"/>
        <v>15.425396825396827</v>
      </c>
      <c r="N352" s="6">
        <f t="shared" si="55"/>
        <v>14.77055396197531</v>
      </c>
      <c r="O352" s="8">
        <f t="shared" si="63"/>
        <v>6181.6932390532756</v>
      </c>
      <c r="P352" s="8">
        <f t="shared" si="64"/>
        <v>6212.921053947457</v>
      </c>
      <c r="Q352" s="8">
        <f t="shared" si="61"/>
        <v>14.77055396197531</v>
      </c>
      <c r="T352" s="8">
        <f t="shared" si="54"/>
        <v>14.77055396197531</v>
      </c>
    </row>
    <row r="353" spans="2:20" x14ac:dyDescent="0.2">
      <c r="B353">
        <f t="shared" si="62"/>
        <v>350</v>
      </c>
      <c r="C353">
        <f t="shared" si="56"/>
        <v>30</v>
      </c>
      <c r="D353">
        <v>336</v>
      </c>
      <c r="E353">
        <v>366</v>
      </c>
      <c r="F353">
        <f>RnSPLINE!H$15</f>
        <v>20.666666666666668</v>
      </c>
      <c r="G353">
        <f>RnSPLINE!H$16</f>
        <v>8.5714285714285712</v>
      </c>
      <c r="H353" s="10">
        <f>RnSPLINE!M$15</f>
        <v>-7.0489179375963157E-3</v>
      </c>
      <c r="I353" s="10">
        <f>RnSPLINE!M$16</f>
        <v>2.010826328882313E-2</v>
      </c>
      <c r="J353">
        <f t="shared" si="57"/>
        <v>0.53333333333333333</v>
      </c>
      <c r="K353">
        <f t="shared" si="58"/>
        <v>0.46666666666666667</v>
      </c>
      <c r="L353">
        <f t="shared" si="59"/>
        <v>304</v>
      </c>
      <c r="M353" s="8">
        <f t="shared" si="60"/>
        <v>15.022222222222222</v>
      </c>
      <c r="N353" s="6">
        <f t="shared" si="55"/>
        <v>14.32469448585751</v>
      </c>
      <c r="O353" s="8">
        <f t="shared" si="63"/>
        <v>6196.7154612754975</v>
      </c>
      <c r="P353" s="8">
        <f t="shared" si="64"/>
        <v>6227.2457484333145</v>
      </c>
      <c r="Q353" s="8">
        <f t="shared" si="61"/>
        <v>14.32469448585751</v>
      </c>
      <c r="T353" s="8">
        <f t="shared" si="54"/>
        <v>14.32469448585751</v>
      </c>
    </row>
    <row r="354" spans="2:20" x14ac:dyDescent="0.2">
      <c r="B354">
        <f t="shared" si="62"/>
        <v>351</v>
      </c>
      <c r="C354">
        <f t="shared" si="56"/>
        <v>30</v>
      </c>
      <c r="D354">
        <v>336</v>
      </c>
      <c r="E354">
        <v>366</v>
      </c>
      <c r="F354">
        <f>RnSPLINE!H$15</f>
        <v>20.666666666666668</v>
      </c>
      <c r="G354">
        <f>RnSPLINE!H$16</f>
        <v>8.5714285714285712</v>
      </c>
      <c r="H354" s="10">
        <f>RnSPLINE!M$15</f>
        <v>-7.0489179375963157E-3</v>
      </c>
      <c r="I354" s="10">
        <f>RnSPLINE!M$16</f>
        <v>2.010826328882313E-2</v>
      </c>
      <c r="J354">
        <f t="shared" si="57"/>
        <v>0.5</v>
      </c>
      <c r="K354">
        <f t="shared" si="58"/>
        <v>0.5</v>
      </c>
      <c r="L354">
        <f t="shared" si="59"/>
        <v>305</v>
      </c>
      <c r="M354" s="8">
        <f t="shared" si="60"/>
        <v>14.61904761904762</v>
      </c>
      <c r="N354" s="6">
        <f t="shared" si="55"/>
        <v>13.884459443041113</v>
      </c>
      <c r="O354" s="8">
        <f t="shared" si="63"/>
        <v>6211.3345088945453</v>
      </c>
      <c r="P354" s="8">
        <f t="shared" si="64"/>
        <v>6241.1302078763556</v>
      </c>
      <c r="Q354" s="8">
        <f t="shared" si="61"/>
        <v>13.884459443041113</v>
      </c>
      <c r="T354" s="8">
        <f t="shared" si="54"/>
        <v>13.884459443041113</v>
      </c>
    </row>
    <row r="355" spans="2:20" x14ac:dyDescent="0.2">
      <c r="B355">
        <f t="shared" si="62"/>
        <v>352</v>
      </c>
      <c r="C355">
        <f t="shared" si="56"/>
        <v>30</v>
      </c>
      <c r="D355">
        <v>336</v>
      </c>
      <c r="E355">
        <v>366</v>
      </c>
      <c r="F355">
        <f>RnSPLINE!H$15</f>
        <v>20.666666666666668</v>
      </c>
      <c r="G355">
        <f>RnSPLINE!H$16</f>
        <v>8.5714285714285712</v>
      </c>
      <c r="H355" s="10">
        <f>RnSPLINE!M$15</f>
        <v>-7.0489179375963157E-3</v>
      </c>
      <c r="I355" s="10">
        <f>RnSPLINE!M$16</f>
        <v>2.010826328882313E-2</v>
      </c>
      <c r="J355">
        <f t="shared" si="57"/>
        <v>0.46666666666666667</v>
      </c>
      <c r="K355">
        <f t="shared" si="58"/>
        <v>0.53333333333333333</v>
      </c>
      <c r="L355">
        <f t="shared" si="59"/>
        <v>306</v>
      </c>
      <c r="M355" s="8">
        <f t="shared" si="60"/>
        <v>14.215873015873017</v>
      </c>
      <c r="N355" s="6">
        <f t="shared" si="55"/>
        <v>13.450754072900327</v>
      </c>
      <c r="O355" s="8">
        <f t="shared" si="63"/>
        <v>6225.5503819104179</v>
      </c>
      <c r="P355" s="8">
        <f t="shared" si="64"/>
        <v>6254.5809619492557</v>
      </c>
      <c r="Q355" s="8">
        <f t="shared" si="61"/>
        <v>13.450754072900327</v>
      </c>
      <c r="T355" s="8">
        <f t="shared" si="54"/>
        <v>13.450754072900327</v>
      </c>
    </row>
    <row r="356" spans="2:20" x14ac:dyDescent="0.2">
      <c r="B356">
        <f t="shared" si="62"/>
        <v>353</v>
      </c>
      <c r="C356">
        <f t="shared" si="56"/>
        <v>30</v>
      </c>
      <c r="D356">
        <v>336</v>
      </c>
      <c r="E356">
        <v>366</v>
      </c>
      <c r="F356">
        <f>RnSPLINE!H$15</f>
        <v>20.666666666666668</v>
      </c>
      <c r="G356">
        <f>RnSPLINE!H$16</f>
        <v>8.5714285714285712</v>
      </c>
      <c r="H356" s="10">
        <f>RnSPLINE!M$15</f>
        <v>-7.0489179375963157E-3</v>
      </c>
      <c r="I356" s="10">
        <f>RnSPLINE!M$16</f>
        <v>2.010826328882313E-2</v>
      </c>
      <c r="J356">
        <f t="shared" si="57"/>
        <v>0.43333333333333335</v>
      </c>
      <c r="K356">
        <f t="shared" si="58"/>
        <v>0.56666666666666665</v>
      </c>
      <c r="L356">
        <f t="shared" si="59"/>
        <v>307</v>
      </c>
      <c r="M356" s="8">
        <f t="shared" si="60"/>
        <v>13.812698412698413</v>
      </c>
      <c r="N356" s="6">
        <f t="shared" si="55"/>
        <v>13.024483614809368</v>
      </c>
      <c r="O356" s="8">
        <f t="shared" si="63"/>
        <v>6239.3630803231163</v>
      </c>
      <c r="P356" s="8">
        <f t="shared" si="64"/>
        <v>6267.6054455640651</v>
      </c>
      <c r="Q356" s="8">
        <f t="shared" si="61"/>
        <v>13.024483614809368</v>
      </c>
      <c r="T356" s="8">
        <f t="shared" si="54"/>
        <v>13.024483614809368</v>
      </c>
    </row>
    <row r="357" spans="2:20" x14ac:dyDescent="0.2">
      <c r="B357">
        <f t="shared" si="62"/>
        <v>354</v>
      </c>
      <c r="C357">
        <f t="shared" si="56"/>
        <v>30</v>
      </c>
      <c r="D357">
        <v>336</v>
      </c>
      <c r="E357">
        <v>366</v>
      </c>
      <c r="F357">
        <f>RnSPLINE!H$15</f>
        <v>20.666666666666668</v>
      </c>
      <c r="G357">
        <f>RnSPLINE!H$16</f>
        <v>8.5714285714285712</v>
      </c>
      <c r="H357" s="10">
        <f>RnSPLINE!M$15</f>
        <v>-7.0489179375963157E-3</v>
      </c>
      <c r="I357" s="10">
        <f>RnSPLINE!M$16</f>
        <v>2.010826328882313E-2</v>
      </c>
      <c r="J357">
        <f t="shared" si="57"/>
        <v>0.4</v>
      </c>
      <c r="K357">
        <f t="shared" si="58"/>
        <v>0.6</v>
      </c>
      <c r="L357">
        <f t="shared" si="59"/>
        <v>308</v>
      </c>
      <c r="M357" s="8">
        <f t="shared" si="60"/>
        <v>13.40952380952381</v>
      </c>
      <c r="N357" s="6">
        <f t="shared" si="55"/>
        <v>12.606553308142452</v>
      </c>
      <c r="O357" s="8">
        <f t="shared" si="63"/>
        <v>6252.7726041326405</v>
      </c>
      <c r="P357" s="8">
        <f t="shared" si="64"/>
        <v>6280.2119988722079</v>
      </c>
      <c r="Q357" s="8">
        <f t="shared" si="61"/>
        <v>12.606553308142452</v>
      </c>
      <c r="T357" s="8">
        <f t="shared" si="54"/>
        <v>12.606553308142452</v>
      </c>
    </row>
    <row r="358" spans="2:20" x14ac:dyDescent="0.2">
      <c r="B358">
        <f t="shared" si="62"/>
        <v>355</v>
      </c>
      <c r="C358">
        <f t="shared" si="56"/>
        <v>30</v>
      </c>
      <c r="D358">
        <v>336</v>
      </c>
      <c r="E358">
        <v>366</v>
      </c>
      <c r="F358">
        <f>RnSPLINE!H$15</f>
        <v>20.666666666666668</v>
      </c>
      <c r="G358">
        <f>RnSPLINE!H$16</f>
        <v>8.5714285714285712</v>
      </c>
      <c r="H358" s="10">
        <f>RnSPLINE!M$15</f>
        <v>-7.0489179375963157E-3</v>
      </c>
      <c r="I358" s="10">
        <f>RnSPLINE!M$16</f>
        <v>2.010826328882313E-2</v>
      </c>
      <c r="J358">
        <f t="shared" si="57"/>
        <v>0.36666666666666664</v>
      </c>
      <c r="K358">
        <f t="shared" si="58"/>
        <v>0.6333333333333333</v>
      </c>
      <c r="L358">
        <f t="shared" si="59"/>
        <v>309</v>
      </c>
      <c r="M358" s="8">
        <f t="shared" si="60"/>
        <v>13.006349206349206</v>
      </c>
      <c r="N358" s="6">
        <f t="shared" si="55"/>
        <v>12.19786839227379</v>
      </c>
      <c r="O358" s="8">
        <f t="shared" si="63"/>
        <v>6265.7789533389896</v>
      </c>
      <c r="P358" s="8">
        <f t="shared" si="64"/>
        <v>6292.4098672644814</v>
      </c>
      <c r="Q358" s="8">
        <f t="shared" si="61"/>
        <v>12.19786839227379</v>
      </c>
      <c r="T358" s="8">
        <f t="shared" si="54"/>
        <v>12.19786839227379</v>
      </c>
    </row>
    <row r="359" spans="2:20" x14ac:dyDescent="0.2">
      <c r="B359">
        <f t="shared" si="62"/>
        <v>356</v>
      </c>
      <c r="C359">
        <f t="shared" si="56"/>
        <v>30</v>
      </c>
      <c r="D359">
        <v>336</v>
      </c>
      <c r="E359">
        <v>366</v>
      </c>
      <c r="F359">
        <f>RnSPLINE!H$15</f>
        <v>20.666666666666668</v>
      </c>
      <c r="G359">
        <f>RnSPLINE!H$16</f>
        <v>8.5714285714285712</v>
      </c>
      <c r="H359" s="10">
        <f>RnSPLINE!M$15</f>
        <v>-7.0489179375963157E-3</v>
      </c>
      <c r="I359" s="10">
        <f>RnSPLINE!M$16</f>
        <v>2.010826328882313E-2</v>
      </c>
      <c r="J359">
        <f t="shared" si="57"/>
        <v>0.33333333333333331</v>
      </c>
      <c r="K359">
        <f t="shared" si="58"/>
        <v>0.66666666666666663</v>
      </c>
      <c r="L359">
        <f t="shared" si="59"/>
        <v>310</v>
      </c>
      <c r="M359" s="8">
        <f t="shared" si="60"/>
        <v>12.603174603174603</v>
      </c>
      <c r="N359" s="6">
        <f t="shared" si="55"/>
        <v>11.799334106577598</v>
      </c>
      <c r="O359" s="8">
        <f t="shared" si="63"/>
        <v>6278.3821279421645</v>
      </c>
      <c r="P359" s="8">
        <f t="shared" si="64"/>
        <v>6304.209201371059</v>
      </c>
      <c r="Q359" s="8">
        <f t="shared" si="61"/>
        <v>11.799334106577598</v>
      </c>
      <c r="T359" s="8">
        <f t="shared" si="54"/>
        <v>11.799334106577598</v>
      </c>
    </row>
    <row r="360" spans="2:20" x14ac:dyDescent="0.2">
      <c r="B360">
        <f t="shared" si="62"/>
        <v>357</v>
      </c>
      <c r="C360">
        <f t="shared" si="56"/>
        <v>30</v>
      </c>
      <c r="D360">
        <v>336</v>
      </c>
      <c r="E360">
        <v>366</v>
      </c>
      <c r="F360">
        <f>RnSPLINE!H$15</f>
        <v>20.666666666666668</v>
      </c>
      <c r="G360">
        <f>RnSPLINE!H$16</f>
        <v>8.5714285714285712</v>
      </c>
      <c r="H360" s="10">
        <f>RnSPLINE!M$15</f>
        <v>-7.0489179375963157E-3</v>
      </c>
      <c r="I360" s="10">
        <f>RnSPLINE!M$16</f>
        <v>2.010826328882313E-2</v>
      </c>
      <c r="J360">
        <f t="shared" si="57"/>
        <v>0.3</v>
      </c>
      <c r="K360">
        <f t="shared" si="58"/>
        <v>0.7</v>
      </c>
      <c r="L360">
        <f t="shared" si="59"/>
        <v>311</v>
      </c>
      <c r="M360" s="8">
        <f t="shared" si="60"/>
        <v>12.2</v>
      </c>
      <c r="N360" s="6">
        <f t="shared" si="55"/>
        <v>11.411855690428089</v>
      </c>
      <c r="O360" s="8">
        <f t="shared" si="63"/>
        <v>6290.5821279421643</v>
      </c>
      <c r="P360" s="8">
        <f t="shared" si="64"/>
        <v>6315.6210570614867</v>
      </c>
      <c r="Q360" s="8">
        <f t="shared" si="61"/>
        <v>11.411855690428089</v>
      </c>
      <c r="T360" s="8">
        <f t="shared" si="54"/>
        <v>11.411855690428089</v>
      </c>
    </row>
    <row r="361" spans="2:20" x14ac:dyDescent="0.2">
      <c r="B361">
        <f t="shared" si="62"/>
        <v>358</v>
      </c>
      <c r="C361">
        <f t="shared" si="56"/>
        <v>30</v>
      </c>
      <c r="D361">
        <v>336</v>
      </c>
      <c r="E361">
        <v>366</v>
      </c>
      <c r="F361">
        <f>RnSPLINE!H$15</f>
        <v>20.666666666666668</v>
      </c>
      <c r="G361">
        <f>RnSPLINE!H$16</f>
        <v>8.5714285714285712</v>
      </c>
      <c r="H361" s="10">
        <f>RnSPLINE!M$15</f>
        <v>-7.0489179375963157E-3</v>
      </c>
      <c r="I361" s="10">
        <f>RnSPLINE!M$16</f>
        <v>2.010826328882313E-2</v>
      </c>
      <c r="J361">
        <f t="shared" si="57"/>
        <v>0.26666666666666666</v>
      </c>
      <c r="K361">
        <f t="shared" si="58"/>
        <v>0.73333333333333328</v>
      </c>
      <c r="L361">
        <f t="shared" si="59"/>
        <v>312</v>
      </c>
      <c r="M361" s="8">
        <f t="shared" si="60"/>
        <v>11.796825396825396</v>
      </c>
      <c r="N361" s="6">
        <f t="shared" si="55"/>
        <v>11.036338383199478</v>
      </c>
      <c r="O361" s="8">
        <f t="shared" si="63"/>
        <v>6302.37895333899</v>
      </c>
      <c r="P361" s="8">
        <f t="shared" si="64"/>
        <v>6326.6573954446858</v>
      </c>
      <c r="Q361" s="8">
        <f t="shared" si="61"/>
        <v>11.036338383199478</v>
      </c>
      <c r="T361" s="8">
        <f t="shared" si="54"/>
        <v>11.036338383199478</v>
      </c>
    </row>
    <row r="362" spans="2:20" x14ac:dyDescent="0.2">
      <c r="B362">
        <f t="shared" si="62"/>
        <v>359</v>
      </c>
      <c r="C362">
        <f t="shared" si="56"/>
        <v>30</v>
      </c>
      <c r="D362">
        <v>336</v>
      </c>
      <c r="E362">
        <v>366</v>
      </c>
      <c r="F362">
        <f>RnSPLINE!H$15</f>
        <v>20.666666666666668</v>
      </c>
      <c r="G362">
        <f>RnSPLINE!H$16</f>
        <v>8.5714285714285712</v>
      </c>
      <c r="H362" s="10">
        <f>RnSPLINE!M$15</f>
        <v>-7.0489179375963157E-3</v>
      </c>
      <c r="I362" s="10">
        <f>RnSPLINE!M$16</f>
        <v>2.010826328882313E-2</v>
      </c>
      <c r="J362">
        <f t="shared" si="57"/>
        <v>0.23333333333333334</v>
      </c>
      <c r="K362">
        <f t="shared" si="58"/>
        <v>0.76666666666666672</v>
      </c>
      <c r="L362">
        <f t="shared" si="59"/>
        <v>313</v>
      </c>
      <c r="M362" s="8">
        <f t="shared" si="60"/>
        <v>11.393650793650796</v>
      </c>
      <c r="N362" s="6">
        <f t="shared" si="55"/>
        <v>10.673687424265982</v>
      </c>
      <c r="O362" s="8">
        <f t="shared" si="63"/>
        <v>6313.7726041326405</v>
      </c>
      <c r="P362" s="8">
        <f t="shared" si="64"/>
        <v>6337.3310828689519</v>
      </c>
      <c r="Q362" s="8">
        <f t="shared" si="61"/>
        <v>10.673687424265982</v>
      </c>
      <c r="T362" s="8">
        <f t="shared" si="54"/>
        <v>10.673687424265982</v>
      </c>
    </row>
    <row r="363" spans="2:20" x14ac:dyDescent="0.2">
      <c r="B363">
        <f t="shared" si="62"/>
        <v>360</v>
      </c>
      <c r="C363">
        <f t="shared" si="56"/>
        <v>30</v>
      </c>
      <c r="D363">
        <v>336</v>
      </c>
      <c r="E363">
        <v>366</v>
      </c>
      <c r="F363">
        <f>RnSPLINE!H$15</f>
        <v>20.666666666666668</v>
      </c>
      <c r="G363">
        <f>RnSPLINE!H$16</f>
        <v>8.5714285714285712</v>
      </c>
      <c r="H363" s="10">
        <f>RnSPLINE!M$15</f>
        <v>-7.0489179375963157E-3</v>
      </c>
      <c r="I363" s="10">
        <f>RnSPLINE!M$16</f>
        <v>2.010826328882313E-2</v>
      </c>
      <c r="J363">
        <f t="shared" si="57"/>
        <v>0.2</v>
      </c>
      <c r="K363">
        <f t="shared" si="58"/>
        <v>0.8</v>
      </c>
      <c r="L363">
        <f t="shared" si="59"/>
        <v>314</v>
      </c>
      <c r="M363" s="8">
        <f t="shared" si="60"/>
        <v>10.990476190476191</v>
      </c>
      <c r="N363" s="6">
        <f t="shared" si="55"/>
        <v>10.324808053001805</v>
      </c>
      <c r="O363" s="8">
        <f t="shared" si="63"/>
        <v>6324.7630803231168</v>
      </c>
      <c r="P363" s="8">
        <f t="shared" si="64"/>
        <v>6347.6558909219539</v>
      </c>
      <c r="Q363" s="8">
        <f t="shared" si="61"/>
        <v>10.324808053001805</v>
      </c>
      <c r="T363" s="8">
        <f t="shared" si="54"/>
        <v>10.324808053001805</v>
      </c>
    </row>
    <row r="364" spans="2:20" x14ac:dyDescent="0.2">
      <c r="B364">
        <f t="shared" si="62"/>
        <v>361</v>
      </c>
      <c r="C364">
        <f t="shared" si="56"/>
        <v>30</v>
      </c>
      <c r="D364">
        <v>336</v>
      </c>
      <c r="E364">
        <v>366</v>
      </c>
      <c r="F364">
        <f>RnSPLINE!H$15</f>
        <v>20.666666666666668</v>
      </c>
      <c r="G364">
        <f>RnSPLINE!H$16</f>
        <v>8.5714285714285712</v>
      </c>
      <c r="H364" s="10">
        <f>RnSPLINE!M$15</f>
        <v>-7.0489179375963157E-3</v>
      </c>
      <c r="I364" s="10">
        <f>RnSPLINE!M$16</f>
        <v>2.010826328882313E-2</v>
      </c>
      <c r="J364">
        <f t="shared" si="57"/>
        <v>0.16666666666666666</v>
      </c>
      <c r="K364">
        <f t="shared" si="58"/>
        <v>0.83333333333333337</v>
      </c>
      <c r="L364">
        <f t="shared" si="59"/>
        <v>315</v>
      </c>
      <c r="M364" s="8">
        <f t="shared" si="60"/>
        <v>10.587301587301589</v>
      </c>
      <c r="N364" s="6">
        <f t="shared" si="55"/>
        <v>9.9906055087811723</v>
      </c>
      <c r="O364" s="8">
        <f t="shared" si="63"/>
        <v>6335.350381910418</v>
      </c>
      <c r="P364" s="8">
        <f t="shared" si="64"/>
        <v>6357.6464964307352</v>
      </c>
      <c r="Q364" s="8">
        <f t="shared" si="61"/>
        <v>9.9906055087811723</v>
      </c>
      <c r="T364" s="8">
        <f t="shared" si="54"/>
        <v>9.9906055087811723</v>
      </c>
    </row>
    <row r="365" spans="2:20" x14ac:dyDescent="0.2">
      <c r="B365">
        <f t="shared" si="62"/>
        <v>362</v>
      </c>
      <c r="C365">
        <f t="shared" si="56"/>
        <v>30</v>
      </c>
      <c r="D365">
        <v>336</v>
      </c>
      <c r="E365">
        <v>366</v>
      </c>
      <c r="F365">
        <f>RnSPLINE!H$15</f>
        <v>20.666666666666668</v>
      </c>
      <c r="G365">
        <f>RnSPLINE!H$16</f>
        <v>8.5714285714285712</v>
      </c>
      <c r="H365" s="10">
        <f>RnSPLINE!M$15</f>
        <v>-7.0489179375963157E-3</v>
      </c>
      <c r="I365" s="10">
        <f>RnSPLINE!M$16</f>
        <v>2.010826328882313E-2</v>
      </c>
      <c r="J365">
        <f t="shared" si="57"/>
        <v>0.13333333333333333</v>
      </c>
      <c r="K365">
        <f t="shared" si="58"/>
        <v>0.8666666666666667</v>
      </c>
      <c r="L365">
        <f t="shared" si="59"/>
        <v>316</v>
      </c>
      <c r="M365" s="8">
        <f t="shared" si="60"/>
        <v>10.184126984126983</v>
      </c>
      <c r="N365" s="6">
        <f t="shared" si="55"/>
        <v>9.6719850309782878</v>
      </c>
      <c r="O365" s="8">
        <f t="shared" si="63"/>
        <v>6345.5345088945451</v>
      </c>
      <c r="P365" s="8">
        <f t="shared" si="64"/>
        <v>6367.3184814617134</v>
      </c>
      <c r="Q365" s="8">
        <f t="shared" si="61"/>
        <v>9.6719850309782878</v>
      </c>
      <c r="T365" s="8">
        <f t="shared" si="54"/>
        <v>9.6719850309782878</v>
      </c>
    </row>
    <row r="366" spans="2:20" x14ac:dyDescent="0.2">
      <c r="B366">
        <f t="shared" si="62"/>
        <v>363</v>
      </c>
      <c r="C366">
        <f t="shared" si="56"/>
        <v>30</v>
      </c>
      <c r="D366">
        <v>336</v>
      </c>
      <c r="E366">
        <v>366</v>
      </c>
      <c r="F366">
        <f>RnSPLINE!H$15</f>
        <v>20.666666666666668</v>
      </c>
      <c r="G366">
        <f>RnSPLINE!H$16</f>
        <v>8.5714285714285712</v>
      </c>
      <c r="H366" s="10">
        <f>RnSPLINE!M$15</f>
        <v>-7.0489179375963157E-3</v>
      </c>
      <c r="I366" s="10">
        <f>RnSPLINE!M$16</f>
        <v>2.010826328882313E-2</v>
      </c>
      <c r="J366">
        <f t="shared" si="57"/>
        <v>0.1</v>
      </c>
      <c r="K366">
        <f t="shared" si="58"/>
        <v>0.9</v>
      </c>
      <c r="L366">
        <f t="shared" si="59"/>
        <v>317</v>
      </c>
      <c r="M366" s="8">
        <f t="shared" si="60"/>
        <v>9.7809523809523817</v>
      </c>
      <c r="N366" s="6">
        <f t="shared" si="55"/>
        <v>9.3698518589673743</v>
      </c>
      <c r="O366" s="8">
        <f t="shared" si="63"/>
        <v>6355.315461275497</v>
      </c>
      <c r="P366" s="8">
        <f t="shared" si="64"/>
        <v>6376.6883333206806</v>
      </c>
      <c r="Q366" s="8">
        <f t="shared" si="61"/>
        <v>9.3698518589673743</v>
      </c>
      <c r="T366" s="8">
        <f t="shared" si="54"/>
        <v>9.3698518589673743</v>
      </c>
    </row>
    <row r="367" spans="2:20" x14ac:dyDescent="0.2">
      <c r="B367">
        <f t="shared" si="62"/>
        <v>364</v>
      </c>
      <c r="C367">
        <f t="shared" si="56"/>
        <v>30</v>
      </c>
      <c r="D367">
        <v>336</v>
      </c>
      <c r="E367">
        <v>366</v>
      </c>
      <c r="F367">
        <f>RnSPLINE!H$15</f>
        <v>20.666666666666668</v>
      </c>
      <c r="G367">
        <f>RnSPLINE!H$16</f>
        <v>8.5714285714285712</v>
      </c>
      <c r="H367" s="10">
        <f>RnSPLINE!M$15</f>
        <v>-7.0489179375963157E-3</v>
      </c>
      <c r="I367" s="10">
        <f>RnSPLINE!M$16</f>
        <v>2.010826328882313E-2</v>
      </c>
      <c r="J367">
        <f t="shared" si="57"/>
        <v>6.6666666666666666E-2</v>
      </c>
      <c r="K367">
        <f t="shared" si="58"/>
        <v>0.93333333333333335</v>
      </c>
      <c r="L367">
        <f t="shared" si="59"/>
        <v>318</v>
      </c>
      <c r="M367" s="8">
        <f t="shared" si="60"/>
        <v>9.3777777777777782</v>
      </c>
      <c r="N367" s="6">
        <f t="shared" si="55"/>
        <v>9.0851112321226406</v>
      </c>
      <c r="O367" s="8">
        <f t="shared" si="63"/>
        <v>6364.6932390532747</v>
      </c>
      <c r="P367" s="8">
        <f t="shared" si="64"/>
        <v>6385.7734445528031</v>
      </c>
      <c r="Q367" s="8">
        <f t="shared" si="61"/>
        <v>9.0851112321226406</v>
      </c>
      <c r="T367" s="8">
        <f t="shared" si="54"/>
        <v>9.0851112321226406</v>
      </c>
    </row>
    <row r="368" spans="2:20" x14ac:dyDescent="0.2">
      <c r="B368">
        <f t="shared" si="62"/>
        <v>365</v>
      </c>
      <c r="C368">
        <f t="shared" si="56"/>
        <v>30</v>
      </c>
      <c r="D368">
        <v>336</v>
      </c>
      <c r="E368">
        <v>366</v>
      </c>
      <c r="F368">
        <f>RnSPLINE!H$15</f>
        <v>20.666666666666668</v>
      </c>
      <c r="G368">
        <f>RnSPLINE!H$16</f>
        <v>8.5714285714285712</v>
      </c>
      <c r="H368" s="10">
        <f>RnSPLINE!M$15</f>
        <v>-7.0489179375963157E-3</v>
      </c>
      <c r="I368" s="10">
        <f>RnSPLINE!M$16</f>
        <v>2.010826328882313E-2</v>
      </c>
      <c r="J368">
        <f t="shared" si="57"/>
        <v>3.3333333333333333E-2</v>
      </c>
      <c r="K368">
        <f t="shared" si="58"/>
        <v>0.96666666666666667</v>
      </c>
      <c r="L368">
        <f t="shared" si="59"/>
        <v>319</v>
      </c>
      <c r="M368" s="8">
        <f t="shared" si="60"/>
        <v>8.9746031746031729</v>
      </c>
      <c r="N368" s="6">
        <f t="shared" si="55"/>
        <v>8.8186683898182991</v>
      </c>
      <c r="O368" s="8">
        <f t="shared" si="63"/>
        <v>6373.6678422278783</v>
      </c>
      <c r="P368" s="8">
        <f t="shared" si="64"/>
        <v>6394.5921129426215</v>
      </c>
      <c r="Q368" s="8">
        <f t="shared" si="61"/>
        <v>8.8186683898182991</v>
      </c>
      <c r="T368" s="8">
        <f t="shared" si="54"/>
        <v>8.8186683898182991</v>
      </c>
    </row>
    <row r="369" spans="1:20" x14ac:dyDescent="0.2">
      <c r="A369">
        <v>366</v>
      </c>
      <c r="B369">
        <f t="shared" si="62"/>
        <v>366</v>
      </c>
      <c r="C369">
        <f t="shared" si="56"/>
        <v>30</v>
      </c>
      <c r="D369">
        <v>336</v>
      </c>
      <c r="E369">
        <v>366</v>
      </c>
      <c r="F369">
        <f>RnSPLINE!H$15</f>
        <v>20.666666666666668</v>
      </c>
      <c r="G369">
        <f>RnSPLINE!H$16</f>
        <v>8.5714285714285712</v>
      </c>
      <c r="H369" s="10">
        <f>RnSPLINE!M$15</f>
        <v>-7.0489179375963157E-3</v>
      </c>
      <c r="I369" s="10">
        <f>RnSPLINE!M$16</f>
        <v>2.010826328882313E-2</v>
      </c>
      <c r="J369">
        <f t="shared" si="57"/>
        <v>0</v>
      </c>
      <c r="K369">
        <f t="shared" si="58"/>
        <v>1</v>
      </c>
      <c r="L369">
        <f t="shared" si="59"/>
        <v>320</v>
      </c>
      <c r="M369" s="8">
        <f t="shared" si="60"/>
        <v>8.5714285714285712</v>
      </c>
      <c r="N369" s="6">
        <f t="shared" si="55"/>
        <v>8.5714285714285712</v>
      </c>
      <c r="O369" s="8">
        <f t="shared" si="63"/>
        <v>6382.2392707993067</v>
      </c>
      <c r="P369" s="8">
        <f t="shared" si="64"/>
        <v>6403.1635415140499</v>
      </c>
      <c r="Q369" s="8">
        <f t="shared" si="61"/>
        <v>8.5714285714285712</v>
      </c>
      <c r="T369" s="8">
        <f t="shared" si="54"/>
        <v>8.5714285714285712</v>
      </c>
    </row>
    <row r="370" spans="1:20" x14ac:dyDescent="0.2">
      <c r="B370">
        <f t="shared" si="62"/>
        <v>367</v>
      </c>
      <c r="C370">
        <f t="shared" si="56"/>
        <v>31</v>
      </c>
      <c r="D370">
        <v>366</v>
      </c>
      <c r="E370">
        <v>397</v>
      </c>
      <c r="F370">
        <f>RnSPLINE!H$16</f>
        <v>8.5714285714285712</v>
      </c>
      <c r="G370">
        <f>RnSPLINE!H$17</f>
        <v>6.3265306122448974</v>
      </c>
      <c r="H370" s="10">
        <f>RnSPLINE!M$16</f>
        <v>2.010826328882313E-2</v>
      </c>
      <c r="I370" s="10">
        <f>RnSPLINE!M$17</f>
        <v>-8.2964304276694489E-3</v>
      </c>
      <c r="J370">
        <f t="shared" si="57"/>
        <v>0.967741935483871</v>
      </c>
      <c r="K370">
        <f t="shared" si="58"/>
        <v>3.2258064516129031E-2</v>
      </c>
      <c r="L370">
        <f t="shared" si="59"/>
        <v>321</v>
      </c>
      <c r="M370" s="8">
        <f t="shared" si="60"/>
        <v>8.4990125082290984</v>
      </c>
      <c r="N370" s="6">
        <f t="shared" si="55"/>
        <v>8.3439934296915528</v>
      </c>
      <c r="O370" s="8">
        <f t="shared" si="63"/>
        <v>6390.7382833075362</v>
      </c>
      <c r="P370" s="8">
        <f t="shared" si="64"/>
        <v>6411.5075349437411</v>
      </c>
      <c r="Q370" s="8">
        <f t="shared" si="61"/>
        <v>8.3439934296915528</v>
      </c>
      <c r="T370" s="8">
        <f t="shared" ref="T370:T414" si="65">N370</f>
        <v>8.3439934296915528</v>
      </c>
    </row>
    <row r="371" spans="1:20" x14ac:dyDescent="0.2">
      <c r="B371">
        <f t="shared" si="62"/>
        <v>368</v>
      </c>
      <c r="C371">
        <f t="shared" si="56"/>
        <v>31</v>
      </c>
      <c r="D371">
        <v>366</v>
      </c>
      <c r="E371">
        <v>397</v>
      </c>
      <c r="F371">
        <f>RnSPLINE!H$16</f>
        <v>8.5714285714285712</v>
      </c>
      <c r="G371">
        <f>RnSPLINE!H$17</f>
        <v>6.3265306122448974</v>
      </c>
      <c r="H371" s="10">
        <f>RnSPLINE!M$16</f>
        <v>2.010826328882313E-2</v>
      </c>
      <c r="I371" s="10">
        <f>RnSPLINE!M$17</f>
        <v>-8.2964304276694489E-3</v>
      </c>
      <c r="J371">
        <f t="shared" si="57"/>
        <v>0.93548387096774188</v>
      </c>
      <c r="K371">
        <f t="shared" si="58"/>
        <v>6.4516129032258063E-2</v>
      </c>
      <c r="L371">
        <f t="shared" si="59"/>
        <v>322</v>
      </c>
      <c r="M371" s="8">
        <f t="shared" si="60"/>
        <v>8.4265964450296238</v>
      </c>
      <c r="N371" s="6">
        <f t="shared" si="55"/>
        <v>8.1357502708008855</v>
      </c>
      <c r="O371" s="8">
        <f t="shared" si="63"/>
        <v>6399.1648797525659</v>
      </c>
      <c r="P371" s="8">
        <f t="shared" si="64"/>
        <v>6419.6432852145417</v>
      </c>
      <c r="Q371" s="8">
        <f t="shared" si="61"/>
        <v>8.1357502708008855</v>
      </c>
      <c r="T371" s="8">
        <f t="shared" si="65"/>
        <v>8.1357502708008855</v>
      </c>
    </row>
    <row r="372" spans="1:20" x14ac:dyDescent="0.2">
      <c r="B372">
        <f t="shared" si="62"/>
        <v>369</v>
      </c>
      <c r="C372">
        <f t="shared" si="56"/>
        <v>31</v>
      </c>
      <c r="D372">
        <v>366</v>
      </c>
      <c r="E372">
        <v>397</v>
      </c>
      <c r="F372">
        <f>RnSPLINE!H$16</f>
        <v>8.5714285714285712</v>
      </c>
      <c r="G372">
        <f>RnSPLINE!H$17</f>
        <v>6.3265306122448974</v>
      </c>
      <c r="H372" s="10">
        <f>RnSPLINE!M$16</f>
        <v>2.010826328882313E-2</v>
      </c>
      <c r="I372" s="10">
        <f>RnSPLINE!M$17</f>
        <v>-8.2964304276694489E-3</v>
      </c>
      <c r="J372">
        <f t="shared" si="57"/>
        <v>0.90322580645161288</v>
      </c>
      <c r="K372">
        <f t="shared" si="58"/>
        <v>9.6774193548387094E-2</v>
      </c>
      <c r="L372">
        <f t="shared" si="59"/>
        <v>323</v>
      </c>
      <c r="M372" s="8">
        <f t="shared" si="60"/>
        <v>8.354180381830151</v>
      </c>
      <c r="N372" s="6">
        <f t="shared" si="55"/>
        <v>7.9457828143141107</v>
      </c>
      <c r="O372" s="8">
        <f t="shared" si="63"/>
        <v>6407.5190601343957</v>
      </c>
      <c r="P372" s="8">
        <f t="shared" si="64"/>
        <v>6427.5890680288558</v>
      </c>
      <c r="Q372" s="8">
        <f t="shared" si="61"/>
        <v>7.9457828143141107</v>
      </c>
      <c r="T372" s="8">
        <f t="shared" si="65"/>
        <v>7.9457828143141107</v>
      </c>
    </row>
    <row r="373" spans="1:20" x14ac:dyDescent="0.2">
      <c r="B373">
        <f t="shared" si="62"/>
        <v>370</v>
      </c>
      <c r="C373">
        <f t="shared" si="56"/>
        <v>31</v>
      </c>
      <c r="D373">
        <v>366</v>
      </c>
      <c r="E373">
        <v>397</v>
      </c>
      <c r="F373">
        <f>RnSPLINE!H$16</f>
        <v>8.5714285714285712</v>
      </c>
      <c r="G373">
        <f>RnSPLINE!H$17</f>
        <v>6.3265306122448974</v>
      </c>
      <c r="H373" s="10">
        <f>RnSPLINE!M$16</f>
        <v>2.010826328882313E-2</v>
      </c>
      <c r="I373" s="10">
        <f>RnSPLINE!M$17</f>
        <v>-8.2964304276694489E-3</v>
      </c>
      <c r="J373">
        <f t="shared" si="57"/>
        <v>0.87096774193548387</v>
      </c>
      <c r="K373">
        <f t="shared" si="58"/>
        <v>0.12903225806451613</v>
      </c>
      <c r="L373">
        <f t="shared" si="59"/>
        <v>324</v>
      </c>
      <c r="M373" s="8">
        <f t="shared" si="60"/>
        <v>8.2817643186306782</v>
      </c>
      <c r="N373" s="6">
        <f t="shared" si="55"/>
        <v>7.7731747797887554</v>
      </c>
      <c r="O373" s="8">
        <f t="shared" si="63"/>
        <v>6415.8008244530265</v>
      </c>
      <c r="P373" s="8">
        <f t="shared" si="64"/>
        <v>6435.3622428086446</v>
      </c>
      <c r="Q373" s="8">
        <f t="shared" si="61"/>
        <v>7.7731747797887554</v>
      </c>
      <c r="T373" s="8">
        <f t="shared" si="65"/>
        <v>7.7731747797887554</v>
      </c>
    </row>
    <row r="374" spans="1:20" x14ac:dyDescent="0.2">
      <c r="B374">
        <f t="shared" si="62"/>
        <v>371</v>
      </c>
      <c r="C374">
        <f t="shared" si="56"/>
        <v>31</v>
      </c>
      <c r="D374">
        <v>366</v>
      </c>
      <c r="E374">
        <v>397</v>
      </c>
      <c r="F374">
        <f>RnSPLINE!H$16</f>
        <v>8.5714285714285712</v>
      </c>
      <c r="G374">
        <f>RnSPLINE!H$17</f>
        <v>6.3265306122448974</v>
      </c>
      <c r="H374" s="10">
        <f>RnSPLINE!M$16</f>
        <v>2.010826328882313E-2</v>
      </c>
      <c r="I374" s="10">
        <f>RnSPLINE!M$17</f>
        <v>-8.2964304276694489E-3</v>
      </c>
      <c r="J374">
        <f t="shared" si="57"/>
        <v>0.83870967741935487</v>
      </c>
      <c r="K374">
        <f t="shared" si="58"/>
        <v>0.16129032258064516</v>
      </c>
      <c r="L374">
        <f t="shared" si="59"/>
        <v>325</v>
      </c>
      <c r="M374" s="8">
        <f t="shared" si="60"/>
        <v>8.2093482554312054</v>
      </c>
      <c r="N374" s="6">
        <f t="shared" si="55"/>
        <v>7.6170098867823537</v>
      </c>
      <c r="O374" s="8">
        <f t="shared" si="63"/>
        <v>6424.0101727084575</v>
      </c>
      <c r="P374" s="8">
        <f t="shared" si="64"/>
        <v>6442.979252695427</v>
      </c>
      <c r="Q374" s="8">
        <f t="shared" si="61"/>
        <v>7.6170098867823537</v>
      </c>
      <c r="T374" s="8">
        <f t="shared" si="65"/>
        <v>7.6170098867823537</v>
      </c>
    </row>
    <row r="375" spans="1:20" x14ac:dyDescent="0.2">
      <c r="B375">
        <f t="shared" si="62"/>
        <v>372</v>
      </c>
      <c r="C375">
        <f t="shared" si="56"/>
        <v>31</v>
      </c>
      <c r="D375">
        <v>366</v>
      </c>
      <c r="E375">
        <v>397</v>
      </c>
      <c r="F375">
        <f>RnSPLINE!H$16</f>
        <v>8.5714285714285712</v>
      </c>
      <c r="G375">
        <f>RnSPLINE!H$17</f>
        <v>6.3265306122448974</v>
      </c>
      <c r="H375" s="10">
        <f>RnSPLINE!M$16</f>
        <v>2.010826328882313E-2</v>
      </c>
      <c r="I375" s="10">
        <f>RnSPLINE!M$17</f>
        <v>-8.2964304276694489E-3</v>
      </c>
      <c r="J375">
        <f t="shared" si="57"/>
        <v>0.80645161290322576</v>
      </c>
      <c r="K375">
        <f t="shared" si="58"/>
        <v>0.19354838709677419</v>
      </c>
      <c r="L375">
        <f t="shared" si="59"/>
        <v>326</v>
      </c>
      <c r="M375" s="8">
        <f t="shared" si="60"/>
        <v>8.1369321922317308</v>
      </c>
      <c r="N375" s="6">
        <f t="shared" ref="N375:N408" si="66">Q375</f>
        <v>7.4763718548524354</v>
      </c>
      <c r="O375" s="8">
        <f t="shared" si="63"/>
        <v>6432.1471049006896</v>
      </c>
      <c r="P375" s="8">
        <f t="shared" si="64"/>
        <v>6450.455624550279</v>
      </c>
      <c r="Q375" s="8">
        <f t="shared" si="61"/>
        <v>7.4763718548524354</v>
      </c>
      <c r="T375" s="8">
        <f t="shared" si="65"/>
        <v>7.4763718548524354</v>
      </c>
    </row>
    <row r="376" spans="1:20" x14ac:dyDescent="0.2">
      <c r="B376">
        <f t="shared" si="62"/>
        <v>373</v>
      </c>
      <c r="C376">
        <f t="shared" si="56"/>
        <v>31</v>
      </c>
      <c r="D376">
        <v>366</v>
      </c>
      <c r="E376">
        <v>397</v>
      </c>
      <c r="F376">
        <f>RnSPLINE!H$16</f>
        <v>8.5714285714285712</v>
      </c>
      <c r="G376">
        <f>RnSPLINE!H$17</f>
        <v>6.3265306122448974</v>
      </c>
      <c r="H376" s="10">
        <f>RnSPLINE!M$16</f>
        <v>2.010826328882313E-2</v>
      </c>
      <c r="I376" s="10">
        <f>RnSPLINE!M$17</f>
        <v>-8.2964304276694489E-3</v>
      </c>
      <c r="J376">
        <f t="shared" si="57"/>
        <v>0.77419354838709675</v>
      </c>
      <c r="K376">
        <f t="shared" si="58"/>
        <v>0.22580645161290322</v>
      </c>
      <c r="L376">
        <f t="shared" si="59"/>
        <v>327</v>
      </c>
      <c r="M376" s="8">
        <f t="shared" si="60"/>
        <v>8.064516129032258</v>
      </c>
      <c r="N376" s="6">
        <f t="shared" si="66"/>
        <v>7.3503444035565382</v>
      </c>
      <c r="O376" s="8">
        <f t="shared" si="63"/>
        <v>6440.2116210297218</v>
      </c>
      <c r="P376" s="8">
        <f t="shared" si="64"/>
        <v>6457.8059689538359</v>
      </c>
      <c r="Q376" s="8">
        <f t="shared" si="61"/>
        <v>7.3503444035565382</v>
      </c>
      <c r="T376" s="8">
        <f t="shared" si="65"/>
        <v>7.3503444035565382</v>
      </c>
    </row>
    <row r="377" spans="1:20" x14ac:dyDescent="0.2">
      <c r="B377">
        <f t="shared" si="62"/>
        <v>374</v>
      </c>
      <c r="C377">
        <f t="shared" si="56"/>
        <v>31</v>
      </c>
      <c r="D377">
        <v>366</v>
      </c>
      <c r="E377">
        <v>397</v>
      </c>
      <c r="F377">
        <f>RnSPLINE!H$16</f>
        <v>8.5714285714285712</v>
      </c>
      <c r="G377">
        <f>RnSPLINE!H$17</f>
        <v>6.3265306122448974</v>
      </c>
      <c r="H377" s="10">
        <f>RnSPLINE!M$16</f>
        <v>2.010826328882313E-2</v>
      </c>
      <c r="I377" s="10">
        <f>RnSPLINE!M$17</f>
        <v>-8.2964304276694489E-3</v>
      </c>
      <c r="J377">
        <f t="shared" si="57"/>
        <v>0.74193548387096775</v>
      </c>
      <c r="K377">
        <f t="shared" si="58"/>
        <v>0.25806451612903225</v>
      </c>
      <c r="L377">
        <f t="shared" si="59"/>
        <v>328</v>
      </c>
      <c r="M377" s="8">
        <f t="shared" si="60"/>
        <v>7.9921000658327843</v>
      </c>
      <c r="N377" s="6">
        <f t="shared" si="66"/>
        <v>7.2380112524521891</v>
      </c>
      <c r="O377" s="8">
        <f t="shared" si="63"/>
        <v>6448.2037210955541</v>
      </c>
      <c r="P377" s="8">
        <f t="shared" si="64"/>
        <v>6465.0439802062883</v>
      </c>
      <c r="Q377" s="8">
        <f t="shared" si="61"/>
        <v>7.2380112524521891</v>
      </c>
      <c r="T377" s="8">
        <f t="shared" si="65"/>
        <v>7.2380112524521891</v>
      </c>
    </row>
    <row r="378" spans="1:20" x14ac:dyDescent="0.2">
      <c r="B378">
        <f t="shared" si="62"/>
        <v>375</v>
      </c>
      <c r="C378">
        <f t="shared" si="56"/>
        <v>31</v>
      </c>
      <c r="D378">
        <v>366</v>
      </c>
      <c r="E378">
        <v>397</v>
      </c>
      <c r="F378">
        <f>RnSPLINE!H$16</f>
        <v>8.5714285714285712</v>
      </c>
      <c r="G378">
        <f>RnSPLINE!H$17</f>
        <v>6.3265306122448974</v>
      </c>
      <c r="H378" s="10">
        <f>RnSPLINE!M$16</f>
        <v>2.010826328882313E-2</v>
      </c>
      <c r="I378" s="10">
        <f>RnSPLINE!M$17</f>
        <v>-8.2964304276694489E-3</v>
      </c>
      <c r="J378">
        <f t="shared" si="57"/>
        <v>0.70967741935483875</v>
      </c>
      <c r="K378">
        <f t="shared" si="58"/>
        <v>0.29032258064516131</v>
      </c>
      <c r="L378">
        <f t="shared" si="59"/>
        <v>329</v>
      </c>
      <c r="M378" s="8">
        <f t="shared" si="60"/>
        <v>7.9196840026333115</v>
      </c>
      <c r="N378" s="6">
        <f t="shared" si="66"/>
        <v>7.1384561210969251</v>
      </c>
      <c r="O378" s="8">
        <f t="shared" si="63"/>
        <v>6456.1234050981875</v>
      </c>
      <c r="P378" s="8">
        <f t="shared" si="64"/>
        <v>6472.1824363273854</v>
      </c>
      <c r="Q378" s="8">
        <f t="shared" si="61"/>
        <v>7.1384561210969251</v>
      </c>
      <c r="T378" s="8">
        <f t="shared" si="65"/>
        <v>7.1384561210969251</v>
      </c>
    </row>
    <row r="379" spans="1:20" x14ac:dyDescent="0.2">
      <c r="B379">
        <f t="shared" si="62"/>
        <v>376</v>
      </c>
      <c r="C379">
        <f t="shared" si="56"/>
        <v>31</v>
      </c>
      <c r="D379">
        <v>366</v>
      </c>
      <c r="E379">
        <v>397</v>
      </c>
      <c r="F379">
        <f>RnSPLINE!H$16</f>
        <v>8.5714285714285712</v>
      </c>
      <c r="G379">
        <f>RnSPLINE!H$17</f>
        <v>6.3265306122448974</v>
      </c>
      <c r="H379" s="10">
        <f>RnSPLINE!M$16</f>
        <v>2.010826328882313E-2</v>
      </c>
      <c r="I379" s="10">
        <f>RnSPLINE!M$17</f>
        <v>-8.2964304276694489E-3</v>
      </c>
      <c r="J379">
        <f t="shared" si="57"/>
        <v>0.67741935483870963</v>
      </c>
      <c r="K379">
        <f t="shared" si="58"/>
        <v>0.32258064516129031</v>
      </c>
      <c r="L379">
        <f t="shared" si="59"/>
        <v>330</v>
      </c>
      <c r="M379" s="8">
        <f t="shared" si="60"/>
        <v>7.8472679394338369</v>
      </c>
      <c r="N379" s="6">
        <f t="shared" si="66"/>
        <v>7.0507627290482748</v>
      </c>
      <c r="O379" s="8">
        <f t="shared" si="63"/>
        <v>6463.9706730376211</v>
      </c>
      <c r="P379" s="8">
        <f t="shared" si="64"/>
        <v>6479.2331990564335</v>
      </c>
      <c r="Q379" s="8">
        <f t="shared" si="61"/>
        <v>7.0507627290482748</v>
      </c>
      <c r="T379" s="8">
        <f t="shared" si="65"/>
        <v>7.0507627290482748</v>
      </c>
    </row>
    <row r="380" spans="1:20" x14ac:dyDescent="0.2">
      <c r="B380">
        <f t="shared" si="62"/>
        <v>377</v>
      </c>
      <c r="C380">
        <f t="shared" si="56"/>
        <v>31</v>
      </c>
      <c r="D380">
        <v>366</v>
      </c>
      <c r="E380">
        <v>397</v>
      </c>
      <c r="F380">
        <f>RnSPLINE!H$16</f>
        <v>8.5714285714285712</v>
      </c>
      <c r="G380">
        <f>RnSPLINE!H$17</f>
        <v>6.3265306122448974</v>
      </c>
      <c r="H380" s="10">
        <f>RnSPLINE!M$16</f>
        <v>2.010826328882313E-2</v>
      </c>
      <c r="I380" s="10">
        <f>RnSPLINE!M$17</f>
        <v>-8.2964304276694489E-3</v>
      </c>
      <c r="J380">
        <f t="shared" si="57"/>
        <v>0.64516129032258063</v>
      </c>
      <c r="K380">
        <f t="shared" si="58"/>
        <v>0.35483870967741937</v>
      </c>
      <c r="L380">
        <f t="shared" si="59"/>
        <v>331</v>
      </c>
      <c r="M380" s="8">
        <f t="shared" si="60"/>
        <v>7.774851876234365</v>
      </c>
      <c r="N380" s="6">
        <f t="shared" si="66"/>
        <v>6.9740147958637744</v>
      </c>
      <c r="O380" s="8">
        <f t="shared" si="63"/>
        <v>6471.7455249138557</v>
      </c>
      <c r="P380" s="8">
        <f t="shared" si="64"/>
        <v>6486.2072138522972</v>
      </c>
      <c r="Q380" s="8">
        <f t="shared" si="61"/>
        <v>6.9740147958637744</v>
      </c>
      <c r="T380" s="8">
        <f t="shared" si="65"/>
        <v>6.9740147958637744</v>
      </c>
    </row>
    <row r="381" spans="1:20" x14ac:dyDescent="0.2">
      <c r="B381">
        <f t="shared" si="62"/>
        <v>378</v>
      </c>
      <c r="C381">
        <f t="shared" si="56"/>
        <v>31</v>
      </c>
      <c r="D381">
        <v>366</v>
      </c>
      <c r="E381">
        <v>397</v>
      </c>
      <c r="F381">
        <f>RnSPLINE!H$16</f>
        <v>8.5714285714285712</v>
      </c>
      <c r="G381">
        <f>RnSPLINE!H$17</f>
        <v>6.3265306122448974</v>
      </c>
      <c r="H381" s="10">
        <f>RnSPLINE!M$16</f>
        <v>2.010826328882313E-2</v>
      </c>
      <c r="I381" s="10">
        <f>RnSPLINE!M$17</f>
        <v>-8.2964304276694489E-3</v>
      </c>
      <c r="J381">
        <f t="shared" si="57"/>
        <v>0.61290322580645162</v>
      </c>
      <c r="K381">
        <f t="shared" si="58"/>
        <v>0.38709677419354838</v>
      </c>
      <c r="L381">
        <f t="shared" si="59"/>
        <v>332</v>
      </c>
      <c r="M381" s="8">
        <f t="shared" si="60"/>
        <v>7.7024358130348904</v>
      </c>
      <c r="N381" s="6">
        <f t="shared" si="66"/>
        <v>6.9072960411009525</v>
      </c>
      <c r="O381" s="8">
        <f t="shared" si="63"/>
        <v>6479.4479607268904</v>
      </c>
      <c r="P381" s="8">
        <f t="shared" si="64"/>
        <v>6493.1145098933985</v>
      </c>
      <c r="Q381" s="8">
        <f t="shared" si="61"/>
        <v>6.9072960411009525</v>
      </c>
      <c r="T381" s="8">
        <f t="shared" si="65"/>
        <v>6.9072960411009525</v>
      </c>
    </row>
    <row r="382" spans="1:20" x14ac:dyDescent="0.2">
      <c r="B382">
        <f t="shared" si="62"/>
        <v>379</v>
      </c>
      <c r="C382">
        <f t="shared" si="56"/>
        <v>31</v>
      </c>
      <c r="D382">
        <v>366</v>
      </c>
      <c r="E382">
        <v>397</v>
      </c>
      <c r="F382">
        <f>RnSPLINE!H$16</f>
        <v>8.5714285714285712</v>
      </c>
      <c r="G382">
        <f>RnSPLINE!H$17</f>
        <v>6.3265306122448974</v>
      </c>
      <c r="H382" s="10">
        <f>RnSPLINE!M$16</f>
        <v>2.010826328882313E-2</v>
      </c>
      <c r="I382" s="10">
        <f>RnSPLINE!M$17</f>
        <v>-8.2964304276694489E-3</v>
      </c>
      <c r="J382">
        <f t="shared" si="57"/>
        <v>0.58064516129032262</v>
      </c>
      <c r="K382">
        <f t="shared" si="58"/>
        <v>0.41935483870967744</v>
      </c>
      <c r="L382">
        <f t="shared" si="59"/>
        <v>333</v>
      </c>
      <c r="M382" s="8">
        <f t="shared" si="60"/>
        <v>7.6300197498354176</v>
      </c>
      <c r="N382" s="6">
        <f t="shared" si="66"/>
        <v>6.8496901843173461</v>
      </c>
      <c r="O382" s="8">
        <f t="shared" si="63"/>
        <v>6487.0779804767262</v>
      </c>
      <c r="P382" s="8">
        <f t="shared" si="64"/>
        <v>6499.9642000777158</v>
      </c>
      <c r="Q382" s="8">
        <f t="shared" si="61"/>
        <v>6.8496901843173461</v>
      </c>
      <c r="T382" s="8">
        <f t="shared" si="65"/>
        <v>6.8496901843173461</v>
      </c>
    </row>
    <row r="383" spans="1:20" x14ac:dyDescent="0.2">
      <c r="B383">
        <f t="shared" si="62"/>
        <v>380</v>
      </c>
      <c r="C383">
        <f t="shared" si="56"/>
        <v>31</v>
      </c>
      <c r="D383">
        <v>366</v>
      </c>
      <c r="E383">
        <v>397</v>
      </c>
      <c r="F383">
        <f>RnSPLINE!H$16</f>
        <v>8.5714285714285712</v>
      </c>
      <c r="G383">
        <f>RnSPLINE!H$17</f>
        <v>6.3265306122448974</v>
      </c>
      <c r="H383" s="10">
        <f>RnSPLINE!M$16</f>
        <v>2.010826328882313E-2</v>
      </c>
      <c r="I383" s="10">
        <f>RnSPLINE!M$17</f>
        <v>-8.2964304276694489E-3</v>
      </c>
      <c r="J383">
        <f t="shared" si="57"/>
        <v>0.54838709677419351</v>
      </c>
      <c r="K383">
        <f t="shared" si="58"/>
        <v>0.45161290322580644</v>
      </c>
      <c r="L383">
        <f t="shared" si="59"/>
        <v>334</v>
      </c>
      <c r="M383" s="8">
        <f t="shared" si="60"/>
        <v>7.557603686635944</v>
      </c>
      <c r="N383" s="6">
        <f t="shared" si="66"/>
        <v>6.8002809450704831</v>
      </c>
      <c r="O383" s="8">
        <f t="shared" si="63"/>
        <v>6494.6355841633622</v>
      </c>
      <c r="P383" s="8">
        <f t="shared" si="64"/>
        <v>6506.7644810227866</v>
      </c>
      <c r="Q383" s="8">
        <f t="shared" si="61"/>
        <v>6.8002809450704831</v>
      </c>
      <c r="T383" s="8">
        <f t="shared" si="65"/>
        <v>6.8002809450704831</v>
      </c>
    </row>
    <row r="384" spans="1:20" x14ac:dyDescent="0.2">
      <c r="B384">
        <f t="shared" si="62"/>
        <v>381</v>
      </c>
      <c r="C384">
        <f t="shared" si="56"/>
        <v>31</v>
      </c>
      <c r="D384">
        <v>366</v>
      </c>
      <c r="E384">
        <v>397</v>
      </c>
      <c r="F384">
        <f>RnSPLINE!H$16</f>
        <v>8.5714285714285712</v>
      </c>
      <c r="G384">
        <f>RnSPLINE!H$17</f>
        <v>6.3265306122448974</v>
      </c>
      <c r="H384" s="10">
        <f>RnSPLINE!M$16</f>
        <v>2.010826328882313E-2</v>
      </c>
      <c r="I384" s="10">
        <f>RnSPLINE!M$17</f>
        <v>-8.2964304276694489E-3</v>
      </c>
      <c r="J384">
        <f t="shared" si="57"/>
        <v>0.5161290322580645</v>
      </c>
      <c r="K384">
        <f t="shared" si="58"/>
        <v>0.4838709677419355</v>
      </c>
      <c r="L384">
        <f t="shared" si="59"/>
        <v>335</v>
      </c>
      <c r="M384" s="8">
        <f t="shared" si="60"/>
        <v>7.4851876234364703</v>
      </c>
      <c r="N384" s="6">
        <f t="shared" si="66"/>
        <v>6.7581520429178994</v>
      </c>
      <c r="O384" s="8">
        <f t="shared" si="63"/>
        <v>6502.1207717867983</v>
      </c>
      <c r="P384" s="8">
        <f t="shared" si="64"/>
        <v>6513.5226330657042</v>
      </c>
      <c r="Q384" s="8">
        <f t="shared" si="61"/>
        <v>6.7581520429178994</v>
      </c>
      <c r="T384" s="8">
        <f t="shared" si="65"/>
        <v>6.7581520429178994</v>
      </c>
    </row>
    <row r="385" spans="1:20" x14ac:dyDescent="0.2">
      <c r="B385">
        <f t="shared" si="62"/>
        <v>382</v>
      </c>
      <c r="C385">
        <f t="shared" si="56"/>
        <v>31</v>
      </c>
      <c r="D385">
        <v>366</v>
      </c>
      <c r="E385">
        <v>397</v>
      </c>
      <c r="F385">
        <f>RnSPLINE!H$16</f>
        <v>8.5714285714285712</v>
      </c>
      <c r="G385">
        <f>RnSPLINE!H$17</f>
        <v>6.3265306122448974</v>
      </c>
      <c r="H385" s="10">
        <f>RnSPLINE!M$16</f>
        <v>2.010826328882313E-2</v>
      </c>
      <c r="I385" s="10">
        <f>RnSPLINE!M$17</f>
        <v>-8.2964304276694489E-3</v>
      </c>
      <c r="J385">
        <f t="shared" si="57"/>
        <v>0.4838709677419355</v>
      </c>
      <c r="K385">
        <f t="shared" si="58"/>
        <v>0.5161290322580645</v>
      </c>
      <c r="L385">
        <f t="shared" si="59"/>
        <v>336</v>
      </c>
      <c r="M385" s="8">
        <f t="shared" si="60"/>
        <v>7.4127715602369975</v>
      </c>
      <c r="N385" s="6">
        <f t="shared" si="66"/>
        <v>6.7223871974171265</v>
      </c>
      <c r="O385" s="8">
        <f t="shared" si="63"/>
        <v>6509.5335433470354</v>
      </c>
      <c r="P385" s="8">
        <f t="shared" si="64"/>
        <v>6520.2450202631217</v>
      </c>
      <c r="Q385" s="8">
        <f t="shared" si="61"/>
        <v>6.7223871974171265</v>
      </c>
      <c r="T385" s="8">
        <f t="shared" si="65"/>
        <v>6.7223871974171265</v>
      </c>
    </row>
    <row r="386" spans="1:20" x14ac:dyDescent="0.2">
      <c r="B386">
        <f t="shared" si="62"/>
        <v>383</v>
      </c>
      <c r="C386">
        <f t="shared" si="56"/>
        <v>31</v>
      </c>
      <c r="D386">
        <v>366</v>
      </c>
      <c r="E386">
        <v>397</v>
      </c>
      <c r="F386">
        <f>RnSPLINE!H$16</f>
        <v>8.5714285714285712</v>
      </c>
      <c r="G386">
        <f>RnSPLINE!H$17</f>
        <v>6.3265306122448974</v>
      </c>
      <c r="H386" s="10">
        <f>RnSPLINE!M$16</f>
        <v>2.010826328882313E-2</v>
      </c>
      <c r="I386" s="10">
        <f>RnSPLINE!M$17</f>
        <v>-8.2964304276694489E-3</v>
      </c>
      <c r="J386">
        <f t="shared" si="57"/>
        <v>0.45161290322580644</v>
      </c>
      <c r="K386">
        <f t="shared" si="58"/>
        <v>0.54838709677419351</v>
      </c>
      <c r="L386">
        <f t="shared" si="59"/>
        <v>337</v>
      </c>
      <c r="M386" s="8">
        <f t="shared" si="60"/>
        <v>7.3403554970375238</v>
      </c>
      <c r="N386" s="6">
        <f t="shared" si="66"/>
        <v>6.692070128125696</v>
      </c>
      <c r="O386" s="8">
        <f t="shared" si="63"/>
        <v>6516.8738988440728</v>
      </c>
      <c r="P386" s="8">
        <f t="shared" si="64"/>
        <v>6526.9370903912477</v>
      </c>
      <c r="Q386" s="8">
        <f t="shared" si="61"/>
        <v>6.692070128125696</v>
      </c>
      <c r="T386" s="8">
        <f t="shared" si="65"/>
        <v>6.692070128125696</v>
      </c>
    </row>
    <row r="387" spans="1:20" x14ac:dyDescent="0.2">
      <c r="B387">
        <f t="shared" si="62"/>
        <v>384</v>
      </c>
      <c r="C387">
        <f t="shared" si="56"/>
        <v>31</v>
      </c>
      <c r="D387">
        <v>366</v>
      </c>
      <c r="E387">
        <v>397</v>
      </c>
      <c r="F387">
        <f>RnSPLINE!H$16</f>
        <v>8.5714285714285712</v>
      </c>
      <c r="G387">
        <f>RnSPLINE!H$17</f>
        <v>6.3265306122448974</v>
      </c>
      <c r="H387" s="10">
        <f>RnSPLINE!M$16</f>
        <v>2.010826328882313E-2</v>
      </c>
      <c r="I387" s="10">
        <f>RnSPLINE!M$17</f>
        <v>-8.2964304276694489E-3</v>
      </c>
      <c r="J387">
        <f t="shared" si="57"/>
        <v>0.41935483870967744</v>
      </c>
      <c r="K387">
        <f t="shared" si="58"/>
        <v>0.58064516129032262</v>
      </c>
      <c r="L387">
        <f t="shared" si="59"/>
        <v>338</v>
      </c>
      <c r="M387" s="8">
        <f t="shared" si="60"/>
        <v>7.2679394338380519</v>
      </c>
      <c r="N387" s="6">
        <f t="shared" si="66"/>
        <v>6.6662845546011429</v>
      </c>
      <c r="O387" s="8">
        <f t="shared" si="63"/>
        <v>6524.1418382779111</v>
      </c>
      <c r="P387" s="8">
        <f t="shared" si="64"/>
        <v>6533.6033749458493</v>
      </c>
      <c r="Q387" s="8">
        <f t="shared" si="61"/>
        <v>6.6662845546011429</v>
      </c>
      <c r="T387" s="8">
        <f t="shared" si="65"/>
        <v>6.6662845546011429</v>
      </c>
    </row>
    <row r="388" spans="1:20" x14ac:dyDescent="0.2">
      <c r="B388">
        <f t="shared" si="62"/>
        <v>385</v>
      </c>
      <c r="C388">
        <f t="shared" ref="C388:C451" si="67">E388-D388</f>
        <v>31</v>
      </c>
      <c r="D388">
        <v>366</v>
      </c>
      <c r="E388">
        <v>397</v>
      </c>
      <c r="F388">
        <f>RnSPLINE!H$16</f>
        <v>8.5714285714285712</v>
      </c>
      <c r="G388">
        <f>RnSPLINE!H$17</f>
        <v>6.3265306122448974</v>
      </c>
      <c r="H388" s="10">
        <f>RnSPLINE!M$16</f>
        <v>2.010826328882313E-2</v>
      </c>
      <c r="I388" s="10">
        <f>RnSPLINE!M$17</f>
        <v>-8.2964304276694489E-3</v>
      </c>
      <c r="J388">
        <f t="shared" ref="J388:J451" si="68">(E388-B388)/C388</f>
        <v>0.38709677419354838</v>
      </c>
      <c r="K388">
        <f t="shared" ref="K388:K451" si="69">(B388-D388)/C388</f>
        <v>0.61290322580645162</v>
      </c>
      <c r="L388">
        <f t="shared" ref="L388:L414" si="70">B388-46</f>
        <v>339</v>
      </c>
      <c r="M388" s="8">
        <f t="shared" ref="M388:M451" si="71">J388*F388+K388*G388</f>
        <v>7.1955233706385773</v>
      </c>
      <c r="N388" s="6">
        <f t="shared" si="66"/>
        <v>6.6441141964009951</v>
      </c>
      <c r="O388" s="8">
        <f t="shared" si="63"/>
        <v>6531.3373616485496</v>
      </c>
      <c r="P388" s="8">
        <f t="shared" si="64"/>
        <v>6540.2474891422498</v>
      </c>
      <c r="Q388" s="8">
        <f t="shared" ref="Q388:Q451" si="72">M388+(((J388^3-J388)*H388+(K388^3-K388)*I388))*(C388^2)/6</f>
        <v>6.6441141964009951</v>
      </c>
      <c r="T388" s="8">
        <f t="shared" si="65"/>
        <v>6.6441141964009951</v>
      </c>
    </row>
    <row r="389" spans="1:20" x14ac:dyDescent="0.2">
      <c r="B389">
        <f t="shared" ref="B389:B452" si="73">B388+1</f>
        <v>386</v>
      </c>
      <c r="C389">
        <f t="shared" si="67"/>
        <v>31</v>
      </c>
      <c r="D389">
        <v>366</v>
      </c>
      <c r="E389">
        <v>397</v>
      </c>
      <c r="F389">
        <f>RnSPLINE!H$16</f>
        <v>8.5714285714285712</v>
      </c>
      <c r="G389">
        <f>RnSPLINE!H$17</f>
        <v>6.3265306122448974</v>
      </c>
      <c r="H389" s="10">
        <f>RnSPLINE!M$16</f>
        <v>2.010826328882313E-2</v>
      </c>
      <c r="I389" s="10">
        <f>RnSPLINE!M$17</f>
        <v>-8.2964304276694489E-3</v>
      </c>
      <c r="J389">
        <f t="shared" si="68"/>
        <v>0.35483870967741937</v>
      </c>
      <c r="K389">
        <f t="shared" si="69"/>
        <v>0.64516129032258063</v>
      </c>
      <c r="L389">
        <f t="shared" si="70"/>
        <v>340</v>
      </c>
      <c r="M389" s="8">
        <f t="shared" si="71"/>
        <v>7.1231073074391045</v>
      </c>
      <c r="N389" s="6">
        <f t="shared" si="66"/>
        <v>6.6246427730827904</v>
      </c>
      <c r="O389" s="8">
        <f t="shared" ref="O389:O452" si="74">O388+M389</f>
        <v>6538.4604689559883</v>
      </c>
      <c r="P389" s="8">
        <f t="shared" ref="P389:P452" si="75">P388+N389</f>
        <v>6546.8721319153328</v>
      </c>
      <c r="Q389" s="8">
        <f t="shared" si="72"/>
        <v>6.6246427730827904</v>
      </c>
      <c r="T389" s="8">
        <f t="shared" si="65"/>
        <v>6.6246427730827904</v>
      </c>
    </row>
    <row r="390" spans="1:20" x14ac:dyDescent="0.2">
      <c r="B390">
        <f t="shared" si="73"/>
        <v>387</v>
      </c>
      <c r="C390">
        <f t="shared" si="67"/>
        <v>31</v>
      </c>
      <c r="D390">
        <v>366</v>
      </c>
      <c r="E390">
        <v>397</v>
      </c>
      <c r="F390">
        <f>RnSPLINE!H$16</f>
        <v>8.5714285714285712</v>
      </c>
      <c r="G390">
        <f>RnSPLINE!H$17</f>
        <v>6.3265306122448974</v>
      </c>
      <c r="H390" s="10">
        <f>RnSPLINE!M$16</f>
        <v>2.010826328882313E-2</v>
      </c>
      <c r="I390" s="10">
        <f>RnSPLINE!M$17</f>
        <v>-8.2964304276694489E-3</v>
      </c>
      <c r="J390">
        <f t="shared" si="68"/>
        <v>0.32258064516129031</v>
      </c>
      <c r="K390">
        <f t="shared" si="69"/>
        <v>0.67741935483870963</v>
      </c>
      <c r="L390">
        <f t="shared" si="70"/>
        <v>341</v>
      </c>
      <c r="M390" s="8">
        <f t="shared" si="71"/>
        <v>7.0506912442396299</v>
      </c>
      <c r="N390" s="6">
        <f t="shared" si="66"/>
        <v>6.6069540042040558</v>
      </c>
      <c r="O390" s="8">
        <f t="shared" si="74"/>
        <v>6545.511160200228</v>
      </c>
      <c r="P390" s="8">
        <f t="shared" si="75"/>
        <v>6553.4790859195373</v>
      </c>
      <c r="Q390" s="8">
        <f t="shared" si="72"/>
        <v>6.6069540042040558</v>
      </c>
      <c r="T390" s="8">
        <f t="shared" si="65"/>
        <v>6.6069540042040558</v>
      </c>
    </row>
    <row r="391" spans="1:20" x14ac:dyDescent="0.2">
      <c r="B391">
        <f t="shared" si="73"/>
        <v>388</v>
      </c>
      <c r="C391">
        <f t="shared" si="67"/>
        <v>31</v>
      </c>
      <c r="D391">
        <v>366</v>
      </c>
      <c r="E391">
        <v>397</v>
      </c>
      <c r="F391">
        <f>RnSPLINE!H$16</f>
        <v>8.5714285714285712</v>
      </c>
      <c r="G391">
        <f>RnSPLINE!H$17</f>
        <v>6.3265306122448974</v>
      </c>
      <c r="H391" s="10">
        <f>RnSPLINE!M$16</f>
        <v>2.010826328882313E-2</v>
      </c>
      <c r="I391" s="10">
        <f>RnSPLINE!M$17</f>
        <v>-8.2964304276694489E-3</v>
      </c>
      <c r="J391">
        <f t="shared" si="68"/>
        <v>0.29032258064516131</v>
      </c>
      <c r="K391">
        <f t="shared" si="69"/>
        <v>0.70967741935483875</v>
      </c>
      <c r="L391">
        <f t="shared" si="70"/>
        <v>342</v>
      </c>
      <c r="M391" s="8">
        <f t="shared" si="71"/>
        <v>6.9782751810401571</v>
      </c>
      <c r="N391" s="6">
        <f t="shared" si="66"/>
        <v>6.590131609322329</v>
      </c>
      <c r="O391" s="8">
        <f t="shared" si="74"/>
        <v>6552.4894353812679</v>
      </c>
      <c r="P391" s="8">
        <f t="shared" si="75"/>
        <v>6560.0692175288596</v>
      </c>
      <c r="Q391" s="8">
        <f t="shared" si="72"/>
        <v>6.590131609322329</v>
      </c>
      <c r="T391" s="8">
        <f t="shared" si="65"/>
        <v>6.590131609322329</v>
      </c>
    </row>
    <row r="392" spans="1:20" x14ac:dyDescent="0.2">
      <c r="B392">
        <f t="shared" si="73"/>
        <v>389</v>
      </c>
      <c r="C392">
        <f t="shared" si="67"/>
        <v>31</v>
      </c>
      <c r="D392">
        <v>366</v>
      </c>
      <c r="E392">
        <v>397</v>
      </c>
      <c r="F392">
        <f>RnSPLINE!H$16</f>
        <v>8.5714285714285712</v>
      </c>
      <c r="G392">
        <f>RnSPLINE!H$17</f>
        <v>6.3265306122448974</v>
      </c>
      <c r="H392" s="10">
        <f>RnSPLINE!M$16</f>
        <v>2.010826328882313E-2</v>
      </c>
      <c r="I392" s="10">
        <f>RnSPLINE!M$17</f>
        <v>-8.2964304276694489E-3</v>
      </c>
      <c r="J392">
        <f t="shared" si="68"/>
        <v>0.25806451612903225</v>
      </c>
      <c r="K392">
        <f t="shared" si="69"/>
        <v>0.74193548387096775</v>
      </c>
      <c r="L392">
        <f t="shared" si="70"/>
        <v>343</v>
      </c>
      <c r="M392" s="8">
        <f t="shared" si="71"/>
        <v>6.9058591178406843</v>
      </c>
      <c r="N392" s="6">
        <f t="shared" si="66"/>
        <v>6.5732593079951407</v>
      </c>
      <c r="O392" s="8">
        <f t="shared" si="74"/>
        <v>6559.3952944991088</v>
      </c>
      <c r="P392" s="8">
        <f t="shared" si="75"/>
        <v>6566.6424768368543</v>
      </c>
      <c r="Q392" s="8">
        <f t="shared" si="72"/>
        <v>6.5732593079951407</v>
      </c>
      <c r="T392" s="8">
        <f t="shared" si="65"/>
        <v>6.5732593079951407</v>
      </c>
    </row>
    <row r="393" spans="1:20" x14ac:dyDescent="0.2">
      <c r="B393">
        <f t="shared" si="73"/>
        <v>390</v>
      </c>
      <c r="C393">
        <f t="shared" si="67"/>
        <v>31</v>
      </c>
      <c r="D393">
        <v>366</v>
      </c>
      <c r="E393">
        <v>397</v>
      </c>
      <c r="F393">
        <f>RnSPLINE!H$16</f>
        <v>8.5714285714285712</v>
      </c>
      <c r="G393">
        <f>RnSPLINE!H$17</f>
        <v>6.3265306122448974</v>
      </c>
      <c r="H393" s="10">
        <f>RnSPLINE!M$16</f>
        <v>2.010826328882313E-2</v>
      </c>
      <c r="I393" s="10">
        <f>RnSPLINE!M$17</f>
        <v>-8.2964304276694489E-3</v>
      </c>
      <c r="J393">
        <f t="shared" si="68"/>
        <v>0.22580645161290322</v>
      </c>
      <c r="K393">
        <f t="shared" si="69"/>
        <v>0.77419354838709675</v>
      </c>
      <c r="L393">
        <f t="shared" si="70"/>
        <v>344</v>
      </c>
      <c r="M393" s="8">
        <f t="shared" si="71"/>
        <v>6.8334430546412106</v>
      </c>
      <c r="N393" s="6">
        <f t="shared" si="66"/>
        <v>6.5554208197800214</v>
      </c>
      <c r="O393" s="8">
        <f t="shared" si="74"/>
        <v>6566.2287375537499</v>
      </c>
      <c r="P393" s="8">
        <f t="shared" si="75"/>
        <v>6573.1978976566343</v>
      </c>
      <c r="Q393" s="8">
        <f t="shared" si="72"/>
        <v>6.5554208197800214</v>
      </c>
      <c r="T393" s="8">
        <f t="shared" si="65"/>
        <v>6.5554208197800214</v>
      </c>
    </row>
    <row r="394" spans="1:20" x14ac:dyDescent="0.2">
      <c r="B394">
        <f t="shared" si="73"/>
        <v>391</v>
      </c>
      <c r="C394">
        <f t="shared" si="67"/>
        <v>31</v>
      </c>
      <c r="D394">
        <v>366</v>
      </c>
      <c r="E394">
        <v>397</v>
      </c>
      <c r="F394">
        <f>RnSPLINE!H$16</f>
        <v>8.5714285714285712</v>
      </c>
      <c r="G394">
        <f>RnSPLINE!H$17</f>
        <v>6.3265306122448974</v>
      </c>
      <c r="H394" s="10">
        <f>RnSPLINE!M$16</f>
        <v>2.010826328882313E-2</v>
      </c>
      <c r="I394" s="10">
        <f>RnSPLINE!M$17</f>
        <v>-8.2964304276694489E-3</v>
      </c>
      <c r="J394">
        <f t="shared" si="68"/>
        <v>0.19354838709677419</v>
      </c>
      <c r="K394">
        <f t="shared" si="69"/>
        <v>0.80645161290322576</v>
      </c>
      <c r="L394">
        <f t="shared" si="70"/>
        <v>345</v>
      </c>
      <c r="M394" s="8">
        <f t="shared" si="71"/>
        <v>6.7610269914417369</v>
      </c>
      <c r="N394" s="6">
        <f t="shared" si="66"/>
        <v>6.5356998642345063</v>
      </c>
      <c r="O394" s="8">
        <f t="shared" si="74"/>
        <v>6572.989764545192</v>
      </c>
      <c r="P394" s="8">
        <f t="shared" si="75"/>
        <v>6579.7335975208689</v>
      </c>
      <c r="Q394" s="8">
        <f t="shared" si="72"/>
        <v>6.5356998642345063</v>
      </c>
      <c r="T394" s="8">
        <f t="shared" si="65"/>
        <v>6.5356998642345063</v>
      </c>
    </row>
    <row r="395" spans="1:20" x14ac:dyDescent="0.2">
      <c r="B395">
        <f t="shared" si="73"/>
        <v>392</v>
      </c>
      <c r="C395">
        <f t="shared" si="67"/>
        <v>31</v>
      </c>
      <c r="D395">
        <v>366</v>
      </c>
      <c r="E395">
        <v>397</v>
      </c>
      <c r="F395">
        <f>RnSPLINE!H$16</f>
        <v>8.5714285714285712</v>
      </c>
      <c r="G395">
        <f>RnSPLINE!H$17</f>
        <v>6.3265306122448974</v>
      </c>
      <c r="H395" s="10">
        <f>RnSPLINE!M$16</f>
        <v>2.010826328882313E-2</v>
      </c>
      <c r="I395" s="10">
        <f>RnSPLINE!M$17</f>
        <v>-8.2964304276694489E-3</v>
      </c>
      <c r="J395">
        <f t="shared" si="68"/>
        <v>0.16129032258064516</v>
      </c>
      <c r="K395">
        <f t="shared" si="69"/>
        <v>0.83870967741935487</v>
      </c>
      <c r="L395">
        <f t="shared" si="70"/>
        <v>346</v>
      </c>
      <c r="M395" s="8">
        <f t="shared" si="71"/>
        <v>6.6886109282422641</v>
      </c>
      <c r="N395" s="6">
        <f t="shared" si="66"/>
        <v>6.5131801609161259</v>
      </c>
      <c r="O395" s="8">
        <f t="shared" si="74"/>
        <v>6579.6783754734342</v>
      </c>
      <c r="P395" s="8">
        <f t="shared" si="75"/>
        <v>6586.2467776817848</v>
      </c>
      <c r="Q395" s="8">
        <f t="shared" si="72"/>
        <v>6.5131801609161259</v>
      </c>
      <c r="T395" s="8">
        <f t="shared" si="65"/>
        <v>6.5131801609161259</v>
      </c>
    </row>
    <row r="396" spans="1:20" x14ac:dyDescent="0.2">
      <c r="B396">
        <f t="shared" si="73"/>
        <v>393</v>
      </c>
      <c r="C396">
        <f t="shared" si="67"/>
        <v>31</v>
      </c>
      <c r="D396">
        <v>366</v>
      </c>
      <c r="E396">
        <v>397</v>
      </c>
      <c r="F396">
        <f>RnSPLINE!H$16</f>
        <v>8.5714285714285712</v>
      </c>
      <c r="G396">
        <f>RnSPLINE!H$17</f>
        <v>6.3265306122448974</v>
      </c>
      <c r="H396" s="10">
        <f>RnSPLINE!M$16</f>
        <v>2.010826328882313E-2</v>
      </c>
      <c r="I396" s="10">
        <f>RnSPLINE!M$17</f>
        <v>-8.2964304276694489E-3</v>
      </c>
      <c r="J396">
        <f t="shared" si="68"/>
        <v>0.12903225806451613</v>
      </c>
      <c r="K396">
        <f t="shared" si="69"/>
        <v>0.87096774193548387</v>
      </c>
      <c r="L396">
        <f t="shared" si="70"/>
        <v>347</v>
      </c>
      <c r="M396" s="8">
        <f t="shared" si="71"/>
        <v>6.6161948650427904</v>
      </c>
      <c r="N396" s="6">
        <f t="shared" si="66"/>
        <v>6.4869454293824145</v>
      </c>
      <c r="O396" s="8">
        <f t="shared" si="74"/>
        <v>6586.2945703384767</v>
      </c>
      <c r="P396" s="8">
        <f t="shared" si="75"/>
        <v>6592.7337231111669</v>
      </c>
      <c r="Q396" s="8">
        <f t="shared" si="72"/>
        <v>6.4869454293824145</v>
      </c>
      <c r="T396" s="8">
        <f t="shared" si="65"/>
        <v>6.4869454293824145</v>
      </c>
    </row>
    <row r="397" spans="1:20" x14ac:dyDescent="0.2">
      <c r="B397">
        <f t="shared" si="73"/>
        <v>394</v>
      </c>
      <c r="C397">
        <f t="shared" si="67"/>
        <v>31</v>
      </c>
      <c r="D397">
        <v>366</v>
      </c>
      <c r="E397">
        <v>397</v>
      </c>
      <c r="F397">
        <f>RnSPLINE!H$16</f>
        <v>8.5714285714285712</v>
      </c>
      <c r="G397">
        <f>RnSPLINE!H$17</f>
        <v>6.3265306122448974</v>
      </c>
      <c r="H397" s="10">
        <f>RnSPLINE!M$16</f>
        <v>2.010826328882313E-2</v>
      </c>
      <c r="I397" s="10">
        <f>RnSPLINE!M$17</f>
        <v>-8.2964304276694489E-3</v>
      </c>
      <c r="J397">
        <f t="shared" si="68"/>
        <v>9.6774193548387094E-2</v>
      </c>
      <c r="K397">
        <f t="shared" si="69"/>
        <v>0.90322580645161288</v>
      </c>
      <c r="L397">
        <f t="shared" si="70"/>
        <v>348</v>
      </c>
      <c r="M397" s="8">
        <f t="shared" si="71"/>
        <v>6.5437788018433167</v>
      </c>
      <c r="N397" s="6">
        <f t="shared" si="66"/>
        <v>6.4560793891909025</v>
      </c>
      <c r="O397" s="8">
        <f t="shared" si="74"/>
        <v>6592.8383491403201</v>
      </c>
      <c r="P397" s="8">
        <f t="shared" si="75"/>
        <v>6599.1898025003575</v>
      </c>
      <c r="Q397" s="8">
        <f t="shared" si="72"/>
        <v>6.4560793891909025</v>
      </c>
      <c r="T397" s="8">
        <f t="shared" si="65"/>
        <v>6.4560793891909025</v>
      </c>
    </row>
    <row r="398" spans="1:20" x14ac:dyDescent="0.2">
      <c r="B398">
        <f t="shared" si="73"/>
        <v>395</v>
      </c>
      <c r="C398">
        <f t="shared" si="67"/>
        <v>31</v>
      </c>
      <c r="D398">
        <v>366</v>
      </c>
      <c r="E398">
        <v>397</v>
      </c>
      <c r="F398">
        <f>RnSPLINE!H$16</f>
        <v>8.5714285714285712</v>
      </c>
      <c r="G398">
        <f>RnSPLINE!H$17</f>
        <v>6.3265306122448974</v>
      </c>
      <c r="H398" s="10">
        <f>RnSPLINE!M$16</f>
        <v>2.010826328882313E-2</v>
      </c>
      <c r="I398" s="10">
        <f>RnSPLINE!M$17</f>
        <v>-8.2964304276694489E-3</v>
      </c>
      <c r="J398">
        <f t="shared" si="68"/>
        <v>6.4516129032258063E-2</v>
      </c>
      <c r="K398">
        <f t="shared" si="69"/>
        <v>0.93548387096774188</v>
      </c>
      <c r="L398">
        <f t="shared" si="70"/>
        <v>349</v>
      </c>
      <c r="M398" s="8">
        <f t="shared" si="71"/>
        <v>6.4713627386438439</v>
      </c>
      <c r="N398" s="6">
        <f t="shared" si="66"/>
        <v>6.4196657598991251</v>
      </c>
      <c r="O398" s="8">
        <f t="shared" si="74"/>
        <v>6599.3097118789638</v>
      </c>
      <c r="P398" s="8">
        <f t="shared" si="75"/>
        <v>6605.609468260257</v>
      </c>
      <c r="Q398" s="8">
        <f t="shared" si="72"/>
        <v>6.4196657598991251</v>
      </c>
      <c r="T398" s="8">
        <f t="shared" si="65"/>
        <v>6.4196657598991251</v>
      </c>
    </row>
    <row r="399" spans="1:20" x14ac:dyDescent="0.2">
      <c r="B399">
        <f t="shared" si="73"/>
        <v>396</v>
      </c>
      <c r="C399">
        <f t="shared" si="67"/>
        <v>31</v>
      </c>
      <c r="D399">
        <v>366</v>
      </c>
      <c r="E399">
        <v>397</v>
      </c>
      <c r="F399">
        <f>RnSPLINE!H$16</f>
        <v>8.5714285714285712</v>
      </c>
      <c r="G399">
        <f>RnSPLINE!H$17</f>
        <v>6.3265306122448974</v>
      </c>
      <c r="H399" s="10">
        <f>RnSPLINE!M$16</f>
        <v>2.010826328882313E-2</v>
      </c>
      <c r="I399" s="10">
        <f>RnSPLINE!M$17</f>
        <v>-8.2964304276694489E-3</v>
      </c>
      <c r="J399">
        <f t="shared" si="68"/>
        <v>3.2258064516129031E-2</v>
      </c>
      <c r="K399">
        <f t="shared" si="69"/>
        <v>0.967741935483871</v>
      </c>
      <c r="L399">
        <f t="shared" si="70"/>
        <v>350</v>
      </c>
      <c r="M399" s="8">
        <f t="shared" si="71"/>
        <v>6.3989466754443711</v>
      </c>
      <c r="N399" s="6">
        <f t="shared" si="66"/>
        <v>6.3767882610646121</v>
      </c>
      <c r="O399" s="8">
        <f t="shared" si="74"/>
        <v>6605.7086585544084</v>
      </c>
      <c r="P399" s="8">
        <f t="shared" si="75"/>
        <v>6611.9862565213216</v>
      </c>
      <c r="Q399" s="8">
        <f t="shared" si="72"/>
        <v>6.3767882610646121</v>
      </c>
      <c r="T399" s="8">
        <f t="shared" si="65"/>
        <v>6.3767882610646121</v>
      </c>
    </row>
    <row r="400" spans="1:20" x14ac:dyDescent="0.2">
      <c r="A400">
        <v>397</v>
      </c>
      <c r="B400">
        <f t="shared" si="73"/>
        <v>397</v>
      </c>
      <c r="C400">
        <f t="shared" si="67"/>
        <v>31</v>
      </c>
      <c r="D400">
        <v>366</v>
      </c>
      <c r="E400">
        <v>397</v>
      </c>
      <c r="F400">
        <f>RnSPLINE!H$16</f>
        <v>8.5714285714285712</v>
      </c>
      <c r="G400">
        <f>RnSPLINE!H$17</f>
        <v>6.3265306122448974</v>
      </c>
      <c r="H400" s="10">
        <f>RnSPLINE!M$16</f>
        <v>2.010826328882313E-2</v>
      </c>
      <c r="I400" s="10">
        <f>RnSPLINE!M$17</f>
        <v>-8.2964304276694489E-3</v>
      </c>
      <c r="J400">
        <f t="shared" si="68"/>
        <v>0</v>
      </c>
      <c r="K400">
        <f t="shared" si="69"/>
        <v>1</v>
      </c>
      <c r="L400">
        <f t="shared" si="70"/>
        <v>351</v>
      </c>
      <c r="M400" s="8">
        <f t="shared" si="71"/>
        <v>6.3265306122448974</v>
      </c>
      <c r="N400" s="6">
        <f t="shared" si="66"/>
        <v>6.3265306122448974</v>
      </c>
      <c r="O400" s="8">
        <f t="shared" si="74"/>
        <v>6612.0351891666533</v>
      </c>
      <c r="P400" s="8">
        <f t="shared" si="75"/>
        <v>6618.3127871335664</v>
      </c>
      <c r="Q400" s="8">
        <f t="shared" si="72"/>
        <v>6.3265306122448974</v>
      </c>
      <c r="T400" s="8">
        <f t="shared" si="65"/>
        <v>6.3265306122448974</v>
      </c>
    </row>
    <row r="401" spans="1:20" x14ac:dyDescent="0.2">
      <c r="B401">
        <f t="shared" si="73"/>
        <v>398</v>
      </c>
      <c r="C401">
        <f t="shared" si="67"/>
        <v>29</v>
      </c>
      <c r="D401">
        <v>397</v>
      </c>
      <c r="E401">
        <v>426</v>
      </c>
      <c r="F401">
        <f>RnSPLINE!H$17</f>
        <v>6.3265306122448974</v>
      </c>
      <c r="G401">
        <f>RnSPLINE!H$18</f>
        <v>3.6046511627906979</v>
      </c>
      <c r="H401" s="10">
        <f>RnSPLINE!M$17</f>
        <v>-8.2964304276694489E-3</v>
      </c>
      <c r="I401" s="10">
        <f>RnSPLINE!M$18</f>
        <v>8.3987722849237223E-3</v>
      </c>
      <c r="J401">
        <f t="shared" si="68"/>
        <v>0.96551724137931039</v>
      </c>
      <c r="K401">
        <f t="shared" si="69"/>
        <v>3.4482758620689655E-2</v>
      </c>
      <c r="L401">
        <f t="shared" si="70"/>
        <v>352</v>
      </c>
      <c r="M401" s="8">
        <f t="shared" si="71"/>
        <v>6.2326727001947528</v>
      </c>
      <c r="N401" s="6">
        <f t="shared" si="66"/>
        <v>6.268225195845468</v>
      </c>
      <c r="O401" s="8">
        <f t="shared" si="74"/>
        <v>6618.2678618668479</v>
      </c>
      <c r="P401" s="8">
        <f t="shared" si="75"/>
        <v>6624.5810123294123</v>
      </c>
      <c r="Q401" s="8">
        <f t="shared" si="72"/>
        <v>6.268225195845468</v>
      </c>
      <c r="T401" s="8">
        <f t="shared" si="65"/>
        <v>6.268225195845468</v>
      </c>
    </row>
    <row r="402" spans="1:20" x14ac:dyDescent="0.2">
      <c r="B402">
        <f t="shared" si="73"/>
        <v>399</v>
      </c>
      <c r="C402">
        <f t="shared" si="67"/>
        <v>29</v>
      </c>
      <c r="D402">
        <v>397</v>
      </c>
      <c r="E402">
        <v>426</v>
      </c>
      <c r="F402">
        <f>RnSPLINE!H$17</f>
        <v>6.3265306122448974</v>
      </c>
      <c r="G402">
        <f>RnSPLINE!H$18</f>
        <v>3.6046511627906979</v>
      </c>
      <c r="H402" s="10">
        <f>RnSPLINE!M$17</f>
        <v>-8.2964304276694489E-3</v>
      </c>
      <c r="I402" s="10">
        <f>RnSPLINE!M$18</f>
        <v>8.3987722849237223E-3</v>
      </c>
      <c r="J402">
        <f t="shared" si="68"/>
        <v>0.93103448275862066</v>
      </c>
      <c r="K402">
        <f t="shared" si="69"/>
        <v>6.8965517241379309E-2</v>
      </c>
      <c r="L402">
        <f t="shared" si="70"/>
        <v>353</v>
      </c>
      <c r="M402" s="8">
        <f t="shared" si="71"/>
        <v>6.1388147881446073</v>
      </c>
      <c r="N402" s="6">
        <f t="shared" si="66"/>
        <v>6.2021990456636313</v>
      </c>
      <c r="O402" s="8">
        <f t="shared" si="74"/>
        <v>6624.4066766549922</v>
      </c>
      <c r="P402" s="8">
        <f t="shared" si="75"/>
        <v>6630.7832113750756</v>
      </c>
      <c r="Q402" s="8">
        <f t="shared" si="72"/>
        <v>6.2021990456636313</v>
      </c>
      <c r="T402" s="8">
        <f t="shared" si="65"/>
        <v>6.2021990456636313</v>
      </c>
    </row>
    <row r="403" spans="1:20" x14ac:dyDescent="0.2">
      <c r="B403">
        <f t="shared" si="73"/>
        <v>400</v>
      </c>
      <c r="C403">
        <f t="shared" si="67"/>
        <v>29</v>
      </c>
      <c r="D403">
        <v>397</v>
      </c>
      <c r="E403">
        <v>426</v>
      </c>
      <c r="F403">
        <f>RnSPLINE!H$17</f>
        <v>6.3265306122448974</v>
      </c>
      <c r="G403">
        <f>RnSPLINE!H$18</f>
        <v>3.6046511627906979</v>
      </c>
      <c r="H403" s="10">
        <f>RnSPLINE!M$17</f>
        <v>-8.2964304276694489E-3</v>
      </c>
      <c r="I403" s="10">
        <f>RnSPLINE!M$18</f>
        <v>8.3987722849237223E-3</v>
      </c>
      <c r="J403">
        <f t="shared" si="68"/>
        <v>0.89655172413793105</v>
      </c>
      <c r="K403">
        <f t="shared" si="69"/>
        <v>0.10344827586206896</v>
      </c>
      <c r="L403">
        <f t="shared" si="70"/>
        <v>354</v>
      </c>
      <c r="M403" s="8">
        <f t="shared" si="71"/>
        <v>6.0449568760944636</v>
      </c>
      <c r="N403" s="6">
        <f t="shared" si="66"/>
        <v>6.1290278583446494</v>
      </c>
      <c r="O403" s="8">
        <f t="shared" si="74"/>
        <v>6630.4516335310864</v>
      </c>
      <c r="P403" s="8">
        <f t="shared" si="75"/>
        <v>6636.9122392334202</v>
      </c>
      <c r="Q403" s="8">
        <f t="shared" si="72"/>
        <v>6.1290278583446494</v>
      </c>
      <c r="T403" s="8">
        <f t="shared" si="65"/>
        <v>6.1290278583446494</v>
      </c>
    </row>
    <row r="404" spans="1:20" x14ac:dyDescent="0.2">
      <c r="B404">
        <f t="shared" si="73"/>
        <v>401</v>
      </c>
      <c r="C404">
        <f t="shared" si="67"/>
        <v>29</v>
      </c>
      <c r="D404">
        <v>397</v>
      </c>
      <c r="E404">
        <v>426</v>
      </c>
      <c r="F404">
        <f>RnSPLINE!H$17</f>
        <v>6.3265306122448974</v>
      </c>
      <c r="G404">
        <f>RnSPLINE!H$18</f>
        <v>3.6046511627906979</v>
      </c>
      <c r="H404" s="10">
        <f>RnSPLINE!M$17</f>
        <v>-8.2964304276694489E-3</v>
      </c>
      <c r="I404" s="10">
        <f>RnSPLINE!M$18</f>
        <v>8.3987722849237223E-3</v>
      </c>
      <c r="J404">
        <f t="shared" si="68"/>
        <v>0.86206896551724133</v>
      </c>
      <c r="K404">
        <f t="shared" si="69"/>
        <v>0.13793103448275862</v>
      </c>
      <c r="L404">
        <f t="shared" si="70"/>
        <v>355</v>
      </c>
      <c r="M404" s="8">
        <f t="shared" si="71"/>
        <v>5.9510989640443182</v>
      </c>
      <c r="N404" s="6">
        <f t="shared" si="66"/>
        <v>6.0492873305337822</v>
      </c>
      <c r="O404" s="8">
        <f t="shared" si="74"/>
        <v>6636.4027324951303</v>
      </c>
      <c r="P404" s="8">
        <f t="shared" si="75"/>
        <v>6642.9615265639541</v>
      </c>
      <c r="Q404" s="8">
        <f t="shared" si="72"/>
        <v>6.0492873305337822</v>
      </c>
      <c r="T404" s="8">
        <f t="shared" si="65"/>
        <v>6.0492873305337822</v>
      </c>
    </row>
    <row r="405" spans="1:20" x14ac:dyDescent="0.2">
      <c r="B405">
        <f t="shared" si="73"/>
        <v>402</v>
      </c>
      <c r="C405">
        <f t="shared" si="67"/>
        <v>29</v>
      </c>
      <c r="D405">
        <v>397</v>
      </c>
      <c r="E405">
        <v>426</v>
      </c>
      <c r="F405">
        <f>RnSPLINE!H$17</f>
        <v>6.3265306122448974</v>
      </c>
      <c r="G405">
        <f>RnSPLINE!H$18</f>
        <v>3.6046511627906979</v>
      </c>
      <c r="H405" s="10">
        <f>RnSPLINE!M$17</f>
        <v>-8.2964304276694489E-3</v>
      </c>
      <c r="I405" s="10">
        <f>RnSPLINE!M$18</f>
        <v>8.3987722849237223E-3</v>
      </c>
      <c r="J405">
        <f t="shared" si="68"/>
        <v>0.82758620689655171</v>
      </c>
      <c r="K405">
        <f t="shared" si="69"/>
        <v>0.17241379310344829</v>
      </c>
      <c r="L405">
        <f t="shared" si="70"/>
        <v>356</v>
      </c>
      <c r="M405" s="8">
        <f t="shared" si="71"/>
        <v>5.8572410519941736</v>
      </c>
      <c r="N405" s="6">
        <f t="shared" si="66"/>
        <v>5.9635531588762936</v>
      </c>
      <c r="O405" s="8">
        <f t="shared" si="74"/>
        <v>6642.2599735471249</v>
      </c>
      <c r="P405" s="8">
        <f t="shared" si="75"/>
        <v>6648.9250797228306</v>
      </c>
      <c r="Q405" s="8">
        <f t="shared" si="72"/>
        <v>5.9635531588762936</v>
      </c>
      <c r="T405" s="8">
        <f t="shared" si="65"/>
        <v>5.9635531588762936</v>
      </c>
    </row>
    <row r="406" spans="1:20" x14ac:dyDescent="0.2">
      <c r="B406">
        <f t="shared" si="73"/>
        <v>403</v>
      </c>
      <c r="C406">
        <f t="shared" si="67"/>
        <v>29</v>
      </c>
      <c r="D406">
        <v>397</v>
      </c>
      <c r="E406">
        <v>426</v>
      </c>
      <c r="F406">
        <f>RnSPLINE!H$17</f>
        <v>6.3265306122448974</v>
      </c>
      <c r="G406">
        <f>RnSPLINE!H$18</f>
        <v>3.6046511627906979</v>
      </c>
      <c r="H406" s="10">
        <f>RnSPLINE!M$17</f>
        <v>-8.2964304276694489E-3</v>
      </c>
      <c r="I406" s="10">
        <f>RnSPLINE!M$18</f>
        <v>8.3987722849237223E-3</v>
      </c>
      <c r="J406">
        <f t="shared" si="68"/>
        <v>0.7931034482758621</v>
      </c>
      <c r="K406">
        <f t="shared" si="69"/>
        <v>0.20689655172413793</v>
      </c>
      <c r="L406">
        <f t="shared" si="70"/>
        <v>357</v>
      </c>
      <c r="M406" s="8">
        <f t="shared" si="71"/>
        <v>5.763383139944029</v>
      </c>
      <c r="N406" s="6">
        <f t="shared" si="66"/>
        <v>5.8724010400174453</v>
      </c>
      <c r="O406" s="8">
        <f t="shared" si="74"/>
        <v>6648.0233566870693</v>
      </c>
      <c r="P406" s="8">
        <f t="shared" si="75"/>
        <v>6654.797480762848</v>
      </c>
      <c r="Q406" s="8">
        <f t="shared" si="72"/>
        <v>5.8724010400174453</v>
      </c>
      <c r="T406" s="8">
        <f t="shared" si="65"/>
        <v>5.8724010400174453</v>
      </c>
    </row>
    <row r="407" spans="1:20" x14ac:dyDescent="0.2">
      <c r="B407">
        <f t="shared" si="73"/>
        <v>404</v>
      </c>
      <c r="C407">
        <f t="shared" si="67"/>
        <v>29</v>
      </c>
      <c r="D407">
        <v>397</v>
      </c>
      <c r="E407">
        <v>426</v>
      </c>
      <c r="F407">
        <f>RnSPLINE!H$17</f>
        <v>6.3265306122448974</v>
      </c>
      <c r="G407">
        <f>RnSPLINE!H$18</f>
        <v>3.6046511627906979</v>
      </c>
      <c r="H407" s="10">
        <f>RnSPLINE!M$17</f>
        <v>-8.2964304276694489E-3</v>
      </c>
      <c r="I407" s="10">
        <f>RnSPLINE!M$18</f>
        <v>8.3987722849237223E-3</v>
      </c>
      <c r="J407">
        <f t="shared" si="68"/>
        <v>0.75862068965517238</v>
      </c>
      <c r="K407">
        <f t="shared" si="69"/>
        <v>0.2413793103448276</v>
      </c>
      <c r="L407">
        <f t="shared" si="70"/>
        <v>358</v>
      </c>
      <c r="M407" s="8">
        <f t="shared" si="71"/>
        <v>5.6695252278938835</v>
      </c>
      <c r="N407" s="6">
        <f t="shared" si="66"/>
        <v>5.7764066706024968</v>
      </c>
      <c r="O407" s="8">
        <f t="shared" si="74"/>
        <v>6653.6928819149634</v>
      </c>
      <c r="P407" s="8">
        <f t="shared" si="75"/>
        <v>6660.5738874334502</v>
      </c>
      <c r="Q407" s="8">
        <f t="shared" si="72"/>
        <v>5.7764066706024968</v>
      </c>
      <c r="T407" s="8">
        <f t="shared" si="65"/>
        <v>5.7764066706024968</v>
      </c>
    </row>
    <row r="408" spans="1:20" x14ac:dyDescent="0.2">
      <c r="B408">
        <f t="shared" si="73"/>
        <v>405</v>
      </c>
      <c r="C408">
        <f t="shared" si="67"/>
        <v>29</v>
      </c>
      <c r="D408">
        <v>397</v>
      </c>
      <c r="E408">
        <v>426</v>
      </c>
      <c r="F408">
        <f>RnSPLINE!H$17</f>
        <v>6.3265306122448974</v>
      </c>
      <c r="G408">
        <f>RnSPLINE!H$18</f>
        <v>3.6046511627906979</v>
      </c>
      <c r="H408" s="10">
        <f>RnSPLINE!M$17</f>
        <v>-8.2964304276694489E-3</v>
      </c>
      <c r="I408" s="10">
        <f>RnSPLINE!M$18</f>
        <v>8.3987722849237223E-3</v>
      </c>
      <c r="J408">
        <f t="shared" si="68"/>
        <v>0.72413793103448276</v>
      </c>
      <c r="K408">
        <f t="shared" si="69"/>
        <v>0.27586206896551724</v>
      </c>
      <c r="L408">
        <f t="shared" si="70"/>
        <v>359</v>
      </c>
      <c r="M408" s="8">
        <f t="shared" si="71"/>
        <v>5.5756673158437389</v>
      </c>
      <c r="N408" s="6">
        <f t="shared" si="66"/>
        <v>5.6761457472767134</v>
      </c>
      <c r="O408" s="8">
        <f t="shared" si="74"/>
        <v>6659.2685492308074</v>
      </c>
      <c r="P408" s="8">
        <f t="shared" si="75"/>
        <v>6666.2500331807269</v>
      </c>
      <c r="Q408" s="8">
        <f t="shared" si="72"/>
        <v>5.6761457472767134</v>
      </c>
      <c r="T408" s="8">
        <f t="shared" si="65"/>
        <v>5.6761457472767134</v>
      </c>
    </row>
    <row r="409" spans="1:20" x14ac:dyDescent="0.2">
      <c r="B409">
        <f t="shared" si="73"/>
        <v>406</v>
      </c>
      <c r="C409">
        <f t="shared" si="67"/>
        <v>29</v>
      </c>
      <c r="D409">
        <v>397</v>
      </c>
      <c r="E409">
        <v>426</v>
      </c>
      <c r="F409">
        <f>RnSPLINE!H$17</f>
        <v>6.3265306122448974</v>
      </c>
      <c r="G409">
        <f>RnSPLINE!H$18</f>
        <v>3.6046511627906979</v>
      </c>
      <c r="H409" s="10">
        <f>RnSPLINE!M$17</f>
        <v>-8.2964304276694489E-3</v>
      </c>
      <c r="I409" s="10">
        <f>RnSPLINE!M$18</f>
        <v>8.3987722849237223E-3</v>
      </c>
      <c r="J409">
        <f t="shared" si="68"/>
        <v>0.68965517241379315</v>
      </c>
      <c r="K409">
        <f t="shared" si="69"/>
        <v>0.31034482758620691</v>
      </c>
      <c r="L409">
        <f t="shared" si="70"/>
        <v>360</v>
      </c>
      <c r="M409" s="8">
        <f t="shared" si="71"/>
        <v>5.4818094037935943</v>
      </c>
      <c r="N409" s="9">
        <f>N408+R$414</f>
        <v>5.4977627930621171</v>
      </c>
      <c r="O409" s="8">
        <f t="shared" si="74"/>
        <v>6664.7503586346011</v>
      </c>
      <c r="P409" s="8">
        <f t="shared" si="75"/>
        <v>6671.7477959737889</v>
      </c>
      <c r="Q409" s="8">
        <f t="shared" si="72"/>
        <v>5.5721939666853544</v>
      </c>
      <c r="T409" s="8">
        <f t="shared" si="65"/>
        <v>5.4977627930621171</v>
      </c>
    </row>
    <row r="410" spans="1:20" x14ac:dyDescent="0.2">
      <c r="B410">
        <f t="shared" si="73"/>
        <v>407</v>
      </c>
      <c r="C410">
        <f t="shared" si="67"/>
        <v>29</v>
      </c>
      <c r="D410">
        <v>397</v>
      </c>
      <c r="E410">
        <v>426</v>
      </c>
      <c r="F410">
        <f>RnSPLINE!H$17</f>
        <v>6.3265306122448974</v>
      </c>
      <c r="G410">
        <f>RnSPLINE!H$18</f>
        <v>3.6046511627906979</v>
      </c>
      <c r="H410" s="10">
        <f>RnSPLINE!M$17</f>
        <v>-8.2964304276694489E-3</v>
      </c>
      <c r="I410" s="10">
        <f>RnSPLINE!M$18</f>
        <v>8.3987722849237223E-3</v>
      </c>
      <c r="J410">
        <f t="shared" si="68"/>
        <v>0.65517241379310343</v>
      </c>
      <c r="K410">
        <f t="shared" si="69"/>
        <v>0.34482758620689657</v>
      </c>
      <c r="L410">
        <f t="shared" si="70"/>
        <v>361</v>
      </c>
      <c r="M410" s="8">
        <f t="shared" si="71"/>
        <v>5.3879514917434488</v>
      </c>
      <c r="N410" s="9">
        <f>N409+R$414</f>
        <v>5.3193798388475209</v>
      </c>
      <c r="O410" s="8">
        <f t="shared" si="74"/>
        <v>6670.1383101263445</v>
      </c>
      <c r="P410" s="8">
        <f t="shared" si="75"/>
        <v>6677.0671758126364</v>
      </c>
      <c r="Q410" s="8">
        <f t="shared" si="72"/>
        <v>5.4651270254736817</v>
      </c>
      <c r="T410" s="8">
        <f t="shared" si="65"/>
        <v>5.3193798388475209</v>
      </c>
    </row>
    <row r="411" spans="1:20" x14ac:dyDescent="0.2">
      <c r="B411">
        <f t="shared" si="73"/>
        <v>408</v>
      </c>
      <c r="C411">
        <f t="shared" si="67"/>
        <v>29</v>
      </c>
      <c r="D411">
        <v>397</v>
      </c>
      <c r="E411">
        <v>426</v>
      </c>
      <c r="F411">
        <f>RnSPLINE!H$17</f>
        <v>6.3265306122448974</v>
      </c>
      <c r="G411">
        <f>RnSPLINE!H$18</f>
        <v>3.6046511627906979</v>
      </c>
      <c r="H411" s="10">
        <f>RnSPLINE!M$17</f>
        <v>-8.2964304276694489E-3</v>
      </c>
      <c r="I411" s="10">
        <f>RnSPLINE!M$18</f>
        <v>8.3987722849237223E-3</v>
      </c>
      <c r="J411">
        <f t="shared" si="68"/>
        <v>0.62068965517241381</v>
      </c>
      <c r="K411">
        <f t="shared" si="69"/>
        <v>0.37931034482758619</v>
      </c>
      <c r="L411">
        <f t="shared" si="70"/>
        <v>362</v>
      </c>
      <c r="M411" s="8">
        <f t="shared" si="71"/>
        <v>5.2940935796933042</v>
      </c>
      <c r="N411" s="9">
        <f>N410+R$414</f>
        <v>5.1409968846329246</v>
      </c>
      <c r="O411" s="8">
        <f t="shared" si="74"/>
        <v>6675.4324037060378</v>
      </c>
      <c r="P411" s="8">
        <f t="shared" si="75"/>
        <v>6682.2081726972692</v>
      </c>
      <c r="Q411" s="8">
        <f t="shared" si="72"/>
        <v>5.3555206202869599</v>
      </c>
      <c r="T411" s="8">
        <f t="shared" si="65"/>
        <v>5.1409968846329246</v>
      </c>
    </row>
    <row r="412" spans="1:20" x14ac:dyDescent="0.2">
      <c r="B412">
        <f t="shared" si="73"/>
        <v>409</v>
      </c>
      <c r="C412">
        <f t="shared" si="67"/>
        <v>29</v>
      </c>
      <c r="D412">
        <v>397</v>
      </c>
      <c r="E412">
        <v>426</v>
      </c>
      <c r="F412">
        <f>RnSPLINE!H$17</f>
        <v>6.3265306122448974</v>
      </c>
      <c r="G412">
        <f>RnSPLINE!H$18</f>
        <v>3.6046511627906979</v>
      </c>
      <c r="H412" s="10">
        <f>RnSPLINE!M$17</f>
        <v>-8.2964304276694489E-3</v>
      </c>
      <c r="I412" s="10">
        <f>RnSPLINE!M$18</f>
        <v>8.3987722849237223E-3</v>
      </c>
      <c r="J412">
        <f t="shared" si="68"/>
        <v>0.58620689655172409</v>
      </c>
      <c r="K412">
        <f t="shared" si="69"/>
        <v>0.41379310344827586</v>
      </c>
      <c r="L412">
        <f t="shared" si="70"/>
        <v>363</v>
      </c>
      <c r="M412" s="8">
        <f t="shared" si="71"/>
        <v>5.2002356676431596</v>
      </c>
      <c r="N412" s="9">
        <f>N411+R$414</f>
        <v>4.9626139304183283</v>
      </c>
      <c r="O412" s="8">
        <f t="shared" si="74"/>
        <v>6680.6326393736808</v>
      </c>
      <c r="P412" s="8">
        <f t="shared" si="75"/>
        <v>6687.1707866276874</v>
      </c>
      <c r="Q412" s="8">
        <f t="shared" si="72"/>
        <v>5.2439504477704473</v>
      </c>
      <c r="T412" s="8">
        <f t="shared" si="65"/>
        <v>4.9626139304183283</v>
      </c>
    </row>
    <row r="413" spans="1:20" x14ac:dyDescent="0.2">
      <c r="B413">
        <f t="shared" si="73"/>
        <v>410</v>
      </c>
      <c r="C413">
        <f t="shared" si="67"/>
        <v>29</v>
      </c>
      <c r="D413">
        <v>397</v>
      </c>
      <c r="E413">
        <v>426</v>
      </c>
      <c r="F413">
        <f>RnSPLINE!H$17</f>
        <v>6.3265306122448974</v>
      </c>
      <c r="G413">
        <f>RnSPLINE!H$18</f>
        <v>3.6046511627906979</v>
      </c>
      <c r="H413" s="10">
        <f>RnSPLINE!M$17</f>
        <v>-8.2964304276694489E-3</v>
      </c>
      <c r="I413" s="10">
        <f>RnSPLINE!M$18</f>
        <v>8.3987722849237223E-3</v>
      </c>
      <c r="J413">
        <f t="shared" si="68"/>
        <v>0.55172413793103448</v>
      </c>
      <c r="K413">
        <f t="shared" si="69"/>
        <v>0.44827586206896552</v>
      </c>
      <c r="L413">
        <f t="shared" si="70"/>
        <v>364</v>
      </c>
      <c r="M413" s="8">
        <f t="shared" si="71"/>
        <v>5.106377755593015</v>
      </c>
      <c r="N413" s="9">
        <f>N412+R$414</f>
        <v>4.7842309762037321</v>
      </c>
      <c r="O413" s="8">
        <f t="shared" si="74"/>
        <v>6685.7390171292736</v>
      </c>
      <c r="P413" s="8">
        <f t="shared" si="75"/>
        <v>6691.9550176038911</v>
      </c>
      <c r="Q413" s="8">
        <f t="shared" si="72"/>
        <v>5.1309922045694085</v>
      </c>
      <c r="T413" s="8">
        <f t="shared" si="65"/>
        <v>4.7842309762037321</v>
      </c>
    </row>
    <row r="414" spans="1:20" x14ac:dyDescent="0.2">
      <c r="A414" s="1"/>
      <c r="B414" s="1">
        <f t="shared" si="73"/>
        <v>411</v>
      </c>
      <c r="C414" s="1">
        <f t="shared" si="67"/>
        <v>29</v>
      </c>
      <c r="D414" s="1">
        <v>397</v>
      </c>
      <c r="E414" s="1">
        <v>426</v>
      </c>
      <c r="F414" s="1">
        <f>RnSPLINE!H$17</f>
        <v>6.3265306122448974</v>
      </c>
      <c r="G414" s="1">
        <f>RnSPLINE!H$18</f>
        <v>3.6046511627906979</v>
      </c>
      <c r="H414" s="11">
        <f>RnSPLINE!M$17</f>
        <v>-8.2964304276694489E-3</v>
      </c>
      <c r="I414" s="11">
        <f>RnSPLINE!M$18</f>
        <v>8.3987722849237223E-3</v>
      </c>
      <c r="J414" s="1">
        <f t="shared" si="68"/>
        <v>0.51724137931034486</v>
      </c>
      <c r="K414" s="1">
        <f t="shared" si="69"/>
        <v>0.48275862068965519</v>
      </c>
      <c r="L414" s="1">
        <f t="shared" si="70"/>
        <v>365</v>
      </c>
      <c r="M414" s="7">
        <f t="shared" si="71"/>
        <v>5.0125198435428704</v>
      </c>
      <c r="N414" s="7">
        <f>(Q50+Q414)/2</f>
        <v>4.7842309762037329</v>
      </c>
      <c r="O414" s="7">
        <f t="shared" si="74"/>
        <v>6690.7515369728162</v>
      </c>
      <c r="P414" s="7">
        <f t="shared" si="75"/>
        <v>6696.7392485800947</v>
      </c>
      <c r="Q414" s="7">
        <f t="shared" si="72"/>
        <v>5.0172215873291028</v>
      </c>
      <c r="R414" s="4">
        <f>(N414-Q408)/5</f>
        <v>-0.1783829542145961</v>
      </c>
      <c r="T414" s="8">
        <f t="shared" si="65"/>
        <v>4.7842309762037329</v>
      </c>
    </row>
    <row r="415" spans="1:20" x14ac:dyDescent="0.2">
      <c r="B415">
        <f t="shared" si="73"/>
        <v>412</v>
      </c>
      <c r="C415">
        <f t="shared" si="67"/>
        <v>29</v>
      </c>
      <c r="D415">
        <v>397</v>
      </c>
      <c r="E415">
        <v>426</v>
      </c>
      <c r="F415">
        <f>RnSPLINE!H$17</f>
        <v>6.3265306122448974</v>
      </c>
      <c r="G415">
        <f>RnSPLINE!H$18</f>
        <v>3.6046511627906979</v>
      </c>
      <c r="H415" s="10">
        <f>RnSPLINE!M$17</f>
        <v>-8.2964304276694489E-3</v>
      </c>
      <c r="I415" s="10">
        <f>RnSPLINE!M$18</f>
        <v>8.3987722849237223E-3</v>
      </c>
      <c r="J415">
        <f t="shared" si="68"/>
        <v>0.48275862068965519</v>
      </c>
      <c r="K415">
        <f t="shared" si="69"/>
        <v>0.51724137931034486</v>
      </c>
      <c r="M415" s="8">
        <f t="shared" si="71"/>
        <v>4.9186619314927249</v>
      </c>
      <c r="N415" s="7">
        <f>(Q51+Q415)/2</f>
        <v>4.6763343037110818</v>
      </c>
      <c r="O415" s="8">
        <f t="shared" si="74"/>
        <v>6695.6701989043086</v>
      </c>
      <c r="P415" s="8">
        <f t="shared" si="75"/>
        <v>6701.4155828838057</v>
      </c>
      <c r="Q415" s="8">
        <f t="shared" si="72"/>
        <v>4.903214292694793</v>
      </c>
      <c r="T415" s="12">
        <f>N414</f>
        <v>4.7842309762037329</v>
      </c>
    </row>
    <row r="416" spans="1:20" x14ac:dyDescent="0.2">
      <c r="B416">
        <f t="shared" si="73"/>
        <v>413</v>
      </c>
      <c r="C416">
        <f t="shared" si="67"/>
        <v>29</v>
      </c>
      <c r="D416">
        <v>397</v>
      </c>
      <c r="E416">
        <v>426</v>
      </c>
      <c r="F416">
        <f>RnSPLINE!H$17</f>
        <v>6.3265306122448974</v>
      </c>
      <c r="G416">
        <f>RnSPLINE!H$18</f>
        <v>3.6046511627906979</v>
      </c>
      <c r="H416" s="10">
        <f>RnSPLINE!M$17</f>
        <v>-8.2964304276694489E-3</v>
      </c>
      <c r="I416" s="10">
        <f>RnSPLINE!M$18</f>
        <v>8.3987722849237223E-3</v>
      </c>
      <c r="J416">
        <f t="shared" si="68"/>
        <v>0.44827586206896552</v>
      </c>
      <c r="K416">
        <f t="shared" si="69"/>
        <v>0.55172413793103448</v>
      </c>
      <c r="M416" s="8">
        <f t="shared" si="71"/>
        <v>4.8248040194425803</v>
      </c>
      <c r="N416" s="8">
        <f t="shared" ref="N416:N460" si="76">M416+(((J416^3-J416)*H416+(K416^3-K416)*I416))*(C416^2)/6</f>
        <v>4.7895460173117428</v>
      </c>
      <c r="O416" s="8">
        <f t="shared" si="74"/>
        <v>6700.4950029237507</v>
      </c>
      <c r="P416" s="8">
        <f t="shared" si="75"/>
        <v>6706.205128901117</v>
      </c>
      <c r="Q416" s="8">
        <f t="shared" si="72"/>
        <v>4.7895460173117428</v>
      </c>
    </row>
    <row r="417" spans="1:17" x14ac:dyDescent="0.2">
      <c r="A417" s="13"/>
      <c r="B417" s="13">
        <f t="shared" si="73"/>
        <v>414</v>
      </c>
      <c r="C417" s="13">
        <f t="shared" si="67"/>
        <v>29</v>
      </c>
      <c r="D417" s="13">
        <v>397</v>
      </c>
      <c r="E417" s="13">
        <v>426</v>
      </c>
      <c r="F417" s="13">
        <f>RnSPLINE!H$17</f>
        <v>6.3265306122448974</v>
      </c>
      <c r="G417" s="13">
        <f>RnSPLINE!H$18</f>
        <v>3.6046511627906979</v>
      </c>
      <c r="H417" s="14">
        <f>RnSPLINE!M$17</f>
        <v>-8.2964304276694489E-3</v>
      </c>
      <c r="I417" s="14">
        <f>RnSPLINE!M$18</f>
        <v>8.3987722849237223E-3</v>
      </c>
      <c r="J417" s="13">
        <f t="shared" si="68"/>
        <v>0.41379310344827586</v>
      </c>
      <c r="K417" s="13">
        <f t="shared" si="69"/>
        <v>0.58620689655172409</v>
      </c>
      <c r="L417" s="13"/>
      <c r="M417" s="6">
        <f t="shared" si="71"/>
        <v>4.7309461073924357</v>
      </c>
      <c r="N417" s="6">
        <f t="shared" si="76"/>
        <v>4.6767924578252122</v>
      </c>
      <c r="O417" s="6">
        <f t="shared" si="74"/>
        <v>6705.2259490311435</v>
      </c>
      <c r="P417" s="6">
        <f t="shared" si="75"/>
        <v>6710.8819213589422</v>
      </c>
      <c r="Q417" s="6">
        <f t="shared" si="72"/>
        <v>4.6767924578252122</v>
      </c>
    </row>
    <row r="418" spans="1:17" x14ac:dyDescent="0.2">
      <c r="B418">
        <f t="shared" si="73"/>
        <v>415</v>
      </c>
      <c r="C418">
        <f t="shared" si="67"/>
        <v>29</v>
      </c>
      <c r="D418">
        <v>397</v>
      </c>
      <c r="E418">
        <v>426</v>
      </c>
      <c r="F418">
        <f>RnSPLINE!H$17</f>
        <v>6.3265306122448974</v>
      </c>
      <c r="G418">
        <f>RnSPLINE!H$18</f>
        <v>3.6046511627906979</v>
      </c>
      <c r="H418" s="10">
        <f>RnSPLINE!M$17</f>
        <v>-8.2964304276694489E-3</v>
      </c>
      <c r="I418" s="10">
        <f>RnSPLINE!M$18</f>
        <v>8.3987722849237223E-3</v>
      </c>
      <c r="J418">
        <f t="shared" si="68"/>
        <v>0.37931034482758619</v>
      </c>
      <c r="K418">
        <f t="shared" si="69"/>
        <v>0.62068965517241381</v>
      </c>
      <c r="M418" s="8">
        <f t="shared" si="71"/>
        <v>4.6370881953422911</v>
      </c>
      <c r="N418" s="8">
        <f t="shared" si="76"/>
        <v>4.5655293108804633</v>
      </c>
      <c r="O418" s="8">
        <f t="shared" si="74"/>
        <v>6709.8630372264861</v>
      </c>
      <c r="P418" s="8">
        <f t="shared" si="75"/>
        <v>6715.4474506698225</v>
      </c>
      <c r="Q418" s="8">
        <f t="shared" si="72"/>
        <v>4.5655293108804633</v>
      </c>
    </row>
    <row r="419" spans="1:17" x14ac:dyDescent="0.2">
      <c r="B419">
        <f t="shared" si="73"/>
        <v>416</v>
      </c>
      <c r="C419">
        <f t="shared" si="67"/>
        <v>29</v>
      </c>
      <c r="D419">
        <v>397</v>
      </c>
      <c r="E419">
        <v>426</v>
      </c>
      <c r="F419">
        <f>RnSPLINE!H$17</f>
        <v>6.3265306122448974</v>
      </c>
      <c r="G419">
        <f>RnSPLINE!H$18</f>
        <v>3.6046511627906979</v>
      </c>
      <c r="H419" s="10">
        <f>RnSPLINE!M$17</f>
        <v>-8.2964304276694489E-3</v>
      </c>
      <c r="I419" s="10">
        <f>RnSPLINE!M$18</f>
        <v>8.3987722849237223E-3</v>
      </c>
      <c r="J419">
        <f t="shared" si="68"/>
        <v>0.34482758620689657</v>
      </c>
      <c r="K419">
        <f t="shared" si="69"/>
        <v>0.65517241379310343</v>
      </c>
      <c r="M419" s="8">
        <f t="shared" si="71"/>
        <v>4.5432302832921465</v>
      </c>
      <c r="N419" s="8">
        <f t="shared" si="76"/>
        <v>4.456332273122757</v>
      </c>
      <c r="O419" s="8">
        <f t="shared" si="74"/>
        <v>6714.4062675097784</v>
      </c>
      <c r="P419" s="8">
        <f t="shared" si="75"/>
        <v>6719.9037829429453</v>
      </c>
      <c r="Q419" s="8">
        <f t="shared" si="72"/>
        <v>4.456332273122757</v>
      </c>
    </row>
    <row r="420" spans="1:17" x14ac:dyDescent="0.2">
      <c r="B420">
        <f t="shared" si="73"/>
        <v>417</v>
      </c>
      <c r="C420">
        <f t="shared" si="67"/>
        <v>29</v>
      </c>
      <c r="D420">
        <v>397</v>
      </c>
      <c r="E420">
        <v>426</v>
      </c>
      <c r="F420">
        <f>RnSPLINE!H$17</f>
        <v>6.3265306122448974</v>
      </c>
      <c r="G420">
        <f>RnSPLINE!H$18</f>
        <v>3.6046511627906979</v>
      </c>
      <c r="H420" s="10">
        <f>RnSPLINE!M$17</f>
        <v>-8.2964304276694489E-3</v>
      </c>
      <c r="I420" s="10">
        <f>RnSPLINE!M$18</f>
        <v>8.3987722849237223E-3</v>
      </c>
      <c r="J420">
        <f t="shared" si="68"/>
        <v>0.31034482758620691</v>
      </c>
      <c r="K420">
        <f t="shared" si="69"/>
        <v>0.68965517241379315</v>
      </c>
      <c r="M420" s="8">
        <f t="shared" si="71"/>
        <v>4.449372371242001</v>
      </c>
      <c r="N420" s="8">
        <f t="shared" si="76"/>
        <v>4.3497770411973562</v>
      </c>
      <c r="O420" s="8">
        <f t="shared" si="74"/>
        <v>6718.8556398810206</v>
      </c>
      <c r="P420" s="8">
        <f t="shared" si="75"/>
        <v>6724.2535599841431</v>
      </c>
      <c r="Q420" s="8">
        <f t="shared" si="72"/>
        <v>4.3497770411973562</v>
      </c>
    </row>
    <row r="421" spans="1:17" x14ac:dyDescent="0.2">
      <c r="B421">
        <f t="shared" si="73"/>
        <v>418</v>
      </c>
      <c r="C421">
        <f t="shared" si="67"/>
        <v>29</v>
      </c>
      <c r="D421">
        <v>397</v>
      </c>
      <c r="E421">
        <v>426</v>
      </c>
      <c r="F421">
        <f>RnSPLINE!H$17</f>
        <v>6.3265306122448974</v>
      </c>
      <c r="G421">
        <f>RnSPLINE!H$18</f>
        <v>3.6046511627906979</v>
      </c>
      <c r="H421" s="10">
        <f>RnSPLINE!M$17</f>
        <v>-8.2964304276694489E-3</v>
      </c>
      <c r="I421" s="10">
        <f>RnSPLINE!M$18</f>
        <v>8.3987722849237223E-3</v>
      </c>
      <c r="J421">
        <f t="shared" si="68"/>
        <v>0.27586206896551724</v>
      </c>
      <c r="K421">
        <f t="shared" si="69"/>
        <v>0.72413793103448276</v>
      </c>
      <c r="M421" s="8">
        <f t="shared" si="71"/>
        <v>4.3555144591918564</v>
      </c>
      <c r="N421" s="8">
        <f t="shared" si="76"/>
        <v>4.2464393117495236</v>
      </c>
      <c r="O421" s="8">
        <f t="shared" si="74"/>
        <v>6723.2111543402125</v>
      </c>
      <c r="P421" s="8">
        <f t="shared" si="75"/>
        <v>6728.4999992958928</v>
      </c>
      <c r="Q421" s="8">
        <f t="shared" si="72"/>
        <v>4.2464393117495236</v>
      </c>
    </row>
    <row r="422" spans="1:17" x14ac:dyDescent="0.2">
      <c r="B422">
        <f t="shared" si="73"/>
        <v>419</v>
      </c>
      <c r="C422">
        <f t="shared" si="67"/>
        <v>29</v>
      </c>
      <c r="D422">
        <v>397</v>
      </c>
      <c r="E422">
        <v>426</v>
      </c>
      <c r="F422">
        <f>RnSPLINE!H$17</f>
        <v>6.3265306122448974</v>
      </c>
      <c r="G422">
        <f>RnSPLINE!H$18</f>
        <v>3.6046511627906979</v>
      </c>
      <c r="H422" s="10">
        <f>RnSPLINE!M$17</f>
        <v>-8.2964304276694489E-3</v>
      </c>
      <c r="I422" s="10">
        <f>RnSPLINE!M$18</f>
        <v>8.3987722849237223E-3</v>
      </c>
      <c r="J422">
        <f t="shared" si="68"/>
        <v>0.2413793103448276</v>
      </c>
      <c r="K422">
        <f t="shared" si="69"/>
        <v>0.75862068965517238</v>
      </c>
      <c r="M422" s="8">
        <f t="shared" si="71"/>
        <v>4.2616565471417118</v>
      </c>
      <c r="N422" s="8">
        <f t="shared" si="76"/>
        <v>4.1468947814245194</v>
      </c>
      <c r="O422" s="8">
        <f t="shared" si="74"/>
        <v>6727.4728108873542</v>
      </c>
      <c r="P422" s="8">
        <f t="shared" si="75"/>
        <v>6732.6468940773175</v>
      </c>
      <c r="Q422" s="8">
        <f t="shared" si="72"/>
        <v>4.1468947814245194</v>
      </c>
    </row>
    <row r="423" spans="1:17" x14ac:dyDescent="0.2">
      <c r="B423">
        <f t="shared" si="73"/>
        <v>420</v>
      </c>
      <c r="C423">
        <f t="shared" si="67"/>
        <v>29</v>
      </c>
      <c r="D423">
        <v>397</v>
      </c>
      <c r="E423">
        <v>426</v>
      </c>
      <c r="F423">
        <f>RnSPLINE!H$17</f>
        <v>6.3265306122448974</v>
      </c>
      <c r="G423">
        <f>RnSPLINE!H$18</f>
        <v>3.6046511627906979</v>
      </c>
      <c r="H423" s="10">
        <f>RnSPLINE!M$17</f>
        <v>-8.2964304276694489E-3</v>
      </c>
      <c r="I423" s="10">
        <f>RnSPLINE!M$18</f>
        <v>8.3987722849237223E-3</v>
      </c>
      <c r="J423">
        <f t="shared" si="68"/>
        <v>0.20689655172413793</v>
      </c>
      <c r="K423">
        <f t="shared" si="69"/>
        <v>0.7931034482758621</v>
      </c>
      <c r="M423" s="8">
        <f t="shared" si="71"/>
        <v>4.1677986350915663</v>
      </c>
      <c r="N423" s="8">
        <f t="shared" si="76"/>
        <v>4.0517191468676055</v>
      </c>
      <c r="O423" s="8">
        <f t="shared" si="74"/>
        <v>6731.6406095224456</v>
      </c>
      <c r="P423" s="8">
        <f t="shared" si="75"/>
        <v>6736.6986132241855</v>
      </c>
      <c r="Q423" s="8">
        <f t="shared" si="72"/>
        <v>4.0517191468676055</v>
      </c>
    </row>
    <row r="424" spans="1:17" x14ac:dyDescent="0.2">
      <c r="B424">
        <f t="shared" si="73"/>
        <v>421</v>
      </c>
      <c r="C424">
        <f t="shared" si="67"/>
        <v>29</v>
      </c>
      <c r="D424">
        <v>397</v>
      </c>
      <c r="E424">
        <v>426</v>
      </c>
      <c r="F424">
        <f>RnSPLINE!H$17</f>
        <v>6.3265306122448974</v>
      </c>
      <c r="G424">
        <f>RnSPLINE!H$18</f>
        <v>3.6046511627906979</v>
      </c>
      <c r="H424" s="10">
        <f>RnSPLINE!M$17</f>
        <v>-8.2964304276694489E-3</v>
      </c>
      <c r="I424" s="10">
        <f>RnSPLINE!M$18</f>
        <v>8.3987722849237223E-3</v>
      </c>
      <c r="J424">
        <f t="shared" si="68"/>
        <v>0.17241379310344829</v>
      </c>
      <c r="K424">
        <f t="shared" si="69"/>
        <v>0.82758620689655171</v>
      </c>
      <c r="M424" s="8">
        <f t="shared" si="71"/>
        <v>4.0739407230414226</v>
      </c>
      <c r="N424" s="8">
        <f t="shared" si="76"/>
        <v>3.961488104724046</v>
      </c>
      <c r="O424" s="8">
        <f t="shared" si="74"/>
        <v>6735.7145502454869</v>
      </c>
      <c r="P424" s="8">
        <f t="shared" si="75"/>
        <v>6740.6601013289091</v>
      </c>
      <c r="Q424" s="8">
        <f t="shared" si="72"/>
        <v>3.961488104724046</v>
      </c>
    </row>
    <row r="425" spans="1:17" x14ac:dyDescent="0.2">
      <c r="B425">
        <f t="shared" si="73"/>
        <v>422</v>
      </c>
      <c r="C425">
        <f t="shared" si="67"/>
        <v>29</v>
      </c>
      <c r="D425">
        <v>397</v>
      </c>
      <c r="E425">
        <v>426</v>
      </c>
      <c r="F425">
        <f>RnSPLINE!H$17</f>
        <v>6.3265306122448974</v>
      </c>
      <c r="G425">
        <f>RnSPLINE!H$18</f>
        <v>3.6046511627906979</v>
      </c>
      <c r="H425" s="10">
        <f>RnSPLINE!M$17</f>
        <v>-8.2964304276694489E-3</v>
      </c>
      <c r="I425" s="10">
        <f>RnSPLINE!M$18</f>
        <v>8.3987722849237223E-3</v>
      </c>
      <c r="J425">
        <f t="shared" si="68"/>
        <v>0.13793103448275862</v>
      </c>
      <c r="K425">
        <f t="shared" si="69"/>
        <v>0.86206896551724133</v>
      </c>
      <c r="M425" s="8">
        <f t="shared" si="71"/>
        <v>3.9800828109912767</v>
      </c>
      <c r="N425" s="8">
        <f t="shared" si="76"/>
        <v>3.8767773516390989</v>
      </c>
      <c r="O425" s="8">
        <f t="shared" si="74"/>
        <v>6739.6946330564779</v>
      </c>
      <c r="P425" s="8">
        <f t="shared" si="75"/>
        <v>6744.5368786805484</v>
      </c>
      <c r="Q425" s="8">
        <f t="shared" si="72"/>
        <v>3.8767773516390989</v>
      </c>
    </row>
    <row r="426" spans="1:17" x14ac:dyDescent="0.2">
      <c r="B426">
        <f t="shared" si="73"/>
        <v>423</v>
      </c>
      <c r="C426">
        <f t="shared" si="67"/>
        <v>29</v>
      </c>
      <c r="D426">
        <v>397</v>
      </c>
      <c r="E426">
        <v>426</v>
      </c>
      <c r="F426">
        <f>RnSPLINE!H$17</f>
        <v>6.3265306122448974</v>
      </c>
      <c r="G426">
        <f>RnSPLINE!H$18</f>
        <v>3.6046511627906979</v>
      </c>
      <c r="H426" s="10">
        <f>RnSPLINE!M$17</f>
        <v>-8.2964304276694489E-3</v>
      </c>
      <c r="I426" s="10">
        <f>RnSPLINE!M$18</f>
        <v>8.3987722849237223E-3</v>
      </c>
      <c r="J426">
        <f t="shared" si="68"/>
        <v>0.10344827586206896</v>
      </c>
      <c r="K426">
        <f t="shared" si="69"/>
        <v>0.89655172413793105</v>
      </c>
      <c r="M426" s="8">
        <f t="shared" si="71"/>
        <v>3.8862248989411325</v>
      </c>
      <c r="N426" s="8">
        <f t="shared" si="76"/>
        <v>3.79816258425803</v>
      </c>
      <c r="O426" s="8">
        <f t="shared" si="74"/>
        <v>6743.5808579554187</v>
      </c>
      <c r="P426" s="8">
        <f t="shared" si="75"/>
        <v>6748.335041264806</v>
      </c>
      <c r="Q426" s="8">
        <f t="shared" si="72"/>
        <v>3.79816258425803</v>
      </c>
    </row>
    <row r="427" spans="1:17" x14ac:dyDescent="0.2">
      <c r="B427">
        <f t="shared" si="73"/>
        <v>424</v>
      </c>
      <c r="C427">
        <f t="shared" si="67"/>
        <v>29</v>
      </c>
      <c r="D427">
        <v>397</v>
      </c>
      <c r="E427">
        <v>426</v>
      </c>
      <c r="F427">
        <f>RnSPLINE!H$17</f>
        <v>6.3265306122448974</v>
      </c>
      <c r="G427">
        <f>RnSPLINE!H$18</f>
        <v>3.6046511627906979</v>
      </c>
      <c r="H427" s="10">
        <f>RnSPLINE!M$17</f>
        <v>-8.2964304276694489E-3</v>
      </c>
      <c r="I427" s="10">
        <f>RnSPLINE!M$18</f>
        <v>8.3987722849237223E-3</v>
      </c>
      <c r="J427">
        <f t="shared" si="68"/>
        <v>6.8965517241379309E-2</v>
      </c>
      <c r="K427">
        <f t="shared" si="69"/>
        <v>0.93103448275862066</v>
      </c>
      <c r="M427" s="8">
        <f t="shared" si="71"/>
        <v>3.7923669868909875</v>
      </c>
      <c r="N427" s="8">
        <f t="shared" si="76"/>
        <v>3.7262194992260986</v>
      </c>
      <c r="O427" s="8">
        <f t="shared" si="74"/>
        <v>6747.3732249423092</v>
      </c>
      <c r="P427" s="8">
        <f t="shared" si="75"/>
        <v>6752.0612607640323</v>
      </c>
      <c r="Q427" s="8">
        <f t="shared" si="72"/>
        <v>3.7262194992260986</v>
      </c>
    </row>
    <row r="428" spans="1:17" x14ac:dyDescent="0.2">
      <c r="B428">
        <f t="shared" si="73"/>
        <v>425</v>
      </c>
      <c r="C428">
        <f t="shared" si="67"/>
        <v>29</v>
      </c>
      <c r="D428">
        <v>397</v>
      </c>
      <c r="E428">
        <v>426</v>
      </c>
      <c r="F428">
        <f>RnSPLINE!H$17</f>
        <v>6.3265306122448974</v>
      </c>
      <c r="G428">
        <f>RnSPLINE!H$18</f>
        <v>3.6046511627906979</v>
      </c>
      <c r="H428" s="10">
        <f>RnSPLINE!M$17</f>
        <v>-8.2964304276694489E-3</v>
      </c>
      <c r="I428" s="10">
        <f>RnSPLINE!M$18</f>
        <v>8.3987722849237223E-3</v>
      </c>
      <c r="J428">
        <f t="shared" si="68"/>
        <v>3.4482758620689655E-2</v>
      </c>
      <c r="K428">
        <f t="shared" si="69"/>
        <v>0.96551724137931039</v>
      </c>
      <c r="M428" s="8">
        <f t="shared" si="71"/>
        <v>3.6985090748408425</v>
      </c>
      <c r="N428" s="8">
        <f t="shared" si="76"/>
        <v>3.6615237931885671</v>
      </c>
      <c r="O428" s="8">
        <f t="shared" si="74"/>
        <v>6751.0717340171504</v>
      </c>
      <c r="P428" s="8">
        <f t="shared" si="75"/>
        <v>6755.7227845572206</v>
      </c>
      <c r="Q428" s="8">
        <f t="shared" si="72"/>
        <v>3.6615237931885671</v>
      </c>
    </row>
    <row r="429" spans="1:17" x14ac:dyDescent="0.2">
      <c r="A429">
        <v>426</v>
      </c>
      <c r="B429">
        <f t="shared" si="73"/>
        <v>426</v>
      </c>
      <c r="C429">
        <f t="shared" si="67"/>
        <v>29</v>
      </c>
      <c r="D429">
        <v>397</v>
      </c>
      <c r="E429">
        <v>426</v>
      </c>
      <c r="F429">
        <f>RnSPLINE!H$17</f>
        <v>6.3265306122448974</v>
      </c>
      <c r="G429">
        <f>RnSPLINE!H$18</f>
        <v>3.6046511627906979</v>
      </c>
      <c r="H429" s="10">
        <f>RnSPLINE!M$17</f>
        <v>-8.2964304276694489E-3</v>
      </c>
      <c r="I429" s="10">
        <f>RnSPLINE!M$18</f>
        <v>8.3987722849237223E-3</v>
      </c>
      <c r="J429">
        <f t="shared" si="68"/>
        <v>0</v>
      </c>
      <c r="K429">
        <f t="shared" si="69"/>
        <v>1</v>
      </c>
      <c r="M429" s="8">
        <f t="shared" si="71"/>
        <v>3.6046511627906979</v>
      </c>
      <c r="N429" s="8">
        <f t="shared" si="76"/>
        <v>3.6046511627906979</v>
      </c>
      <c r="O429" s="8">
        <f t="shared" si="74"/>
        <v>6754.6763851799415</v>
      </c>
      <c r="P429" s="8">
        <f t="shared" si="75"/>
        <v>6759.3274357200116</v>
      </c>
      <c r="Q429" s="8">
        <f t="shared" si="72"/>
        <v>3.6046511627906979</v>
      </c>
    </row>
    <row r="430" spans="1:17" x14ac:dyDescent="0.2">
      <c r="B430">
        <f t="shared" si="73"/>
        <v>427</v>
      </c>
      <c r="C430">
        <f t="shared" si="67"/>
        <v>31</v>
      </c>
      <c r="D430">
        <v>426</v>
      </c>
      <c r="E430">
        <v>457</v>
      </c>
      <c r="F430">
        <f>RnSPLINE!H$18</f>
        <v>3.6046511627906979</v>
      </c>
      <c r="G430">
        <f>RnSPLINE!H$19</f>
        <v>4.3076923076923075</v>
      </c>
      <c r="H430" s="10">
        <f>RnSPLINE!M$18</f>
        <v>8.3987722849237223E-3</v>
      </c>
      <c r="I430" s="10">
        <f>RnSPLINE!M$19</f>
        <v>-2.194717413844775E-3</v>
      </c>
      <c r="J430">
        <f t="shared" si="68"/>
        <v>0.967741935483871</v>
      </c>
      <c r="K430">
        <f t="shared" si="69"/>
        <v>3.2258064516129031E-2</v>
      </c>
      <c r="M430" s="8">
        <f t="shared" si="71"/>
        <v>3.6273299094004274</v>
      </c>
      <c r="N430" s="8">
        <f t="shared" si="76"/>
        <v>3.5560244009911832</v>
      </c>
      <c r="O430" s="8">
        <f t="shared" si="74"/>
        <v>6758.3037150893415</v>
      </c>
      <c r="P430" s="8">
        <f t="shared" si="75"/>
        <v>6762.8834601210028</v>
      </c>
      <c r="Q430" s="8">
        <f t="shared" si="72"/>
        <v>3.5560244009911832</v>
      </c>
    </row>
    <row r="431" spans="1:17" x14ac:dyDescent="0.2">
      <c r="B431">
        <f t="shared" si="73"/>
        <v>428</v>
      </c>
      <c r="C431">
        <f t="shared" si="67"/>
        <v>31</v>
      </c>
      <c r="D431">
        <v>426</v>
      </c>
      <c r="E431">
        <v>457</v>
      </c>
      <c r="F431">
        <f>RnSPLINE!H$18</f>
        <v>3.6046511627906979</v>
      </c>
      <c r="G431">
        <f>RnSPLINE!H$19</f>
        <v>4.3076923076923075</v>
      </c>
      <c r="H431" s="10">
        <f>RnSPLINE!M$18</f>
        <v>8.3987722849237223E-3</v>
      </c>
      <c r="I431" s="10">
        <f>RnSPLINE!M$19</f>
        <v>-2.194717413844775E-3</v>
      </c>
      <c r="J431">
        <f t="shared" si="68"/>
        <v>0.93548387096774188</v>
      </c>
      <c r="K431">
        <f t="shared" si="69"/>
        <v>6.4516129032258063E-2</v>
      </c>
      <c r="M431" s="8">
        <f t="shared" si="71"/>
        <v>3.6500086560101561</v>
      </c>
      <c r="N431" s="8">
        <f t="shared" si="76"/>
        <v>3.5154546860024372</v>
      </c>
      <c r="O431" s="8">
        <f t="shared" si="74"/>
        <v>6761.9537237453515</v>
      </c>
      <c r="P431" s="8">
        <f t="shared" si="75"/>
        <v>6766.398914807005</v>
      </c>
      <c r="Q431" s="8">
        <f t="shared" si="72"/>
        <v>3.5154546860024372</v>
      </c>
    </row>
    <row r="432" spans="1:17" x14ac:dyDescent="0.2">
      <c r="B432">
        <f t="shared" si="73"/>
        <v>429</v>
      </c>
      <c r="C432">
        <f t="shared" si="67"/>
        <v>31</v>
      </c>
      <c r="D432">
        <v>426</v>
      </c>
      <c r="E432">
        <v>457</v>
      </c>
      <c r="F432">
        <f>RnSPLINE!H$18</f>
        <v>3.6046511627906979</v>
      </c>
      <c r="G432">
        <f>RnSPLINE!H$19</f>
        <v>4.3076923076923075</v>
      </c>
      <c r="H432" s="10">
        <f>RnSPLINE!M$18</f>
        <v>8.3987722849237223E-3</v>
      </c>
      <c r="I432" s="10">
        <f>RnSPLINE!M$19</f>
        <v>-2.194717413844775E-3</v>
      </c>
      <c r="J432">
        <f t="shared" si="68"/>
        <v>0.90322580645161288</v>
      </c>
      <c r="K432">
        <f t="shared" si="69"/>
        <v>9.6774193548387094E-2</v>
      </c>
      <c r="M432" s="8">
        <f t="shared" si="71"/>
        <v>3.6726874026198857</v>
      </c>
      <c r="N432" s="8">
        <f t="shared" si="76"/>
        <v>3.482600292350309</v>
      </c>
      <c r="O432" s="8">
        <f t="shared" si="74"/>
        <v>6765.6264111479713</v>
      </c>
      <c r="P432" s="8">
        <f t="shared" si="75"/>
        <v>6769.8815150993551</v>
      </c>
      <c r="Q432" s="8">
        <f t="shared" si="72"/>
        <v>3.482600292350309</v>
      </c>
    </row>
    <row r="433" spans="2:17" x14ac:dyDescent="0.2">
      <c r="B433">
        <f t="shared" si="73"/>
        <v>430</v>
      </c>
      <c r="C433">
        <f t="shared" si="67"/>
        <v>31</v>
      </c>
      <c r="D433">
        <v>426</v>
      </c>
      <c r="E433">
        <v>457</v>
      </c>
      <c r="F433">
        <f>RnSPLINE!H$18</f>
        <v>3.6046511627906979</v>
      </c>
      <c r="G433">
        <f>RnSPLINE!H$19</f>
        <v>4.3076923076923075</v>
      </c>
      <c r="H433" s="10">
        <f>RnSPLINE!M$18</f>
        <v>8.3987722849237223E-3</v>
      </c>
      <c r="I433" s="10">
        <f>RnSPLINE!M$19</f>
        <v>-2.194717413844775E-3</v>
      </c>
      <c r="J433">
        <f t="shared" si="68"/>
        <v>0.87096774193548387</v>
      </c>
      <c r="K433">
        <f t="shared" si="69"/>
        <v>0.12903225806451613</v>
      </c>
      <c r="M433" s="8">
        <f t="shared" si="71"/>
        <v>3.6953661492296153</v>
      </c>
      <c r="N433" s="8">
        <f t="shared" si="76"/>
        <v>3.4571194945606423</v>
      </c>
      <c r="O433" s="8">
        <f t="shared" si="74"/>
        <v>6769.3217772972012</v>
      </c>
      <c r="P433" s="8">
        <f t="shared" si="75"/>
        <v>6773.3386345939161</v>
      </c>
      <c r="Q433" s="8">
        <f t="shared" si="72"/>
        <v>3.4571194945606423</v>
      </c>
    </row>
    <row r="434" spans="2:17" x14ac:dyDescent="0.2">
      <c r="B434">
        <f t="shared" si="73"/>
        <v>431</v>
      </c>
      <c r="C434">
        <f t="shared" si="67"/>
        <v>31</v>
      </c>
      <c r="D434">
        <v>426</v>
      </c>
      <c r="E434">
        <v>457</v>
      </c>
      <c r="F434">
        <f>RnSPLINE!H$18</f>
        <v>3.6046511627906979</v>
      </c>
      <c r="G434">
        <f>RnSPLINE!H$19</f>
        <v>4.3076923076923075</v>
      </c>
      <c r="H434" s="10">
        <f>RnSPLINE!M$18</f>
        <v>8.3987722849237223E-3</v>
      </c>
      <c r="I434" s="10">
        <f>RnSPLINE!M$19</f>
        <v>-2.194717413844775E-3</v>
      </c>
      <c r="J434">
        <f t="shared" si="68"/>
        <v>0.83870967741935487</v>
      </c>
      <c r="K434">
        <f t="shared" si="69"/>
        <v>0.16129032258064516</v>
      </c>
      <c r="M434" s="8">
        <f t="shared" si="71"/>
        <v>3.7180448958393448</v>
      </c>
      <c r="N434" s="8">
        <f t="shared" si="76"/>
        <v>3.4386705671592845</v>
      </c>
      <c r="O434" s="8">
        <f t="shared" si="74"/>
        <v>6773.0398221930409</v>
      </c>
      <c r="P434" s="8">
        <f t="shared" si="75"/>
        <v>6776.7773051610757</v>
      </c>
      <c r="Q434" s="8">
        <f t="shared" si="72"/>
        <v>3.4386705671592845</v>
      </c>
    </row>
    <row r="435" spans="2:17" x14ac:dyDescent="0.2">
      <c r="B435">
        <f t="shared" si="73"/>
        <v>432</v>
      </c>
      <c r="C435">
        <f t="shared" si="67"/>
        <v>31</v>
      </c>
      <c r="D435">
        <v>426</v>
      </c>
      <c r="E435">
        <v>457</v>
      </c>
      <c r="F435">
        <f>RnSPLINE!H$18</f>
        <v>3.6046511627906979</v>
      </c>
      <c r="G435">
        <f>RnSPLINE!H$19</f>
        <v>4.3076923076923075</v>
      </c>
      <c r="H435" s="10">
        <f>RnSPLINE!M$18</f>
        <v>8.3987722849237223E-3</v>
      </c>
      <c r="I435" s="10">
        <f>RnSPLINE!M$19</f>
        <v>-2.194717413844775E-3</v>
      </c>
      <c r="J435">
        <f t="shared" si="68"/>
        <v>0.80645161290322576</v>
      </c>
      <c r="K435">
        <f t="shared" si="69"/>
        <v>0.19354838709677419</v>
      </c>
      <c r="M435" s="8">
        <f t="shared" si="71"/>
        <v>3.7407236424490735</v>
      </c>
      <c r="N435" s="8">
        <f t="shared" si="76"/>
        <v>3.4269117846720798</v>
      </c>
      <c r="O435" s="8">
        <f t="shared" si="74"/>
        <v>6776.7805458354896</v>
      </c>
      <c r="P435" s="8">
        <f t="shared" si="75"/>
        <v>6780.2042169457482</v>
      </c>
      <c r="Q435" s="8">
        <f t="shared" si="72"/>
        <v>3.4269117846720798</v>
      </c>
    </row>
    <row r="436" spans="2:17" x14ac:dyDescent="0.2">
      <c r="B436">
        <f t="shared" si="73"/>
        <v>433</v>
      </c>
      <c r="C436">
        <f t="shared" si="67"/>
        <v>31</v>
      </c>
      <c r="D436">
        <v>426</v>
      </c>
      <c r="E436">
        <v>457</v>
      </c>
      <c r="F436">
        <f>RnSPLINE!H$18</f>
        <v>3.6046511627906979</v>
      </c>
      <c r="G436">
        <f>RnSPLINE!H$19</f>
        <v>4.3076923076923075</v>
      </c>
      <c r="H436" s="10">
        <f>RnSPLINE!M$18</f>
        <v>8.3987722849237223E-3</v>
      </c>
      <c r="I436" s="10">
        <f>RnSPLINE!M$19</f>
        <v>-2.194717413844775E-3</v>
      </c>
      <c r="J436">
        <f t="shared" si="68"/>
        <v>0.77419354838709675</v>
      </c>
      <c r="K436">
        <f t="shared" si="69"/>
        <v>0.22580645161290322</v>
      </c>
      <c r="M436" s="8">
        <f t="shared" si="71"/>
        <v>3.7634023890588031</v>
      </c>
      <c r="N436" s="8">
        <f t="shared" si="76"/>
        <v>3.4215014216248774</v>
      </c>
      <c r="O436" s="8">
        <f t="shared" si="74"/>
        <v>6780.5439482245483</v>
      </c>
      <c r="P436" s="8">
        <f t="shared" si="75"/>
        <v>6783.6257183673733</v>
      </c>
      <c r="Q436" s="8">
        <f t="shared" si="72"/>
        <v>3.4215014216248774</v>
      </c>
    </row>
    <row r="437" spans="2:17" x14ac:dyDescent="0.2">
      <c r="B437">
        <f t="shared" si="73"/>
        <v>434</v>
      </c>
      <c r="C437">
        <f t="shared" si="67"/>
        <v>31</v>
      </c>
      <c r="D437">
        <v>426</v>
      </c>
      <c r="E437">
        <v>457</v>
      </c>
      <c r="F437">
        <f>RnSPLINE!H$18</f>
        <v>3.6046511627906979</v>
      </c>
      <c r="G437">
        <f>RnSPLINE!H$19</f>
        <v>4.3076923076923075</v>
      </c>
      <c r="H437" s="10">
        <f>RnSPLINE!M$18</f>
        <v>8.3987722849237223E-3</v>
      </c>
      <c r="I437" s="10">
        <f>RnSPLINE!M$19</f>
        <v>-2.194717413844775E-3</v>
      </c>
      <c r="J437">
        <f t="shared" si="68"/>
        <v>0.74193548387096775</v>
      </c>
      <c r="K437">
        <f t="shared" si="69"/>
        <v>0.25806451612903225</v>
      </c>
      <c r="M437" s="8">
        <f t="shared" si="71"/>
        <v>3.7860811356685327</v>
      </c>
      <c r="N437" s="8">
        <f t="shared" si="76"/>
        <v>3.4220977525435217</v>
      </c>
      <c r="O437" s="8">
        <f t="shared" si="74"/>
        <v>6784.3300293602169</v>
      </c>
      <c r="P437" s="8">
        <f t="shared" si="75"/>
        <v>6787.0478161199171</v>
      </c>
      <c r="Q437" s="8">
        <f t="shared" si="72"/>
        <v>3.4220977525435217</v>
      </c>
    </row>
    <row r="438" spans="2:17" x14ac:dyDescent="0.2">
      <c r="B438">
        <f t="shared" si="73"/>
        <v>435</v>
      </c>
      <c r="C438">
        <f t="shared" si="67"/>
        <v>31</v>
      </c>
      <c r="D438">
        <v>426</v>
      </c>
      <c r="E438">
        <v>457</v>
      </c>
      <c r="F438">
        <f>RnSPLINE!H$18</f>
        <v>3.6046511627906979</v>
      </c>
      <c r="G438">
        <f>RnSPLINE!H$19</f>
        <v>4.3076923076923075</v>
      </c>
      <c r="H438" s="10">
        <f>RnSPLINE!M$18</f>
        <v>8.3987722849237223E-3</v>
      </c>
      <c r="I438" s="10">
        <f>RnSPLINE!M$19</f>
        <v>-2.194717413844775E-3</v>
      </c>
      <c r="J438">
        <f t="shared" si="68"/>
        <v>0.70967741935483875</v>
      </c>
      <c r="K438">
        <f t="shared" si="69"/>
        <v>0.29032258064516131</v>
      </c>
      <c r="M438" s="8">
        <f t="shared" si="71"/>
        <v>3.8087598822782622</v>
      </c>
      <c r="N438" s="8">
        <f t="shared" si="76"/>
        <v>3.4283590519538594</v>
      </c>
      <c r="O438" s="8">
        <f t="shared" si="74"/>
        <v>6788.1387892424955</v>
      </c>
      <c r="P438" s="8">
        <f t="shared" si="75"/>
        <v>6790.4761751718706</v>
      </c>
      <c r="Q438" s="8">
        <f t="shared" si="72"/>
        <v>3.4283590519538594</v>
      </c>
    </row>
    <row r="439" spans="2:17" x14ac:dyDescent="0.2">
      <c r="B439">
        <f t="shared" si="73"/>
        <v>436</v>
      </c>
      <c r="C439">
        <f t="shared" si="67"/>
        <v>31</v>
      </c>
      <c r="D439">
        <v>426</v>
      </c>
      <c r="E439">
        <v>457</v>
      </c>
      <c r="F439">
        <f>RnSPLINE!H$18</f>
        <v>3.6046511627906979</v>
      </c>
      <c r="G439">
        <f>RnSPLINE!H$19</f>
        <v>4.3076923076923075</v>
      </c>
      <c r="H439" s="10">
        <f>RnSPLINE!M$18</f>
        <v>8.3987722849237223E-3</v>
      </c>
      <c r="I439" s="10">
        <f>RnSPLINE!M$19</f>
        <v>-2.194717413844775E-3</v>
      </c>
      <c r="J439">
        <f t="shared" si="68"/>
        <v>0.67741935483870963</v>
      </c>
      <c r="K439">
        <f t="shared" si="69"/>
        <v>0.32258064516129031</v>
      </c>
      <c r="M439" s="8">
        <f t="shared" si="71"/>
        <v>3.8314386288879909</v>
      </c>
      <c r="N439" s="8">
        <f t="shared" si="76"/>
        <v>3.4399435943817354</v>
      </c>
      <c r="O439" s="8">
        <f t="shared" si="74"/>
        <v>6791.970227871383</v>
      </c>
      <c r="P439" s="8">
        <f t="shared" si="75"/>
        <v>6793.9161187662521</v>
      </c>
      <c r="Q439" s="8">
        <f t="shared" si="72"/>
        <v>3.4399435943817354</v>
      </c>
    </row>
    <row r="440" spans="2:17" x14ac:dyDescent="0.2">
      <c r="B440">
        <f t="shared" si="73"/>
        <v>437</v>
      </c>
      <c r="C440">
        <f t="shared" si="67"/>
        <v>31</v>
      </c>
      <c r="D440">
        <v>426</v>
      </c>
      <c r="E440">
        <v>457</v>
      </c>
      <c r="F440">
        <f>RnSPLINE!H$18</f>
        <v>3.6046511627906979</v>
      </c>
      <c r="G440">
        <f>RnSPLINE!H$19</f>
        <v>4.3076923076923075</v>
      </c>
      <c r="H440" s="10">
        <f>RnSPLINE!M$18</f>
        <v>8.3987722849237223E-3</v>
      </c>
      <c r="I440" s="10">
        <f>RnSPLINE!M$19</f>
        <v>-2.194717413844775E-3</v>
      </c>
      <c r="J440">
        <f t="shared" si="68"/>
        <v>0.64516129032258063</v>
      </c>
      <c r="K440">
        <f t="shared" si="69"/>
        <v>0.35483870967741937</v>
      </c>
      <c r="M440" s="8">
        <f t="shared" si="71"/>
        <v>3.8541173754977205</v>
      </c>
      <c r="N440" s="8">
        <f t="shared" si="76"/>
        <v>3.4565096543529976</v>
      </c>
      <c r="O440" s="8">
        <f t="shared" si="74"/>
        <v>6795.8243452468805</v>
      </c>
      <c r="P440" s="8">
        <f t="shared" si="75"/>
        <v>6797.372628420605</v>
      </c>
      <c r="Q440" s="8">
        <f t="shared" si="72"/>
        <v>3.4565096543529976</v>
      </c>
    </row>
    <row r="441" spans="2:17" x14ac:dyDescent="0.2">
      <c r="B441">
        <f t="shared" si="73"/>
        <v>438</v>
      </c>
      <c r="C441">
        <f t="shared" si="67"/>
        <v>31</v>
      </c>
      <c r="D441">
        <v>426</v>
      </c>
      <c r="E441">
        <v>457</v>
      </c>
      <c r="F441">
        <f>RnSPLINE!H$18</f>
        <v>3.6046511627906979</v>
      </c>
      <c r="G441">
        <f>RnSPLINE!H$19</f>
        <v>4.3076923076923075</v>
      </c>
      <c r="H441" s="10">
        <f>RnSPLINE!M$18</f>
        <v>8.3987722849237223E-3</v>
      </c>
      <c r="I441" s="10">
        <f>RnSPLINE!M$19</f>
        <v>-2.194717413844775E-3</v>
      </c>
      <c r="J441">
        <f t="shared" si="68"/>
        <v>0.61290322580645162</v>
      </c>
      <c r="K441">
        <f t="shared" si="69"/>
        <v>0.38709677419354838</v>
      </c>
      <c r="M441" s="8">
        <f t="shared" si="71"/>
        <v>3.8767961221074501</v>
      </c>
      <c r="N441" s="8">
        <f t="shared" si="76"/>
        <v>3.4777155063934915</v>
      </c>
      <c r="O441" s="8">
        <f t="shared" si="74"/>
        <v>6799.7011413689879</v>
      </c>
      <c r="P441" s="8">
        <f t="shared" si="75"/>
        <v>6800.8503439269989</v>
      </c>
      <c r="Q441" s="8">
        <f t="shared" si="72"/>
        <v>3.4777155063934915</v>
      </c>
    </row>
    <row r="442" spans="2:17" x14ac:dyDescent="0.2">
      <c r="B442">
        <f t="shared" si="73"/>
        <v>439</v>
      </c>
      <c r="C442">
        <f t="shared" si="67"/>
        <v>31</v>
      </c>
      <c r="D442">
        <v>426</v>
      </c>
      <c r="E442">
        <v>457</v>
      </c>
      <c r="F442">
        <f>RnSPLINE!H$18</f>
        <v>3.6046511627906979</v>
      </c>
      <c r="G442">
        <f>RnSPLINE!H$19</f>
        <v>4.3076923076923075</v>
      </c>
      <c r="H442" s="10">
        <f>RnSPLINE!M$18</f>
        <v>8.3987722849237223E-3</v>
      </c>
      <c r="I442" s="10">
        <f>RnSPLINE!M$19</f>
        <v>-2.194717413844775E-3</v>
      </c>
      <c r="J442">
        <f t="shared" si="68"/>
        <v>0.58064516129032262</v>
      </c>
      <c r="K442">
        <f t="shared" si="69"/>
        <v>0.41935483870967744</v>
      </c>
      <c r="M442" s="8">
        <f t="shared" si="71"/>
        <v>3.8994748687171796</v>
      </c>
      <c r="N442" s="8">
        <f t="shared" si="76"/>
        <v>3.5032194250290636</v>
      </c>
      <c r="O442" s="8">
        <f t="shared" si="74"/>
        <v>6803.6006162377053</v>
      </c>
      <c r="P442" s="8">
        <f t="shared" si="75"/>
        <v>6804.3535633520278</v>
      </c>
      <c r="Q442" s="8">
        <f t="shared" si="72"/>
        <v>3.5032194250290636</v>
      </c>
    </row>
    <row r="443" spans="2:17" x14ac:dyDescent="0.2">
      <c r="B443">
        <f t="shared" si="73"/>
        <v>440</v>
      </c>
      <c r="C443">
        <f t="shared" si="67"/>
        <v>31</v>
      </c>
      <c r="D443">
        <v>426</v>
      </c>
      <c r="E443">
        <v>457</v>
      </c>
      <c r="F443">
        <f>RnSPLINE!H$18</f>
        <v>3.6046511627906979</v>
      </c>
      <c r="G443">
        <f>RnSPLINE!H$19</f>
        <v>4.3076923076923075</v>
      </c>
      <c r="H443" s="10">
        <f>RnSPLINE!M$18</f>
        <v>8.3987722849237223E-3</v>
      </c>
      <c r="I443" s="10">
        <f>RnSPLINE!M$19</f>
        <v>-2.194717413844775E-3</v>
      </c>
      <c r="J443">
        <f t="shared" si="68"/>
        <v>0.54838709677419351</v>
      </c>
      <c r="K443">
        <f t="shared" si="69"/>
        <v>0.45161290322580644</v>
      </c>
      <c r="M443" s="8">
        <f t="shared" si="71"/>
        <v>3.9221536153269083</v>
      </c>
      <c r="N443" s="8">
        <f t="shared" si="76"/>
        <v>3.5326796847855584</v>
      </c>
      <c r="O443" s="8">
        <f t="shared" si="74"/>
        <v>6807.5227698530325</v>
      </c>
      <c r="P443" s="8">
        <f t="shared" si="75"/>
        <v>6807.8862430368135</v>
      </c>
      <c r="Q443" s="8">
        <f t="shared" si="72"/>
        <v>3.5326796847855584</v>
      </c>
    </row>
    <row r="444" spans="2:17" x14ac:dyDescent="0.2">
      <c r="B444">
        <f t="shared" si="73"/>
        <v>441</v>
      </c>
      <c r="C444">
        <f t="shared" si="67"/>
        <v>31</v>
      </c>
      <c r="D444">
        <v>426</v>
      </c>
      <c r="E444">
        <v>457</v>
      </c>
      <c r="F444">
        <f>RnSPLINE!H$18</f>
        <v>3.6046511627906979</v>
      </c>
      <c r="G444">
        <f>RnSPLINE!H$19</f>
        <v>4.3076923076923075</v>
      </c>
      <c r="H444" s="10">
        <f>RnSPLINE!M$18</f>
        <v>8.3987722849237223E-3</v>
      </c>
      <c r="I444" s="10">
        <f>RnSPLINE!M$19</f>
        <v>-2.194717413844775E-3</v>
      </c>
      <c r="J444">
        <f t="shared" si="68"/>
        <v>0.5161290322580645</v>
      </c>
      <c r="K444">
        <f t="shared" si="69"/>
        <v>0.4838709677419355</v>
      </c>
      <c r="M444" s="8">
        <f t="shared" si="71"/>
        <v>3.9448323619366379</v>
      </c>
      <c r="N444" s="8">
        <f t="shared" si="76"/>
        <v>3.5657545601888248</v>
      </c>
      <c r="O444" s="8">
        <f t="shared" si="74"/>
        <v>6811.4676022149688</v>
      </c>
      <c r="P444" s="8">
        <f t="shared" si="75"/>
        <v>6811.4519975970024</v>
      </c>
      <c r="Q444" s="8">
        <f t="shared" si="72"/>
        <v>3.5657545601888248</v>
      </c>
    </row>
    <row r="445" spans="2:17" x14ac:dyDescent="0.2">
      <c r="B445">
        <f t="shared" si="73"/>
        <v>442</v>
      </c>
      <c r="C445">
        <f t="shared" si="67"/>
        <v>31</v>
      </c>
      <c r="D445">
        <v>426</v>
      </c>
      <c r="E445">
        <v>457</v>
      </c>
      <c r="F445">
        <f>RnSPLINE!H$18</f>
        <v>3.6046511627906979</v>
      </c>
      <c r="G445">
        <f>RnSPLINE!H$19</f>
        <v>4.3076923076923075</v>
      </c>
      <c r="H445" s="10">
        <f>RnSPLINE!M$18</f>
        <v>8.3987722849237223E-3</v>
      </c>
      <c r="I445" s="10">
        <f>RnSPLINE!M$19</f>
        <v>-2.194717413844775E-3</v>
      </c>
      <c r="J445">
        <f t="shared" si="68"/>
        <v>0.4838709677419355</v>
      </c>
      <c r="K445">
        <f t="shared" si="69"/>
        <v>0.5161290322580645</v>
      </c>
      <c r="M445" s="8">
        <f t="shared" si="71"/>
        <v>3.9675111085463675</v>
      </c>
      <c r="N445" s="8">
        <f t="shared" si="76"/>
        <v>3.6021023257647071</v>
      </c>
      <c r="O445" s="8">
        <f t="shared" si="74"/>
        <v>6815.435113323515</v>
      </c>
      <c r="P445" s="8">
        <f t="shared" si="75"/>
        <v>6815.0540999227669</v>
      </c>
      <c r="Q445" s="8">
        <f t="shared" si="72"/>
        <v>3.6021023257647071</v>
      </c>
    </row>
    <row r="446" spans="2:17" x14ac:dyDescent="0.2">
      <c r="B446">
        <f t="shared" si="73"/>
        <v>443</v>
      </c>
      <c r="C446">
        <f t="shared" si="67"/>
        <v>31</v>
      </c>
      <c r="D446">
        <v>426</v>
      </c>
      <c r="E446">
        <v>457</v>
      </c>
      <c r="F446">
        <f>RnSPLINE!H$18</f>
        <v>3.6046511627906979</v>
      </c>
      <c r="G446">
        <f>RnSPLINE!H$19</f>
        <v>4.3076923076923075</v>
      </c>
      <c r="H446" s="10">
        <f>RnSPLINE!M$18</f>
        <v>8.3987722849237223E-3</v>
      </c>
      <c r="I446" s="10">
        <f>RnSPLINE!M$19</f>
        <v>-2.194717413844775E-3</v>
      </c>
      <c r="J446">
        <f t="shared" si="68"/>
        <v>0.45161290322580644</v>
      </c>
      <c r="K446">
        <f t="shared" si="69"/>
        <v>0.54838709677419351</v>
      </c>
      <c r="M446" s="8">
        <f t="shared" si="71"/>
        <v>3.9901898551560961</v>
      </c>
      <c r="N446" s="8">
        <f t="shared" si="76"/>
        <v>3.6413812560390513</v>
      </c>
      <c r="O446" s="8">
        <f t="shared" si="74"/>
        <v>6819.4253031786711</v>
      </c>
      <c r="P446" s="8">
        <f t="shared" si="75"/>
        <v>6818.6954811788064</v>
      </c>
      <c r="Q446" s="8">
        <f t="shared" si="72"/>
        <v>3.6413812560390513</v>
      </c>
    </row>
    <row r="447" spans="2:17" x14ac:dyDescent="0.2">
      <c r="B447">
        <f t="shared" si="73"/>
        <v>444</v>
      </c>
      <c r="C447">
        <f t="shared" si="67"/>
        <v>31</v>
      </c>
      <c r="D447">
        <v>426</v>
      </c>
      <c r="E447">
        <v>457</v>
      </c>
      <c r="F447">
        <f>RnSPLINE!H$18</f>
        <v>3.6046511627906979</v>
      </c>
      <c r="G447">
        <f>RnSPLINE!H$19</f>
        <v>4.3076923076923075</v>
      </c>
      <c r="H447" s="10">
        <f>RnSPLINE!M$18</f>
        <v>8.3987722849237223E-3</v>
      </c>
      <c r="I447" s="10">
        <f>RnSPLINE!M$19</f>
        <v>-2.194717413844775E-3</v>
      </c>
      <c r="J447">
        <f t="shared" si="68"/>
        <v>0.41935483870967744</v>
      </c>
      <c r="K447">
        <f t="shared" si="69"/>
        <v>0.58064516129032262</v>
      </c>
      <c r="M447" s="8">
        <f t="shared" si="71"/>
        <v>4.0128686017658266</v>
      </c>
      <c r="N447" s="8">
        <f t="shared" si="76"/>
        <v>3.6832496255377056</v>
      </c>
      <c r="O447" s="8">
        <f t="shared" si="74"/>
        <v>6823.4381717804372</v>
      </c>
      <c r="P447" s="8">
        <f t="shared" si="75"/>
        <v>6822.3787308043438</v>
      </c>
      <c r="Q447" s="8">
        <f t="shared" si="72"/>
        <v>3.6832496255377056</v>
      </c>
    </row>
    <row r="448" spans="2:17" x14ac:dyDescent="0.2">
      <c r="B448">
        <f t="shared" si="73"/>
        <v>445</v>
      </c>
      <c r="C448">
        <f t="shared" si="67"/>
        <v>31</v>
      </c>
      <c r="D448">
        <v>426</v>
      </c>
      <c r="E448">
        <v>457</v>
      </c>
      <c r="F448">
        <f>RnSPLINE!H$18</f>
        <v>3.6046511627906979</v>
      </c>
      <c r="G448">
        <f>RnSPLINE!H$19</f>
        <v>4.3076923076923075</v>
      </c>
      <c r="H448" s="10">
        <f>RnSPLINE!M$18</f>
        <v>8.3987722849237223E-3</v>
      </c>
      <c r="I448" s="10">
        <f>RnSPLINE!M$19</f>
        <v>-2.194717413844775E-3</v>
      </c>
      <c r="J448">
        <f t="shared" si="68"/>
        <v>0.38709677419354838</v>
      </c>
      <c r="K448">
        <f t="shared" si="69"/>
        <v>0.61290322580645162</v>
      </c>
      <c r="M448" s="8">
        <f t="shared" si="71"/>
        <v>4.0355473483755553</v>
      </c>
      <c r="N448" s="8">
        <f t="shared" si="76"/>
        <v>3.7273657087865137</v>
      </c>
      <c r="O448" s="8">
        <f t="shared" si="74"/>
        <v>6827.4737191288132</v>
      </c>
      <c r="P448" s="8">
        <f t="shared" si="75"/>
        <v>6826.1060965131301</v>
      </c>
      <c r="Q448" s="8">
        <f t="shared" si="72"/>
        <v>3.7273657087865137</v>
      </c>
    </row>
    <row r="449" spans="1:17" x14ac:dyDescent="0.2">
      <c r="B449">
        <f t="shared" si="73"/>
        <v>446</v>
      </c>
      <c r="C449">
        <f t="shared" si="67"/>
        <v>31</v>
      </c>
      <c r="D449">
        <v>426</v>
      </c>
      <c r="E449">
        <v>457</v>
      </c>
      <c r="F449">
        <f>RnSPLINE!H$18</f>
        <v>3.6046511627906979</v>
      </c>
      <c r="G449">
        <f>RnSPLINE!H$19</f>
        <v>4.3076923076923075</v>
      </c>
      <c r="H449" s="10">
        <f>RnSPLINE!M$18</f>
        <v>8.3987722849237223E-3</v>
      </c>
      <c r="I449" s="10">
        <f>RnSPLINE!M$19</f>
        <v>-2.194717413844775E-3</v>
      </c>
      <c r="J449">
        <f t="shared" si="68"/>
        <v>0.35483870967741937</v>
      </c>
      <c r="K449">
        <f t="shared" si="69"/>
        <v>0.64516129032258063</v>
      </c>
      <c r="M449" s="8">
        <f t="shared" si="71"/>
        <v>4.0582260949852849</v>
      </c>
      <c r="N449" s="8">
        <f t="shared" si="76"/>
        <v>3.7733877803113236</v>
      </c>
      <c r="O449" s="8">
        <f t="shared" si="74"/>
        <v>6831.5319452237982</v>
      </c>
      <c r="P449" s="8">
        <f t="shared" si="75"/>
        <v>6829.8794842934412</v>
      </c>
      <c r="Q449" s="8">
        <f t="shared" si="72"/>
        <v>3.7733877803113236</v>
      </c>
    </row>
    <row r="450" spans="1:17" x14ac:dyDescent="0.2">
      <c r="B450">
        <f t="shared" si="73"/>
        <v>447</v>
      </c>
      <c r="C450">
        <f t="shared" si="67"/>
        <v>31</v>
      </c>
      <c r="D450">
        <v>426</v>
      </c>
      <c r="E450">
        <v>457</v>
      </c>
      <c r="F450">
        <f>RnSPLINE!H$18</f>
        <v>3.6046511627906979</v>
      </c>
      <c r="G450">
        <f>RnSPLINE!H$19</f>
        <v>4.3076923076923075</v>
      </c>
      <c r="H450" s="10">
        <f>RnSPLINE!M$18</f>
        <v>8.3987722849237223E-3</v>
      </c>
      <c r="I450" s="10">
        <f>RnSPLINE!M$19</f>
        <v>-2.194717413844775E-3</v>
      </c>
      <c r="J450">
        <f t="shared" si="68"/>
        <v>0.32258064516129031</v>
      </c>
      <c r="K450">
        <f t="shared" si="69"/>
        <v>0.67741935483870963</v>
      </c>
      <c r="M450" s="8">
        <f t="shared" si="71"/>
        <v>4.0809048415950135</v>
      </c>
      <c r="N450" s="8">
        <f t="shared" si="76"/>
        <v>3.8209741146379796</v>
      </c>
      <c r="O450" s="8">
        <f t="shared" si="74"/>
        <v>6835.6128500653931</v>
      </c>
      <c r="P450" s="8">
        <f t="shared" si="75"/>
        <v>6833.7004584080796</v>
      </c>
      <c r="Q450" s="8">
        <f t="shared" si="72"/>
        <v>3.8209741146379796</v>
      </c>
    </row>
    <row r="451" spans="1:17" x14ac:dyDescent="0.2">
      <c r="B451">
        <f t="shared" si="73"/>
        <v>448</v>
      </c>
      <c r="C451">
        <f t="shared" si="67"/>
        <v>31</v>
      </c>
      <c r="D451">
        <v>426</v>
      </c>
      <c r="E451">
        <v>457</v>
      </c>
      <c r="F451">
        <f>RnSPLINE!H$18</f>
        <v>3.6046511627906979</v>
      </c>
      <c r="G451">
        <f>RnSPLINE!H$19</f>
        <v>4.3076923076923075</v>
      </c>
      <c r="H451" s="10">
        <f>RnSPLINE!M$18</f>
        <v>8.3987722849237223E-3</v>
      </c>
      <c r="I451" s="10">
        <f>RnSPLINE!M$19</f>
        <v>-2.194717413844775E-3</v>
      </c>
      <c r="J451">
        <f t="shared" si="68"/>
        <v>0.29032258064516131</v>
      </c>
      <c r="K451">
        <f t="shared" si="69"/>
        <v>0.70967741935483875</v>
      </c>
      <c r="M451" s="8">
        <f t="shared" si="71"/>
        <v>4.103583588204744</v>
      </c>
      <c r="N451" s="8">
        <f t="shared" si="76"/>
        <v>3.8697829862923308</v>
      </c>
      <c r="O451" s="8">
        <f t="shared" si="74"/>
        <v>6839.716433653598</v>
      </c>
      <c r="P451" s="8">
        <f t="shared" si="75"/>
        <v>6837.5702413943718</v>
      </c>
      <c r="Q451" s="8">
        <f t="shared" si="72"/>
        <v>3.8697829862923308</v>
      </c>
    </row>
    <row r="452" spans="1:17" x14ac:dyDescent="0.2">
      <c r="B452">
        <f t="shared" si="73"/>
        <v>449</v>
      </c>
      <c r="C452">
        <f t="shared" ref="C452:C460" si="77">E452-D452</f>
        <v>31</v>
      </c>
      <c r="D452">
        <v>426</v>
      </c>
      <c r="E452">
        <v>457</v>
      </c>
      <c r="F452">
        <f>RnSPLINE!H$18</f>
        <v>3.6046511627906979</v>
      </c>
      <c r="G452">
        <f>RnSPLINE!H$19</f>
        <v>4.3076923076923075</v>
      </c>
      <c r="H452" s="10">
        <f>RnSPLINE!M$18</f>
        <v>8.3987722849237223E-3</v>
      </c>
      <c r="I452" s="10">
        <f>RnSPLINE!M$19</f>
        <v>-2.194717413844775E-3</v>
      </c>
      <c r="J452">
        <f t="shared" ref="J452:J460" si="78">(E452-B452)/C452</f>
        <v>0.25806451612903225</v>
      </c>
      <c r="K452">
        <f t="shared" ref="K452:K460" si="79">(B452-D452)/C452</f>
        <v>0.74193548387096775</v>
      </c>
      <c r="M452" s="8">
        <f t="shared" ref="M452:M460" si="80">J452*F452+K452*G452</f>
        <v>4.1262623348144727</v>
      </c>
      <c r="N452" s="8">
        <f t="shared" si="76"/>
        <v>3.9194726698002205</v>
      </c>
      <c r="O452" s="8">
        <f t="shared" si="74"/>
        <v>6843.8426959884127</v>
      </c>
      <c r="P452" s="8">
        <f t="shared" si="75"/>
        <v>6841.4897140641724</v>
      </c>
      <c r="Q452" s="8">
        <f t="shared" ref="Q452:Q460" si="81">M452+(((J452^3-J452)*H452+(K452^3-K452)*I452))*(C452^2)/6</f>
        <v>3.9194726698002205</v>
      </c>
    </row>
    <row r="453" spans="1:17" x14ac:dyDescent="0.2">
      <c r="B453">
        <f t="shared" ref="B453:B460" si="82">B452+1</f>
        <v>450</v>
      </c>
      <c r="C453">
        <f t="shared" si="77"/>
        <v>31</v>
      </c>
      <c r="D453">
        <v>426</v>
      </c>
      <c r="E453">
        <v>457</v>
      </c>
      <c r="F453">
        <f>RnSPLINE!H$18</f>
        <v>3.6046511627906979</v>
      </c>
      <c r="G453">
        <f>RnSPLINE!H$19</f>
        <v>4.3076923076923075</v>
      </c>
      <c r="H453" s="10">
        <f>RnSPLINE!M$18</f>
        <v>8.3987722849237223E-3</v>
      </c>
      <c r="I453" s="10">
        <f>RnSPLINE!M$19</f>
        <v>-2.194717413844775E-3</v>
      </c>
      <c r="J453">
        <f t="shared" si="78"/>
        <v>0.22580645161290322</v>
      </c>
      <c r="K453">
        <f t="shared" si="79"/>
        <v>0.77419354838709675</v>
      </c>
      <c r="M453" s="8">
        <f t="shared" si="80"/>
        <v>4.1489410814242023</v>
      </c>
      <c r="N453" s="8">
        <f t="shared" si="76"/>
        <v>3.9697014396874963</v>
      </c>
      <c r="O453" s="8">
        <f t="shared" ref="O453:O460" si="83">O452+M453</f>
        <v>6847.9916370698365</v>
      </c>
      <c r="P453" s="8">
        <f t="shared" ref="P453:P460" si="84">P452+N453</f>
        <v>6845.4594155038603</v>
      </c>
      <c r="Q453" s="8">
        <f t="shared" si="81"/>
        <v>3.9697014396874963</v>
      </c>
    </row>
    <row r="454" spans="1:17" x14ac:dyDescent="0.2">
      <c r="B454">
        <f t="shared" si="82"/>
        <v>451</v>
      </c>
      <c r="C454">
        <f t="shared" si="77"/>
        <v>31</v>
      </c>
      <c r="D454">
        <v>426</v>
      </c>
      <c r="E454">
        <v>457</v>
      </c>
      <c r="F454">
        <f>RnSPLINE!H$18</f>
        <v>3.6046511627906979</v>
      </c>
      <c r="G454">
        <f>RnSPLINE!H$19</f>
        <v>4.3076923076923075</v>
      </c>
      <c r="H454" s="10">
        <f>RnSPLINE!M$18</f>
        <v>8.3987722849237223E-3</v>
      </c>
      <c r="I454" s="10">
        <f>RnSPLINE!M$19</f>
        <v>-2.194717413844775E-3</v>
      </c>
      <c r="J454">
        <f t="shared" si="78"/>
        <v>0.19354838709677419</v>
      </c>
      <c r="K454">
        <f t="shared" si="79"/>
        <v>0.80645161290322576</v>
      </c>
      <c r="M454" s="8">
        <f t="shared" si="80"/>
        <v>4.1716198280339309</v>
      </c>
      <c r="N454" s="8">
        <f t="shared" si="76"/>
        <v>4.0201275704800032</v>
      </c>
      <c r="O454" s="8">
        <f t="shared" si="83"/>
        <v>6852.1632568978703</v>
      </c>
      <c r="P454" s="8">
        <f t="shared" si="84"/>
        <v>6849.4795430743407</v>
      </c>
      <c r="Q454" s="8">
        <f t="shared" si="81"/>
        <v>4.0201275704800032</v>
      </c>
    </row>
    <row r="455" spans="1:17" x14ac:dyDescent="0.2">
      <c r="B455">
        <f t="shared" si="82"/>
        <v>452</v>
      </c>
      <c r="C455">
        <f t="shared" si="77"/>
        <v>31</v>
      </c>
      <c r="D455">
        <v>426</v>
      </c>
      <c r="E455">
        <v>457</v>
      </c>
      <c r="F455">
        <f>RnSPLINE!H$18</f>
        <v>3.6046511627906979</v>
      </c>
      <c r="G455">
        <f>RnSPLINE!H$19</f>
        <v>4.3076923076923075</v>
      </c>
      <c r="H455" s="10">
        <f>RnSPLINE!M$18</f>
        <v>8.3987722849237223E-3</v>
      </c>
      <c r="I455" s="10">
        <f>RnSPLINE!M$19</f>
        <v>-2.194717413844775E-3</v>
      </c>
      <c r="J455">
        <f t="shared" si="78"/>
        <v>0.16129032258064516</v>
      </c>
      <c r="K455">
        <f t="shared" si="79"/>
        <v>0.83870967741935487</v>
      </c>
      <c r="M455" s="8">
        <f t="shared" si="80"/>
        <v>4.1942985746436605</v>
      </c>
      <c r="N455" s="8">
        <f t="shared" si="76"/>
        <v>4.0704093367035892</v>
      </c>
      <c r="O455" s="8">
        <f t="shared" si="83"/>
        <v>6856.3575554725139</v>
      </c>
      <c r="P455" s="8">
        <f t="shared" si="84"/>
        <v>6853.5499524110446</v>
      </c>
      <c r="Q455" s="8">
        <f t="shared" si="81"/>
        <v>4.0704093367035892</v>
      </c>
    </row>
    <row r="456" spans="1:17" x14ac:dyDescent="0.2">
      <c r="B456">
        <f t="shared" si="82"/>
        <v>453</v>
      </c>
      <c r="C456">
        <f t="shared" si="77"/>
        <v>31</v>
      </c>
      <c r="D456">
        <v>426</v>
      </c>
      <c r="E456">
        <v>457</v>
      </c>
      <c r="F456">
        <f>RnSPLINE!H$18</f>
        <v>3.6046511627906979</v>
      </c>
      <c r="G456">
        <f>RnSPLINE!H$19</f>
        <v>4.3076923076923075</v>
      </c>
      <c r="H456" s="10">
        <f>RnSPLINE!M$18</f>
        <v>8.3987722849237223E-3</v>
      </c>
      <c r="I456" s="10">
        <f>RnSPLINE!M$19</f>
        <v>-2.194717413844775E-3</v>
      </c>
      <c r="J456">
        <f t="shared" si="78"/>
        <v>0.12903225806451613</v>
      </c>
      <c r="K456">
        <f t="shared" si="79"/>
        <v>0.87096774193548387</v>
      </c>
      <c r="M456" s="8">
        <f t="shared" si="80"/>
        <v>4.2169773212533901</v>
      </c>
      <c r="N456" s="8">
        <f t="shared" si="76"/>
        <v>4.1202050128840995</v>
      </c>
      <c r="O456" s="8">
        <f t="shared" si="83"/>
        <v>6860.5745327937675</v>
      </c>
      <c r="P456" s="8">
        <f t="shared" si="84"/>
        <v>6857.6701574239287</v>
      </c>
      <c r="Q456" s="8">
        <f t="shared" si="81"/>
        <v>4.1202050128840995</v>
      </c>
    </row>
    <row r="457" spans="1:17" x14ac:dyDescent="0.2">
      <c r="B457">
        <f t="shared" si="82"/>
        <v>454</v>
      </c>
      <c r="C457">
        <f t="shared" si="77"/>
        <v>31</v>
      </c>
      <c r="D457">
        <v>426</v>
      </c>
      <c r="E457">
        <v>457</v>
      </c>
      <c r="F457">
        <f>RnSPLINE!H$18</f>
        <v>3.6046511627906979</v>
      </c>
      <c r="G457">
        <f>RnSPLINE!H$19</f>
        <v>4.3076923076923075</v>
      </c>
      <c r="H457" s="10">
        <f>RnSPLINE!M$18</f>
        <v>8.3987722849237223E-3</v>
      </c>
      <c r="I457" s="10">
        <f>RnSPLINE!M$19</f>
        <v>-2.194717413844775E-3</v>
      </c>
      <c r="J457">
        <f t="shared" si="78"/>
        <v>9.6774193548387094E-2</v>
      </c>
      <c r="K457">
        <f t="shared" si="79"/>
        <v>0.90322580645161288</v>
      </c>
      <c r="M457" s="8">
        <f t="shared" si="80"/>
        <v>4.2396560678631197</v>
      </c>
      <c r="N457" s="8">
        <f t="shared" si="76"/>
        <v>4.1691728735473808</v>
      </c>
      <c r="O457" s="8">
        <f t="shared" si="83"/>
        <v>6864.814188861631</v>
      </c>
      <c r="P457" s="8">
        <f t="shared" si="84"/>
        <v>6861.8393302974764</v>
      </c>
      <c r="Q457" s="8">
        <f t="shared" si="81"/>
        <v>4.1691728735473808</v>
      </c>
    </row>
    <row r="458" spans="1:17" x14ac:dyDescent="0.2">
      <c r="B458">
        <f t="shared" si="82"/>
        <v>455</v>
      </c>
      <c r="C458">
        <f t="shared" si="77"/>
        <v>31</v>
      </c>
      <c r="D458">
        <v>426</v>
      </c>
      <c r="E458">
        <v>457</v>
      </c>
      <c r="F458">
        <f>RnSPLINE!H$18</f>
        <v>3.6046511627906979</v>
      </c>
      <c r="G458">
        <f>RnSPLINE!H$19</f>
        <v>4.3076923076923075</v>
      </c>
      <c r="H458" s="10">
        <f>RnSPLINE!M$18</f>
        <v>8.3987722849237223E-3</v>
      </c>
      <c r="I458" s="10">
        <f>RnSPLINE!M$19</f>
        <v>-2.194717413844775E-3</v>
      </c>
      <c r="J458">
        <f t="shared" si="78"/>
        <v>6.4516129032258063E-2</v>
      </c>
      <c r="K458">
        <f t="shared" si="79"/>
        <v>0.93548387096774188</v>
      </c>
      <c r="M458" s="8">
        <f t="shared" si="80"/>
        <v>4.2623348144728492</v>
      </c>
      <c r="N458" s="8">
        <f t="shared" si="76"/>
        <v>4.2169711932192788</v>
      </c>
      <c r="O458" s="8">
        <f t="shared" si="83"/>
        <v>6869.0765236761035</v>
      </c>
      <c r="P458" s="8">
        <f t="shared" si="84"/>
        <v>6866.0563014906957</v>
      </c>
      <c r="Q458" s="8">
        <f t="shared" si="81"/>
        <v>4.2169711932192788</v>
      </c>
    </row>
    <row r="459" spans="1:17" x14ac:dyDescent="0.2">
      <c r="B459">
        <f t="shared" si="82"/>
        <v>456</v>
      </c>
      <c r="C459">
        <f t="shared" si="77"/>
        <v>31</v>
      </c>
      <c r="D459">
        <v>426</v>
      </c>
      <c r="E459">
        <v>457</v>
      </c>
      <c r="F459">
        <f>RnSPLINE!H$18</f>
        <v>3.6046511627906979</v>
      </c>
      <c r="G459">
        <f>RnSPLINE!H$19</f>
        <v>4.3076923076923075</v>
      </c>
      <c r="H459" s="10">
        <f>RnSPLINE!M$18</f>
        <v>8.3987722849237223E-3</v>
      </c>
      <c r="I459" s="10">
        <f>RnSPLINE!M$19</f>
        <v>-2.194717413844775E-3</v>
      </c>
      <c r="J459">
        <f t="shared" si="78"/>
        <v>3.2258064516129031E-2</v>
      </c>
      <c r="K459">
        <f t="shared" si="79"/>
        <v>0.967741935483871</v>
      </c>
      <c r="M459" s="8">
        <f t="shared" si="80"/>
        <v>4.2850135610825788</v>
      </c>
      <c r="N459" s="8">
        <f t="shared" si="76"/>
        <v>4.2632582464256386</v>
      </c>
      <c r="O459" s="8">
        <f t="shared" si="83"/>
        <v>6873.361537237186</v>
      </c>
      <c r="P459" s="8">
        <f t="shared" si="84"/>
        <v>6870.3195597371214</v>
      </c>
      <c r="Q459" s="8">
        <f t="shared" si="81"/>
        <v>4.2632582464256386</v>
      </c>
    </row>
    <row r="460" spans="1:17" x14ac:dyDescent="0.2">
      <c r="A460">
        <v>457</v>
      </c>
      <c r="B460">
        <f t="shared" si="82"/>
        <v>457</v>
      </c>
      <c r="C460">
        <f t="shared" si="77"/>
        <v>31</v>
      </c>
      <c r="D460">
        <v>426</v>
      </c>
      <c r="E460">
        <v>457</v>
      </c>
      <c r="F460">
        <f>RnSPLINE!H$18</f>
        <v>3.6046511627906979</v>
      </c>
      <c r="G460">
        <f>RnSPLINE!H$19</f>
        <v>4.3076923076923075</v>
      </c>
      <c r="H460" s="10">
        <f>RnSPLINE!M$18</f>
        <v>8.3987722849237223E-3</v>
      </c>
      <c r="I460" s="10">
        <f>RnSPLINE!M$19</f>
        <v>-2.194717413844775E-3</v>
      </c>
      <c r="J460">
        <f t="shared" si="78"/>
        <v>0</v>
      </c>
      <c r="K460">
        <f t="shared" si="79"/>
        <v>1</v>
      </c>
      <c r="M460" s="8">
        <f t="shared" si="80"/>
        <v>4.3076923076923075</v>
      </c>
      <c r="N460" s="8">
        <f t="shared" si="76"/>
        <v>4.3076923076923075</v>
      </c>
      <c r="O460" s="8">
        <f t="shared" si="83"/>
        <v>6877.6692295448784</v>
      </c>
      <c r="P460" s="8">
        <f t="shared" si="84"/>
        <v>6874.6272520448138</v>
      </c>
      <c r="Q460" s="8">
        <f t="shared" si="81"/>
        <v>4.3076923076923075</v>
      </c>
    </row>
    <row r="461" spans="1:17" x14ac:dyDescent="0.2">
      <c r="H461" s="10"/>
      <c r="I461" s="10"/>
      <c r="M461" s="8"/>
      <c r="N461" s="8"/>
      <c r="O461" s="8"/>
      <c r="P461" s="8"/>
    </row>
  </sheetData>
  <phoneticPr fontId="0"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M58"/>
  <sheetViews>
    <sheetView showRowColHeaders="0" tabSelected="1" zoomScaleNormal="100" workbookViewId="0">
      <pane xSplit="39" ySplit="58" topLeftCell="AN59" activePane="bottomRight" state="frozen"/>
      <selection pane="topRight" activeCell="AN1" sqref="AN1"/>
      <selection pane="bottomLeft" activeCell="A59" sqref="A59"/>
      <selection pane="bottomRight" activeCell="I4" sqref="I4"/>
    </sheetView>
  </sheetViews>
  <sheetFormatPr defaultRowHeight="12.75" x14ac:dyDescent="0.2"/>
  <sheetData>
    <row r="1" spans="1:39" x14ac:dyDescent="0.2">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row>
    <row r="2" spans="1:39" ht="23.25" x14ac:dyDescent="0.35">
      <c r="A2" s="20"/>
      <c r="B2" s="20"/>
      <c r="C2" s="20"/>
      <c r="D2" s="94"/>
      <c r="E2" s="95" t="s">
        <v>335</v>
      </c>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row>
    <row r="3" spans="1:39" ht="15.75" x14ac:dyDescent="0.25">
      <c r="A3" s="20"/>
      <c r="B3" s="20"/>
      <c r="C3" s="20"/>
      <c r="D3" s="94"/>
      <c r="E3" s="94"/>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row>
    <row r="4" spans="1:39" ht="15.75" x14ac:dyDescent="0.25">
      <c r="A4" s="20"/>
      <c r="B4" s="20"/>
      <c r="C4" s="20"/>
      <c r="D4" s="94"/>
      <c r="E4" s="94" t="s">
        <v>294</v>
      </c>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row>
    <row r="5" spans="1:39" ht="15.75" x14ac:dyDescent="0.25">
      <c r="A5" s="20"/>
      <c r="B5" s="20"/>
      <c r="C5" s="20"/>
      <c r="D5" s="94"/>
      <c r="E5" s="94" t="s">
        <v>408</v>
      </c>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row>
    <row r="6" spans="1:39" x14ac:dyDescent="0.2">
      <c r="A6" s="20"/>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row>
    <row r="7" spans="1:39" x14ac:dyDescent="0.2">
      <c r="A7" s="20"/>
      <c r="B7" s="20"/>
      <c r="C7" s="20"/>
      <c r="D7" s="20"/>
      <c r="E7" s="20"/>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row>
    <row r="8" spans="1:39" ht="15" x14ac:dyDescent="0.2">
      <c r="A8" s="20"/>
      <c r="B8" s="96" t="s">
        <v>295</v>
      </c>
      <c r="C8" s="96"/>
      <c r="D8" s="96"/>
      <c r="E8" s="96"/>
      <c r="F8" s="96" t="s">
        <v>306</v>
      </c>
      <c r="G8" s="96"/>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row>
    <row r="9" spans="1:39" ht="15" x14ac:dyDescent="0.2">
      <c r="A9" s="20"/>
      <c r="B9" s="96" t="s">
        <v>296</v>
      </c>
      <c r="C9" s="96"/>
      <c r="D9" s="96"/>
      <c r="E9" s="96"/>
      <c r="F9" s="96" t="s">
        <v>307</v>
      </c>
      <c r="G9" s="96"/>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row>
    <row r="10" spans="1:39" ht="15" x14ac:dyDescent="0.2">
      <c r="A10" s="20"/>
      <c r="B10" s="96" t="s">
        <v>297</v>
      </c>
      <c r="C10" s="96"/>
      <c r="D10" s="96"/>
      <c r="E10" s="96"/>
      <c r="F10" s="96" t="s">
        <v>308</v>
      </c>
      <c r="G10" s="96"/>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row>
    <row r="11" spans="1:39" ht="15" x14ac:dyDescent="0.2">
      <c r="A11" s="20"/>
      <c r="B11" s="96" t="s">
        <v>298</v>
      </c>
      <c r="C11" s="96"/>
      <c r="D11" s="96"/>
      <c r="E11" s="96"/>
      <c r="F11" s="96" t="s">
        <v>309</v>
      </c>
      <c r="G11" s="96"/>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row>
    <row r="12" spans="1:39" ht="15" x14ac:dyDescent="0.2">
      <c r="A12" s="20"/>
      <c r="B12" s="96" t="s">
        <v>304</v>
      </c>
      <c r="C12" s="96"/>
      <c r="D12" s="96"/>
      <c r="E12" s="96"/>
      <c r="F12" s="96" t="s">
        <v>310</v>
      </c>
      <c r="G12" s="96"/>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row>
    <row r="13" spans="1:39" ht="15.75" x14ac:dyDescent="0.25">
      <c r="A13" s="20"/>
      <c r="B13" s="97" t="s">
        <v>299</v>
      </c>
      <c r="C13" s="96"/>
      <c r="D13" s="96"/>
      <c r="E13" s="96"/>
      <c r="F13" s="97" t="s">
        <v>311</v>
      </c>
      <c r="G13" s="96"/>
      <c r="H13" s="20"/>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row>
    <row r="14" spans="1:39" ht="15" x14ac:dyDescent="0.2">
      <c r="A14" s="20"/>
      <c r="B14" s="96"/>
      <c r="C14" s="96"/>
      <c r="D14" s="96"/>
      <c r="E14" s="96"/>
      <c r="F14" s="96"/>
      <c r="G14" s="96"/>
      <c r="H14" s="20"/>
      <c r="I14" s="20"/>
      <c r="J14" s="2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row>
    <row r="15" spans="1:39" ht="15" x14ac:dyDescent="0.2">
      <c r="A15" s="20"/>
      <c r="B15" s="96"/>
      <c r="C15" s="96"/>
      <c r="D15" s="96"/>
      <c r="E15" s="96"/>
      <c r="F15" s="96"/>
      <c r="G15" s="96"/>
      <c r="H15" s="20"/>
      <c r="I15" s="20"/>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row>
    <row r="16" spans="1:39" ht="15" x14ac:dyDescent="0.2">
      <c r="A16" s="20"/>
      <c r="B16" s="96" t="s">
        <v>300</v>
      </c>
      <c r="C16" s="96"/>
      <c r="D16" s="96"/>
      <c r="E16" s="96"/>
      <c r="F16" s="96" t="s">
        <v>312</v>
      </c>
      <c r="G16" s="96"/>
      <c r="H16" s="20"/>
      <c r="I16" s="20"/>
      <c r="J16" s="20"/>
      <c r="K16" s="20"/>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row>
    <row r="17" spans="1:39" ht="15" x14ac:dyDescent="0.2">
      <c r="A17" s="20"/>
      <c r="B17" s="96" t="s">
        <v>296</v>
      </c>
      <c r="C17" s="96"/>
      <c r="D17" s="96"/>
      <c r="E17" s="96"/>
      <c r="F17" s="96" t="s">
        <v>307</v>
      </c>
      <c r="G17" s="96"/>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row>
    <row r="18" spans="1:39" ht="15" x14ac:dyDescent="0.2">
      <c r="A18" s="20"/>
      <c r="B18" s="96" t="s">
        <v>301</v>
      </c>
      <c r="C18" s="96"/>
      <c r="D18" s="96"/>
      <c r="E18" s="96"/>
      <c r="F18" s="96" t="s">
        <v>308</v>
      </c>
      <c r="G18" s="96"/>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row>
    <row r="19" spans="1:39" ht="15" x14ac:dyDescent="0.2">
      <c r="A19" s="20"/>
      <c r="B19" s="96" t="s">
        <v>302</v>
      </c>
      <c r="C19" s="96"/>
      <c r="D19" s="96"/>
      <c r="E19" s="96"/>
      <c r="F19" s="96" t="s">
        <v>309</v>
      </c>
      <c r="G19" s="96"/>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row>
    <row r="20" spans="1:39" ht="15" x14ac:dyDescent="0.2">
      <c r="A20" s="20"/>
      <c r="B20" s="96" t="s">
        <v>303</v>
      </c>
      <c r="C20" s="96"/>
      <c r="D20" s="96"/>
      <c r="E20" s="96"/>
      <c r="F20" s="96" t="s">
        <v>313</v>
      </c>
      <c r="G20" s="96"/>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row>
    <row r="21" spans="1:39" ht="15.75" x14ac:dyDescent="0.25">
      <c r="A21" s="20"/>
      <c r="B21" s="97" t="s">
        <v>305</v>
      </c>
      <c r="C21" s="96"/>
      <c r="D21" s="96"/>
      <c r="E21" s="96"/>
      <c r="F21" s="97" t="s">
        <v>314</v>
      </c>
      <c r="G21" s="96"/>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row>
    <row r="22" spans="1:39" x14ac:dyDescent="0.2">
      <c r="A22" s="20"/>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row>
    <row r="23" spans="1:39" x14ac:dyDescent="0.2">
      <c r="A23" s="20"/>
      <c r="B23" s="20"/>
      <c r="C23" s="20"/>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row>
    <row r="24" spans="1:39" ht="15" x14ac:dyDescent="0.2">
      <c r="A24" s="20"/>
      <c r="B24" s="96" t="s">
        <v>403</v>
      </c>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row>
    <row r="25" spans="1:39" ht="15" x14ac:dyDescent="0.2">
      <c r="A25" s="20"/>
      <c r="B25" s="96" t="s">
        <v>296</v>
      </c>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row>
    <row r="26" spans="1:39" ht="15" x14ac:dyDescent="0.2">
      <c r="A26" s="20"/>
      <c r="B26" s="96" t="s">
        <v>297</v>
      </c>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row>
    <row r="27" spans="1:39" ht="15" x14ac:dyDescent="0.2">
      <c r="A27" s="20"/>
      <c r="B27" s="96" t="s">
        <v>404</v>
      </c>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row>
    <row r="28" spans="1:39" ht="15" x14ac:dyDescent="0.2">
      <c r="A28" s="20"/>
      <c r="B28" s="96" t="s">
        <v>304</v>
      </c>
      <c r="C28" s="96"/>
      <c r="D28" s="96"/>
      <c r="E28" s="20"/>
      <c r="F28" s="20"/>
      <c r="G28" s="20"/>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row>
    <row r="29" spans="1:39" ht="15.75" x14ac:dyDescent="0.25">
      <c r="A29" s="20"/>
      <c r="B29" s="97" t="s">
        <v>405</v>
      </c>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row>
    <row r="30" spans="1:39" x14ac:dyDescent="0.2">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row>
    <row r="31" spans="1:39" x14ac:dyDescent="0.2">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row>
    <row r="32" spans="1:39" ht="15.75" x14ac:dyDescent="0.25">
      <c r="A32" s="20"/>
      <c r="B32" s="98" t="s">
        <v>315</v>
      </c>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row>
    <row r="33" spans="1:39" ht="15.75" x14ac:dyDescent="0.25">
      <c r="A33" s="20"/>
      <c r="B33" s="98" t="s">
        <v>316</v>
      </c>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row>
    <row r="34" spans="1:39" ht="15.75" x14ac:dyDescent="0.25">
      <c r="A34" s="20"/>
      <c r="B34" s="98" t="s">
        <v>317</v>
      </c>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row>
    <row r="35" spans="1:39" ht="15.75" x14ac:dyDescent="0.25">
      <c r="A35" s="20"/>
      <c r="B35" s="98" t="s">
        <v>318</v>
      </c>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row>
    <row r="36" spans="1:39" ht="15.75" x14ac:dyDescent="0.25">
      <c r="A36" s="20"/>
      <c r="B36" s="98" t="s">
        <v>319</v>
      </c>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row>
    <row r="37" spans="1:39" ht="15.75" x14ac:dyDescent="0.25">
      <c r="A37" s="20"/>
      <c r="B37" s="98" t="s">
        <v>320</v>
      </c>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row>
    <row r="38" spans="1:39" ht="15.75" x14ac:dyDescent="0.25">
      <c r="A38" s="20"/>
      <c r="B38" s="98"/>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row>
    <row r="39" spans="1:39" ht="15.75" x14ac:dyDescent="0.25">
      <c r="A39" s="20"/>
      <c r="B39" s="98" t="s">
        <v>322</v>
      </c>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row>
    <row r="40" spans="1:39" ht="15.75" x14ac:dyDescent="0.25">
      <c r="A40" s="20"/>
      <c r="B40" s="98"/>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row>
    <row r="41" spans="1:39" x14ac:dyDescent="0.2">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row>
    <row r="42" spans="1:39" x14ac:dyDescent="0.2">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row>
    <row r="43" spans="1:39" x14ac:dyDescent="0.2">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row>
    <row r="44" spans="1:39" x14ac:dyDescent="0.2">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row>
    <row r="45" spans="1:39" x14ac:dyDescent="0.2">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row>
    <row r="46" spans="1:39" x14ac:dyDescent="0.2">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row>
    <row r="47" spans="1:39" x14ac:dyDescent="0.2">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row>
    <row r="48" spans="1:39" x14ac:dyDescent="0.2">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row>
    <row r="49" spans="1:39" x14ac:dyDescent="0.2">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row>
    <row r="50" spans="1:39" x14ac:dyDescent="0.2">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row>
    <row r="51" spans="1:39" x14ac:dyDescent="0.2">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row>
    <row r="52" spans="1:39" x14ac:dyDescent="0.2">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row>
    <row r="53" spans="1:39" x14ac:dyDescent="0.2">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row>
    <row r="54" spans="1:39"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row>
    <row r="55" spans="1:39" x14ac:dyDescent="0.2">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row>
    <row r="56" spans="1:39" x14ac:dyDescent="0.2">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row>
    <row r="57" spans="1:39" x14ac:dyDescent="0.2">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row>
    <row r="58" spans="1:39" x14ac:dyDescent="0.2">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row>
  </sheetData>
  <sheetProtection password="CC31" sheet="1" objects="1" scenarios="1"/>
  <phoneticPr fontId="0" type="noConversion"/>
  <hyperlinks>
    <hyperlink ref="B13" r:id="rId1"/>
    <hyperlink ref="B21" r:id="rId2"/>
    <hyperlink ref="F13" r:id="rId3"/>
    <hyperlink ref="F21" r:id="rId4"/>
    <hyperlink ref="B29" r:id="rId5"/>
  </hyperlinks>
  <pageMargins left="0.75" right="0.75" top="1" bottom="1" header="0.5" footer="0.5"/>
  <pageSetup orientation="portrait" horizontalDpi="360" verticalDpi="360" r:id="rId6"/>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Q72"/>
  <sheetViews>
    <sheetView zoomScale="124" zoomScaleNormal="124" workbookViewId="0">
      <pane xSplit="69" ySplit="71" topLeftCell="BR72" activePane="bottomRight" state="frozen"/>
      <selection pane="topRight" activeCell="BR1" sqref="BR1"/>
      <selection pane="bottomLeft" activeCell="A72" sqref="A72"/>
      <selection pane="bottomRight" activeCell="L33" sqref="L33"/>
    </sheetView>
  </sheetViews>
  <sheetFormatPr defaultRowHeight="12.75" x14ac:dyDescent="0.2"/>
  <cols>
    <col min="1" max="1" width="4.140625" customWidth="1"/>
    <col min="2" max="2" width="4.7109375" customWidth="1"/>
    <col min="8" max="9" width="8.140625" customWidth="1"/>
    <col min="22" max="23" width="9.140625" hidden="1" customWidth="1"/>
    <col min="24" max="26" width="8.85546875" hidden="1" customWidth="1"/>
    <col min="27" max="27" width="9.5703125" hidden="1" customWidth="1"/>
    <col min="28" max="28" width="10.28515625" hidden="1" customWidth="1"/>
    <col min="29" max="29" width="9.5703125" hidden="1" customWidth="1"/>
    <col min="30" max="30" width="8.85546875" hidden="1" customWidth="1"/>
    <col min="31" max="31" width="10.5703125" hidden="1" customWidth="1"/>
    <col min="32" max="42" width="8.85546875" hidden="1" customWidth="1"/>
    <col min="43" max="46" width="9.5703125" hidden="1" customWidth="1"/>
    <col min="47" max="48" width="10.5703125" hidden="1" customWidth="1"/>
    <col min="49" max="49" width="9.140625" hidden="1" customWidth="1"/>
  </cols>
  <sheetData>
    <row r="1" spans="1:69"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row>
    <row r="2" spans="1:69" x14ac:dyDescent="0.2">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row>
    <row r="3" spans="1:69" ht="15.75" x14ac:dyDescent="0.3">
      <c r="A3" s="2"/>
      <c r="B3" s="2"/>
      <c r="C3" s="2"/>
      <c r="D3" s="2"/>
      <c r="E3" s="183"/>
      <c r="F3" s="184" t="s">
        <v>1</v>
      </c>
      <c r="G3" s="376" t="s">
        <v>406</v>
      </c>
      <c r="H3" s="377"/>
      <c r="I3" s="378"/>
      <c r="J3" s="5"/>
      <c r="K3" s="5"/>
      <c r="L3" s="5"/>
      <c r="M3" s="5"/>
      <c r="N3" s="5"/>
      <c r="O3" s="5"/>
      <c r="P3" s="5"/>
      <c r="Q3" s="5"/>
      <c r="R3" s="5"/>
      <c r="S3" s="5"/>
      <c r="T3" s="5"/>
      <c r="U3" s="5"/>
      <c r="V3" s="5"/>
      <c r="W3" s="5"/>
      <c r="X3" s="2"/>
      <c r="Y3" s="2"/>
      <c r="Z3" s="2"/>
      <c r="AA3" s="2"/>
      <c r="AB3" s="2"/>
      <c r="AC3" s="2"/>
      <c r="AD3" s="3" t="s">
        <v>149</v>
      </c>
      <c r="AE3" s="2">
        <v>8.2000000000000003E-2</v>
      </c>
      <c r="AF3" s="2"/>
      <c r="AG3" s="2"/>
      <c r="AH3" s="2"/>
      <c r="AI3" s="2"/>
      <c r="AJ3" s="2"/>
      <c r="AK3" s="2"/>
      <c r="AL3" s="2"/>
      <c r="AM3" s="2"/>
      <c r="AN3" s="2"/>
      <c r="AO3" s="2"/>
      <c r="AP3" s="2"/>
      <c r="AQ3" s="2"/>
      <c r="AR3" s="2"/>
      <c r="AS3" s="2"/>
      <c r="AT3" s="2"/>
      <c r="AU3" s="2"/>
      <c r="AV3" s="2"/>
      <c r="AW3" s="2"/>
      <c r="AX3" s="2"/>
      <c r="AY3" s="2"/>
      <c r="AZ3" s="5"/>
      <c r="BA3" s="5"/>
      <c r="BB3" s="5"/>
      <c r="BC3" s="5"/>
      <c r="BD3" s="5"/>
      <c r="BE3" s="5"/>
      <c r="BF3" s="5"/>
      <c r="BG3" s="5"/>
      <c r="BH3" s="5"/>
      <c r="BI3" s="5"/>
      <c r="BJ3" s="5"/>
      <c r="BK3" s="5"/>
      <c r="BL3" s="5"/>
      <c r="BM3" s="5"/>
      <c r="BN3" s="5"/>
      <c r="BO3" s="5"/>
      <c r="BP3" s="5"/>
      <c r="BQ3" s="5"/>
    </row>
    <row r="4" spans="1:69" x14ac:dyDescent="0.2">
      <c r="A4" s="2"/>
      <c r="B4" s="2"/>
      <c r="C4" s="2"/>
      <c r="D4" s="2"/>
      <c r="E4" s="185"/>
      <c r="F4" s="186" t="s">
        <v>2</v>
      </c>
      <c r="G4" s="104">
        <v>6</v>
      </c>
      <c r="H4" s="2"/>
      <c r="I4" s="2"/>
      <c r="J4" s="2"/>
      <c r="K4" s="2"/>
      <c r="L4" s="29"/>
      <c r="M4" s="82" t="s">
        <v>39</v>
      </c>
      <c r="N4" s="83">
        <v>0.23</v>
      </c>
      <c r="O4" s="83"/>
      <c r="P4" s="29"/>
      <c r="Q4" s="29"/>
      <c r="R4" s="29"/>
      <c r="S4" s="29"/>
      <c r="T4" s="29"/>
      <c r="U4" s="29"/>
      <c r="V4" s="29"/>
      <c r="W4" s="29"/>
      <c r="X4" s="2"/>
      <c r="Y4" s="2"/>
      <c r="Z4" s="2"/>
      <c r="AA4" s="2"/>
      <c r="AB4" s="2"/>
      <c r="AC4" s="3"/>
      <c r="AD4" s="26" t="s">
        <v>150</v>
      </c>
      <c r="AE4" s="27">
        <f>G5*PI()/180</f>
        <v>0.67195176201781692</v>
      </c>
      <c r="AF4" s="2"/>
      <c r="AG4" s="2"/>
      <c r="AH4" s="2"/>
      <c r="AI4" s="2"/>
      <c r="AJ4" s="2"/>
      <c r="AK4" s="2"/>
      <c r="AL4" s="2"/>
      <c r="AM4" s="2"/>
      <c r="AN4" s="2"/>
      <c r="AO4" s="2"/>
      <c r="AP4" s="2"/>
      <c r="AQ4" s="2"/>
      <c r="AR4" s="2"/>
      <c r="AS4" s="2"/>
      <c r="AT4" s="2"/>
      <c r="AU4" s="2"/>
      <c r="AV4" s="2"/>
      <c r="AW4" s="2"/>
      <c r="AX4" s="2"/>
      <c r="AY4" s="2"/>
      <c r="AZ4" s="29"/>
      <c r="BA4" s="29"/>
      <c r="BB4" s="29"/>
      <c r="BC4" s="29"/>
      <c r="BD4" s="29"/>
      <c r="BE4" s="29"/>
      <c r="BF4" s="29"/>
      <c r="BG4" s="29"/>
      <c r="BH4" s="29"/>
      <c r="BI4" s="29"/>
      <c r="BJ4" s="29"/>
      <c r="BK4" s="29"/>
      <c r="BL4" s="29"/>
      <c r="BM4" s="29"/>
      <c r="BN4" s="29"/>
      <c r="BO4" s="29"/>
      <c r="BP4" s="29"/>
      <c r="BQ4" s="29"/>
    </row>
    <row r="5" spans="1:69" x14ac:dyDescent="0.2">
      <c r="A5" s="2"/>
      <c r="B5" s="2"/>
      <c r="C5" s="2"/>
      <c r="D5" s="2"/>
      <c r="E5" s="187"/>
      <c r="F5" s="188" t="s">
        <v>293</v>
      </c>
      <c r="G5" s="45">
        <v>38.5</v>
      </c>
      <c r="H5" s="2"/>
      <c r="I5" s="2"/>
      <c r="J5" s="2"/>
      <c r="K5" s="2"/>
      <c r="L5" s="2"/>
      <c r="M5" s="84"/>
      <c r="N5" s="84"/>
      <c r="O5" s="84"/>
      <c r="P5" s="2"/>
      <c r="Q5" s="2"/>
      <c r="R5" s="2"/>
      <c r="S5" s="2"/>
      <c r="T5" s="2"/>
      <c r="U5" s="2"/>
      <c r="V5" s="2"/>
      <c r="W5" s="2"/>
      <c r="X5" s="2"/>
      <c r="Y5" s="2"/>
      <c r="Z5" s="2"/>
      <c r="AA5" s="2"/>
      <c r="AB5" s="2"/>
      <c r="AC5" s="26"/>
      <c r="AD5" s="26"/>
      <c r="AE5" s="26"/>
      <c r="AF5" s="2"/>
      <c r="AG5" s="2"/>
      <c r="AH5" s="2"/>
      <c r="AI5" s="2"/>
      <c r="AJ5" s="2"/>
      <c r="AK5" s="2"/>
      <c r="AL5" s="26" t="s">
        <v>151</v>
      </c>
      <c r="AM5" s="2">
        <f>4.9*10^-9</f>
        <v>4.9000000000000009E-9</v>
      </c>
      <c r="AN5" s="2"/>
      <c r="AO5" s="2"/>
      <c r="AP5" s="2"/>
      <c r="AQ5" s="2"/>
      <c r="AR5" s="2"/>
      <c r="AS5" s="2"/>
      <c r="AT5" s="26" t="s">
        <v>152</v>
      </c>
      <c r="AU5" s="2">
        <v>2.4500000000000002</v>
      </c>
      <c r="AV5" s="2"/>
      <c r="AW5" s="2"/>
      <c r="AX5" s="2"/>
      <c r="AY5" s="2"/>
      <c r="AZ5" s="2"/>
      <c r="BA5" s="2"/>
      <c r="BB5" s="2"/>
      <c r="BC5" s="2"/>
      <c r="BD5" s="2"/>
      <c r="BE5" s="2"/>
      <c r="BF5" s="2"/>
      <c r="BG5" s="2"/>
      <c r="BH5" s="2"/>
      <c r="BI5" s="2"/>
      <c r="BJ5" s="2"/>
      <c r="BK5" s="2"/>
      <c r="BL5" s="2"/>
      <c r="BM5" s="2"/>
      <c r="BN5" s="2"/>
      <c r="BO5" s="2"/>
      <c r="BP5" s="2"/>
      <c r="BQ5" s="2"/>
    </row>
    <row r="6" spans="1:69" ht="15.75" x14ac:dyDescent="0.3">
      <c r="A6" s="2"/>
      <c r="B6" s="2"/>
      <c r="C6" s="2"/>
      <c r="D6" s="2"/>
      <c r="E6" s="189"/>
      <c r="F6" s="190" t="s">
        <v>292</v>
      </c>
      <c r="G6" s="45">
        <v>18.5</v>
      </c>
      <c r="H6" s="2"/>
      <c r="I6" s="2"/>
      <c r="J6" s="2"/>
      <c r="K6" s="2"/>
      <c r="L6" s="37"/>
      <c r="M6" s="84" t="s">
        <v>3</v>
      </c>
      <c r="N6" s="85">
        <f>101.3*((293-0.0065*G6)/293)^5.26</f>
        <v>101.08150927318717</v>
      </c>
      <c r="O6" s="84" t="s">
        <v>263</v>
      </c>
      <c r="P6" s="2"/>
      <c r="Q6" s="2"/>
      <c r="R6" s="2"/>
      <c r="S6" s="2"/>
      <c r="T6" s="2"/>
      <c r="U6" s="2"/>
      <c r="V6" s="2"/>
      <c r="W6" s="2"/>
      <c r="X6" s="2"/>
      <c r="Y6" s="2"/>
      <c r="Z6" s="2"/>
      <c r="AA6" s="2"/>
      <c r="AB6" s="5" t="s">
        <v>153</v>
      </c>
      <c r="AC6" s="5"/>
      <c r="AD6" s="3" t="s">
        <v>154</v>
      </c>
      <c r="AE6" s="5"/>
      <c r="AF6" s="5"/>
      <c r="AG6" s="5"/>
      <c r="AH6" s="5"/>
      <c r="AI6" s="2"/>
      <c r="AJ6" s="2"/>
      <c r="AK6" s="2"/>
      <c r="AL6" s="2"/>
      <c r="AM6" s="2"/>
      <c r="AN6" s="2"/>
      <c r="AO6" s="2"/>
      <c r="AP6" s="2"/>
      <c r="AQ6" s="2"/>
      <c r="AR6" s="2"/>
      <c r="AS6" s="2"/>
      <c r="AT6" s="26" t="s">
        <v>155</v>
      </c>
      <c r="AU6" s="44">
        <f>0.00163*N$6/AU5</f>
        <v>6.7250146985834716E-2</v>
      </c>
      <c r="AV6" s="2"/>
      <c r="AW6" s="2"/>
      <c r="AX6" s="2"/>
      <c r="AY6" s="2"/>
      <c r="AZ6" s="2"/>
      <c r="BA6" s="2"/>
      <c r="BB6" s="2"/>
      <c r="BC6" s="2"/>
      <c r="BD6" s="2"/>
      <c r="BE6" s="2"/>
      <c r="BF6" s="2"/>
      <c r="BG6" s="2"/>
      <c r="BH6" s="2"/>
      <c r="BI6" s="2"/>
      <c r="BJ6" s="2"/>
      <c r="BK6" s="2"/>
      <c r="BL6" s="2"/>
      <c r="BM6" s="2"/>
      <c r="BN6" s="2"/>
      <c r="BO6" s="2"/>
      <c r="BP6" s="2"/>
      <c r="BQ6" s="2"/>
    </row>
    <row r="7" spans="1:69" x14ac:dyDescent="0.2">
      <c r="A7" s="2"/>
      <c r="B7" s="176"/>
      <c r="C7" s="176"/>
      <c r="D7" s="176"/>
      <c r="E7" s="176"/>
      <c r="F7" s="176"/>
      <c r="G7" s="176"/>
      <c r="H7" s="176"/>
      <c r="I7" s="176"/>
      <c r="J7" s="176"/>
      <c r="K7" s="176"/>
      <c r="L7" s="179"/>
      <c r="M7" s="179"/>
      <c r="N7" s="176"/>
      <c r="O7" s="176"/>
      <c r="P7" s="176"/>
      <c r="Q7" s="2"/>
      <c r="R7" s="2"/>
      <c r="S7" s="2"/>
      <c r="T7" s="2"/>
      <c r="U7" s="2"/>
      <c r="V7" s="2"/>
      <c r="W7" s="2"/>
      <c r="X7" s="2"/>
      <c r="Y7" s="2"/>
      <c r="Z7" s="2"/>
      <c r="AA7" s="2"/>
      <c r="AB7" s="5"/>
      <c r="AC7" s="5"/>
      <c r="AD7" s="3"/>
      <c r="AE7" s="5"/>
      <c r="AF7" s="5"/>
      <c r="AG7" s="5"/>
      <c r="AH7" s="5"/>
      <c r="AI7" s="2"/>
      <c r="AJ7" s="2"/>
      <c r="AK7" s="2"/>
      <c r="AL7" s="2"/>
      <c r="AM7" s="2"/>
      <c r="AN7" s="2"/>
      <c r="AO7" s="2"/>
      <c r="AP7" s="2"/>
      <c r="AQ7" s="2"/>
      <c r="AR7" s="2"/>
      <c r="AS7" s="2"/>
      <c r="AT7" s="26"/>
      <c r="AU7" s="44"/>
      <c r="AV7" s="2"/>
      <c r="AW7" s="2"/>
      <c r="AX7" s="2"/>
      <c r="AY7" s="2"/>
      <c r="AZ7" s="2"/>
      <c r="BA7" s="2"/>
      <c r="BB7" s="2"/>
      <c r="BC7" s="2"/>
      <c r="BD7" s="2"/>
      <c r="BE7" s="2"/>
      <c r="BF7" s="2"/>
      <c r="BG7" s="2"/>
      <c r="BH7" s="2"/>
      <c r="BI7" s="2"/>
      <c r="BJ7" s="2"/>
      <c r="BK7" s="2"/>
      <c r="BL7" s="2"/>
      <c r="BM7" s="2"/>
      <c r="BN7" s="2"/>
      <c r="BO7" s="2"/>
      <c r="BP7" s="2"/>
      <c r="BQ7" s="2"/>
    </row>
    <row r="8" spans="1:69" x14ac:dyDescent="0.2">
      <c r="A8" s="2"/>
      <c r="B8" s="176"/>
      <c r="C8" s="176"/>
      <c r="D8" s="176"/>
      <c r="E8" s="176"/>
      <c r="F8" s="176"/>
      <c r="G8" s="176"/>
      <c r="H8" s="176"/>
      <c r="I8" s="176"/>
      <c r="J8" s="176"/>
      <c r="K8" s="176"/>
      <c r="L8" s="179"/>
      <c r="M8" s="179"/>
      <c r="N8" s="180" t="s">
        <v>284</v>
      </c>
      <c r="O8" s="89"/>
      <c r="P8" s="176"/>
      <c r="Q8" s="2"/>
      <c r="R8" s="2"/>
      <c r="S8" s="2"/>
      <c r="T8" s="2"/>
      <c r="U8" s="2"/>
      <c r="V8" s="3" t="s">
        <v>285</v>
      </c>
      <c r="W8" s="3" t="s">
        <v>285</v>
      </c>
      <c r="X8" s="5" t="s">
        <v>156</v>
      </c>
      <c r="Y8" s="5" t="s">
        <v>157</v>
      </c>
      <c r="Z8" s="5" t="s">
        <v>158</v>
      </c>
      <c r="AA8" s="5" t="s">
        <v>159</v>
      </c>
      <c r="AB8" s="5" t="s">
        <v>160</v>
      </c>
      <c r="AC8" s="5" t="s">
        <v>161</v>
      </c>
      <c r="AD8" s="3" t="s">
        <v>162</v>
      </c>
      <c r="AE8" s="5" t="s">
        <v>163</v>
      </c>
      <c r="AF8" s="5" t="s">
        <v>164</v>
      </c>
      <c r="AG8" s="5" t="s">
        <v>165</v>
      </c>
      <c r="AH8" s="5" t="s">
        <v>166</v>
      </c>
      <c r="AI8" s="5" t="s">
        <v>167</v>
      </c>
      <c r="AJ8" s="5" t="s">
        <v>168</v>
      </c>
      <c r="AK8" s="5" t="s">
        <v>169</v>
      </c>
      <c r="AL8" s="5" t="s">
        <v>170</v>
      </c>
      <c r="AM8" s="5" t="s">
        <v>171</v>
      </c>
      <c r="AN8" s="5" t="s">
        <v>172</v>
      </c>
      <c r="AO8" s="5"/>
      <c r="AP8" s="5" t="s">
        <v>173</v>
      </c>
      <c r="AQ8" s="5" t="s">
        <v>174</v>
      </c>
      <c r="AR8" s="5"/>
      <c r="AS8" s="5" t="s">
        <v>167</v>
      </c>
      <c r="AT8" s="5" t="s">
        <v>175</v>
      </c>
      <c r="AU8" s="5" t="s">
        <v>176</v>
      </c>
      <c r="AV8" s="5" t="s">
        <v>177</v>
      </c>
      <c r="AW8" s="2"/>
      <c r="AX8" s="2"/>
      <c r="AY8" s="2"/>
      <c r="AZ8" s="2"/>
      <c r="BA8" s="2"/>
      <c r="BB8" s="2"/>
      <c r="BC8" s="2"/>
      <c r="BD8" s="2"/>
      <c r="BE8" s="2"/>
      <c r="BF8" s="2"/>
      <c r="BG8" s="2"/>
      <c r="BH8" s="2"/>
      <c r="BI8" s="2"/>
      <c r="BJ8" s="2"/>
      <c r="BK8" s="2"/>
      <c r="BL8" s="2"/>
      <c r="BM8" s="2"/>
      <c r="BN8" s="2"/>
      <c r="BO8" s="2"/>
      <c r="BP8" s="2"/>
      <c r="BQ8" s="2"/>
    </row>
    <row r="9" spans="1:69" ht="14.25" x14ac:dyDescent="0.25">
      <c r="A9" s="2"/>
      <c r="B9" s="176"/>
      <c r="C9" s="177"/>
      <c r="D9" s="177" t="s">
        <v>255</v>
      </c>
      <c r="E9" s="177" t="s">
        <v>256</v>
      </c>
      <c r="F9" s="177" t="s">
        <v>257</v>
      </c>
      <c r="G9" s="177" t="s">
        <v>258</v>
      </c>
      <c r="H9" s="177" t="s">
        <v>259</v>
      </c>
      <c r="I9" s="177" t="s">
        <v>36</v>
      </c>
      <c r="J9" s="177" t="s">
        <v>37</v>
      </c>
      <c r="K9" s="177" t="s">
        <v>24</v>
      </c>
      <c r="L9" s="177" t="s">
        <v>254</v>
      </c>
      <c r="M9" s="177" t="s">
        <v>48</v>
      </c>
      <c r="N9" s="177" t="s">
        <v>280</v>
      </c>
      <c r="O9" s="177" t="s">
        <v>283</v>
      </c>
      <c r="P9" s="176"/>
      <c r="Q9" s="2"/>
      <c r="R9" s="2"/>
      <c r="S9" s="2"/>
      <c r="T9" s="2"/>
      <c r="U9" s="2"/>
      <c r="V9" s="3" t="s">
        <v>286</v>
      </c>
      <c r="W9" s="3"/>
      <c r="X9" s="5" t="s">
        <v>0</v>
      </c>
      <c r="Y9" s="5" t="s">
        <v>0</v>
      </c>
      <c r="Z9" s="5" t="s">
        <v>0</v>
      </c>
      <c r="AA9" s="5" t="s">
        <v>178</v>
      </c>
      <c r="AB9" s="5" t="s">
        <v>179</v>
      </c>
      <c r="AC9" s="5" t="s">
        <v>180</v>
      </c>
      <c r="AD9" s="3" t="s">
        <v>181</v>
      </c>
      <c r="AE9" s="5" t="s">
        <v>182</v>
      </c>
      <c r="AF9" s="5" t="s">
        <v>183</v>
      </c>
      <c r="AG9" s="5" t="s">
        <v>183</v>
      </c>
      <c r="AH9" s="5" t="s">
        <v>184</v>
      </c>
      <c r="AI9" s="5" t="s">
        <v>185</v>
      </c>
      <c r="AJ9" s="5" t="s">
        <v>186</v>
      </c>
      <c r="AK9" s="5" t="s">
        <v>187</v>
      </c>
      <c r="AL9" s="5" t="s">
        <v>188</v>
      </c>
      <c r="AM9" s="5" t="s">
        <v>189</v>
      </c>
      <c r="AN9" s="5" t="s">
        <v>176</v>
      </c>
      <c r="AO9" s="5" t="s">
        <v>190</v>
      </c>
      <c r="AP9" s="5" t="s">
        <v>191</v>
      </c>
      <c r="AQ9" s="5" t="s">
        <v>167</v>
      </c>
      <c r="AR9" s="5" t="s">
        <v>192</v>
      </c>
      <c r="AS9" s="5" t="s">
        <v>348</v>
      </c>
      <c r="AT9" s="5" t="s">
        <v>193</v>
      </c>
      <c r="AU9" s="5" t="s">
        <v>194</v>
      </c>
      <c r="AV9" s="5" t="s">
        <v>194</v>
      </c>
      <c r="AW9" s="3" t="s">
        <v>281</v>
      </c>
      <c r="AX9" s="2"/>
      <c r="AY9" s="2"/>
      <c r="AZ9" s="2"/>
      <c r="BA9" s="2"/>
      <c r="BB9" s="2"/>
      <c r="BC9" s="2"/>
      <c r="BD9" s="2"/>
      <c r="BE9" s="2"/>
      <c r="BF9" s="2"/>
      <c r="BG9" s="2"/>
      <c r="BH9" s="2"/>
      <c r="BI9" s="2"/>
      <c r="BJ9" s="2"/>
      <c r="BK9" s="2"/>
      <c r="BL9" s="2"/>
      <c r="BM9" s="2"/>
      <c r="BN9" s="2"/>
      <c r="BO9" s="2"/>
      <c r="BP9" s="2"/>
      <c r="BQ9" s="2"/>
    </row>
    <row r="10" spans="1:69" ht="15.75" x14ac:dyDescent="0.3">
      <c r="A10" s="2"/>
      <c r="B10" s="176"/>
      <c r="C10" s="177" t="s">
        <v>0</v>
      </c>
      <c r="D10" s="181" t="s">
        <v>260</v>
      </c>
      <c r="E10" s="182" t="s">
        <v>261</v>
      </c>
      <c r="F10" s="182" t="s">
        <v>261</v>
      </c>
      <c r="G10" s="181" t="s">
        <v>262</v>
      </c>
      <c r="H10" s="182" t="s">
        <v>261</v>
      </c>
      <c r="I10" s="181" t="s">
        <v>35</v>
      </c>
      <c r="J10" s="181" t="s">
        <v>38</v>
      </c>
      <c r="K10" s="181" t="s">
        <v>35</v>
      </c>
      <c r="L10" s="181" t="s">
        <v>35</v>
      </c>
      <c r="M10" s="181" t="s">
        <v>35</v>
      </c>
      <c r="N10" s="181" t="s">
        <v>35</v>
      </c>
      <c r="O10" s="181" t="s">
        <v>35</v>
      </c>
      <c r="P10" s="176"/>
      <c r="Q10" s="2"/>
      <c r="R10" s="2"/>
      <c r="S10" s="2"/>
      <c r="T10" s="2"/>
      <c r="U10" s="2"/>
      <c r="V10" s="3" t="s">
        <v>35</v>
      </c>
      <c r="W10" s="3" t="s">
        <v>35</v>
      </c>
      <c r="X10" s="2">
        <v>0</v>
      </c>
      <c r="Y10" s="3" t="s">
        <v>195</v>
      </c>
      <c r="Z10" s="3" t="s">
        <v>196</v>
      </c>
      <c r="AA10" s="3" t="s">
        <v>197</v>
      </c>
      <c r="AB10" s="26" t="s">
        <v>198</v>
      </c>
      <c r="AC10" s="26" t="s">
        <v>199</v>
      </c>
      <c r="AD10" s="3" t="s">
        <v>200</v>
      </c>
      <c r="AE10" s="3" t="s">
        <v>201</v>
      </c>
      <c r="AF10" s="3" t="s">
        <v>202</v>
      </c>
      <c r="AG10" s="3" t="s">
        <v>203</v>
      </c>
      <c r="AH10" s="3" t="s">
        <v>204</v>
      </c>
      <c r="AI10" s="3" t="s">
        <v>205</v>
      </c>
      <c r="AJ10" s="3" t="s">
        <v>206</v>
      </c>
      <c r="AK10" s="3" t="s">
        <v>207</v>
      </c>
      <c r="AL10" s="26" t="s">
        <v>208</v>
      </c>
      <c r="AM10" s="3" t="s">
        <v>209</v>
      </c>
      <c r="AN10" s="3" t="s">
        <v>210</v>
      </c>
      <c r="AO10" s="3" t="s">
        <v>211</v>
      </c>
      <c r="AP10" s="3" t="s">
        <v>212</v>
      </c>
      <c r="AQ10" s="3" t="s">
        <v>213</v>
      </c>
      <c r="AR10" s="3" t="s">
        <v>214</v>
      </c>
      <c r="AS10" s="3" t="s">
        <v>347</v>
      </c>
      <c r="AT10" s="26" t="s">
        <v>4</v>
      </c>
      <c r="AU10" s="3" t="s">
        <v>215</v>
      </c>
      <c r="AV10" s="3" t="s">
        <v>5</v>
      </c>
      <c r="AW10" s="3" t="s">
        <v>282</v>
      </c>
      <c r="AX10" s="2"/>
      <c r="AY10" s="2"/>
      <c r="AZ10" s="2"/>
      <c r="BA10" s="2"/>
      <c r="BB10" s="2"/>
      <c r="BC10" s="2"/>
      <c r="BD10" s="2"/>
      <c r="BE10" s="2"/>
      <c r="BF10" s="2"/>
      <c r="BG10" s="2"/>
      <c r="BH10" s="2"/>
      <c r="BI10" s="2"/>
      <c r="BJ10" s="2"/>
      <c r="BK10" s="2"/>
      <c r="BL10" s="2"/>
      <c r="BM10" s="2"/>
      <c r="BN10" s="2"/>
      <c r="BO10" s="2"/>
      <c r="BP10" s="2"/>
      <c r="BQ10" s="2"/>
    </row>
    <row r="11" spans="1:69" ht="14.25" x14ac:dyDescent="0.2">
      <c r="A11" s="2"/>
      <c r="B11" s="176"/>
      <c r="C11" s="178">
        <v>1</v>
      </c>
      <c r="D11" s="355">
        <v>6.5</v>
      </c>
      <c r="E11" s="355">
        <v>12.7</v>
      </c>
      <c r="F11" s="355">
        <v>3.6</v>
      </c>
      <c r="G11" s="355">
        <v>2.6</v>
      </c>
      <c r="H11" s="355">
        <v>5.4</v>
      </c>
      <c r="I11" s="355">
        <v>102.6</v>
      </c>
      <c r="J11" s="355">
        <v>8.6</v>
      </c>
      <c r="K11" s="46">
        <f>IF(AND(ISNUMBER(O$8),ISNUMBER(W11)),W11,IF(ISNUMBER(L11),L11,IF(ISNUMBER(M11),M11,IF(ISNUMBER(N11),N11,""))))</f>
        <v>1.0045022758082387</v>
      </c>
      <c r="L11" s="88"/>
      <c r="M11" s="86">
        <f t="shared" ref="M11:M22" si="0">IF(OR($D11="",$E11="",$F11="",$G11="",$H11=""),"",$AU11+$AV11)</f>
        <v>1.0045022758082387</v>
      </c>
      <c r="N11" s="87">
        <f t="shared" ref="N11:N22" si="1">IF(OR(E11="",F11=""),"",0.0023*AE11*AW11^0.5*(AO11+17.8)/2.45)</f>
        <v>1.170998490892103</v>
      </c>
      <c r="O11" s="88"/>
      <c r="P11" s="176"/>
      <c r="Q11" s="2"/>
      <c r="R11" s="2"/>
      <c r="S11" s="2"/>
      <c r="T11" s="2"/>
      <c r="U11" s="2"/>
      <c r="V11" s="28" t="str">
        <f>IF(ISNUMBER(O$8),0.86*O11-0.01*O11^2,"")</f>
        <v/>
      </c>
      <c r="W11" s="28" t="str">
        <f>IF(V11="","",IF(O$8&lt;100,V11-0.0017*(100-O$8)*O11,V11))</f>
        <v/>
      </c>
      <c r="X11" s="2">
        <f>Y11</f>
        <v>31</v>
      </c>
      <c r="Y11" s="2">
        <v>31</v>
      </c>
      <c r="Z11" s="2">
        <f>INT(30.5*C11-15)</f>
        <v>15</v>
      </c>
      <c r="AA11" s="27">
        <f t="shared" ref="AA11:AA22" si="2">1+0.033*COS(2*PI()/365*Z11)</f>
        <v>1.0319059778489741</v>
      </c>
      <c r="AB11" s="27">
        <f t="shared" ref="AB11:AB22" si="3">0.409*SIN(2*PI()/365*Z11-1.39)</f>
        <v>-0.37021581658662056</v>
      </c>
      <c r="AC11" s="27">
        <f t="shared" ref="AC11:AC22" si="4">ACOS(-TAN($AE$4)*TAN(AB11))</f>
        <v>1.2569516372255143</v>
      </c>
      <c r="AD11" s="28">
        <f t="shared" ref="AD11:AD22" si="5">AC11*24/PI()</f>
        <v>9.6024031820107876</v>
      </c>
      <c r="AE11" s="28">
        <f t="shared" ref="AE11:AE22" si="6">(24*60/PI())*$AE$3*AA11*(AC11*SIN($AE$4)*SIN(AB11)+COS($AE$4)*COS(AB11)*SIN(AC11))</f>
        <v>15.934429732272536</v>
      </c>
      <c r="AF11" s="28">
        <f t="shared" ref="AF11:AF22" si="7">AE11*(0.75+2*10^-5*G$6)</f>
        <v>11.956718038205342</v>
      </c>
      <c r="AG11" s="27">
        <f t="shared" ref="AG11:AG24" si="8">(1-N$4)*D11</f>
        <v>5.0049999999999999</v>
      </c>
      <c r="AH11" s="27">
        <f t="shared" ref="AH11:AH22" si="9">1.35*D11/AF11-0.35</f>
        <v>0.38389704197767427</v>
      </c>
      <c r="AI11" s="27">
        <f t="shared" ref="AI11:AJ22" si="10">0.6108*EXP((17.27*E11)/(E11+237.3))</f>
        <v>1.4686304419364882</v>
      </c>
      <c r="AJ11" s="27">
        <f t="shared" si="10"/>
        <v>0.79064713244097073</v>
      </c>
      <c r="AK11" s="27">
        <f t="shared" ref="AK11:AK22" si="11">0.61088*EXP((17.27*H11)/(H11+237.3))</f>
        <v>0.89708687116006447</v>
      </c>
      <c r="AL11" s="27">
        <f t="shared" ref="AL11:AL22" si="12">0.34-0.14*SQRT(AK11)</f>
        <v>0.207399462011886</v>
      </c>
      <c r="AM11" s="27">
        <f t="shared" ref="AM11:AM22" si="13">-AH11*AL11*AM$5*(((E11+273.15)^4+(F11+273.15)^4)/2)</f>
        <v>-2.4466882443308493</v>
      </c>
      <c r="AN11" s="28">
        <f t="shared" ref="AN11:AN22" si="14">AG11+AM11</f>
        <v>2.5583117556691506</v>
      </c>
      <c r="AO11" s="28">
        <f t="shared" ref="AO11:AO22" si="15">(E11+F11)/2</f>
        <v>8.15</v>
      </c>
      <c r="AP11" s="28">
        <f>0.07*(AO12-AO22)</f>
        <v>0.1925</v>
      </c>
      <c r="AQ11" s="27">
        <f t="shared" ref="AQ11:AQ22" si="16">(AI11+AJ11)/2</f>
        <v>1.1296387871887295</v>
      </c>
      <c r="AR11" s="27">
        <f t="shared" ref="AR11:AR22" si="17">AQ11-AK11</f>
        <v>0.23255191602866498</v>
      </c>
      <c r="AS11" s="27">
        <f>0.6108*EXP((17.27*AO11)/(AO11+237.3))</f>
        <v>1.0837777741001573</v>
      </c>
      <c r="AT11" s="27">
        <f>4099*AS11/(AO11+237.3)^2</f>
        <v>7.3738124242746519E-2</v>
      </c>
      <c r="AU11" s="28">
        <f t="shared" ref="AU11:AU22" si="18">0.408*AT11*(AN11-AP11)/(AT11+AU$6*(1+0.34*G11))</f>
        <v>0.35510245206647284</v>
      </c>
      <c r="AV11" s="28">
        <f t="shared" ref="AV11:AV22" si="19">(AU$6*900/(AO11+273)*G11*AR11)/(AT11+AU$6*(1+0.34*G11))</f>
        <v>0.64939982374176586</v>
      </c>
      <c r="AW11" s="28">
        <f>E11-F11</f>
        <v>9.1</v>
      </c>
      <c r="AX11" s="2"/>
      <c r="AY11" s="2"/>
      <c r="AZ11" s="2"/>
      <c r="BA11" s="2"/>
      <c r="BB11" s="2"/>
      <c r="BC11" s="2"/>
      <c r="BD11" s="2"/>
      <c r="BE11" s="2"/>
      <c r="BF11" s="2"/>
      <c r="BG11" s="2"/>
      <c r="BH11" s="2"/>
      <c r="BI11" s="2"/>
      <c r="BJ11" s="2"/>
      <c r="BK11" s="2"/>
      <c r="BL11" s="2"/>
      <c r="BM11" s="2"/>
      <c r="BN11" s="2"/>
      <c r="BO11" s="2"/>
      <c r="BP11" s="2"/>
      <c r="BQ11" s="2"/>
    </row>
    <row r="12" spans="1:69" ht="14.25" x14ac:dyDescent="0.2">
      <c r="A12" s="2"/>
      <c r="B12" s="176"/>
      <c r="C12" s="178">
        <f t="shared" ref="C12:C22" si="20">C11+1</f>
        <v>2</v>
      </c>
      <c r="D12" s="355">
        <v>10.4</v>
      </c>
      <c r="E12" s="355">
        <v>16</v>
      </c>
      <c r="F12" s="355">
        <v>5</v>
      </c>
      <c r="G12" s="355">
        <v>2.7</v>
      </c>
      <c r="H12" s="355">
        <v>6.6</v>
      </c>
      <c r="I12" s="355">
        <v>107.3</v>
      </c>
      <c r="J12" s="355">
        <v>6.5</v>
      </c>
      <c r="K12" s="46">
        <f t="shared" ref="K12:K22" si="21">IF(AND(ISNUMBER(O$8),ISNUMBER(W12)),W12,IF(ISNUMBER(L12),L12,IF(ISNUMBER(M12),M12,IF(ISNUMBER(N12),N12,""))))</f>
        <v>1.6940318585171934</v>
      </c>
      <c r="L12" s="88"/>
      <c r="M12" s="86">
        <f t="shared" si="0"/>
        <v>1.6940318585171934</v>
      </c>
      <c r="N12" s="87">
        <f t="shared" si="1"/>
        <v>1.8705604823816653</v>
      </c>
      <c r="O12" s="88"/>
      <c r="P12" s="176"/>
      <c r="Q12" s="2"/>
      <c r="R12" s="2"/>
      <c r="S12" s="2"/>
      <c r="T12" s="2"/>
      <c r="U12" s="2"/>
      <c r="V12" s="28" t="str">
        <f t="shared" ref="V12:V22" si="22">IF(ISNUMBER(O$8),0.86*O12-0.01*O12^2,"")</f>
        <v/>
      </c>
      <c r="W12" s="28" t="str">
        <f t="shared" ref="W12:W22" si="23">IF(V12="","",IF(O$8&lt;100,V12-0.0017*(100-O$8)*O12,V12))</f>
        <v/>
      </c>
      <c r="X12" s="2">
        <f t="shared" ref="X12:X22" si="24">X11+Y12</f>
        <v>59</v>
      </c>
      <c r="Y12" s="2">
        <v>28</v>
      </c>
      <c r="Z12" s="2">
        <f t="shared" ref="Z12:Z22" si="25">INT(30.5*C12-15)</f>
        <v>46</v>
      </c>
      <c r="AA12" s="27">
        <f t="shared" si="2"/>
        <v>1.0231834066475822</v>
      </c>
      <c r="AB12" s="27">
        <f t="shared" si="3"/>
        <v>-0.23031270674563392</v>
      </c>
      <c r="AC12" s="27">
        <f t="shared" si="4"/>
        <v>1.3831893128266892</v>
      </c>
      <c r="AD12" s="28">
        <f t="shared" si="5"/>
        <v>10.56678798567598</v>
      </c>
      <c r="AE12" s="28">
        <f t="shared" si="6"/>
        <v>21.228887003909495</v>
      </c>
      <c r="AF12" s="28">
        <f t="shared" si="7"/>
        <v>15.929519941123568</v>
      </c>
      <c r="AG12" s="27">
        <f t="shared" si="8"/>
        <v>8.0080000000000009</v>
      </c>
      <c r="AH12" s="27">
        <f t="shared" si="9"/>
        <v>0.531382493125509</v>
      </c>
      <c r="AI12" s="27">
        <f t="shared" si="10"/>
        <v>1.8182866804855506</v>
      </c>
      <c r="AJ12" s="27">
        <f t="shared" si="10"/>
        <v>0.87231096034971234</v>
      </c>
      <c r="AK12" s="27">
        <f t="shared" si="11"/>
        <v>0.97479911497467064</v>
      </c>
      <c r="AL12" s="27">
        <f t="shared" si="12"/>
        <v>0.20177531821883785</v>
      </c>
      <c r="AM12" s="27">
        <f t="shared" si="13"/>
        <v>-3.4086403257514624</v>
      </c>
      <c r="AN12" s="28">
        <f t="shared" si="14"/>
        <v>4.5993596742485385</v>
      </c>
      <c r="AO12" s="28">
        <f t="shared" si="15"/>
        <v>10.5</v>
      </c>
      <c r="AP12" s="28">
        <f t="shared" ref="AP12:AP21" si="26">0.07*(AO13-AO11)</f>
        <v>0.30449999999999999</v>
      </c>
      <c r="AQ12" s="27">
        <f t="shared" si="16"/>
        <v>1.3452988204176315</v>
      </c>
      <c r="AR12" s="27">
        <f t="shared" si="17"/>
        <v>0.37049970544296085</v>
      </c>
      <c r="AS12" s="27">
        <f t="shared" ref="AS12:AS22" si="27">0.6108*EXP((17.27*AO12)/(AO12+237.3))</f>
        <v>1.2697168912941836</v>
      </c>
      <c r="AT12" s="27">
        <f t="shared" ref="AT12:AT22" si="28">4099*AS12/(AO12+237.3)^2</f>
        <v>8.4758294906636986E-2</v>
      </c>
      <c r="AU12" s="28">
        <f t="shared" si="18"/>
        <v>0.69485992411910502</v>
      </c>
      <c r="AV12" s="28">
        <f t="shared" si="19"/>
        <v>0.99917193439808838</v>
      </c>
      <c r="AW12" s="28">
        <f t="shared" ref="AW12:AW22" si="29">E12-F12</f>
        <v>11</v>
      </c>
      <c r="AX12" s="2"/>
      <c r="AY12" s="2"/>
      <c r="AZ12" s="2"/>
      <c r="BA12" s="2"/>
      <c r="BB12" s="2"/>
      <c r="BC12" s="2"/>
      <c r="BD12" s="2"/>
      <c r="BE12" s="2"/>
      <c r="BF12" s="2"/>
      <c r="BG12" s="2"/>
      <c r="BH12" s="2"/>
      <c r="BI12" s="2"/>
      <c r="BJ12" s="2"/>
      <c r="BK12" s="2"/>
      <c r="BL12" s="2"/>
      <c r="BM12" s="2"/>
      <c r="BN12" s="2"/>
      <c r="BO12" s="2"/>
      <c r="BP12" s="2"/>
      <c r="BQ12" s="2"/>
    </row>
    <row r="13" spans="1:69" ht="14.25" x14ac:dyDescent="0.2">
      <c r="A13" s="2"/>
      <c r="B13" s="176"/>
      <c r="C13" s="178">
        <f t="shared" si="20"/>
        <v>3</v>
      </c>
      <c r="D13" s="355">
        <v>15.9</v>
      </c>
      <c r="E13" s="355">
        <v>19</v>
      </c>
      <c r="F13" s="355">
        <v>6</v>
      </c>
      <c r="G13" s="355">
        <v>2.7</v>
      </c>
      <c r="H13" s="355">
        <v>7.2</v>
      </c>
      <c r="I13" s="355">
        <v>69.599999999999994</v>
      </c>
      <c r="J13" s="355">
        <v>5.8</v>
      </c>
      <c r="K13" s="46">
        <f t="shared" si="21"/>
        <v>2.7280778879385563</v>
      </c>
      <c r="L13" s="88"/>
      <c r="M13" s="86">
        <f t="shared" si="0"/>
        <v>2.7280778879385563</v>
      </c>
      <c r="N13" s="87">
        <f t="shared" si="1"/>
        <v>2.9151149370157428</v>
      </c>
      <c r="O13" s="88"/>
      <c r="P13" s="176"/>
      <c r="Q13" s="2"/>
      <c r="R13" s="2"/>
      <c r="S13" s="2"/>
      <c r="T13" s="2"/>
      <c r="U13" s="2"/>
      <c r="V13" s="28" t="str">
        <f t="shared" si="22"/>
        <v/>
      </c>
      <c r="W13" s="28" t="str">
        <f t="shared" si="23"/>
        <v/>
      </c>
      <c r="X13" s="2">
        <f t="shared" si="24"/>
        <v>90</v>
      </c>
      <c r="Y13" s="2">
        <v>31</v>
      </c>
      <c r="Z13" s="2">
        <f t="shared" si="25"/>
        <v>76</v>
      </c>
      <c r="AA13" s="27">
        <f t="shared" si="2"/>
        <v>1.0085638893033033</v>
      </c>
      <c r="AB13" s="27">
        <f t="shared" si="3"/>
        <v>-3.3386421484746936E-2</v>
      </c>
      <c r="AC13" s="27">
        <f t="shared" si="4"/>
        <v>1.5442265703724412</v>
      </c>
      <c r="AD13" s="28">
        <f t="shared" si="5"/>
        <v>11.797022012573693</v>
      </c>
      <c r="AE13" s="28">
        <f t="shared" si="6"/>
        <v>28.423635583119793</v>
      </c>
      <c r="AF13" s="28">
        <f t="shared" si="7"/>
        <v>21.328243432505598</v>
      </c>
      <c r="AG13" s="27">
        <f t="shared" si="8"/>
        <v>12.243</v>
      </c>
      <c r="AH13" s="27">
        <f t="shared" si="9"/>
        <v>0.6564119939331704</v>
      </c>
      <c r="AI13" s="27">
        <f t="shared" si="10"/>
        <v>2.1973933238855259</v>
      </c>
      <c r="AJ13" s="27">
        <f t="shared" si="10"/>
        <v>0.93510940339373394</v>
      </c>
      <c r="AK13" s="27">
        <f t="shared" si="11"/>
        <v>1.015833724457665</v>
      </c>
      <c r="AL13" s="27">
        <f t="shared" si="12"/>
        <v>0.19889599226325913</v>
      </c>
      <c r="AM13" s="27">
        <f t="shared" si="13"/>
        <v>-4.2725072910226514</v>
      </c>
      <c r="AN13" s="28">
        <f t="shared" si="14"/>
        <v>7.970492708977349</v>
      </c>
      <c r="AO13" s="28">
        <f t="shared" si="15"/>
        <v>12.5</v>
      </c>
      <c r="AP13" s="28">
        <f t="shared" si="26"/>
        <v>0.33600000000000008</v>
      </c>
      <c r="AQ13" s="27">
        <f t="shared" si="16"/>
        <v>1.5662513636396298</v>
      </c>
      <c r="AR13" s="27">
        <f t="shared" si="17"/>
        <v>0.55041763918196485</v>
      </c>
      <c r="AS13" s="27">
        <f t="shared" si="27"/>
        <v>1.4494811248284514</v>
      </c>
      <c r="AT13" s="27">
        <f t="shared" si="28"/>
        <v>9.5215053238296335E-2</v>
      </c>
      <c r="AU13" s="28">
        <f t="shared" si="18"/>
        <v>1.3228443182340142</v>
      </c>
      <c r="AV13" s="28">
        <f t="shared" si="19"/>
        <v>1.4052335697045424</v>
      </c>
      <c r="AW13" s="28">
        <f t="shared" si="29"/>
        <v>13</v>
      </c>
      <c r="AX13" s="2"/>
      <c r="AY13" s="2"/>
      <c r="AZ13" s="2"/>
      <c r="BA13" s="2"/>
      <c r="BB13" s="2"/>
      <c r="BC13" s="2"/>
      <c r="BD13" s="2"/>
      <c r="BE13" s="2"/>
      <c r="BF13" s="2"/>
      <c r="BG13" s="2"/>
      <c r="BH13" s="2"/>
      <c r="BI13" s="2"/>
      <c r="BJ13" s="2"/>
      <c r="BK13" s="2"/>
      <c r="BL13" s="2"/>
      <c r="BM13" s="2"/>
      <c r="BN13" s="2"/>
      <c r="BO13" s="2"/>
      <c r="BP13" s="2"/>
      <c r="BQ13" s="2"/>
    </row>
    <row r="14" spans="1:69" ht="14.25" x14ac:dyDescent="0.2">
      <c r="A14" s="2"/>
      <c r="B14" s="176"/>
      <c r="C14" s="178">
        <f t="shared" si="20"/>
        <v>4</v>
      </c>
      <c r="D14" s="355">
        <v>21.5</v>
      </c>
      <c r="E14" s="355">
        <v>22.8</v>
      </c>
      <c r="F14" s="355">
        <v>7.8</v>
      </c>
      <c r="G14" s="355">
        <v>3</v>
      </c>
      <c r="H14" s="355">
        <v>6.9</v>
      </c>
      <c r="I14" s="355">
        <v>17.8</v>
      </c>
      <c r="J14" s="355">
        <v>1.7</v>
      </c>
      <c r="K14" s="46">
        <f t="shared" si="21"/>
        <v>4.387043975863822</v>
      </c>
      <c r="L14" s="88"/>
      <c r="M14" s="86">
        <f t="shared" si="0"/>
        <v>4.387043975863822</v>
      </c>
      <c r="N14" s="87">
        <f t="shared" si="1"/>
        <v>4.2674537080620469</v>
      </c>
      <c r="O14" s="88"/>
      <c r="P14" s="176"/>
      <c r="Q14" s="2"/>
      <c r="R14" s="2"/>
      <c r="S14" s="2"/>
      <c r="T14" s="2"/>
      <c r="U14" s="2"/>
      <c r="V14" s="28" t="str">
        <f t="shared" si="22"/>
        <v/>
      </c>
      <c r="W14" s="28" t="str">
        <f t="shared" si="23"/>
        <v/>
      </c>
      <c r="X14" s="2">
        <f t="shared" si="24"/>
        <v>120</v>
      </c>
      <c r="Y14" s="2">
        <v>30</v>
      </c>
      <c r="Z14" s="2">
        <f t="shared" si="25"/>
        <v>107</v>
      </c>
      <c r="AA14" s="27">
        <f t="shared" si="2"/>
        <v>0.99116212792964831</v>
      </c>
      <c r="AB14" s="27">
        <f t="shared" si="3"/>
        <v>0.17860770630347506</v>
      </c>
      <c r="AC14" s="27">
        <f t="shared" si="4"/>
        <v>1.7148957406140855</v>
      </c>
      <c r="AD14" s="28">
        <f t="shared" si="5"/>
        <v>13.100838432286487</v>
      </c>
      <c r="AE14" s="28">
        <f t="shared" si="6"/>
        <v>35.459568280561079</v>
      </c>
      <c r="AF14" s="28">
        <f t="shared" si="7"/>
        <v>26.607796250684615</v>
      </c>
      <c r="AG14" s="27">
        <f t="shared" si="8"/>
        <v>16.555</v>
      </c>
      <c r="AH14" s="27">
        <f t="shared" si="9"/>
        <v>0.74084569524442279</v>
      </c>
      <c r="AI14" s="27">
        <f t="shared" si="10"/>
        <v>2.7756312335019815</v>
      </c>
      <c r="AJ14" s="27">
        <f t="shared" si="10"/>
        <v>1.0582434147156987</v>
      </c>
      <c r="AK14" s="27">
        <f t="shared" si="11"/>
        <v>0.99513013097884595</v>
      </c>
      <c r="AL14" s="27">
        <f t="shared" si="12"/>
        <v>0.20034130686854693</v>
      </c>
      <c r="AM14" s="27">
        <f t="shared" si="13"/>
        <v>-5.0551586639424082</v>
      </c>
      <c r="AN14" s="28">
        <f t="shared" si="14"/>
        <v>11.499841336057592</v>
      </c>
      <c r="AO14" s="28">
        <f t="shared" si="15"/>
        <v>15.3</v>
      </c>
      <c r="AP14" s="28">
        <f t="shared" si="26"/>
        <v>0.40950000000000014</v>
      </c>
      <c r="AQ14" s="27">
        <f t="shared" si="16"/>
        <v>1.9169373241088401</v>
      </c>
      <c r="AR14" s="27">
        <f t="shared" si="17"/>
        <v>0.92180719312999415</v>
      </c>
      <c r="AS14" s="27">
        <f t="shared" si="27"/>
        <v>1.7385638954612772</v>
      </c>
      <c r="AT14" s="27">
        <f t="shared" si="28"/>
        <v>0.11168680885059475</v>
      </c>
      <c r="AU14" s="28">
        <f t="shared" si="18"/>
        <v>2.0416223999011089</v>
      </c>
      <c r="AV14" s="28">
        <f t="shared" si="19"/>
        <v>2.3454215759627135</v>
      </c>
      <c r="AW14" s="28">
        <f t="shared" si="29"/>
        <v>15</v>
      </c>
      <c r="AX14" s="2"/>
      <c r="AY14" s="2"/>
      <c r="AZ14" s="2"/>
      <c r="BA14" s="2"/>
      <c r="BB14" s="2"/>
      <c r="BC14" s="2"/>
      <c r="BD14" s="2"/>
      <c r="BE14" s="2"/>
      <c r="BF14" s="2"/>
      <c r="BG14" s="2"/>
      <c r="BH14" s="2"/>
      <c r="BI14" s="2"/>
      <c r="BJ14" s="2"/>
      <c r="BK14" s="2"/>
      <c r="BL14" s="2"/>
      <c r="BM14" s="2"/>
      <c r="BN14" s="2"/>
      <c r="BO14" s="2"/>
      <c r="BP14" s="2"/>
      <c r="BQ14" s="2"/>
    </row>
    <row r="15" spans="1:69" ht="14.25" x14ac:dyDescent="0.2">
      <c r="A15" s="2"/>
      <c r="B15" s="176"/>
      <c r="C15" s="178">
        <f t="shared" si="20"/>
        <v>5</v>
      </c>
      <c r="D15" s="355">
        <v>25.5</v>
      </c>
      <c r="E15" s="355">
        <v>26.3</v>
      </c>
      <c r="F15" s="355">
        <v>10.4</v>
      </c>
      <c r="G15" s="355">
        <v>3</v>
      </c>
      <c r="H15" s="355">
        <v>9.1999999999999993</v>
      </c>
      <c r="I15" s="355">
        <v>19</v>
      </c>
      <c r="J15" s="355">
        <v>1.5</v>
      </c>
      <c r="K15" s="46">
        <f t="shared" si="21"/>
        <v>5.527760076387521</v>
      </c>
      <c r="L15" s="88"/>
      <c r="M15" s="86">
        <f t="shared" si="0"/>
        <v>5.527760076387521</v>
      </c>
      <c r="N15" s="87">
        <f t="shared" si="1"/>
        <v>5.4182470252900563</v>
      </c>
      <c r="O15" s="88"/>
      <c r="P15" s="176"/>
      <c r="Q15" s="2"/>
      <c r="R15" s="2"/>
      <c r="S15" s="2"/>
      <c r="T15" s="2"/>
      <c r="U15" s="2"/>
      <c r="V15" s="28" t="str">
        <f t="shared" si="22"/>
        <v/>
      </c>
      <c r="W15" s="28" t="str">
        <f t="shared" si="23"/>
        <v/>
      </c>
      <c r="X15" s="2">
        <f t="shared" si="24"/>
        <v>151</v>
      </c>
      <c r="Y15" s="2">
        <v>31</v>
      </c>
      <c r="Z15" s="2">
        <f t="shared" si="25"/>
        <v>137</v>
      </c>
      <c r="AA15" s="27">
        <f t="shared" si="2"/>
        <v>0.97661531961727288</v>
      </c>
      <c r="AB15" s="27">
        <f t="shared" si="3"/>
        <v>0.33699543987118497</v>
      </c>
      <c r="AC15" s="27">
        <f t="shared" si="4"/>
        <v>1.8532249549589794</v>
      </c>
      <c r="AD15" s="28">
        <f t="shared" si="5"/>
        <v>14.157595787662881</v>
      </c>
      <c r="AE15" s="28">
        <f t="shared" si="6"/>
        <v>40.039642004291444</v>
      </c>
      <c r="AF15" s="28">
        <f t="shared" si="7"/>
        <v>30.044546170760171</v>
      </c>
      <c r="AG15" s="27">
        <f t="shared" si="8"/>
        <v>19.635000000000002</v>
      </c>
      <c r="AH15" s="27">
        <f t="shared" si="9"/>
        <v>0.79579863527787154</v>
      </c>
      <c r="AI15" s="27">
        <f t="shared" si="10"/>
        <v>3.4215146678582187</v>
      </c>
      <c r="AJ15" s="27">
        <f t="shared" si="10"/>
        <v>1.261267593034217</v>
      </c>
      <c r="AK15" s="27">
        <f t="shared" si="11"/>
        <v>1.163816975360654</v>
      </c>
      <c r="AL15" s="27">
        <f t="shared" si="12"/>
        <v>0.18896751105451245</v>
      </c>
      <c r="AM15" s="27">
        <f t="shared" si="13"/>
        <v>-5.3441021419872925</v>
      </c>
      <c r="AN15" s="28">
        <f t="shared" si="14"/>
        <v>14.290897858012709</v>
      </c>
      <c r="AO15" s="28">
        <f t="shared" si="15"/>
        <v>18.350000000000001</v>
      </c>
      <c r="AP15" s="28">
        <f t="shared" si="26"/>
        <v>0.42699999999999988</v>
      </c>
      <c r="AQ15" s="27">
        <f t="shared" si="16"/>
        <v>2.341391130446218</v>
      </c>
      <c r="AR15" s="27">
        <f t="shared" si="17"/>
        <v>1.1775741550855641</v>
      </c>
      <c r="AS15" s="27">
        <f t="shared" si="27"/>
        <v>2.1098508698136298</v>
      </c>
      <c r="AT15" s="27">
        <f t="shared" si="28"/>
        <v>0.13232383632148634</v>
      </c>
      <c r="AU15" s="28">
        <f t="shared" si="18"/>
        <v>2.7910962181249759</v>
      </c>
      <c r="AV15" s="28">
        <f t="shared" si="19"/>
        <v>2.7366638582625447</v>
      </c>
      <c r="AW15" s="28">
        <f t="shared" si="29"/>
        <v>15.9</v>
      </c>
      <c r="AX15" s="2"/>
      <c r="AY15" s="2"/>
      <c r="AZ15" s="2"/>
      <c r="BA15" s="2"/>
      <c r="BB15" s="2"/>
      <c r="BC15" s="2"/>
      <c r="BD15" s="2"/>
      <c r="BE15" s="2"/>
      <c r="BF15" s="2"/>
      <c r="BG15" s="2"/>
      <c r="BH15" s="2"/>
      <c r="BI15" s="2"/>
      <c r="BJ15" s="2"/>
      <c r="BK15" s="2"/>
      <c r="BL15" s="2"/>
      <c r="BM15" s="2"/>
      <c r="BN15" s="2"/>
      <c r="BO15" s="2"/>
      <c r="BP15" s="2"/>
      <c r="BQ15" s="2"/>
    </row>
    <row r="16" spans="1:69" ht="14.25" x14ac:dyDescent="0.2">
      <c r="A16" s="2"/>
      <c r="B16" s="176"/>
      <c r="C16" s="178">
        <f t="shared" si="20"/>
        <v>6</v>
      </c>
      <c r="D16" s="355">
        <v>28.8</v>
      </c>
      <c r="E16" s="355">
        <v>30.1</v>
      </c>
      <c r="F16" s="355">
        <v>12.7</v>
      </c>
      <c r="G16" s="355">
        <v>3</v>
      </c>
      <c r="H16" s="355">
        <v>10.8</v>
      </c>
      <c r="I16" s="355">
        <v>6</v>
      </c>
      <c r="J16" s="355">
        <v>0.6</v>
      </c>
      <c r="K16" s="46">
        <f t="shared" si="21"/>
        <v>6.7851074137560472</v>
      </c>
      <c r="L16" s="88"/>
      <c r="M16" s="86">
        <f t="shared" si="0"/>
        <v>6.7851074137560472</v>
      </c>
      <c r="N16" s="87">
        <f t="shared" si="1"/>
        <v>6.4188656162546733</v>
      </c>
      <c r="O16" s="88"/>
      <c r="P16" s="176"/>
      <c r="Q16" s="2"/>
      <c r="R16" s="2"/>
      <c r="S16" s="2"/>
      <c r="T16" s="2"/>
      <c r="U16" s="2"/>
      <c r="V16" s="28" t="str">
        <f t="shared" si="22"/>
        <v/>
      </c>
      <c r="W16" s="28" t="str">
        <f t="shared" si="23"/>
        <v/>
      </c>
      <c r="X16" s="2">
        <f t="shared" si="24"/>
        <v>181</v>
      </c>
      <c r="Y16" s="2">
        <v>30</v>
      </c>
      <c r="Z16" s="2">
        <f t="shared" si="25"/>
        <v>168</v>
      </c>
      <c r="AA16" s="27">
        <f t="shared" si="2"/>
        <v>0.96802267575109457</v>
      </c>
      <c r="AB16" s="27">
        <f t="shared" si="3"/>
        <v>0.40803212152005325</v>
      </c>
      <c r="AC16" s="27">
        <f t="shared" si="4"/>
        <v>1.9218227722575085</v>
      </c>
      <c r="AD16" s="28">
        <f t="shared" si="5"/>
        <v>14.681644509664912</v>
      </c>
      <c r="AE16" s="28">
        <f t="shared" si="6"/>
        <v>41.815360056528263</v>
      </c>
      <c r="AF16" s="28">
        <f t="shared" si="7"/>
        <v>31.376991725617113</v>
      </c>
      <c r="AG16" s="27">
        <f t="shared" si="8"/>
        <v>22.176000000000002</v>
      </c>
      <c r="AH16" s="27">
        <f t="shared" si="9"/>
        <v>0.88912452602195169</v>
      </c>
      <c r="AI16" s="27">
        <f t="shared" si="10"/>
        <v>4.2674631045407558</v>
      </c>
      <c r="AJ16" s="27">
        <f t="shared" si="10"/>
        <v>1.4686304419364882</v>
      </c>
      <c r="AK16" s="27">
        <f t="shared" si="11"/>
        <v>1.295533747701721</v>
      </c>
      <c r="AL16" s="27">
        <f t="shared" si="12"/>
        <v>0.18064987776925387</v>
      </c>
      <c r="AM16" s="27">
        <f t="shared" si="13"/>
        <v>-5.9552520386828682</v>
      </c>
      <c r="AN16" s="28">
        <f t="shared" si="14"/>
        <v>16.220747961317134</v>
      </c>
      <c r="AO16" s="28">
        <f t="shared" si="15"/>
        <v>21.4</v>
      </c>
      <c r="AP16" s="28">
        <f t="shared" si="26"/>
        <v>0.34649999999999975</v>
      </c>
      <c r="AQ16" s="27">
        <f t="shared" si="16"/>
        <v>2.8680467732386221</v>
      </c>
      <c r="AR16" s="27">
        <f t="shared" si="17"/>
        <v>1.5725130255369011</v>
      </c>
      <c r="AS16" s="27">
        <f t="shared" si="27"/>
        <v>2.548770598472057</v>
      </c>
      <c r="AT16" s="27">
        <f t="shared" si="28"/>
        <v>0.15610463908757552</v>
      </c>
      <c r="AU16" s="28">
        <f t="shared" si="18"/>
        <v>3.4630658371137217</v>
      </c>
      <c r="AV16" s="28">
        <f t="shared" si="19"/>
        <v>3.3220415766423255</v>
      </c>
      <c r="AW16" s="28">
        <f t="shared" si="29"/>
        <v>17.400000000000002</v>
      </c>
      <c r="AX16" s="2"/>
      <c r="AY16" s="2"/>
      <c r="AZ16" s="2"/>
      <c r="BA16" s="2"/>
      <c r="BB16" s="2"/>
      <c r="BC16" s="2"/>
      <c r="BD16" s="2"/>
      <c r="BE16" s="2"/>
      <c r="BF16" s="2"/>
      <c r="BG16" s="2"/>
      <c r="BH16" s="2"/>
      <c r="BI16" s="2"/>
      <c r="BJ16" s="2"/>
      <c r="BK16" s="2"/>
      <c r="BL16" s="2"/>
      <c r="BM16" s="2"/>
      <c r="BN16" s="2"/>
      <c r="BO16" s="2"/>
      <c r="BP16" s="2"/>
      <c r="BQ16" s="2"/>
    </row>
    <row r="17" spans="1:69" ht="14.25" x14ac:dyDescent="0.2">
      <c r="A17" s="2"/>
      <c r="B17" s="176"/>
      <c r="C17" s="178">
        <f t="shared" si="20"/>
        <v>7</v>
      </c>
      <c r="D17" s="355">
        <v>29</v>
      </c>
      <c r="E17" s="355">
        <v>32.9</v>
      </c>
      <c r="F17" s="355">
        <v>13.7</v>
      </c>
      <c r="G17" s="355">
        <v>2.7</v>
      </c>
      <c r="H17" s="355">
        <v>12.7</v>
      </c>
      <c r="I17" s="355">
        <v>3.3</v>
      </c>
      <c r="J17" s="355">
        <v>0.3</v>
      </c>
      <c r="K17" s="46">
        <f t="shared" si="21"/>
        <v>7.0977138121507055</v>
      </c>
      <c r="L17" s="88"/>
      <c r="M17" s="86">
        <f t="shared" si="0"/>
        <v>7.0977138121507055</v>
      </c>
      <c r="N17" s="87">
        <f t="shared" si="1"/>
        <v>6.8732029607516623</v>
      </c>
      <c r="O17" s="88"/>
      <c r="P17" s="176"/>
      <c r="Q17" s="2"/>
      <c r="R17" s="2"/>
      <c r="S17" s="2"/>
      <c r="T17" s="2"/>
      <c r="U17" s="2"/>
      <c r="V17" s="28" t="str">
        <f t="shared" si="22"/>
        <v/>
      </c>
      <c r="W17" s="28" t="str">
        <f t="shared" si="23"/>
        <v/>
      </c>
      <c r="X17" s="2">
        <f t="shared" si="24"/>
        <v>212</v>
      </c>
      <c r="Y17" s="2">
        <v>31</v>
      </c>
      <c r="Z17" s="2">
        <f t="shared" si="25"/>
        <v>198</v>
      </c>
      <c r="AA17" s="27">
        <f t="shared" si="2"/>
        <v>0.96816773220218899</v>
      </c>
      <c r="AB17" s="27">
        <f t="shared" si="3"/>
        <v>0.36870584075881746</v>
      </c>
      <c r="AC17" s="27">
        <f t="shared" si="4"/>
        <v>1.8831892252994344</v>
      </c>
      <c r="AD17" s="28">
        <f t="shared" si="5"/>
        <v>14.386505951222496</v>
      </c>
      <c r="AE17" s="28">
        <f t="shared" si="6"/>
        <v>40.654158929227521</v>
      </c>
      <c r="AF17" s="28">
        <f t="shared" si="7"/>
        <v>30.505661235724453</v>
      </c>
      <c r="AG17" s="27">
        <f t="shared" si="8"/>
        <v>22.330000000000002</v>
      </c>
      <c r="AH17" s="27">
        <f t="shared" si="9"/>
        <v>0.93336834587779316</v>
      </c>
      <c r="AI17" s="27">
        <f t="shared" si="10"/>
        <v>5.0020014811114493</v>
      </c>
      <c r="AJ17" s="27">
        <f t="shared" si="10"/>
        <v>1.5677473692068915</v>
      </c>
      <c r="AK17" s="27">
        <f t="shared" si="11"/>
        <v>1.4688227969387064</v>
      </c>
      <c r="AL17" s="27">
        <f t="shared" si="12"/>
        <v>0.17032700032121009</v>
      </c>
      <c r="AM17" s="27">
        <f t="shared" si="13"/>
        <v>-6.0542865557230048</v>
      </c>
      <c r="AN17" s="28">
        <f t="shared" si="14"/>
        <v>16.275713444276995</v>
      </c>
      <c r="AO17" s="28">
        <f t="shared" si="15"/>
        <v>23.299999999999997</v>
      </c>
      <c r="AP17" s="28">
        <f t="shared" si="26"/>
        <v>0.10150000000000022</v>
      </c>
      <c r="AQ17" s="27">
        <f t="shared" si="16"/>
        <v>3.2848744251591704</v>
      </c>
      <c r="AR17" s="27">
        <f t="shared" si="17"/>
        <v>1.816051628220464</v>
      </c>
      <c r="AS17" s="27">
        <f t="shared" si="27"/>
        <v>2.860821129687674</v>
      </c>
      <c r="AT17" s="27">
        <f t="shared" si="28"/>
        <v>0.17267115751226689</v>
      </c>
      <c r="AU17" s="28">
        <f t="shared" si="18"/>
        <v>3.7773724891482896</v>
      </c>
      <c r="AV17" s="28">
        <f t="shared" si="19"/>
        <v>3.3203413230024159</v>
      </c>
      <c r="AW17" s="28">
        <f t="shared" si="29"/>
        <v>19.2</v>
      </c>
      <c r="AX17" s="2"/>
      <c r="AY17" s="2"/>
      <c r="AZ17" s="2"/>
      <c r="BA17" s="2"/>
      <c r="BB17" s="2"/>
      <c r="BC17" s="2"/>
      <c r="BD17" s="2"/>
      <c r="BE17" s="2"/>
      <c r="BF17" s="2"/>
      <c r="BG17" s="2"/>
      <c r="BH17" s="2"/>
      <c r="BI17" s="2"/>
      <c r="BJ17" s="2"/>
      <c r="BK17" s="2"/>
      <c r="BL17" s="2"/>
      <c r="BM17" s="2"/>
      <c r="BN17" s="2"/>
      <c r="BO17" s="2"/>
      <c r="BP17" s="2"/>
      <c r="BQ17" s="2"/>
    </row>
    <row r="18" spans="1:69" ht="14.25" x14ac:dyDescent="0.2">
      <c r="A18" s="2"/>
      <c r="B18" s="176"/>
      <c r="C18" s="178">
        <f t="shared" si="20"/>
        <v>8</v>
      </c>
      <c r="D18" s="355">
        <v>26</v>
      </c>
      <c r="E18" s="355">
        <v>32.5</v>
      </c>
      <c r="F18" s="355">
        <v>13.2</v>
      </c>
      <c r="G18" s="355">
        <v>2.5</v>
      </c>
      <c r="H18" s="355">
        <v>11.5</v>
      </c>
      <c r="I18" s="355">
        <v>2.2999999999999998</v>
      </c>
      <c r="J18" s="355">
        <v>0.1</v>
      </c>
      <c r="K18" s="46">
        <f t="shared" si="21"/>
        <v>6.4935060468192152</v>
      </c>
      <c r="L18" s="88"/>
      <c r="M18" s="86">
        <f t="shared" si="0"/>
        <v>6.4935060468192152</v>
      </c>
      <c r="N18" s="87">
        <f t="shared" si="1"/>
        <v>6.1309634691869226</v>
      </c>
      <c r="O18" s="88"/>
      <c r="P18" s="176"/>
      <c r="Q18" s="2"/>
      <c r="R18" s="2"/>
      <c r="S18" s="2"/>
      <c r="T18" s="2"/>
      <c r="U18" s="2"/>
      <c r="V18" s="28" t="str">
        <f t="shared" si="22"/>
        <v/>
      </c>
      <c r="W18" s="28" t="str">
        <f t="shared" si="23"/>
        <v/>
      </c>
      <c r="X18" s="2">
        <f t="shared" si="24"/>
        <v>243</v>
      </c>
      <c r="Y18" s="2">
        <v>31</v>
      </c>
      <c r="Z18" s="2">
        <f t="shared" si="25"/>
        <v>229</v>
      </c>
      <c r="AA18" s="27">
        <f t="shared" si="2"/>
        <v>0.97701958455530324</v>
      </c>
      <c r="AB18" s="27">
        <f t="shared" si="3"/>
        <v>0.22739509921095702</v>
      </c>
      <c r="AC18" s="27">
        <f t="shared" si="4"/>
        <v>1.7559135350400035</v>
      </c>
      <c r="AD18" s="28">
        <f t="shared" si="5"/>
        <v>13.414191299691867</v>
      </c>
      <c r="AE18" s="28">
        <f t="shared" si="6"/>
        <v>36.570236787067358</v>
      </c>
      <c r="AF18" s="28">
        <f t="shared" si="7"/>
        <v>27.441208577911734</v>
      </c>
      <c r="AG18" s="27">
        <f t="shared" si="8"/>
        <v>20.02</v>
      </c>
      <c r="AH18" s="27">
        <f t="shared" si="9"/>
        <v>0.92909818185825321</v>
      </c>
      <c r="AI18" s="27">
        <f t="shared" si="10"/>
        <v>4.8907789302521092</v>
      </c>
      <c r="AJ18" s="27">
        <f t="shared" si="10"/>
        <v>1.5174787226056794</v>
      </c>
      <c r="AK18" s="27">
        <f t="shared" si="11"/>
        <v>1.3571635126358284</v>
      </c>
      <c r="AL18" s="27">
        <f t="shared" si="12"/>
        <v>0.17690369456158048</v>
      </c>
      <c r="AM18" s="27">
        <f t="shared" si="13"/>
        <v>-6.2218948323852281</v>
      </c>
      <c r="AN18" s="28">
        <f t="shared" si="14"/>
        <v>13.798105167614771</v>
      </c>
      <c r="AO18" s="28">
        <f t="shared" si="15"/>
        <v>22.85</v>
      </c>
      <c r="AP18" s="28">
        <f t="shared" si="26"/>
        <v>-0.12949999999999987</v>
      </c>
      <c r="AQ18" s="27">
        <f t="shared" si="16"/>
        <v>3.2041288264288941</v>
      </c>
      <c r="AR18" s="27">
        <f t="shared" si="17"/>
        <v>1.8469653137930657</v>
      </c>
      <c r="AS18" s="27">
        <f t="shared" si="27"/>
        <v>2.7840493593099289</v>
      </c>
      <c r="AT18" s="27">
        <f t="shared" si="28"/>
        <v>0.16861926371757383</v>
      </c>
      <c r="AU18" s="28">
        <f t="shared" si="18"/>
        <v>3.2698565179654451</v>
      </c>
      <c r="AV18" s="28">
        <f t="shared" si="19"/>
        <v>3.2236495288537697</v>
      </c>
      <c r="AW18" s="28">
        <f t="shared" si="29"/>
        <v>19.3</v>
      </c>
      <c r="AX18" s="2"/>
      <c r="AY18" s="2"/>
      <c r="AZ18" s="2"/>
      <c r="BA18" s="2"/>
      <c r="BB18" s="2"/>
      <c r="BC18" s="2"/>
      <c r="BD18" s="2"/>
      <c r="BE18" s="2"/>
      <c r="BF18" s="2"/>
      <c r="BG18" s="2"/>
      <c r="BH18" s="2"/>
      <c r="BI18" s="2"/>
      <c r="BJ18" s="2"/>
      <c r="BK18" s="2"/>
      <c r="BL18" s="2"/>
      <c r="BM18" s="2"/>
      <c r="BN18" s="2"/>
      <c r="BO18" s="2"/>
      <c r="BP18" s="2"/>
      <c r="BQ18" s="2"/>
    </row>
    <row r="19" spans="1:69" ht="14.25" x14ac:dyDescent="0.2">
      <c r="A19" s="2"/>
      <c r="B19" s="176"/>
      <c r="C19" s="178">
        <f t="shared" si="20"/>
        <v>9</v>
      </c>
      <c r="D19" s="355">
        <v>20.9</v>
      </c>
      <c r="E19" s="355">
        <v>30.8</v>
      </c>
      <c r="F19" s="355">
        <v>12.1</v>
      </c>
      <c r="G19" s="355">
        <v>2.4</v>
      </c>
      <c r="H19" s="355">
        <v>10.199999999999999</v>
      </c>
      <c r="I19" s="355">
        <v>7.4</v>
      </c>
      <c r="J19" s="355">
        <v>0.7</v>
      </c>
      <c r="K19" s="46">
        <f t="shared" si="21"/>
        <v>5.3483212804297589</v>
      </c>
      <c r="L19" s="88"/>
      <c r="M19" s="93">
        <f t="shared" si="0"/>
        <v>5.3483212804297589</v>
      </c>
      <c r="N19" s="87">
        <f t="shared" si="1"/>
        <v>4.8208548984420458</v>
      </c>
      <c r="O19" s="88"/>
      <c r="P19" s="176"/>
      <c r="Q19" s="2"/>
      <c r="R19" s="2"/>
      <c r="S19" s="2"/>
      <c r="T19" s="2"/>
      <c r="U19" s="2"/>
      <c r="V19" s="28" t="str">
        <f t="shared" si="22"/>
        <v/>
      </c>
      <c r="W19" s="28" t="str">
        <f t="shared" si="23"/>
        <v/>
      </c>
      <c r="X19" s="2">
        <f t="shared" si="24"/>
        <v>273</v>
      </c>
      <c r="Y19" s="2">
        <v>30</v>
      </c>
      <c r="Z19" s="2">
        <f t="shared" si="25"/>
        <v>259</v>
      </c>
      <c r="AA19" s="27">
        <f t="shared" si="2"/>
        <v>0.99171072789180092</v>
      </c>
      <c r="AB19" s="27">
        <f t="shared" si="3"/>
        <v>2.9876671079227975E-2</v>
      </c>
      <c r="AC19" s="27">
        <f t="shared" si="4"/>
        <v>1.5945706171045915</v>
      </c>
      <c r="AD19" s="28">
        <f t="shared" si="5"/>
        <v>12.181622199421906</v>
      </c>
      <c r="AE19" s="28">
        <f t="shared" si="6"/>
        <v>30.255326499439107</v>
      </c>
      <c r="AF19" s="28">
        <f t="shared" si="7"/>
        <v>22.702689345384123</v>
      </c>
      <c r="AG19" s="27">
        <f t="shared" si="8"/>
        <v>16.093</v>
      </c>
      <c r="AH19" s="27">
        <f t="shared" si="9"/>
        <v>0.89280430264252508</v>
      </c>
      <c r="AI19" s="27">
        <f t="shared" si="10"/>
        <v>4.4416910990407947</v>
      </c>
      <c r="AJ19" s="27">
        <f t="shared" si="10"/>
        <v>1.4118391324838375</v>
      </c>
      <c r="AK19" s="27">
        <f t="shared" si="11"/>
        <v>1.2446801569812227</v>
      </c>
      <c r="AL19" s="27">
        <f t="shared" si="12"/>
        <v>0.1838086715696676</v>
      </c>
      <c r="AM19" s="27">
        <f t="shared" si="13"/>
        <v>-6.093497556388197</v>
      </c>
      <c r="AN19" s="28">
        <f t="shared" si="14"/>
        <v>9.999502443611803</v>
      </c>
      <c r="AO19" s="28">
        <f t="shared" si="15"/>
        <v>21.45</v>
      </c>
      <c r="AP19" s="28">
        <f t="shared" si="26"/>
        <v>-0.34300000000000019</v>
      </c>
      <c r="AQ19" s="27">
        <f t="shared" si="16"/>
        <v>2.9267651157623162</v>
      </c>
      <c r="AR19" s="27">
        <f t="shared" si="17"/>
        <v>1.6820849587810935</v>
      </c>
      <c r="AS19" s="27">
        <f t="shared" si="27"/>
        <v>2.5565846978361941</v>
      </c>
      <c r="AT19" s="27">
        <f t="shared" si="28"/>
        <v>0.15652272008484583</v>
      </c>
      <c r="AU19" s="28">
        <f t="shared" si="18"/>
        <v>2.3703130809394186</v>
      </c>
      <c r="AV19" s="28">
        <f t="shared" si="19"/>
        <v>2.9780081994903402</v>
      </c>
      <c r="AW19" s="28">
        <f t="shared" si="29"/>
        <v>18.700000000000003</v>
      </c>
      <c r="AX19" s="2"/>
      <c r="AY19" s="2"/>
      <c r="AZ19" s="2"/>
      <c r="BA19" s="2"/>
      <c r="BB19" s="2"/>
      <c r="BC19" s="2"/>
      <c r="BD19" s="2"/>
      <c r="BE19" s="2"/>
      <c r="BF19" s="2"/>
      <c r="BG19" s="2"/>
      <c r="BH19" s="2"/>
      <c r="BI19" s="2"/>
      <c r="BJ19" s="2"/>
      <c r="BK19" s="2"/>
      <c r="BL19" s="2"/>
      <c r="BM19" s="2"/>
      <c r="BN19" s="2"/>
      <c r="BO19" s="2"/>
      <c r="BP19" s="2"/>
      <c r="BQ19" s="2"/>
    </row>
    <row r="20" spans="1:69" ht="14.25" x14ac:dyDescent="0.2">
      <c r="A20" s="2"/>
      <c r="B20" s="176"/>
      <c r="C20" s="178">
        <f t="shared" si="20"/>
        <v>10</v>
      </c>
      <c r="D20" s="355">
        <v>14.8</v>
      </c>
      <c r="E20" s="355">
        <v>26.3</v>
      </c>
      <c r="F20" s="355">
        <v>9.6</v>
      </c>
      <c r="G20" s="355">
        <v>2.4</v>
      </c>
      <c r="H20" s="355">
        <v>7.6</v>
      </c>
      <c r="I20" s="355">
        <v>17.600000000000001</v>
      </c>
      <c r="J20" s="355">
        <v>1.5</v>
      </c>
      <c r="K20" s="46">
        <f t="shared" si="21"/>
        <v>3.8466271034086219</v>
      </c>
      <c r="L20" s="88"/>
      <c r="M20" s="86">
        <f t="shared" si="0"/>
        <v>3.8466271034086219</v>
      </c>
      <c r="N20" s="87">
        <f t="shared" si="1"/>
        <v>3.1273391403743394</v>
      </c>
      <c r="O20" s="88"/>
      <c r="P20" s="176"/>
      <c r="Q20" s="2"/>
      <c r="R20" s="2"/>
      <c r="S20" s="2"/>
      <c r="T20" s="2"/>
      <c r="U20" s="2"/>
      <c r="V20" s="28" t="str">
        <f t="shared" si="22"/>
        <v/>
      </c>
      <c r="W20" s="28" t="str">
        <f t="shared" si="23"/>
        <v/>
      </c>
      <c r="X20" s="2">
        <f t="shared" si="24"/>
        <v>304</v>
      </c>
      <c r="Y20" s="2">
        <v>31</v>
      </c>
      <c r="Z20" s="2">
        <f t="shared" si="25"/>
        <v>290</v>
      </c>
      <c r="AA20" s="27">
        <f t="shared" si="2"/>
        <v>1.0091112001122164</v>
      </c>
      <c r="AB20" s="27">
        <f t="shared" si="3"/>
        <v>-0.18176795414041733</v>
      </c>
      <c r="AC20" s="27">
        <f t="shared" si="4"/>
        <v>1.42407201685978</v>
      </c>
      <c r="AD20" s="28">
        <f t="shared" si="5"/>
        <v>10.879108838499787</v>
      </c>
      <c r="AE20" s="28">
        <f t="shared" si="6"/>
        <v>22.802315318357149</v>
      </c>
      <c r="AF20" s="28">
        <f t="shared" si="7"/>
        <v>17.110173345435655</v>
      </c>
      <c r="AG20" s="27">
        <f t="shared" si="8"/>
        <v>11.396000000000001</v>
      </c>
      <c r="AH20" s="27">
        <f t="shared" si="9"/>
        <v>0.817726334305661</v>
      </c>
      <c r="AI20" s="27">
        <f t="shared" si="10"/>
        <v>3.4215146678582187</v>
      </c>
      <c r="AJ20" s="27">
        <f t="shared" si="10"/>
        <v>1.1954334347937761</v>
      </c>
      <c r="AK20" s="27">
        <f t="shared" si="11"/>
        <v>1.0440281597582945</v>
      </c>
      <c r="AL20" s="27">
        <f t="shared" si="12"/>
        <v>0.19695122534162493</v>
      </c>
      <c r="AM20" s="27">
        <f t="shared" si="13"/>
        <v>-5.6946965553782478</v>
      </c>
      <c r="AN20" s="28">
        <f t="shared" si="14"/>
        <v>5.701303444621753</v>
      </c>
      <c r="AO20" s="28">
        <f t="shared" si="15"/>
        <v>17.95</v>
      </c>
      <c r="AP20" s="28">
        <f t="shared" si="26"/>
        <v>-0.66850000000000009</v>
      </c>
      <c r="AQ20" s="27">
        <f t="shared" si="16"/>
        <v>2.3084740513259971</v>
      </c>
      <c r="AR20" s="27">
        <f t="shared" si="17"/>
        <v>1.2644458915677026</v>
      </c>
      <c r="AS20" s="27">
        <f t="shared" si="27"/>
        <v>2.0575093026010411</v>
      </c>
      <c r="AT20" s="27">
        <f t="shared" si="28"/>
        <v>0.12944587761013496</v>
      </c>
      <c r="AU20" s="28">
        <f t="shared" si="18"/>
        <v>1.3372477220557466</v>
      </c>
      <c r="AV20" s="28">
        <f t="shared" si="19"/>
        <v>2.5093793813528751</v>
      </c>
      <c r="AW20" s="28">
        <f t="shared" si="29"/>
        <v>16.700000000000003</v>
      </c>
      <c r="AX20" s="2"/>
      <c r="AY20" s="2"/>
      <c r="AZ20" s="2"/>
      <c r="BA20" s="2"/>
      <c r="BB20" s="2"/>
      <c r="BC20" s="2"/>
      <c r="BD20" s="2"/>
      <c r="BE20" s="2"/>
      <c r="BF20" s="2"/>
      <c r="BG20" s="2"/>
      <c r="BH20" s="2"/>
      <c r="BI20" s="2"/>
      <c r="BJ20" s="2"/>
      <c r="BK20" s="2"/>
      <c r="BL20" s="2"/>
      <c r="BM20" s="2"/>
      <c r="BN20" s="2"/>
      <c r="BO20" s="2"/>
      <c r="BP20" s="2"/>
      <c r="BQ20" s="2"/>
    </row>
    <row r="21" spans="1:69" ht="14.25" x14ac:dyDescent="0.2">
      <c r="A21" s="2"/>
      <c r="B21" s="176"/>
      <c r="C21" s="178">
        <f t="shared" si="20"/>
        <v>11</v>
      </c>
      <c r="D21" s="355">
        <v>9.4</v>
      </c>
      <c r="E21" s="355">
        <v>18.399999999999999</v>
      </c>
      <c r="F21" s="355">
        <v>5.4</v>
      </c>
      <c r="G21" s="355">
        <v>2.4</v>
      </c>
      <c r="H21" s="355">
        <v>5.3</v>
      </c>
      <c r="I21" s="355">
        <v>35.700000000000003</v>
      </c>
      <c r="J21" s="355">
        <v>3.5</v>
      </c>
      <c r="K21" s="46">
        <f t="shared" si="21"/>
        <v>2.0987687517840574</v>
      </c>
      <c r="L21" s="88"/>
      <c r="M21" s="86">
        <f t="shared" si="0"/>
        <v>2.0987687517840574</v>
      </c>
      <c r="N21" s="87">
        <f t="shared" si="1"/>
        <v>1.7100175752969624</v>
      </c>
      <c r="O21" s="88"/>
      <c r="P21" s="176"/>
      <c r="Q21" s="2"/>
      <c r="R21" s="2"/>
      <c r="S21" s="2"/>
      <c r="T21" s="2"/>
      <c r="U21" s="2"/>
      <c r="V21" s="28" t="str">
        <f t="shared" si="22"/>
        <v/>
      </c>
      <c r="W21" s="28" t="str">
        <f t="shared" si="23"/>
        <v/>
      </c>
      <c r="X21" s="2">
        <f t="shared" si="24"/>
        <v>334</v>
      </c>
      <c r="Y21" s="2">
        <v>30</v>
      </c>
      <c r="Z21" s="2">
        <f t="shared" si="25"/>
        <v>320</v>
      </c>
      <c r="AA21" s="27">
        <f t="shared" si="2"/>
        <v>1.0235842217394178</v>
      </c>
      <c r="AB21" s="27">
        <f t="shared" si="3"/>
        <v>-0.33897775897836779</v>
      </c>
      <c r="AC21" s="27">
        <f t="shared" si="4"/>
        <v>1.2865225229977135</v>
      </c>
      <c r="AD21" s="28">
        <f t="shared" si="5"/>
        <v>9.8283081088388506</v>
      </c>
      <c r="AE21" s="28">
        <f t="shared" si="6"/>
        <v>17.010250016002406</v>
      </c>
      <c r="AF21" s="28">
        <f t="shared" si="7"/>
        <v>12.763981304507725</v>
      </c>
      <c r="AG21" s="27">
        <f t="shared" si="8"/>
        <v>7.2380000000000004</v>
      </c>
      <c r="AH21" s="27">
        <f t="shared" si="9"/>
        <v>0.64420390059004584</v>
      </c>
      <c r="AI21" s="27">
        <f t="shared" si="10"/>
        <v>2.1164748063682803</v>
      </c>
      <c r="AJ21" s="27">
        <f t="shared" si="10"/>
        <v>0.89696938990401942</v>
      </c>
      <c r="AK21" s="27">
        <f t="shared" si="11"/>
        <v>0.89086453507087715</v>
      </c>
      <c r="AL21" s="27">
        <f t="shared" si="12"/>
        <v>0.20786013134791911</v>
      </c>
      <c r="AM21" s="27">
        <f t="shared" si="13"/>
        <v>-4.3453799592447959</v>
      </c>
      <c r="AN21" s="28">
        <f t="shared" si="14"/>
        <v>2.8926200407552045</v>
      </c>
      <c r="AO21" s="28">
        <f t="shared" si="15"/>
        <v>11.899999999999999</v>
      </c>
      <c r="AP21" s="28">
        <f t="shared" si="26"/>
        <v>-0.71399999999999997</v>
      </c>
      <c r="AQ21" s="27">
        <f t="shared" si="16"/>
        <v>1.5067220981361498</v>
      </c>
      <c r="AR21" s="27">
        <f t="shared" si="17"/>
        <v>0.61585756306527262</v>
      </c>
      <c r="AS21" s="27">
        <f t="shared" si="27"/>
        <v>1.3933421778648423</v>
      </c>
      <c r="AT21" s="27">
        <f t="shared" si="28"/>
        <v>9.1968610743270715E-2</v>
      </c>
      <c r="AU21" s="28">
        <f t="shared" si="18"/>
        <v>0.63211180949755419</v>
      </c>
      <c r="AV21" s="28">
        <f t="shared" si="19"/>
        <v>1.4666569422865032</v>
      </c>
      <c r="AW21" s="28">
        <f t="shared" si="29"/>
        <v>12.999999999999998</v>
      </c>
      <c r="AX21" s="2"/>
      <c r="AY21" s="2"/>
      <c r="AZ21" s="2"/>
      <c r="BA21" s="2"/>
      <c r="BB21" s="2"/>
      <c r="BC21" s="2"/>
      <c r="BD21" s="2"/>
      <c r="BE21" s="2"/>
      <c r="BF21" s="2"/>
      <c r="BG21" s="2"/>
      <c r="BH21" s="2"/>
      <c r="BI21" s="2"/>
      <c r="BJ21" s="2"/>
      <c r="BK21" s="2"/>
      <c r="BL21" s="2"/>
      <c r="BM21" s="2"/>
      <c r="BN21" s="2"/>
      <c r="BO21" s="2"/>
      <c r="BP21" s="2"/>
      <c r="BQ21" s="2"/>
    </row>
    <row r="22" spans="1:69" ht="14.25" x14ac:dyDescent="0.2">
      <c r="A22" s="2"/>
      <c r="B22" s="176"/>
      <c r="C22" s="178">
        <f t="shared" si="20"/>
        <v>12</v>
      </c>
      <c r="D22" s="355">
        <v>6.5</v>
      </c>
      <c r="E22" s="355">
        <v>12.8</v>
      </c>
      <c r="F22" s="355">
        <v>2.7</v>
      </c>
      <c r="G22" s="355">
        <v>2.7</v>
      </c>
      <c r="H22" s="355">
        <v>4.3</v>
      </c>
      <c r="I22" s="355">
        <v>60.8</v>
      </c>
      <c r="J22" s="355">
        <v>4.9000000000000004</v>
      </c>
      <c r="K22" s="46">
        <f t="shared" si="21"/>
        <v>1.144113017729536</v>
      </c>
      <c r="L22" s="88"/>
      <c r="M22" s="86">
        <f t="shared" si="0"/>
        <v>1.144113017729536</v>
      </c>
      <c r="N22" s="87">
        <f t="shared" si="1"/>
        <v>1.1030071796075291</v>
      </c>
      <c r="O22" s="88"/>
      <c r="P22" s="176"/>
      <c r="Q22" s="2"/>
      <c r="R22" s="2"/>
      <c r="S22" s="2"/>
      <c r="T22" s="2"/>
      <c r="U22" s="2"/>
      <c r="V22" s="28" t="str">
        <f t="shared" si="22"/>
        <v/>
      </c>
      <c r="W22" s="28" t="str">
        <f t="shared" si="23"/>
        <v/>
      </c>
      <c r="X22" s="2">
        <f t="shared" si="24"/>
        <v>365</v>
      </c>
      <c r="Y22" s="2">
        <v>31</v>
      </c>
      <c r="Z22" s="2">
        <f t="shared" si="25"/>
        <v>351</v>
      </c>
      <c r="AA22" s="27">
        <f t="shared" si="2"/>
        <v>1.0320463017121373</v>
      </c>
      <c r="AB22" s="27">
        <f t="shared" si="3"/>
        <v>-0.4082590445756144</v>
      </c>
      <c r="AC22" s="27">
        <f t="shared" si="4"/>
        <v>1.2195417023667336</v>
      </c>
      <c r="AD22" s="28">
        <f t="shared" si="5"/>
        <v>9.3166123314417923</v>
      </c>
      <c r="AE22" s="28">
        <f t="shared" si="6"/>
        <v>14.46988222626698</v>
      </c>
      <c r="AF22" s="28">
        <f t="shared" si="7"/>
        <v>10.857765526123954</v>
      </c>
      <c r="AG22" s="27">
        <f t="shared" si="8"/>
        <v>5.0049999999999999</v>
      </c>
      <c r="AH22" s="27">
        <f t="shared" si="9"/>
        <v>0.45817733435919328</v>
      </c>
      <c r="AI22" s="27">
        <f t="shared" si="10"/>
        <v>1.4782881252432811</v>
      </c>
      <c r="AJ22" s="27">
        <f t="shared" si="10"/>
        <v>0.74178324165807108</v>
      </c>
      <c r="AK22" s="27">
        <f t="shared" si="11"/>
        <v>0.83070291612270764</v>
      </c>
      <c r="AL22" s="27">
        <f t="shared" si="12"/>
        <v>0.21239993277429253</v>
      </c>
      <c r="AM22" s="27">
        <f t="shared" si="13"/>
        <v>-2.9746264954500892</v>
      </c>
      <c r="AN22" s="28">
        <f t="shared" si="14"/>
        <v>2.0303735045499107</v>
      </c>
      <c r="AO22" s="28">
        <f t="shared" si="15"/>
        <v>7.75</v>
      </c>
      <c r="AP22" s="28">
        <f>0.07*(AO11-AO21)</f>
        <v>-0.2624999999999999</v>
      </c>
      <c r="AQ22" s="27">
        <f t="shared" si="16"/>
        <v>1.1100356834506762</v>
      </c>
      <c r="AR22" s="27">
        <f t="shared" si="17"/>
        <v>0.27933276732796852</v>
      </c>
      <c r="AS22" s="27">
        <f t="shared" si="27"/>
        <v>1.0546392301630549</v>
      </c>
      <c r="AT22" s="27">
        <f t="shared" si="28"/>
        <v>7.1990041956440223E-2</v>
      </c>
      <c r="AU22" s="28">
        <f t="shared" si="18"/>
        <v>0.33509571000682253</v>
      </c>
      <c r="AV22" s="28">
        <f t="shared" si="19"/>
        <v>0.80901730772271352</v>
      </c>
      <c r="AW22" s="28">
        <f t="shared" si="29"/>
        <v>10.100000000000001</v>
      </c>
      <c r="AX22" s="2"/>
      <c r="AY22" s="2"/>
      <c r="AZ22" s="2"/>
      <c r="BA22" s="2"/>
      <c r="BB22" s="2"/>
      <c r="BC22" s="2"/>
      <c r="BD22" s="2"/>
      <c r="BE22" s="2"/>
      <c r="BF22" s="2"/>
      <c r="BG22" s="2"/>
      <c r="BH22" s="2"/>
      <c r="BI22" s="2"/>
      <c r="BJ22" s="2"/>
      <c r="BK22" s="2"/>
      <c r="BL22" s="2"/>
      <c r="BM22" s="2"/>
      <c r="BN22" s="2"/>
      <c r="BO22" s="2"/>
      <c r="BP22" s="2"/>
      <c r="BQ22" s="2"/>
    </row>
    <row r="23" spans="1:69" x14ac:dyDescent="0.2">
      <c r="A23" s="2"/>
      <c r="B23" s="176"/>
      <c r="C23" s="176"/>
      <c r="D23" s="176"/>
      <c r="E23" s="176"/>
      <c r="F23" s="176"/>
      <c r="G23" s="176"/>
      <c r="H23" s="176"/>
      <c r="I23" s="176"/>
      <c r="J23" s="176"/>
      <c r="K23" s="176"/>
      <c r="L23" s="176"/>
      <c r="M23" s="176"/>
      <c r="N23" s="176"/>
      <c r="O23" s="176"/>
      <c r="P23" s="176"/>
      <c r="Q23" s="2"/>
      <c r="R23" s="2"/>
      <c r="S23" s="2"/>
      <c r="T23" s="2"/>
      <c r="U23" s="2"/>
      <c r="V23" s="2"/>
      <c r="W23" s="2"/>
      <c r="X23" s="2"/>
      <c r="Y23" s="2"/>
      <c r="Z23" s="2"/>
      <c r="AA23" s="2"/>
      <c r="AB23" s="2"/>
      <c r="AC23" s="2"/>
      <c r="AD23" s="28"/>
      <c r="AE23" s="2"/>
      <c r="AF23" s="2"/>
      <c r="AG23" s="2">
        <f t="shared" si="8"/>
        <v>0</v>
      </c>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row>
    <row r="24" spans="1:69" x14ac:dyDescent="0.2">
      <c r="A24" s="2"/>
      <c r="B24" s="176"/>
      <c r="C24" s="176"/>
      <c r="D24" s="176"/>
      <c r="E24" s="176"/>
      <c r="F24" s="176"/>
      <c r="G24" s="176"/>
      <c r="H24" s="176"/>
      <c r="I24" s="176"/>
      <c r="J24" s="176"/>
      <c r="K24" s="176"/>
      <c r="L24" s="176"/>
      <c r="M24" s="176"/>
      <c r="N24" s="176"/>
      <c r="O24" s="176"/>
      <c r="P24" s="176"/>
      <c r="Q24" s="2"/>
      <c r="R24" s="2"/>
      <c r="S24" s="2"/>
      <c r="T24" s="2"/>
      <c r="U24" s="2"/>
      <c r="V24" s="2"/>
      <c r="W24" s="2"/>
      <c r="X24" s="2"/>
      <c r="Y24" s="2"/>
      <c r="Z24" s="2"/>
      <c r="AA24" s="2"/>
      <c r="AB24" s="2"/>
      <c r="AC24" s="2"/>
      <c r="AD24" s="28"/>
      <c r="AE24" s="2"/>
      <c r="AF24" s="2"/>
      <c r="AG24" s="2">
        <f t="shared" si="8"/>
        <v>0</v>
      </c>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row>
    <row r="25" spans="1:69" x14ac:dyDescent="0.2">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8"/>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row>
    <row r="26" spans="1:69" x14ac:dyDescent="0.2">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8"/>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row>
    <row r="27" spans="1:69" ht="20.25" x14ac:dyDescent="0.3">
      <c r="A27" s="2"/>
      <c r="B27" s="2"/>
      <c r="C27" s="2"/>
      <c r="D27" s="353" t="s">
        <v>401</v>
      </c>
      <c r="E27" s="30"/>
      <c r="F27" s="30"/>
      <c r="G27" s="353"/>
      <c r="H27" s="353" t="s">
        <v>402</v>
      </c>
      <c r="I27" s="30"/>
      <c r="J27" s="30"/>
      <c r="K27" s="353"/>
      <c r="L27" s="30"/>
      <c r="M27" s="30"/>
      <c r="N27" s="2"/>
      <c r="O27" s="2"/>
      <c r="P27" s="2"/>
      <c r="Q27" s="2"/>
      <c r="R27" s="2"/>
      <c r="S27" s="2"/>
      <c r="T27" s="2"/>
      <c r="U27" s="2"/>
      <c r="V27" s="2"/>
      <c r="W27" s="2"/>
      <c r="X27" s="2"/>
      <c r="Y27" s="2"/>
      <c r="Z27" s="2"/>
      <c r="AA27" s="2"/>
      <c r="AB27" s="2"/>
      <c r="AC27" s="2"/>
      <c r="AD27" s="28"/>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row>
    <row r="28" spans="1:69" x14ac:dyDescent="0.2">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8"/>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row>
    <row r="29" spans="1:69"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8"/>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row>
    <row r="30" spans="1:69" x14ac:dyDescent="0.2">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8"/>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row>
    <row r="31" spans="1:69" x14ac:dyDescent="0.2">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8"/>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row>
    <row r="32" spans="1:69" x14ac:dyDescent="0.2">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8"/>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row>
    <row r="33" spans="1:69" x14ac:dyDescent="0.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8"/>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row>
    <row r="34" spans="1:69" x14ac:dyDescent="0.2">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8"/>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row>
    <row r="35" spans="1:69" x14ac:dyDescent="0.2">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8"/>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row>
    <row r="36" spans="1:69" x14ac:dyDescent="0.2">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8"/>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row>
    <row r="37" spans="1:69" x14ac:dyDescent="0.2">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8"/>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row>
    <row r="38" spans="1:69" x14ac:dyDescent="0.2">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8"/>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row>
    <row r="39" spans="1:69" x14ac:dyDescent="0.2">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row>
    <row r="40" spans="1:69" x14ac:dyDescent="0.2">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row>
    <row r="41" spans="1:69" x14ac:dyDescent="0.2">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row>
    <row r="42" spans="1:69" x14ac:dyDescent="0.2">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row>
    <row r="43" spans="1:69" x14ac:dyDescent="0.2">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row>
    <row r="44" spans="1:69" x14ac:dyDescent="0.2">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row>
    <row r="45" spans="1:69" x14ac:dyDescent="0.2">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row>
    <row r="46" spans="1:69" x14ac:dyDescent="0.2">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row>
    <row r="47" spans="1:69" x14ac:dyDescent="0.2">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row>
    <row r="48" spans="1:69" x14ac:dyDescent="0.2">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row>
    <row r="49" spans="1:69" x14ac:dyDescent="0.2">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row>
    <row r="50" spans="1:69" x14ac:dyDescent="0.2">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row>
    <row r="51" spans="1:69" x14ac:dyDescent="0.2">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row>
    <row r="52" spans="1:69" x14ac:dyDescent="0.2">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row>
    <row r="53" spans="1:69" x14ac:dyDescent="0.2">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row>
    <row r="54" spans="1:69"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row>
    <row r="55" spans="1:69" x14ac:dyDescent="0.2">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row>
    <row r="56" spans="1:69"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row>
    <row r="57" spans="1:69" x14ac:dyDescent="0.2">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row>
    <row r="58" spans="1:69" x14ac:dyDescent="0.2">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row>
    <row r="59" spans="1:69" x14ac:dyDescent="0.2">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row>
    <row r="60" spans="1:69" x14ac:dyDescent="0.2">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row>
    <row r="61" spans="1:69" x14ac:dyDescent="0.2">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row>
    <row r="62" spans="1:69"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row>
    <row r="63" spans="1:69" x14ac:dyDescent="0.2">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row>
    <row r="64" spans="1:69"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row>
    <row r="65" spans="1:69" x14ac:dyDescent="0.2">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row>
    <row r="66" spans="1:69" x14ac:dyDescent="0.2">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row>
    <row r="67" spans="1:69" x14ac:dyDescent="0.2">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row>
    <row r="68" spans="1:69"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row>
    <row r="69" spans="1:69" x14ac:dyDescent="0.2">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row>
    <row r="70" spans="1:69" x14ac:dyDescent="0.2">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row>
    <row r="71" spans="1:69" x14ac:dyDescent="0.2">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row>
    <row r="72" spans="1:69"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row>
  </sheetData>
  <sheetProtection password="CC31" sheet="1" objects="1" scenarios="1"/>
  <mergeCells count="1">
    <mergeCell ref="G3:I3"/>
  </mergeCells>
  <phoneticPr fontId="0" type="noConversion"/>
  <pageMargins left="0.75" right="0.75" top="1" bottom="1" header="0.5" footer="0.5"/>
  <pageSetup orientation="portrait" horizontalDpi="360" verticalDpi="36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X643"/>
  <sheetViews>
    <sheetView zoomScale="136" zoomScaleNormal="136" workbookViewId="0">
      <selection activeCell="C20" sqref="C20"/>
    </sheetView>
  </sheetViews>
  <sheetFormatPr defaultRowHeight="12.75" x14ac:dyDescent="0.2"/>
  <cols>
    <col min="1" max="1" width="3.5703125" customWidth="1"/>
    <col min="2" max="2" width="10.140625" bestFit="1" customWidth="1"/>
    <col min="3" max="3" width="12.85546875" customWidth="1"/>
    <col min="4" max="4" width="11.7109375" customWidth="1"/>
    <col min="5" max="5" width="11.42578125" hidden="1" customWidth="1"/>
    <col min="6" max="6" width="9.7109375" hidden="1" customWidth="1"/>
    <col min="7" max="7" width="9.42578125" customWidth="1"/>
    <col min="8" max="9" width="9.140625" hidden="1" customWidth="1"/>
    <col min="10" max="10" width="13" customWidth="1"/>
    <col min="11" max="11" width="10.140625" customWidth="1"/>
    <col min="12" max="12" width="14.85546875" customWidth="1"/>
    <col min="13" max="13" width="10.7109375" customWidth="1"/>
    <col min="14" max="14" width="13.140625" customWidth="1"/>
    <col min="15" max="16" width="10.85546875" customWidth="1"/>
    <col min="17" max="17" width="11.5703125" customWidth="1"/>
    <col min="18" max="18" width="11.28515625" customWidth="1"/>
    <col min="19" max="19" width="7.85546875" customWidth="1"/>
    <col min="20" max="20" width="14.5703125" bestFit="1" customWidth="1"/>
    <col min="21" max="21" width="5.42578125" customWidth="1"/>
    <col min="31" max="31" width="9.7109375" customWidth="1"/>
  </cols>
  <sheetData>
    <row r="1" spans="1:50" x14ac:dyDescent="0.2">
      <c r="A1" s="2"/>
      <c r="B1" s="2"/>
      <c r="C1" s="2"/>
      <c r="D1" s="2"/>
      <c r="E1" s="2"/>
      <c r="F1" s="2"/>
      <c r="G1" s="2"/>
      <c r="H1" s="2"/>
      <c r="I1" s="2"/>
      <c r="J1" s="2"/>
      <c r="K1" s="2"/>
      <c r="L1" s="2"/>
      <c r="M1" s="2"/>
      <c r="N1" s="2"/>
      <c r="O1" s="2"/>
      <c r="P1" s="2"/>
      <c r="Q1" s="2"/>
      <c r="R1" s="2"/>
      <c r="S1" s="2"/>
      <c r="T1" s="2"/>
      <c r="U1" s="2"/>
      <c r="V1" s="56"/>
      <c r="W1" s="56"/>
      <c r="X1" s="56"/>
      <c r="Y1" s="56"/>
      <c r="Z1" s="56"/>
      <c r="AA1" s="56"/>
      <c r="AB1" s="56"/>
      <c r="AC1" s="56"/>
      <c r="AD1" s="56"/>
      <c r="AE1" s="2"/>
      <c r="AF1" s="2"/>
      <c r="AG1" s="2"/>
      <c r="AH1" s="2"/>
      <c r="AI1" s="2"/>
      <c r="AJ1" s="2"/>
      <c r="AK1" s="2"/>
      <c r="AL1" s="2"/>
      <c r="AM1" s="2"/>
      <c r="AN1" s="2"/>
      <c r="AO1" s="2"/>
      <c r="AP1" s="2"/>
      <c r="AQ1" s="2"/>
      <c r="AR1" s="2"/>
      <c r="AS1" s="2"/>
      <c r="AT1" s="2"/>
      <c r="AU1" s="2"/>
      <c r="AV1" s="2"/>
      <c r="AW1" s="2"/>
      <c r="AX1" s="2"/>
    </row>
    <row r="2" spans="1:50" ht="18" x14ac:dyDescent="0.25">
      <c r="A2" s="2"/>
      <c r="B2" s="106"/>
      <c r="C2" s="107" t="s">
        <v>221</v>
      </c>
      <c r="D2" s="108">
        <v>3.07</v>
      </c>
      <c r="E2" s="109"/>
      <c r="F2" s="110"/>
      <c r="G2" s="111"/>
      <c r="H2" s="169"/>
      <c r="I2" s="170"/>
      <c r="J2" s="171" t="s">
        <v>76</v>
      </c>
      <c r="K2" s="172"/>
      <c r="L2" s="164" t="s">
        <v>325</v>
      </c>
      <c r="M2" s="112"/>
      <c r="N2" s="164" t="s">
        <v>327</v>
      </c>
      <c r="O2" s="113"/>
      <c r="P2" s="111"/>
      <c r="Q2" s="164" t="s">
        <v>327</v>
      </c>
      <c r="R2" s="113"/>
      <c r="S2" s="112"/>
      <c r="T2" s="173" t="s">
        <v>329</v>
      </c>
      <c r="U2" s="2"/>
      <c r="V2" s="57"/>
      <c r="W2" s="57"/>
      <c r="X2" s="57"/>
      <c r="Y2" s="57"/>
      <c r="Z2" s="57"/>
      <c r="AA2" s="57"/>
      <c r="AB2" s="56"/>
      <c r="AC2" s="57"/>
      <c r="AD2" s="57"/>
      <c r="AE2" s="30"/>
      <c r="AF2" s="30"/>
      <c r="AG2" s="30"/>
      <c r="AH2" s="30"/>
      <c r="AI2" s="30"/>
      <c r="AJ2" s="30"/>
      <c r="AK2" s="30"/>
      <c r="AL2" s="30"/>
      <c r="AM2" s="30"/>
      <c r="AN2" s="30"/>
      <c r="AO2" s="30"/>
      <c r="AP2" s="30"/>
      <c r="AQ2" s="30"/>
      <c r="AR2" s="30"/>
      <c r="AS2" s="30"/>
      <c r="AT2" s="30"/>
      <c r="AU2" s="30"/>
      <c r="AV2" s="30"/>
      <c r="AW2" s="2"/>
      <c r="AX2" s="2"/>
    </row>
    <row r="3" spans="1:50" ht="18" x14ac:dyDescent="0.25">
      <c r="A3" s="2"/>
      <c r="B3" s="114"/>
      <c r="C3" s="115" t="s">
        <v>216</v>
      </c>
      <c r="D3" s="116">
        <v>2014</v>
      </c>
      <c r="E3" s="117">
        <f>IF(INT(D4/4)=D4/4,366,365)</f>
        <v>365</v>
      </c>
      <c r="F3" s="119"/>
      <c r="G3" s="120"/>
      <c r="H3" s="166"/>
      <c r="I3" s="166"/>
      <c r="J3" s="121" t="s">
        <v>81</v>
      </c>
      <c r="K3" s="122"/>
      <c r="L3" s="121" t="s">
        <v>326</v>
      </c>
      <c r="M3" s="120"/>
      <c r="N3" s="121" t="s">
        <v>328</v>
      </c>
      <c r="O3" s="122"/>
      <c r="P3" s="120"/>
      <c r="Q3" s="121" t="s">
        <v>328</v>
      </c>
      <c r="R3" s="122"/>
      <c r="S3" s="120"/>
      <c r="T3" s="123" t="s">
        <v>330</v>
      </c>
      <c r="U3" s="2"/>
      <c r="V3" s="57"/>
      <c r="W3" s="57"/>
      <c r="X3" s="57"/>
      <c r="Y3" s="57"/>
      <c r="Z3" s="57"/>
      <c r="AA3" s="57"/>
      <c r="AB3" s="56"/>
      <c r="AC3" s="57"/>
      <c r="AD3" s="57"/>
      <c r="AE3" s="30"/>
      <c r="AF3" s="30"/>
      <c r="AG3" s="30"/>
      <c r="AH3" s="30"/>
      <c r="AI3" s="30"/>
      <c r="AJ3" s="30"/>
      <c r="AK3" s="30"/>
      <c r="AL3" s="30"/>
      <c r="AM3" s="30"/>
      <c r="AN3" s="30"/>
      <c r="AO3" s="30"/>
      <c r="AP3" s="30"/>
      <c r="AQ3" s="30"/>
      <c r="AR3" s="30"/>
      <c r="AS3" s="30"/>
      <c r="AT3" s="30"/>
      <c r="AU3" s="30"/>
      <c r="AV3" s="30"/>
      <c r="AW3" s="2"/>
      <c r="AX3" s="2"/>
    </row>
    <row r="4" spans="1:50" ht="18" x14ac:dyDescent="0.25">
      <c r="A4" s="2"/>
      <c r="B4" s="124" t="s">
        <v>144</v>
      </c>
      <c r="C4" s="124" t="s">
        <v>220</v>
      </c>
      <c r="D4" s="125">
        <f>IF(D3="",2001,D3)</f>
        <v>2014</v>
      </c>
      <c r="E4" s="109"/>
      <c r="F4" s="126"/>
      <c r="G4" s="165"/>
      <c r="H4" s="166"/>
      <c r="I4" s="166"/>
      <c r="J4" s="167" t="str">
        <f>IF(D2="","",CropRef!B1)</f>
        <v>Stone fruits</v>
      </c>
      <c r="K4" s="168"/>
      <c r="L4" s="163" t="s">
        <v>249</v>
      </c>
      <c r="M4" s="118"/>
      <c r="N4" s="379" t="s">
        <v>331</v>
      </c>
      <c r="O4" s="380"/>
      <c r="P4" s="129"/>
      <c r="Q4" s="379" t="s">
        <v>332</v>
      </c>
      <c r="R4" s="380"/>
      <c r="S4" s="174"/>
      <c r="T4" s="175" t="s">
        <v>265</v>
      </c>
      <c r="U4" s="2"/>
      <c r="V4" s="58"/>
      <c r="W4" s="58"/>
      <c r="X4" s="58"/>
      <c r="Y4" s="58"/>
      <c r="Z4" s="58"/>
      <c r="AA4" s="58"/>
      <c r="AB4" s="56"/>
      <c r="AC4" s="57"/>
      <c r="AD4" s="57"/>
      <c r="AE4" s="30"/>
      <c r="AF4" s="30"/>
      <c r="AG4" s="30"/>
      <c r="AH4" s="30"/>
      <c r="AI4" s="30"/>
      <c r="AJ4" s="30"/>
      <c r="AK4" s="30"/>
      <c r="AL4" s="30"/>
      <c r="AM4" s="30"/>
      <c r="AN4" s="30"/>
      <c r="AO4" s="30"/>
      <c r="AP4" s="30"/>
      <c r="AQ4" s="30"/>
      <c r="AR4" s="30"/>
      <c r="AS4" s="30"/>
      <c r="AT4" s="30"/>
      <c r="AU4" s="30"/>
      <c r="AV4" s="30"/>
      <c r="AW4" s="2"/>
      <c r="AX4" s="2"/>
    </row>
    <row r="5" spans="1:50" ht="18" x14ac:dyDescent="0.25">
      <c r="A5" s="2"/>
      <c r="B5" s="121" t="s">
        <v>82</v>
      </c>
      <c r="C5" s="121" t="s">
        <v>82</v>
      </c>
      <c r="D5" s="130" t="s">
        <v>82</v>
      </c>
      <c r="E5" s="121" t="s">
        <v>82</v>
      </c>
      <c r="F5" s="109"/>
      <c r="G5" s="121" t="s">
        <v>46</v>
      </c>
      <c r="H5" s="109"/>
      <c r="I5" s="109"/>
      <c r="J5" s="117">
        <f>INT(D2)</f>
        <v>3</v>
      </c>
      <c r="K5" s="118" t="s">
        <v>147</v>
      </c>
      <c r="L5" s="128" t="s">
        <v>264</v>
      </c>
      <c r="M5" s="118" t="s">
        <v>144</v>
      </c>
      <c r="N5" s="381"/>
      <c r="O5" s="382"/>
      <c r="P5" s="118" t="s">
        <v>144</v>
      </c>
      <c r="Q5" s="381"/>
      <c r="R5" s="382"/>
      <c r="S5" s="131"/>
      <c r="T5" s="115" t="s">
        <v>333</v>
      </c>
      <c r="U5" s="2"/>
      <c r="V5" s="58"/>
      <c r="W5" s="58"/>
      <c r="X5" s="58"/>
      <c r="Y5" s="58"/>
      <c r="Z5" s="58"/>
      <c r="AA5" s="58"/>
      <c r="AB5" s="56"/>
      <c r="AC5" s="57"/>
      <c r="AD5" s="57"/>
      <c r="AE5" s="30"/>
      <c r="AF5" s="30"/>
      <c r="AG5" s="30"/>
      <c r="AH5" s="30"/>
      <c r="AI5" s="30"/>
      <c r="AJ5" s="30"/>
      <c r="AK5" s="30"/>
      <c r="AL5" s="30"/>
      <c r="AM5" s="30"/>
      <c r="AN5" s="30"/>
      <c r="AO5" s="30"/>
      <c r="AP5" s="30"/>
      <c r="AQ5" s="30"/>
      <c r="AR5" s="30"/>
      <c r="AS5" s="30"/>
      <c r="AT5" s="30"/>
      <c r="AU5" s="30"/>
      <c r="AV5" s="30"/>
      <c r="AW5" s="2"/>
      <c r="AX5" s="2"/>
    </row>
    <row r="6" spans="1:50" ht="18" x14ac:dyDescent="0.25">
      <c r="A6" s="2"/>
      <c r="B6" s="132" t="s">
        <v>5</v>
      </c>
      <c r="C6" s="133">
        <f>DATE(D4,CropRef!J1,CropRef!K1)</f>
        <v>41699</v>
      </c>
      <c r="D6" s="134"/>
      <c r="E6" s="135">
        <f>IF(D6="",DATE(D$4,MONTH(C6),DAY(C6)),DATE(D$4,MONTH(D6),DAY(D6)))</f>
        <v>41699</v>
      </c>
      <c r="F6" s="135" t="s">
        <v>146</v>
      </c>
      <c r="G6" s="136" t="str">
        <f>IF(J5&lt;3,G7,"")</f>
        <v/>
      </c>
      <c r="H6" s="109"/>
      <c r="I6" s="137">
        <f>SUM(L49:L625)</f>
        <v>2344.8400023433046</v>
      </c>
      <c r="J6" s="138" t="s">
        <v>145</v>
      </c>
      <c r="K6" s="139" t="s">
        <v>46</v>
      </c>
      <c r="L6" s="140" t="s">
        <v>41</v>
      </c>
      <c r="M6" s="139" t="s">
        <v>82</v>
      </c>
      <c r="N6" s="139" t="s">
        <v>59</v>
      </c>
      <c r="O6" s="139" t="s">
        <v>46</v>
      </c>
      <c r="P6" s="139" t="s">
        <v>82</v>
      </c>
      <c r="Q6" s="139" t="s">
        <v>59</v>
      </c>
      <c r="R6" s="139" t="s">
        <v>46</v>
      </c>
      <c r="S6" s="141" t="s">
        <v>74</v>
      </c>
      <c r="T6" s="142">
        <v>41640</v>
      </c>
      <c r="U6" s="105">
        <f>IF(T6="","",T6-DATE(YEAR(T6)-1,12,31))</f>
        <v>1</v>
      </c>
      <c r="V6" s="57"/>
      <c r="W6" s="57"/>
      <c r="X6" s="57"/>
      <c r="Y6" s="57"/>
      <c r="Z6" s="57"/>
      <c r="AA6" s="57"/>
      <c r="AB6" s="56"/>
      <c r="AC6" s="57"/>
      <c r="AD6" s="57"/>
      <c r="AE6" s="30"/>
      <c r="AF6" s="30"/>
      <c r="AG6" s="30"/>
      <c r="AH6" s="30"/>
      <c r="AI6" s="30"/>
      <c r="AJ6" s="30"/>
      <c r="AK6" s="30"/>
      <c r="AL6" s="30"/>
      <c r="AM6" s="30"/>
      <c r="AN6" s="30"/>
      <c r="AO6" s="30"/>
      <c r="AP6" s="30"/>
      <c r="AQ6" s="30"/>
      <c r="AR6" s="30"/>
      <c r="AS6" s="30"/>
      <c r="AT6" s="30"/>
      <c r="AU6" s="30"/>
      <c r="AV6" s="30"/>
      <c r="AW6" s="2"/>
      <c r="AX6" s="2"/>
    </row>
    <row r="7" spans="1:50" ht="18" x14ac:dyDescent="0.25">
      <c r="A7" s="2"/>
      <c r="B7" s="124" t="s">
        <v>17</v>
      </c>
      <c r="C7" s="124"/>
      <c r="D7" s="143">
        <f>E7</f>
        <v>41699</v>
      </c>
      <c r="E7" s="144">
        <f>CropRef!C1/100*E$11+E$6</f>
        <v>41699</v>
      </c>
      <c r="F7" s="145" t="s">
        <v>56</v>
      </c>
      <c r="G7" s="146">
        <f>IF(AND(J$5=1,L7&lt;&gt;""),K7,IF(J$5=3,I7,IF(J$5=4,R7,J7)))</f>
        <v>0.55000000000000004</v>
      </c>
      <c r="H7" s="147"/>
      <c r="I7" s="148">
        <f>J7</f>
        <v>0.55000000000000004</v>
      </c>
      <c r="J7" s="149">
        <f>CropRef!F1</f>
        <v>0.55000000000000004</v>
      </c>
      <c r="K7" s="136" t="str">
        <f>IF(SUM(AL53:AL82)=0,"",SUM(AL53:AL82))</f>
        <v/>
      </c>
      <c r="L7" s="150"/>
      <c r="M7" s="141" t="s">
        <v>17</v>
      </c>
      <c r="N7" s="127"/>
      <c r="O7" s="151"/>
      <c r="P7" s="152" t="s">
        <v>17</v>
      </c>
      <c r="Q7" s="150"/>
      <c r="R7" s="146">
        <f>IF(Q7="",J7,J7*SQRT(SIN(Q7/70*PI()/2)))</f>
        <v>0.55000000000000004</v>
      </c>
      <c r="S7" s="141" t="s">
        <v>75</v>
      </c>
      <c r="T7" s="142">
        <v>42004</v>
      </c>
      <c r="U7" s="105">
        <f>IF(T7="","",T7-DATE(YEAR(T7)-1,12,31))</f>
        <v>365</v>
      </c>
      <c r="V7" s="57"/>
      <c r="W7" s="57"/>
      <c r="X7" s="57"/>
      <c r="Y7" s="57"/>
      <c r="Z7" s="57"/>
      <c r="AA7" s="57"/>
      <c r="AB7" s="56"/>
      <c r="AC7" s="57"/>
      <c r="AD7" s="57"/>
      <c r="AE7" s="30"/>
      <c r="AF7" s="30"/>
      <c r="AG7" s="30"/>
      <c r="AH7" s="30"/>
      <c r="AI7" s="30"/>
      <c r="AJ7" s="30"/>
      <c r="AK7" s="30"/>
      <c r="AL7" s="30"/>
      <c r="AM7" s="30"/>
      <c r="AN7" s="30"/>
      <c r="AO7" s="30"/>
      <c r="AP7" s="30"/>
      <c r="AQ7" s="30"/>
      <c r="AR7" s="30"/>
      <c r="AS7" s="30"/>
      <c r="AT7" s="30"/>
      <c r="AU7" s="30"/>
      <c r="AV7" s="30"/>
      <c r="AW7" s="2"/>
      <c r="AX7" s="2"/>
    </row>
    <row r="8" spans="1:50" ht="18" x14ac:dyDescent="0.25">
      <c r="A8" s="2"/>
      <c r="B8" s="124" t="s">
        <v>69</v>
      </c>
      <c r="C8" s="124"/>
      <c r="D8" s="143">
        <f>E8</f>
        <v>41813.5</v>
      </c>
      <c r="E8" s="144">
        <f>CropRef!D1/100*E$11+E$6</f>
        <v>41813.5</v>
      </c>
      <c r="F8" s="145" t="s">
        <v>57</v>
      </c>
      <c r="G8" s="146">
        <f>IF(J$5=3,O8,IF(J$5=4,R8,J8))</f>
        <v>1.1499999999999999</v>
      </c>
      <c r="H8" s="153">
        <f>(G8-G7)/(E8-E7)</f>
        <v>5.240174672489082E-3</v>
      </c>
      <c r="I8" s="153"/>
      <c r="J8" s="149">
        <f>CropRef!G1</f>
        <v>1.1499999999999999</v>
      </c>
      <c r="K8" s="154">
        <f>IF(ISERROR(AVERAGE(W49:W625)),"",AVERAGE(W49:W625))</f>
        <v>2.1040492212610551</v>
      </c>
      <c r="L8" s="155" t="s">
        <v>71</v>
      </c>
      <c r="M8" s="152" t="s">
        <v>69</v>
      </c>
      <c r="N8" s="156"/>
      <c r="O8" s="157">
        <f>IF(N8="",J8,J8*SIN(N8/70*PI()/2))</f>
        <v>1.1499999999999999</v>
      </c>
      <c r="P8" s="152" t="s">
        <v>69</v>
      </c>
      <c r="Q8" s="150"/>
      <c r="R8" s="146">
        <f>IF(Q8="",J8,J8*SQRT(SIN(Q8/70*PI()/2)))</f>
        <v>1.1499999999999999</v>
      </c>
      <c r="S8" s="158"/>
      <c r="T8" s="107" t="s">
        <v>334</v>
      </c>
      <c r="U8" s="105"/>
      <c r="V8" s="58"/>
      <c r="W8" s="58"/>
      <c r="X8" s="58"/>
      <c r="Y8" s="58"/>
      <c r="Z8" s="58"/>
      <c r="AA8" s="58"/>
      <c r="AB8" s="56"/>
      <c r="AC8" s="57"/>
      <c r="AD8" s="57"/>
      <c r="AE8" s="30"/>
      <c r="AF8" s="30"/>
      <c r="AG8" s="30"/>
      <c r="AH8" s="30"/>
      <c r="AI8" s="30"/>
      <c r="AJ8" s="30"/>
      <c r="AK8" s="30"/>
      <c r="AL8" s="30"/>
      <c r="AM8" s="30"/>
      <c r="AN8" s="30"/>
      <c r="AO8" s="30"/>
      <c r="AP8" s="30"/>
      <c r="AQ8" s="30"/>
      <c r="AR8" s="30"/>
      <c r="AS8" s="30"/>
      <c r="AT8" s="30"/>
      <c r="AU8" s="30"/>
      <c r="AV8" s="30"/>
      <c r="AW8" s="2"/>
      <c r="AX8" s="2"/>
    </row>
    <row r="9" spans="1:50" ht="18" x14ac:dyDescent="0.25">
      <c r="A9" s="2"/>
      <c r="B9" s="124" t="s">
        <v>4</v>
      </c>
      <c r="C9" s="124"/>
      <c r="D9" s="143">
        <f>E9</f>
        <v>41905.1</v>
      </c>
      <c r="E9" s="144">
        <f>CropRef!E1/100*E$11+E$6</f>
        <v>41905.1</v>
      </c>
      <c r="F9" s="145" t="s">
        <v>60</v>
      </c>
      <c r="G9" s="146">
        <f>IF(J$5=3,O9,IF(J$5=4,R9,J9))</f>
        <v>1.1499999999999999</v>
      </c>
      <c r="H9" s="153">
        <f>(G9-G8)/(E9-E8)</f>
        <v>0</v>
      </c>
      <c r="I9" s="153"/>
      <c r="J9" s="149">
        <f>CropRef!H1</f>
        <v>1.1499999999999999</v>
      </c>
      <c r="K9" s="154">
        <f>IF(K8="","",1.05-0.03*K8)</f>
        <v>0.98687852336216841</v>
      </c>
      <c r="L9" s="155" t="s">
        <v>72</v>
      </c>
      <c r="M9" s="152" t="s">
        <v>4</v>
      </c>
      <c r="N9" s="156"/>
      <c r="O9" s="157">
        <f>IF(N9="",J9,J9*SIN(N9/70*PI()/2))</f>
        <v>1.1499999999999999</v>
      </c>
      <c r="P9" s="152" t="s">
        <v>4</v>
      </c>
      <c r="Q9" s="150"/>
      <c r="R9" s="146">
        <f>IF(Q9="",J9,J9*SQRT(SIN(Q9/70*PI()/2)))</f>
        <v>1.1499999999999999</v>
      </c>
      <c r="S9" s="141" t="s">
        <v>74</v>
      </c>
      <c r="T9" s="159"/>
      <c r="U9" s="105" t="str">
        <f>IF(T9="","",T9-DATE(YEAR(T9)-1,12,31))</f>
        <v/>
      </c>
      <c r="V9" s="57"/>
      <c r="W9" s="57"/>
      <c r="X9" s="57"/>
      <c r="Y9" s="57"/>
      <c r="Z9" s="57"/>
      <c r="AA9" s="57"/>
      <c r="AB9" s="56"/>
      <c r="AC9" s="57"/>
      <c r="AD9" s="57"/>
      <c r="AE9" s="30"/>
      <c r="AF9" s="30"/>
      <c r="AG9" s="30"/>
      <c r="AH9" s="30"/>
      <c r="AI9" s="30"/>
      <c r="AJ9" s="30"/>
      <c r="AK9" s="30"/>
      <c r="AL9" s="30"/>
      <c r="AM9" s="30"/>
      <c r="AN9" s="30"/>
      <c r="AO9" s="30"/>
      <c r="AP9" s="30"/>
      <c r="AQ9" s="30"/>
      <c r="AR9" s="30"/>
      <c r="AS9" s="30"/>
      <c r="AT9" s="30"/>
      <c r="AU9" s="30"/>
      <c r="AV9" s="30"/>
      <c r="AW9" s="2"/>
      <c r="AX9" s="2"/>
    </row>
    <row r="10" spans="1:50" ht="18" x14ac:dyDescent="0.25">
      <c r="A10" s="2"/>
      <c r="B10" s="132" t="s">
        <v>70</v>
      </c>
      <c r="C10" s="133">
        <f>DATE(D4,CropRef!L1,CropRef!M1)</f>
        <v>41927</v>
      </c>
      <c r="D10" s="160"/>
      <c r="E10" s="145">
        <f>IF(D10="",IF(C10&lt;C6,DATE(D$4+1,MONTH(C10),DAY(C10)),DATE(D$4,MONTH(C10),DAY(C10))),IF(DATE(YEAR(E6),MONTH(D10),DAY(D10))&lt;E6,DATE(D$4+1,MONTH(D10),DAY(D10)),DATE(D4,MONTH(D10),DAY(D10))))</f>
        <v>41927</v>
      </c>
      <c r="F10" s="145" t="s">
        <v>58</v>
      </c>
      <c r="G10" s="146">
        <f>IF(J$5=4,R10,J10)</f>
        <v>0.65</v>
      </c>
      <c r="H10" s="153">
        <f>(G10-G9)/(E10-E9)</f>
        <v>-2.2831050228308981E-2</v>
      </c>
      <c r="I10" s="153"/>
      <c r="J10" s="149">
        <f>CropRef!I1</f>
        <v>0.65</v>
      </c>
      <c r="K10" s="161">
        <v>2.6</v>
      </c>
      <c r="L10" s="162" t="s">
        <v>73</v>
      </c>
      <c r="M10" s="141" t="s">
        <v>70</v>
      </c>
      <c r="N10" s="127"/>
      <c r="O10" s="151"/>
      <c r="P10" s="152" t="s">
        <v>70</v>
      </c>
      <c r="Q10" s="150"/>
      <c r="R10" s="146">
        <f>IF(Q10="",J10,J10*SQRT(SIN(Q10/70*PI()/2)))</f>
        <v>0.65</v>
      </c>
      <c r="S10" s="141" t="s">
        <v>75</v>
      </c>
      <c r="T10" s="159"/>
      <c r="U10" s="105" t="str">
        <f>IF(T10="","",T10-DATE(YEAR(T10)-1,12,31))</f>
        <v/>
      </c>
      <c r="V10" s="57"/>
      <c r="W10" s="57"/>
      <c r="X10" s="57"/>
      <c r="Y10" s="57"/>
      <c r="Z10" s="57"/>
      <c r="AA10" s="57"/>
      <c r="AB10" s="56"/>
      <c r="AC10" s="57"/>
      <c r="AD10" s="57"/>
      <c r="AE10" s="30"/>
      <c r="AF10" s="30"/>
      <c r="AG10" s="30"/>
      <c r="AH10" s="30"/>
      <c r="AI10" s="30"/>
      <c r="AJ10" s="30"/>
      <c r="AK10" s="30"/>
      <c r="AL10" s="30"/>
      <c r="AM10" s="30"/>
      <c r="AN10" s="30"/>
      <c r="AO10" s="30"/>
      <c r="AP10" s="30"/>
      <c r="AQ10" s="30"/>
      <c r="AR10" s="30"/>
      <c r="AS10" s="30"/>
      <c r="AT10" s="30"/>
      <c r="AU10" s="30"/>
      <c r="AV10" s="30"/>
      <c r="AW10" s="2"/>
      <c r="AX10" s="2"/>
    </row>
    <row r="11" spans="1:50" ht="18" x14ac:dyDescent="0.25">
      <c r="A11" s="2"/>
      <c r="B11" s="124"/>
      <c r="C11" s="124" t="s">
        <v>143</v>
      </c>
      <c r="D11" s="124">
        <f>E11</f>
        <v>229</v>
      </c>
      <c r="E11" s="124">
        <f>IF(E10-E6&gt;0,E10-E6+1,E10+365-E6+1)</f>
        <v>229</v>
      </c>
      <c r="F11" s="124"/>
      <c r="G11" s="109"/>
      <c r="H11" s="109"/>
      <c r="I11" s="109"/>
      <c r="J11" s="109"/>
      <c r="K11" s="109"/>
      <c r="L11" s="109"/>
      <c r="M11" s="109"/>
      <c r="N11" s="109"/>
      <c r="O11" s="124"/>
      <c r="P11" s="124"/>
      <c r="Q11" s="124"/>
      <c r="R11" s="124"/>
      <c r="S11" s="109"/>
      <c r="T11" s="124"/>
      <c r="U11" s="29"/>
      <c r="V11" s="57"/>
      <c r="W11" s="57"/>
      <c r="X11" s="57"/>
      <c r="Y11" s="57"/>
      <c r="Z11" s="57"/>
      <c r="AA11" s="57"/>
      <c r="AB11" s="56"/>
      <c r="AC11" s="57"/>
      <c r="AD11" s="57"/>
      <c r="AE11" s="30"/>
      <c r="AF11" s="30"/>
      <c r="AG11" s="30"/>
      <c r="AH11" s="30"/>
      <c r="AI11" s="30"/>
      <c r="AJ11" s="30"/>
      <c r="AK11" s="30"/>
      <c r="AL11" s="30"/>
      <c r="AM11" s="30"/>
      <c r="AN11" s="30"/>
      <c r="AO11" s="30"/>
      <c r="AP11" s="30"/>
      <c r="AQ11" s="30"/>
      <c r="AR11" s="30"/>
      <c r="AS11" s="30"/>
      <c r="AT11" s="30"/>
      <c r="AU11" s="30"/>
      <c r="AV11" s="30"/>
      <c r="AW11" s="2"/>
      <c r="AX11" s="2"/>
    </row>
    <row r="12" spans="1:50" x14ac:dyDescent="0.2">
      <c r="A12" s="2"/>
      <c r="B12" s="29"/>
      <c r="C12" s="29"/>
      <c r="D12" s="29"/>
      <c r="E12" s="29"/>
      <c r="F12" s="29"/>
      <c r="G12" s="30"/>
      <c r="H12" s="30"/>
      <c r="I12" s="30"/>
      <c r="J12" s="30"/>
      <c r="K12" s="30"/>
      <c r="L12" s="30"/>
      <c r="M12" s="30"/>
      <c r="N12" s="30"/>
      <c r="O12" s="29"/>
      <c r="P12" s="29"/>
      <c r="Q12" s="29"/>
      <c r="R12" s="29"/>
      <c r="S12" s="30"/>
      <c r="T12" s="29"/>
      <c r="U12" s="29"/>
      <c r="V12" s="57"/>
      <c r="W12" s="57"/>
      <c r="X12" s="57"/>
      <c r="Y12" s="57"/>
      <c r="Z12" s="57"/>
      <c r="AA12" s="57"/>
      <c r="AB12" s="56"/>
      <c r="AC12" s="57"/>
      <c r="AD12" s="57"/>
      <c r="AE12" s="30"/>
      <c r="AF12" s="30"/>
      <c r="AG12" s="30"/>
      <c r="AH12" s="30"/>
      <c r="AI12" s="30"/>
      <c r="AJ12" s="30"/>
      <c r="AK12" s="30"/>
      <c r="AL12" s="30"/>
      <c r="AM12" s="30"/>
      <c r="AN12" s="30"/>
      <c r="AO12" s="30"/>
      <c r="AP12" s="30"/>
      <c r="AQ12" s="30"/>
      <c r="AR12" s="30"/>
      <c r="AS12" s="30"/>
      <c r="AT12" s="30"/>
      <c r="AU12" s="30"/>
      <c r="AV12" s="30"/>
      <c r="AW12" s="2"/>
      <c r="AX12" s="2"/>
    </row>
    <row r="13" spans="1:50" x14ac:dyDescent="0.2">
      <c r="A13" s="2"/>
      <c r="B13" s="29"/>
      <c r="C13" s="29"/>
      <c r="D13" s="29"/>
      <c r="E13" s="29"/>
      <c r="F13" s="29"/>
      <c r="G13" s="30"/>
      <c r="H13" s="30"/>
      <c r="I13" s="30"/>
      <c r="J13" s="30"/>
      <c r="K13" s="30"/>
      <c r="L13" s="30"/>
      <c r="M13" s="30"/>
      <c r="N13" s="30"/>
      <c r="O13" s="29"/>
      <c r="P13" s="29"/>
      <c r="Q13" s="29"/>
      <c r="R13" s="29"/>
      <c r="S13" s="30"/>
      <c r="T13" s="29"/>
      <c r="U13" s="29"/>
      <c r="V13" s="57"/>
      <c r="W13" s="57"/>
      <c r="X13" s="57"/>
      <c r="Y13" s="57"/>
      <c r="Z13" s="57"/>
      <c r="AA13" s="57"/>
      <c r="AB13" s="56"/>
      <c r="AC13" s="57"/>
      <c r="AD13" s="57"/>
      <c r="AE13" s="30"/>
      <c r="AF13" s="30"/>
      <c r="AG13" s="30"/>
      <c r="AH13" s="30"/>
      <c r="AI13" s="30"/>
      <c r="AJ13" s="30"/>
      <c r="AK13" s="30"/>
      <c r="AL13" s="30"/>
      <c r="AM13" s="30"/>
      <c r="AN13" s="30"/>
      <c r="AO13" s="30"/>
      <c r="AP13" s="30"/>
      <c r="AQ13" s="30"/>
      <c r="AR13" s="30"/>
      <c r="AS13" s="30"/>
      <c r="AT13" s="30"/>
      <c r="AU13" s="30"/>
      <c r="AV13" s="30"/>
      <c r="AW13" s="2"/>
      <c r="AX13" s="2"/>
    </row>
    <row r="14" spans="1:50" x14ac:dyDescent="0.2">
      <c r="A14" s="2"/>
      <c r="B14" s="29"/>
      <c r="C14" s="29"/>
      <c r="D14" s="29"/>
      <c r="E14" s="29"/>
      <c r="F14" s="29"/>
      <c r="G14" s="30"/>
      <c r="H14" s="30"/>
      <c r="I14" s="30"/>
      <c r="J14" s="30"/>
      <c r="K14" s="30"/>
      <c r="L14" s="30"/>
      <c r="M14" s="30"/>
      <c r="N14" s="30"/>
      <c r="O14" s="29"/>
      <c r="P14" s="29"/>
      <c r="Q14" s="29"/>
      <c r="R14" s="29"/>
      <c r="S14" s="30"/>
      <c r="T14" s="29"/>
      <c r="U14" s="29"/>
      <c r="V14" s="57"/>
      <c r="W14" s="57"/>
      <c r="X14" s="57"/>
      <c r="Y14" s="57"/>
      <c r="Z14" s="57"/>
      <c r="AA14" s="57"/>
      <c r="AB14" s="56"/>
      <c r="AC14" s="57"/>
      <c r="AD14" s="57"/>
      <c r="AE14" s="30"/>
      <c r="AF14" s="30"/>
      <c r="AG14" s="30"/>
      <c r="AH14" s="30"/>
      <c r="AI14" s="30"/>
      <c r="AJ14" s="30"/>
      <c r="AK14" s="30"/>
      <c r="AL14" s="30"/>
      <c r="AM14" s="30"/>
      <c r="AN14" s="30"/>
      <c r="AO14" s="30"/>
      <c r="AP14" s="30"/>
      <c r="AQ14" s="30"/>
      <c r="AR14" s="30"/>
      <c r="AS14" s="30"/>
      <c r="AT14" s="30"/>
      <c r="AU14" s="30"/>
      <c r="AV14" s="30"/>
      <c r="AW14" s="2"/>
      <c r="AX14" s="2"/>
    </row>
    <row r="15" spans="1:50" x14ac:dyDescent="0.2">
      <c r="A15" s="2"/>
      <c r="B15" s="29"/>
      <c r="C15" s="29"/>
      <c r="D15" s="29"/>
      <c r="E15" s="29"/>
      <c r="F15" s="29"/>
      <c r="G15" s="30"/>
      <c r="H15" s="30"/>
      <c r="I15" s="30"/>
      <c r="J15" s="30"/>
      <c r="K15" s="30"/>
      <c r="L15" s="30"/>
      <c r="M15" s="30"/>
      <c r="N15" s="30"/>
      <c r="O15" s="29"/>
      <c r="P15" s="29"/>
      <c r="Q15" s="29"/>
      <c r="R15" s="29"/>
      <c r="S15" s="30"/>
      <c r="T15" s="29"/>
      <c r="U15" s="29"/>
      <c r="V15" s="57"/>
      <c r="W15" s="57"/>
      <c r="X15" s="57"/>
      <c r="Y15" s="57"/>
      <c r="Z15" s="57"/>
      <c r="AA15" s="57"/>
      <c r="AB15" s="56"/>
      <c r="AC15" s="57"/>
      <c r="AD15" s="57"/>
      <c r="AE15" s="30"/>
      <c r="AF15" s="30"/>
      <c r="AG15" s="30"/>
      <c r="AH15" s="30"/>
      <c r="AI15" s="30"/>
      <c r="AJ15" s="30"/>
      <c r="AK15" s="30"/>
      <c r="AL15" s="30"/>
      <c r="AM15" s="30"/>
      <c r="AN15" s="30"/>
      <c r="AO15" s="30"/>
      <c r="AP15" s="30"/>
      <c r="AQ15" s="30"/>
      <c r="AR15" s="30"/>
      <c r="AS15" s="30"/>
      <c r="AT15" s="30"/>
      <c r="AU15" s="30"/>
      <c r="AV15" s="30"/>
      <c r="AW15" s="2"/>
      <c r="AX15" s="2"/>
    </row>
    <row r="16" spans="1:50" ht="20.25" x14ac:dyDescent="0.3">
      <c r="A16" s="2"/>
      <c r="B16" s="29"/>
      <c r="C16" s="29"/>
      <c r="D16" s="353" t="s">
        <v>401</v>
      </c>
      <c r="E16" s="30"/>
      <c r="F16" s="30"/>
      <c r="G16" s="353"/>
      <c r="H16" s="353" t="s">
        <v>402</v>
      </c>
      <c r="I16" s="30"/>
      <c r="J16" s="30"/>
      <c r="K16" s="353" t="s">
        <v>402</v>
      </c>
      <c r="L16" s="30"/>
      <c r="M16" s="30"/>
      <c r="N16" s="30"/>
      <c r="O16" s="29"/>
      <c r="P16" s="29"/>
      <c r="Q16" s="29"/>
      <c r="R16" s="29"/>
      <c r="S16" s="30"/>
      <c r="T16" s="29"/>
      <c r="U16" s="29"/>
      <c r="V16" s="57"/>
      <c r="W16" s="57"/>
      <c r="X16" s="57"/>
      <c r="Y16" s="57"/>
      <c r="Z16" s="57"/>
      <c r="AA16" s="57"/>
      <c r="AB16" s="56"/>
      <c r="AC16" s="57"/>
      <c r="AD16" s="57"/>
      <c r="AE16" s="30"/>
      <c r="AF16" s="30"/>
      <c r="AG16" s="30"/>
      <c r="AH16" s="30"/>
      <c r="AI16" s="30"/>
      <c r="AJ16" s="30"/>
      <c r="AK16" s="30"/>
      <c r="AL16" s="30"/>
      <c r="AM16" s="30"/>
      <c r="AN16" s="30"/>
      <c r="AO16" s="30"/>
      <c r="AP16" s="30"/>
      <c r="AQ16" s="30"/>
      <c r="AR16" s="30"/>
      <c r="AS16" s="30"/>
      <c r="AT16" s="30"/>
      <c r="AU16" s="30"/>
      <c r="AV16" s="30"/>
      <c r="AW16" s="2"/>
      <c r="AX16" s="2"/>
    </row>
    <row r="17" spans="1:50" x14ac:dyDescent="0.2">
      <c r="A17" s="2"/>
      <c r="B17" s="29"/>
      <c r="C17" s="29"/>
      <c r="D17" s="29"/>
      <c r="E17" s="29"/>
      <c r="F17" s="29"/>
      <c r="G17" s="30"/>
      <c r="H17" s="30"/>
      <c r="I17" s="30"/>
      <c r="J17" s="30"/>
      <c r="K17" s="30"/>
      <c r="L17" s="30"/>
      <c r="M17" s="30"/>
      <c r="N17" s="30"/>
      <c r="O17" s="29"/>
      <c r="P17" s="29"/>
      <c r="Q17" s="29"/>
      <c r="R17" s="29"/>
      <c r="S17" s="30"/>
      <c r="T17" s="29"/>
      <c r="U17" s="29"/>
      <c r="V17" s="57"/>
      <c r="W17" s="57"/>
      <c r="X17" s="57"/>
      <c r="Y17" s="57"/>
      <c r="Z17" s="57"/>
      <c r="AA17" s="57"/>
      <c r="AB17" s="56"/>
      <c r="AC17" s="57"/>
      <c r="AD17" s="57"/>
      <c r="AE17" s="30"/>
      <c r="AF17" s="30"/>
      <c r="AG17" s="30"/>
      <c r="AH17" s="30"/>
      <c r="AI17" s="30"/>
      <c r="AJ17" s="30"/>
      <c r="AK17" s="30"/>
      <c r="AL17" s="30"/>
      <c r="AM17" s="30"/>
      <c r="AN17" s="30"/>
      <c r="AO17" s="30"/>
      <c r="AP17" s="30"/>
      <c r="AQ17" s="30"/>
      <c r="AR17" s="30"/>
      <c r="AS17" s="30"/>
      <c r="AT17" s="30"/>
      <c r="AU17" s="30"/>
      <c r="AV17" s="30"/>
      <c r="AW17" s="2"/>
      <c r="AX17" s="2"/>
    </row>
    <row r="18" spans="1:50" x14ac:dyDescent="0.2">
      <c r="A18" s="2"/>
      <c r="B18" s="29"/>
      <c r="C18" s="29"/>
      <c r="D18" s="29"/>
      <c r="E18" s="29"/>
      <c r="F18" s="29"/>
      <c r="G18" s="30"/>
      <c r="H18" s="30"/>
      <c r="I18" s="30"/>
      <c r="J18" s="30"/>
      <c r="K18" s="30"/>
      <c r="L18" s="30"/>
      <c r="M18" s="30"/>
      <c r="N18" s="30"/>
      <c r="O18" s="29"/>
      <c r="P18" s="29"/>
      <c r="Q18" s="29"/>
      <c r="R18" s="29"/>
      <c r="S18" s="30"/>
      <c r="T18" s="29"/>
      <c r="U18" s="29"/>
      <c r="V18" s="57"/>
      <c r="W18" s="57"/>
      <c r="X18" s="57"/>
      <c r="Y18" s="57"/>
      <c r="Z18" s="57"/>
      <c r="AA18" s="57"/>
      <c r="AB18" s="56"/>
      <c r="AC18" s="57"/>
      <c r="AD18" s="57"/>
      <c r="AE18" s="30"/>
      <c r="AF18" s="30"/>
      <c r="AG18" s="30"/>
      <c r="AH18" s="30"/>
      <c r="AI18" s="30"/>
      <c r="AJ18" s="30"/>
      <c r="AK18" s="30"/>
      <c r="AL18" s="30"/>
      <c r="AM18" s="30"/>
      <c r="AN18" s="30"/>
      <c r="AO18" s="30"/>
      <c r="AP18" s="30"/>
      <c r="AQ18" s="30"/>
      <c r="AR18" s="30"/>
      <c r="AS18" s="30"/>
      <c r="AT18" s="30"/>
      <c r="AU18" s="30"/>
      <c r="AV18" s="30"/>
      <c r="AW18" s="2"/>
      <c r="AX18" s="2"/>
    </row>
    <row r="19" spans="1:50" x14ac:dyDescent="0.2">
      <c r="A19" s="2"/>
      <c r="B19" s="29"/>
      <c r="C19" s="29"/>
      <c r="D19" s="29"/>
      <c r="E19" s="29"/>
      <c r="F19" s="29"/>
      <c r="G19" s="30"/>
      <c r="H19" s="30"/>
      <c r="I19" s="30"/>
      <c r="J19" s="30"/>
      <c r="K19" s="30"/>
      <c r="L19" s="30"/>
      <c r="M19" s="30"/>
      <c r="N19" s="30"/>
      <c r="O19" s="29"/>
      <c r="P19" s="29"/>
      <c r="Q19" s="29"/>
      <c r="R19" s="29"/>
      <c r="S19" s="30"/>
      <c r="T19" s="29"/>
      <c r="U19" s="29"/>
      <c r="V19" s="57"/>
      <c r="W19" s="57"/>
      <c r="X19" s="57"/>
      <c r="Y19" s="57"/>
      <c r="Z19" s="57"/>
      <c r="AA19" s="57"/>
      <c r="AB19" s="56"/>
      <c r="AC19" s="57"/>
      <c r="AD19" s="57"/>
      <c r="AE19" s="30"/>
      <c r="AF19" s="30"/>
      <c r="AG19" s="30"/>
      <c r="AH19" s="30"/>
      <c r="AI19" s="30"/>
      <c r="AJ19" s="30"/>
      <c r="AK19" s="30"/>
      <c r="AL19" s="30"/>
      <c r="AM19" s="30"/>
      <c r="AN19" s="30"/>
      <c r="AO19" s="30"/>
      <c r="AP19" s="30"/>
      <c r="AQ19" s="30"/>
      <c r="AR19" s="30"/>
      <c r="AS19" s="30"/>
      <c r="AT19" s="30"/>
      <c r="AU19" s="30"/>
      <c r="AV19" s="30"/>
      <c r="AW19" s="2"/>
      <c r="AX19" s="2"/>
    </row>
    <row r="20" spans="1:50" x14ac:dyDescent="0.2">
      <c r="A20" s="2"/>
      <c r="B20" s="29"/>
      <c r="C20" s="29"/>
      <c r="D20" s="29"/>
      <c r="E20" s="29"/>
      <c r="F20" s="29"/>
      <c r="G20" s="30"/>
      <c r="H20" s="30"/>
      <c r="I20" s="30"/>
      <c r="J20" s="30"/>
      <c r="K20" s="30"/>
      <c r="L20" s="30"/>
      <c r="M20" s="30"/>
      <c r="N20" s="30"/>
      <c r="O20" s="29"/>
      <c r="P20" s="29"/>
      <c r="Q20" s="29"/>
      <c r="R20" s="29"/>
      <c r="S20" s="30"/>
      <c r="T20" s="29"/>
      <c r="U20" s="29"/>
      <c r="V20" s="57"/>
      <c r="W20" s="57"/>
      <c r="X20" s="57"/>
      <c r="Y20" s="57"/>
      <c r="Z20" s="57"/>
      <c r="AA20" s="57"/>
      <c r="AB20" s="56"/>
      <c r="AC20" s="57"/>
      <c r="AD20" s="57"/>
      <c r="AE20" s="30"/>
      <c r="AF20" s="30"/>
      <c r="AG20" s="30"/>
      <c r="AH20" s="30"/>
      <c r="AI20" s="30"/>
      <c r="AJ20" s="30"/>
      <c r="AK20" s="30"/>
      <c r="AL20" s="30"/>
      <c r="AM20" s="30"/>
      <c r="AN20" s="30"/>
      <c r="AO20" s="30"/>
      <c r="AP20" s="30"/>
      <c r="AQ20" s="30"/>
      <c r="AR20" s="30"/>
      <c r="AS20" s="30"/>
      <c r="AT20" s="30"/>
      <c r="AU20" s="30"/>
      <c r="AV20" s="30"/>
      <c r="AW20" s="2"/>
      <c r="AX20" s="2"/>
    </row>
    <row r="21" spans="1:50" x14ac:dyDescent="0.2">
      <c r="A21" s="2"/>
      <c r="B21" s="29"/>
      <c r="C21" s="29"/>
      <c r="D21" s="29"/>
      <c r="E21" s="29"/>
      <c r="F21" s="29"/>
      <c r="G21" s="30"/>
      <c r="H21" s="30"/>
      <c r="I21" s="30"/>
      <c r="J21" s="30"/>
      <c r="K21" s="30"/>
      <c r="L21" s="30"/>
      <c r="M21" s="30"/>
      <c r="N21" s="30"/>
      <c r="O21" s="29"/>
      <c r="P21" s="29"/>
      <c r="Q21" s="29"/>
      <c r="R21" s="29"/>
      <c r="S21" s="30"/>
      <c r="T21" s="29"/>
      <c r="U21" s="29"/>
      <c r="V21" s="57"/>
      <c r="W21" s="57"/>
      <c r="X21" s="57"/>
      <c r="Y21" s="57"/>
      <c r="Z21" s="57"/>
      <c r="AA21" s="57"/>
      <c r="AB21" s="56"/>
      <c r="AC21" s="57"/>
      <c r="AD21" s="57"/>
      <c r="AE21" s="30"/>
      <c r="AF21" s="30"/>
      <c r="AG21" s="30"/>
      <c r="AH21" s="30"/>
      <c r="AI21" s="30"/>
      <c r="AJ21" s="30"/>
      <c r="AK21" s="30"/>
      <c r="AL21" s="30"/>
      <c r="AM21" s="30"/>
      <c r="AN21" s="30"/>
      <c r="AO21" s="30"/>
      <c r="AP21" s="30"/>
      <c r="AQ21" s="30"/>
      <c r="AR21" s="30"/>
      <c r="AS21" s="30"/>
      <c r="AT21" s="30"/>
      <c r="AU21" s="30"/>
      <c r="AV21" s="30"/>
      <c r="AW21" s="2"/>
      <c r="AX21" s="2"/>
    </row>
    <row r="22" spans="1:50" x14ac:dyDescent="0.2">
      <c r="A22" s="2"/>
      <c r="B22" s="29"/>
      <c r="C22" s="29"/>
      <c r="D22" s="29"/>
      <c r="E22" s="29"/>
      <c r="F22" s="29"/>
      <c r="G22" s="30"/>
      <c r="H22" s="30"/>
      <c r="I22" s="30"/>
      <c r="J22" s="30"/>
      <c r="K22" s="30"/>
      <c r="L22" s="30"/>
      <c r="M22" s="30"/>
      <c r="N22" s="30"/>
      <c r="O22" s="29"/>
      <c r="P22" s="29"/>
      <c r="Q22" s="29"/>
      <c r="R22" s="29"/>
      <c r="S22" s="30"/>
      <c r="T22" s="29"/>
      <c r="U22" s="29"/>
      <c r="V22" s="57"/>
      <c r="W22" s="57"/>
      <c r="X22" s="57"/>
      <c r="Y22" s="57"/>
      <c r="Z22" s="57"/>
      <c r="AA22" s="57"/>
      <c r="AB22" s="56"/>
      <c r="AC22" s="57"/>
      <c r="AD22" s="57"/>
      <c r="AE22" s="30"/>
      <c r="AF22" s="30"/>
      <c r="AG22" s="30"/>
      <c r="AH22" s="30"/>
      <c r="AI22" s="30"/>
      <c r="AJ22" s="30"/>
      <c r="AK22" s="30"/>
      <c r="AL22" s="30"/>
      <c r="AM22" s="30"/>
      <c r="AN22" s="30"/>
      <c r="AO22" s="30"/>
      <c r="AP22" s="30"/>
      <c r="AQ22" s="30"/>
      <c r="AR22" s="30"/>
      <c r="AS22" s="30"/>
      <c r="AT22" s="30"/>
      <c r="AU22" s="30"/>
      <c r="AV22" s="30"/>
      <c r="AW22" s="2"/>
      <c r="AX22" s="2"/>
    </row>
    <row r="23" spans="1:50" x14ac:dyDescent="0.2">
      <c r="A23" s="2"/>
      <c r="B23" s="29"/>
      <c r="C23" s="29"/>
      <c r="D23" s="29"/>
      <c r="E23" s="29"/>
      <c r="F23" s="29"/>
      <c r="G23" s="30"/>
      <c r="H23" s="30"/>
      <c r="I23" s="30"/>
      <c r="J23" s="30"/>
      <c r="K23" s="30"/>
      <c r="L23" s="30"/>
      <c r="M23" s="30"/>
      <c r="N23" s="30"/>
      <c r="O23" s="29"/>
      <c r="P23" s="29"/>
      <c r="Q23" s="29"/>
      <c r="R23" s="29"/>
      <c r="S23" s="30"/>
      <c r="T23" s="29"/>
      <c r="U23" s="29"/>
      <c r="V23" s="57"/>
      <c r="W23" s="57"/>
      <c r="X23" s="57"/>
      <c r="Y23" s="57"/>
      <c r="Z23" s="57"/>
      <c r="AA23" s="57"/>
      <c r="AB23" s="56"/>
      <c r="AC23" s="57"/>
      <c r="AD23" s="57"/>
      <c r="AE23" s="30"/>
      <c r="AF23" s="30"/>
      <c r="AG23" s="30"/>
      <c r="AH23" s="30"/>
      <c r="AI23" s="30"/>
      <c r="AJ23" s="30"/>
      <c r="AK23" s="30"/>
      <c r="AL23" s="30"/>
      <c r="AM23" s="30"/>
      <c r="AN23" s="30"/>
      <c r="AO23" s="30"/>
      <c r="AP23" s="30"/>
      <c r="AQ23" s="30"/>
      <c r="AR23" s="30"/>
      <c r="AS23" s="30"/>
      <c r="AT23" s="30"/>
      <c r="AU23" s="30"/>
      <c r="AV23" s="30"/>
      <c r="AW23" s="2"/>
      <c r="AX23" s="2"/>
    </row>
    <row r="24" spans="1:50" x14ac:dyDescent="0.2">
      <c r="A24" s="2"/>
      <c r="B24" s="29"/>
      <c r="C24" s="29"/>
      <c r="D24" s="29"/>
      <c r="E24" s="29"/>
      <c r="F24" s="29"/>
      <c r="G24" s="30"/>
      <c r="H24" s="30"/>
      <c r="I24" s="30"/>
      <c r="J24" s="30"/>
      <c r="K24" s="30"/>
      <c r="L24" s="30"/>
      <c r="M24" s="30"/>
      <c r="N24" s="30"/>
      <c r="O24" s="29"/>
      <c r="P24" s="29"/>
      <c r="Q24" s="29"/>
      <c r="R24" s="29"/>
      <c r="S24" s="30"/>
      <c r="T24" s="29"/>
      <c r="U24" s="29"/>
      <c r="V24" s="57"/>
      <c r="W24" s="57"/>
      <c r="X24" s="57"/>
      <c r="Y24" s="57"/>
      <c r="Z24" s="57"/>
      <c r="AA24" s="57"/>
      <c r="AB24" s="56"/>
      <c r="AC24" s="57"/>
      <c r="AD24" s="57"/>
      <c r="AE24" s="30"/>
      <c r="AF24" s="30"/>
      <c r="AG24" s="30"/>
      <c r="AH24" s="30"/>
      <c r="AI24" s="30"/>
      <c r="AJ24" s="30"/>
      <c r="AK24" s="30"/>
      <c r="AL24" s="30"/>
      <c r="AM24" s="30"/>
      <c r="AN24" s="30"/>
      <c r="AO24" s="30"/>
      <c r="AP24" s="30"/>
      <c r="AQ24" s="30"/>
      <c r="AR24" s="30"/>
      <c r="AS24" s="30"/>
      <c r="AT24" s="30"/>
      <c r="AU24" s="30"/>
      <c r="AV24" s="30"/>
      <c r="AW24" s="2"/>
      <c r="AX24" s="2"/>
    </row>
    <row r="25" spans="1:50" x14ac:dyDescent="0.2">
      <c r="A25" s="2"/>
      <c r="B25" s="29"/>
      <c r="C25" s="29"/>
      <c r="D25" s="29"/>
      <c r="E25" s="29"/>
      <c r="F25" s="29"/>
      <c r="G25" s="30"/>
      <c r="H25" s="30"/>
      <c r="I25" s="30"/>
      <c r="J25" s="30"/>
      <c r="K25" s="30"/>
      <c r="L25" s="30"/>
      <c r="M25" s="30"/>
      <c r="N25" s="30"/>
      <c r="O25" s="29"/>
      <c r="P25" s="29"/>
      <c r="Q25" s="29"/>
      <c r="R25" s="29"/>
      <c r="S25" s="30"/>
      <c r="T25" s="29"/>
      <c r="U25" s="29"/>
      <c r="V25" s="57"/>
      <c r="W25" s="57"/>
      <c r="X25" s="57"/>
      <c r="Y25" s="57"/>
      <c r="Z25" s="57"/>
      <c r="AA25" s="57"/>
      <c r="AB25" s="56"/>
      <c r="AC25" s="57"/>
      <c r="AD25" s="57"/>
      <c r="AE25" s="30"/>
      <c r="AF25" s="30"/>
      <c r="AG25" s="30"/>
      <c r="AH25" s="30"/>
      <c r="AI25" s="30"/>
      <c r="AJ25" s="30"/>
      <c r="AK25" s="30"/>
      <c r="AL25" s="30"/>
      <c r="AM25" s="30"/>
      <c r="AN25" s="30"/>
      <c r="AO25" s="30"/>
      <c r="AP25" s="30"/>
      <c r="AQ25" s="30"/>
      <c r="AR25" s="30"/>
      <c r="AS25" s="30"/>
      <c r="AT25" s="30"/>
      <c r="AU25" s="30"/>
      <c r="AV25" s="30"/>
      <c r="AW25" s="2"/>
      <c r="AX25" s="2"/>
    </row>
    <row r="26" spans="1:50" x14ac:dyDescent="0.2">
      <c r="A26" s="2"/>
      <c r="B26" s="29"/>
      <c r="C26" s="29"/>
      <c r="D26" s="29"/>
      <c r="E26" s="29"/>
      <c r="F26" s="29"/>
      <c r="G26" s="30"/>
      <c r="H26" s="30"/>
      <c r="I26" s="30"/>
      <c r="J26" s="30"/>
      <c r="K26" s="30"/>
      <c r="L26" s="30"/>
      <c r="M26" s="30"/>
      <c r="N26" s="30"/>
      <c r="O26" s="29"/>
      <c r="P26" s="29"/>
      <c r="Q26" s="29"/>
      <c r="R26" s="29"/>
      <c r="S26" s="30"/>
      <c r="T26" s="29"/>
      <c r="U26" s="29"/>
      <c r="V26" s="57"/>
      <c r="W26" s="57"/>
      <c r="X26" s="57"/>
      <c r="Y26" s="57"/>
      <c r="Z26" s="57"/>
      <c r="AA26" s="57"/>
      <c r="AB26" s="56"/>
      <c r="AC26" s="57"/>
      <c r="AD26" s="57"/>
      <c r="AE26" s="30"/>
      <c r="AF26" s="30"/>
      <c r="AG26" s="30"/>
      <c r="AH26" s="30"/>
      <c r="AI26" s="30"/>
      <c r="AJ26" s="30"/>
      <c r="AK26" s="30"/>
      <c r="AL26" s="30"/>
      <c r="AM26" s="30"/>
      <c r="AN26" s="30"/>
      <c r="AO26" s="30"/>
      <c r="AP26" s="30"/>
      <c r="AQ26" s="30"/>
      <c r="AR26" s="30"/>
      <c r="AS26" s="30"/>
      <c r="AT26" s="30"/>
      <c r="AU26" s="30"/>
      <c r="AV26" s="30"/>
      <c r="AW26" s="2"/>
      <c r="AX26" s="2"/>
    </row>
    <row r="27" spans="1:50" x14ac:dyDescent="0.2">
      <c r="A27" s="2"/>
      <c r="B27" s="29"/>
      <c r="C27" s="29"/>
      <c r="D27" s="29"/>
      <c r="E27" s="29"/>
      <c r="F27" s="29"/>
      <c r="G27" s="30"/>
      <c r="H27" s="30"/>
      <c r="I27" s="30"/>
      <c r="J27" s="30"/>
      <c r="K27" s="30"/>
      <c r="L27" s="30"/>
      <c r="M27" s="30"/>
      <c r="N27" s="30"/>
      <c r="O27" s="29"/>
      <c r="P27" s="29"/>
      <c r="Q27" s="29"/>
      <c r="R27" s="29"/>
      <c r="S27" s="30"/>
      <c r="T27" s="29"/>
      <c r="U27" s="29"/>
      <c r="V27" s="57"/>
      <c r="W27" s="57"/>
      <c r="X27" s="57"/>
      <c r="Y27" s="57"/>
      <c r="Z27" s="57"/>
      <c r="AA27" s="57"/>
      <c r="AB27" s="56"/>
      <c r="AC27" s="57"/>
      <c r="AD27" s="57"/>
      <c r="AE27" s="30"/>
      <c r="AF27" s="30"/>
      <c r="AG27" s="30"/>
      <c r="AH27" s="30"/>
      <c r="AI27" s="30"/>
      <c r="AJ27" s="30"/>
      <c r="AK27" s="30"/>
      <c r="AL27" s="30"/>
      <c r="AM27" s="30"/>
      <c r="AN27" s="30"/>
      <c r="AO27" s="30"/>
      <c r="AP27" s="30"/>
      <c r="AQ27" s="30"/>
      <c r="AR27" s="30"/>
      <c r="AS27" s="30"/>
      <c r="AT27" s="30"/>
      <c r="AU27" s="30"/>
      <c r="AV27" s="30"/>
      <c r="AW27" s="2"/>
      <c r="AX27" s="2"/>
    </row>
    <row r="28" spans="1:50" x14ac:dyDescent="0.2">
      <c r="A28" s="2"/>
      <c r="B28" s="29"/>
      <c r="C28" s="29"/>
      <c r="D28" s="29"/>
      <c r="E28" s="29"/>
      <c r="F28" s="29"/>
      <c r="G28" s="30"/>
      <c r="H28" s="30"/>
      <c r="I28" s="30"/>
      <c r="J28" s="30"/>
      <c r="K28" s="30"/>
      <c r="L28" s="30"/>
      <c r="M28" s="30"/>
      <c r="N28" s="30"/>
      <c r="O28" s="29"/>
      <c r="P28" s="29"/>
      <c r="Q28" s="29"/>
      <c r="R28" s="29"/>
      <c r="S28" s="30"/>
      <c r="T28" s="29"/>
      <c r="U28" s="29"/>
      <c r="V28" s="57"/>
      <c r="W28" s="57"/>
      <c r="X28" s="57"/>
      <c r="Y28" s="57"/>
      <c r="Z28" s="57"/>
      <c r="AA28" s="57"/>
      <c r="AB28" s="56"/>
      <c r="AC28" s="57"/>
      <c r="AD28" s="57"/>
      <c r="AE28" s="30"/>
      <c r="AF28" s="30"/>
      <c r="AG28" s="30"/>
      <c r="AH28" s="30"/>
      <c r="AI28" s="30"/>
      <c r="AJ28" s="30"/>
      <c r="AK28" s="30"/>
      <c r="AL28" s="30"/>
      <c r="AM28" s="30"/>
      <c r="AN28" s="30"/>
      <c r="AO28" s="30"/>
      <c r="AP28" s="30"/>
      <c r="AQ28" s="30"/>
      <c r="AR28" s="30"/>
      <c r="AS28" s="30"/>
      <c r="AT28" s="30"/>
      <c r="AU28" s="30"/>
      <c r="AV28" s="30"/>
      <c r="AW28" s="2"/>
      <c r="AX28" s="2"/>
    </row>
    <row r="29" spans="1:50" x14ac:dyDescent="0.2">
      <c r="A29" s="2"/>
      <c r="B29" s="29"/>
      <c r="C29" s="29"/>
      <c r="D29" s="29"/>
      <c r="E29" s="29"/>
      <c r="F29" s="29"/>
      <c r="G29" s="30"/>
      <c r="H29" s="30"/>
      <c r="I29" s="30"/>
      <c r="J29" s="30"/>
      <c r="K29" s="30"/>
      <c r="L29" s="30"/>
      <c r="M29" s="30"/>
      <c r="N29" s="30"/>
      <c r="O29" s="29"/>
      <c r="P29" s="29"/>
      <c r="Q29" s="29"/>
      <c r="R29" s="29"/>
      <c r="S29" s="30"/>
      <c r="T29" s="29"/>
      <c r="U29" s="29"/>
      <c r="V29" s="57"/>
      <c r="W29" s="57"/>
      <c r="X29" s="57"/>
      <c r="Y29" s="57"/>
      <c r="Z29" s="57"/>
      <c r="AA29" s="57"/>
      <c r="AB29" s="56"/>
      <c r="AC29" s="57"/>
      <c r="AD29" s="57"/>
      <c r="AE29" s="30"/>
      <c r="AF29" s="30"/>
      <c r="AG29" s="30"/>
      <c r="AH29" s="30"/>
      <c r="AI29" s="30"/>
      <c r="AJ29" s="30"/>
      <c r="AK29" s="30"/>
      <c r="AL29" s="30"/>
      <c r="AM29" s="30"/>
      <c r="AN29" s="30"/>
      <c r="AO29" s="30"/>
      <c r="AP29" s="30"/>
      <c r="AQ29" s="30"/>
      <c r="AR29" s="30"/>
      <c r="AS29" s="30"/>
      <c r="AT29" s="30"/>
      <c r="AU29" s="30"/>
      <c r="AV29" s="30"/>
      <c r="AW29" s="2"/>
      <c r="AX29" s="2"/>
    </row>
    <row r="30" spans="1:50" x14ac:dyDescent="0.2">
      <c r="A30" s="2"/>
      <c r="B30" s="29"/>
      <c r="C30" s="29"/>
      <c r="D30" s="29"/>
      <c r="E30" s="29"/>
      <c r="F30" s="29"/>
      <c r="G30" s="30"/>
      <c r="H30" s="30"/>
      <c r="I30" s="30"/>
      <c r="J30" s="30"/>
      <c r="K30" s="30"/>
      <c r="L30" s="30"/>
      <c r="M30" s="30"/>
      <c r="N30" s="30"/>
      <c r="O30" s="29"/>
      <c r="P30" s="29"/>
      <c r="Q30" s="29"/>
      <c r="R30" s="29"/>
      <c r="S30" s="30"/>
      <c r="T30" s="29"/>
      <c r="U30" s="29"/>
      <c r="V30" s="57"/>
      <c r="W30" s="57"/>
      <c r="X30" s="57"/>
      <c r="Y30" s="57"/>
      <c r="Z30" s="57"/>
      <c r="AA30" s="57"/>
      <c r="AB30" s="56"/>
      <c r="AC30" s="57"/>
      <c r="AD30" s="57"/>
      <c r="AE30" s="30"/>
      <c r="AF30" s="30"/>
      <c r="AG30" s="30"/>
      <c r="AH30" s="30"/>
      <c r="AI30" s="30"/>
      <c r="AJ30" s="30"/>
      <c r="AK30" s="30"/>
      <c r="AL30" s="30"/>
      <c r="AM30" s="30"/>
      <c r="AN30" s="30"/>
      <c r="AO30" s="30"/>
      <c r="AP30" s="30"/>
      <c r="AQ30" s="30"/>
      <c r="AR30" s="30"/>
      <c r="AS30" s="30"/>
      <c r="AT30" s="30"/>
      <c r="AU30" s="30"/>
      <c r="AV30" s="30"/>
      <c r="AW30" s="2"/>
      <c r="AX30" s="2"/>
    </row>
    <row r="31" spans="1:50" x14ac:dyDescent="0.2">
      <c r="A31" s="2"/>
      <c r="B31" s="29"/>
      <c r="C31" s="29"/>
      <c r="D31" s="29"/>
      <c r="E31" s="29"/>
      <c r="F31" s="29"/>
      <c r="G31" s="30"/>
      <c r="H31" s="30"/>
      <c r="I31" s="30"/>
      <c r="J31" s="30"/>
      <c r="K31" s="30"/>
      <c r="L31" s="30"/>
      <c r="M31" s="30"/>
      <c r="N31" s="30"/>
      <c r="O31" s="29"/>
      <c r="P31" s="29"/>
      <c r="Q31" s="29"/>
      <c r="R31" s="29"/>
      <c r="S31" s="30"/>
      <c r="T31" s="29"/>
      <c r="U31" s="29"/>
      <c r="V31" s="57"/>
      <c r="W31" s="57"/>
      <c r="X31" s="57"/>
      <c r="Y31" s="57"/>
      <c r="Z31" s="57"/>
      <c r="AA31" s="57"/>
      <c r="AB31" s="56"/>
      <c r="AC31" s="57"/>
      <c r="AD31" s="57"/>
      <c r="AE31" s="30"/>
      <c r="AF31" s="30"/>
      <c r="AG31" s="30"/>
      <c r="AH31" s="30"/>
      <c r="AI31" s="30"/>
      <c r="AJ31" s="30"/>
      <c r="AK31" s="30"/>
      <c r="AL31" s="30"/>
      <c r="AM31" s="30"/>
      <c r="AN31" s="30"/>
      <c r="AO31" s="30"/>
      <c r="AP31" s="30"/>
      <c r="AQ31" s="30"/>
      <c r="AR31" s="30"/>
      <c r="AS31" s="30"/>
      <c r="AT31" s="30"/>
      <c r="AU31" s="30"/>
      <c r="AV31" s="30"/>
      <c r="AW31" s="2"/>
      <c r="AX31" s="2"/>
    </row>
    <row r="32" spans="1:50" x14ac:dyDescent="0.2">
      <c r="A32" s="2"/>
      <c r="B32" s="29"/>
      <c r="C32" s="29"/>
      <c r="D32" s="29"/>
      <c r="E32" s="29"/>
      <c r="F32" s="29"/>
      <c r="G32" s="30"/>
      <c r="H32" s="30"/>
      <c r="I32" s="30"/>
      <c r="J32" s="30"/>
      <c r="K32" s="30"/>
      <c r="L32" s="30"/>
      <c r="M32" s="30"/>
      <c r="N32" s="30"/>
      <c r="O32" s="29"/>
      <c r="P32" s="29"/>
      <c r="Q32" s="29"/>
      <c r="R32" s="29"/>
      <c r="S32" s="30"/>
      <c r="T32" s="29"/>
      <c r="U32" s="29"/>
      <c r="V32" s="57"/>
      <c r="W32" s="57"/>
      <c r="X32" s="57"/>
      <c r="Y32" s="57"/>
      <c r="Z32" s="57"/>
      <c r="AA32" s="57"/>
      <c r="AB32" s="56"/>
      <c r="AC32" s="57"/>
      <c r="AD32" s="57"/>
      <c r="AE32" s="30"/>
      <c r="AF32" s="30"/>
      <c r="AG32" s="30"/>
      <c r="AH32" s="30"/>
      <c r="AI32" s="30"/>
      <c r="AJ32" s="30"/>
      <c r="AK32" s="30"/>
      <c r="AL32" s="30"/>
      <c r="AM32" s="30"/>
      <c r="AN32" s="30"/>
      <c r="AO32" s="30"/>
      <c r="AP32" s="30"/>
      <c r="AQ32" s="30"/>
      <c r="AR32" s="30"/>
      <c r="AS32" s="30"/>
      <c r="AT32" s="30"/>
      <c r="AU32" s="30"/>
      <c r="AV32" s="30"/>
      <c r="AW32" s="2"/>
      <c r="AX32" s="2"/>
    </row>
    <row r="33" spans="1:50" x14ac:dyDescent="0.2">
      <c r="A33" s="2"/>
      <c r="B33" s="29"/>
      <c r="C33" s="29"/>
      <c r="D33" s="29"/>
      <c r="E33" s="29"/>
      <c r="F33" s="29"/>
      <c r="G33" s="30"/>
      <c r="H33" s="30"/>
      <c r="I33" s="30"/>
      <c r="J33" s="30"/>
      <c r="K33" s="30"/>
      <c r="L33" s="30"/>
      <c r="M33" s="30"/>
      <c r="N33" s="30"/>
      <c r="O33" s="29"/>
      <c r="P33" s="29"/>
      <c r="Q33" s="29"/>
      <c r="R33" s="29"/>
      <c r="S33" s="30"/>
      <c r="T33" s="29"/>
      <c r="U33" s="29"/>
      <c r="V33" s="57"/>
      <c r="W33" s="57"/>
      <c r="X33" s="57"/>
      <c r="Y33" s="57"/>
      <c r="Z33" s="57"/>
      <c r="AA33" s="57"/>
      <c r="AB33" s="56"/>
      <c r="AC33" s="57"/>
      <c r="AD33" s="57"/>
      <c r="AE33" s="30"/>
      <c r="AF33" s="30"/>
      <c r="AG33" s="30"/>
      <c r="AH33" s="30"/>
      <c r="AI33" s="30"/>
      <c r="AJ33" s="30"/>
      <c r="AK33" s="30"/>
      <c r="AL33" s="30"/>
      <c r="AM33" s="30"/>
      <c r="AN33" s="30"/>
      <c r="AO33" s="30"/>
      <c r="AP33" s="30"/>
      <c r="AQ33" s="30"/>
      <c r="AR33" s="30"/>
      <c r="AS33" s="30"/>
      <c r="AT33" s="30"/>
      <c r="AU33" s="30"/>
      <c r="AV33" s="30"/>
      <c r="AW33" s="2"/>
      <c r="AX33" s="2"/>
    </row>
    <row r="34" spans="1:50" x14ac:dyDescent="0.2">
      <c r="A34" s="2"/>
      <c r="B34" s="29"/>
      <c r="C34" s="29"/>
      <c r="D34" s="29"/>
      <c r="E34" s="29"/>
      <c r="F34" s="29"/>
      <c r="G34" s="30"/>
      <c r="H34" s="30"/>
      <c r="I34" s="30"/>
      <c r="J34" s="30"/>
      <c r="K34" s="30"/>
      <c r="L34" s="30"/>
      <c r="M34" s="30"/>
      <c r="N34" s="30"/>
      <c r="O34" s="29"/>
      <c r="P34" s="29"/>
      <c r="Q34" s="29"/>
      <c r="R34" s="29"/>
      <c r="S34" s="30"/>
      <c r="T34" s="29"/>
      <c r="U34" s="29"/>
      <c r="V34" s="57"/>
      <c r="W34" s="57"/>
      <c r="X34" s="57"/>
      <c r="Y34" s="57"/>
      <c r="Z34" s="57"/>
      <c r="AA34" s="57"/>
      <c r="AB34" s="56"/>
      <c r="AC34" s="57"/>
      <c r="AD34" s="57"/>
      <c r="AE34" s="30"/>
      <c r="AF34" s="30"/>
      <c r="AG34" s="30"/>
      <c r="AH34" s="30"/>
      <c r="AI34" s="30"/>
      <c r="AJ34" s="30"/>
      <c r="AK34" s="30"/>
      <c r="AL34" s="30"/>
      <c r="AM34" s="30"/>
      <c r="AN34" s="30"/>
      <c r="AO34" s="30"/>
      <c r="AP34" s="30"/>
      <c r="AQ34" s="30"/>
      <c r="AR34" s="30"/>
      <c r="AS34" s="30"/>
      <c r="AT34" s="30"/>
      <c r="AU34" s="30"/>
      <c r="AV34" s="30"/>
      <c r="AW34" s="2"/>
      <c r="AX34" s="2"/>
    </row>
    <row r="35" spans="1:50" x14ac:dyDescent="0.2">
      <c r="A35" s="2"/>
      <c r="B35" s="29"/>
      <c r="C35" s="29"/>
      <c r="D35" s="29"/>
      <c r="E35" s="29"/>
      <c r="F35" s="29"/>
      <c r="G35" s="30"/>
      <c r="H35" s="30"/>
      <c r="I35" s="30"/>
      <c r="J35" s="30"/>
      <c r="K35" s="30"/>
      <c r="L35" s="30"/>
      <c r="M35" s="30"/>
      <c r="N35" s="30"/>
      <c r="O35" s="29"/>
      <c r="P35" s="29"/>
      <c r="Q35" s="29"/>
      <c r="R35" s="29"/>
      <c r="S35" s="30"/>
      <c r="T35" s="29"/>
      <c r="U35" s="29"/>
      <c r="V35" s="57"/>
      <c r="W35" s="57"/>
      <c r="X35" s="57"/>
      <c r="Y35" s="57"/>
      <c r="Z35" s="57"/>
      <c r="AA35" s="57"/>
      <c r="AB35" s="56"/>
      <c r="AC35" s="57"/>
      <c r="AD35" s="57"/>
      <c r="AE35" s="30"/>
      <c r="AF35" s="30"/>
      <c r="AG35" s="30"/>
      <c r="AH35" s="30"/>
      <c r="AI35" s="30"/>
      <c r="AJ35" s="30"/>
      <c r="AK35" s="30"/>
      <c r="AL35" s="30"/>
      <c r="AM35" s="30"/>
      <c r="AN35" s="30"/>
      <c r="AO35" s="30"/>
      <c r="AP35" s="30"/>
      <c r="AQ35" s="30"/>
      <c r="AR35" s="30"/>
      <c r="AS35" s="30"/>
      <c r="AT35" s="30"/>
      <c r="AU35" s="30"/>
      <c r="AV35" s="30"/>
      <c r="AW35" s="2"/>
      <c r="AX35" s="2"/>
    </row>
    <row r="36" spans="1:50" x14ac:dyDescent="0.2">
      <c r="A36" s="2"/>
      <c r="B36" s="29"/>
      <c r="C36" s="29"/>
      <c r="D36" s="29"/>
      <c r="E36" s="29"/>
      <c r="F36" s="29"/>
      <c r="G36" s="30"/>
      <c r="H36" s="30"/>
      <c r="I36" s="30"/>
      <c r="J36" s="30"/>
      <c r="K36" s="30"/>
      <c r="L36" s="30"/>
      <c r="M36" s="30"/>
      <c r="N36" s="30"/>
      <c r="O36" s="29"/>
      <c r="P36" s="29"/>
      <c r="Q36" s="29"/>
      <c r="R36" s="29"/>
      <c r="S36" s="30"/>
      <c r="T36" s="29"/>
      <c r="U36" s="29"/>
      <c r="V36" s="57"/>
      <c r="W36" s="57"/>
      <c r="X36" s="57"/>
      <c r="Y36" s="57"/>
      <c r="Z36" s="57"/>
      <c r="AA36" s="57"/>
      <c r="AB36" s="56"/>
      <c r="AC36" s="57"/>
      <c r="AD36" s="57"/>
      <c r="AE36" s="30"/>
      <c r="AF36" s="30"/>
      <c r="AG36" s="30"/>
      <c r="AH36" s="30"/>
      <c r="AI36" s="30"/>
      <c r="AJ36" s="30"/>
      <c r="AK36" s="30"/>
      <c r="AL36" s="30"/>
      <c r="AM36" s="30"/>
      <c r="AN36" s="30"/>
      <c r="AO36" s="30"/>
      <c r="AP36" s="30"/>
      <c r="AQ36" s="30"/>
      <c r="AR36" s="30"/>
      <c r="AS36" s="30"/>
      <c r="AT36" s="30"/>
      <c r="AU36" s="30"/>
      <c r="AV36" s="30"/>
      <c r="AW36" s="2"/>
      <c r="AX36" s="2"/>
    </row>
    <row r="37" spans="1:50" x14ac:dyDescent="0.2">
      <c r="A37" s="2"/>
      <c r="B37" s="29"/>
      <c r="C37" s="29"/>
      <c r="D37" s="29"/>
      <c r="E37" s="29"/>
      <c r="F37" s="29"/>
      <c r="G37" s="30"/>
      <c r="H37" s="30"/>
      <c r="I37" s="30"/>
      <c r="J37" s="30"/>
      <c r="K37" s="30"/>
      <c r="L37" s="30"/>
      <c r="M37" s="30"/>
      <c r="N37" s="30"/>
      <c r="O37" s="29"/>
      <c r="P37" s="29"/>
      <c r="Q37" s="29"/>
      <c r="R37" s="29"/>
      <c r="S37" s="30"/>
      <c r="T37" s="29"/>
      <c r="U37" s="29"/>
      <c r="V37" s="57"/>
      <c r="W37" s="57"/>
      <c r="X37" s="57"/>
      <c r="Y37" s="57"/>
      <c r="Z37" s="57"/>
      <c r="AA37" s="57"/>
      <c r="AB37" s="56"/>
      <c r="AC37" s="57"/>
      <c r="AD37" s="57"/>
      <c r="AE37" s="30"/>
      <c r="AF37" s="30"/>
      <c r="AG37" s="30"/>
      <c r="AH37" s="30"/>
      <c r="AI37" s="30"/>
      <c r="AJ37" s="30"/>
      <c r="AK37" s="30"/>
      <c r="AL37" s="30"/>
      <c r="AM37" s="30"/>
      <c r="AN37" s="30"/>
      <c r="AO37" s="30"/>
      <c r="AP37" s="30"/>
      <c r="AQ37" s="30"/>
      <c r="AR37" s="30"/>
      <c r="AS37" s="30"/>
      <c r="AT37" s="30"/>
      <c r="AU37" s="30"/>
      <c r="AV37" s="30"/>
      <c r="AW37" s="2"/>
      <c r="AX37" s="2"/>
    </row>
    <row r="38" spans="1:50" x14ac:dyDescent="0.2">
      <c r="A38" s="2"/>
      <c r="B38" s="29"/>
      <c r="C38" s="29"/>
      <c r="D38" s="29"/>
      <c r="E38" s="29"/>
      <c r="F38" s="29"/>
      <c r="G38" s="30"/>
      <c r="H38" s="30"/>
      <c r="I38" s="30"/>
      <c r="J38" s="30"/>
      <c r="K38" s="30"/>
      <c r="L38" s="30"/>
      <c r="M38" s="30"/>
      <c r="N38" s="30"/>
      <c r="O38" s="29"/>
      <c r="P38" s="29"/>
      <c r="Q38" s="29"/>
      <c r="R38" s="29"/>
      <c r="S38" s="30"/>
      <c r="T38" s="29"/>
      <c r="U38" s="29"/>
      <c r="V38" s="57"/>
      <c r="W38" s="57"/>
      <c r="X38" s="57"/>
      <c r="Y38" s="57"/>
      <c r="Z38" s="57"/>
      <c r="AA38" s="57"/>
      <c r="AB38" s="56"/>
      <c r="AC38" s="57"/>
      <c r="AD38" s="57"/>
      <c r="AE38" s="30"/>
      <c r="AF38" s="30"/>
      <c r="AG38" s="30"/>
      <c r="AH38" s="30"/>
      <c r="AI38" s="30"/>
      <c r="AJ38" s="30"/>
      <c r="AK38" s="30"/>
      <c r="AL38" s="30"/>
      <c r="AM38" s="30"/>
      <c r="AN38" s="30"/>
      <c r="AO38" s="30"/>
      <c r="AP38" s="30"/>
      <c r="AQ38" s="30"/>
      <c r="AR38" s="30"/>
      <c r="AS38" s="30"/>
      <c r="AT38" s="30"/>
      <c r="AU38" s="30"/>
      <c r="AV38" s="30"/>
      <c r="AW38" s="2"/>
      <c r="AX38" s="2"/>
    </row>
    <row r="39" spans="1:50" x14ac:dyDescent="0.2">
      <c r="A39" s="2"/>
      <c r="B39" s="29"/>
      <c r="C39" s="29"/>
      <c r="D39" s="29"/>
      <c r="E39" s="29"/>
      <c r="F39" s="29"/>
      <c r="G39" s="30"/>
      <c r="H39" s="30"/>
      <c r="I39" s="30"/>
      <c r="J39" s="30"/>
      <c r="K39" s="30"/>
      <c r="L39" s="30"/>
      <c r="M39" s="30"/>
      <c r="N39" s="30"/>
      <c r="O39" s="29"/>
      <c r="P39" s="29"/>
      <c r="Q39" s="29"/>
      <c r="R39" s="29"/>
      <c r="S39" s="30"/>
      <c r="T39" s="29"/>
      <c r="U39" s="29"/>
      <c r="V39" s="57"/>
      <c r="W39" s="57"/>
      <c r="X39" s="57"/>
      <c r="Y39" s="57"/>
      <c r="Z39" s="57"/>
      <c r="AA39" s="57"/>
      <c r="AB39" s="56"/>
      <c r="AC39" s="57"/>
      <c r="AD39" s="57"/>
      <c r="AE39" s="30"/>
      <c r="AF39" s="30"/>
      <c r="AG39" s="30"/>
      <c r="AH39" s="30"/>
      <c r="AI39" s="30"/>
      <c r="AJ39" s="30"/>
      <c r="AK39" s="30"/>
      <c r="AL39" s="30"/>
      <c r="AM39" s="30"/>
      <c r="AN39" s="30"/>
      <c r="AO39" s="30"/>
      <c r="AP39" s="30"/>
      <c r="AQ39" s="30"/>
      <c r="AR39" s="30"/>
      <c r="AS39" s="30"/>
      <c r="AT39" s="30"/>
      <c r="AU39" s="30"/>
      <c r="AV39" s="30"/>
      <c r="AW39" s="2"/>
      <c r="AX39" s="2"/>
    </row>
    <row r="40" spans="1:50" x14ac:dyDescent="0.2">
      <c r="A40" s="2"/>
      <c r="B40" s="29"/>
      <c r="C40" s="29"/>
      <c r="D40" s="29"/>
      <c r="E40" s="29"/>
      <c r="F40" s="29"/>
      <c r="G40" s="30"/>
      <c r="H40" s="30"/>
      <c r="I40" s="30"/>
      <c r="J40" s="30"/>
      <c r="K40" s="30"/>
      <c r="L40" s="30"/>
      <c r="M40" s="30"/>
      <c r="N40" s="30"/>
      <c r="O40" s="29"/>
      <c r="P40" s="29"/>
      <c r="Q40" s="29"/>
      <c r="R40" s="29"/>
      <c r="S40" s="30"/>
      <c r="T40" s="29"/>
      <c r="U40" s="29"/>
      <c r="V40" s="57"/>
      <c r="W40" s="57"/>
      <c r="X40" s="57"/>
      <c r="Y40" s="57"/>
      <c r="Z40" s="57"/>
      <c r="AA40" s="57"/>
      <c r="AB40" s="56"/>
      <c r="AC40" s="57"/>
      <c r="AD40" s="57"/>
      <c r="AE40" s="30"/>
      <c r="AF40" s="30"/>
      <c r="AG40" s="30"/>
      <c r="AH40" s="30"/>
      <c r="AI40" s="30"/>
      <c r="AJ40" s="30"/>
      <c r="AK40" s="30"/>
      <c r="AL40" s="30"/>
      <c r="AM40" s="30"/>
      <c r="AN40" s="30"/>
      <c r="AO40" s="30"/>
      <c r="AP40" s="30"/>
      <c r="AQ40" s="30"/>
      <c r="AR40" s="30"/>
      <c r="AS40" s="30"/>
      <c r="AT40" s="30"/>
      <c r="AU40" s="30"/>
      <c r="AV40" s="30"/>
      <c r="AW40" s="2"/>
      <c r="AX40" s="2"/>
    </row>
    <row r="41" spans="1:50" x14ac:dyDescent="0.2">
      <c r="A41" s="2"/>
      <c r="B41" s="29"/>
      <c r="C41" s="29"/>
      <c r="D41" s="29"/>
      <c r="E41" s="29"/>
      <c r="F41" s="29"/>
      <c r="G41" s="30"/>
      <c r="H41" s="30"/>
      <c r="I41" s="30"/>
      <c r="J41" s="30"/>
      <c r="K41" s="30"/>
      <c r="L41" s="30"/>
      <c r="M41" s="30"/>
      <c r="N41" s="30"/>
      <c r="O41" s="29"/>
      <c r="P41" s="29"/>
      <c r="Q41" s="29"/>
      <c r="R41" s="29"/>
      <c r="S41" s="30"/>
      <c r="T41" s="29"/>
      <c r="U41" s="29"/>
      <c r="V41" s="57"/>
      <c r="W41" s="57"/>
      <c r="X41" s="57"/>
      <c r="Y41" s="57"/>
      <c r="Z41" s="57"/>
      <c r="AA41" s="57"/>
      <c r="AB41" s="56"/>
      <c r="AC41" s="57"/>
      <c r="AD41" s="57"/>
      <c r="AE41" s="30"/>
      <c r="AF41" s="30"/>
      <c r="AG41" s="30"/>
      <c r="AH41" s="30"/>
      <c r="AI41" s="30"/>
      <c r="AJ41" s="30"/>
      <c r="AK41" s="30"/>
      <c r="AL41" s="30"/>
      <c r="AM41" s="30"/>
      <c r="AN41" s="30"/>
      <c r="AO41" s="30"/>
      <c r="AP41" s="30"/>
      <c r="AQ41" s="30"/>
      <c r="AR41" s="30"/>
      <c r="AS41" s="30"/>
      <c r="AT41" s="30"/>
      <c r="AU41" s="30"/>
      <c r="AV41" s="30"/>
      <c r="AW41" s="2"/>
      <c r="AX41" s="2"/>
    </row>
    <row r="42" spans="1:50" x14ac:dyDescent="0.2">
      <c r="A42" s="2"/>
      <c r="B42" s="29"/>
      <c r="C42" s="29"/>
      <c r="D42" s="29"/>
      <c r="E42" s="29"/>
      <c r="F42" s="29"/>
      <c r="G42" s="30"/>
      <c r="H42" s="30"/>
      <c r="I42" s="30"/>
      <c r="J42" s="30"/>
      <c r="K42" s="30"/>
      <c r="L42" s="30"/>
      <c r="M42" s="30"/>
      <c r="N42" s="30"/>
      <c r="O42" s="29"/>
      <c r="P42" s="29"/>
      <c r="Q42" s="29"/>
      <c r="R42" s="29"/>
      <c r="S42" s="30"/>
      <c r="T42" s="29"/>
      <c r="U42" s="29"/>
      <c r="V42" s="57"/>
      <c r="W42" s="57"/>
      <c r="X42" s="57"/>
      <c r="Y42" s="57"/>
      <c r="Z42" s="57"/>
      <c r="AA42" s="57"/>
      <c r="AB42" s="56"/>
      <c r="AC42" s="57"/>
      <c r="AD42" s="57"/>
      <c r="AE42" s="30"/>
      <c r="AF42" s="30"/>
      <c r="AG42" s="30"/>
      <c r="AH42" s="30"/>
      <c r="AI42" s="30"/>
      <c r="AJ42" s="30"/>
      <c r="AK42" s="30"/>
      <c r="AL42" s="30"/>
      <c r="AM42" s="30"/>
      <c r="AN42" s="30"/>
      <c r="AO42" s="30"/>
      <c r="AP42" s="30"/>
      <c r="AQ42" s="30"/>
      <c r="AR42" s="30"/>
      <c r="AS42" s="30"/>
      <c r="AT42" s="30"/>
      <c r="AU42" s="30"/>
      <c r="AV42" s="30"/>
      <c r="AW42" s="2"/>
      <c r="AX42" s="2"/>
    </row>
    <row r="43" spans="1:50" x14ac:dyDescent="0.2">
      <c r="A43" s="2"/>
      <c r="B43" s="29"/>
      <c r="C43" s="29"/>
      <c r="D43" s="29"/>
      <c r="E43" s="29"/>
      <c r="F43" s="29"/>
      <c r="G43" s="30"/>
      <c r="H43" s="30"/>
      <c r="I43" s="30"/>
      <c r="J43" s="30"/>
      <c r="K43" s="30"/>
      <c r="L43" s="30"/>
      <c r="M43" s="30"/>
      <c r="N43" s="30"/>
      <c r="O43" s="29"/>
      <c r="P43" s="29"/>
      <c r="Q43" s="29"/>
      <c r="R43" s="29"/>
      <c r="S43" s="30"/>
      <c r="T43" s="29"/>
      <c r="U43" s="29"/>
      <c r="V43" s="57"/>
      <c r="W43" s="57"/>
      <c r="X43" s="57"/>
      <c r="Y43" s="57"/>
      <c r="Z43" s="57"/>
      <c r="AA43" s="57"/>
      <c r="AB43" s="56"/>
      <c r="AC43" s="57"/>
      <c r="AD43" s="57"/>
      <c r="AE43" s="30"/>
      <c r="AF43" s="30"/>
      <c r="AG43" s="30"/>
      <c r="AH43" s="30"/>
      <c r="AI43" s="30"/>
      <c r="AJ43" s="30"/>
      <c r="AK43" s="30"/>
      <c r="AL43" s="30"/>
      <c r="AM43" s="30"/>
      <c r="AN43" s="30"/>
      <c r="AO43" s="30">
        <v>2.65</v>
      </c>
      <c r="AP43" s="30"/>
      <c r="AQ43" s="30"/>
      <c r="AR43" s="30"/>
      <c r="AS43" s="30"/>
      <c r="AT43" s="30"/>
      <c r="AU43" s="30"/>
      <c r="AV43" s="30"/>
      <c r="AW43" s="2"/>
      <c r="AX43" s="2"/>
    </row>
    <row r="44" spans="1:50" x14ac:dyDescent="0.2">
      <c r="A44" s="2"/>
      <c r="B44" s="32"/>
      <c r="C44" s="31"/>
      <c r="D44" s="32"/>
      <c r="E44" s="32"/>
      <c r="F44" s="32"/>
      <c r="G44" s="32"/>
      <c r="H44" s="32"/>
      <c r="I44" s="32"/>
      <c r="J44" s="32"/>
      <c r="K44" s="32"/>
      <c r="L44" s="32"/>
      <c r="M44" s="32"/>
      <c r="N44" s="32"/>
      <c r="O44" s="32"/>
      <c r="P44" s="32"/>
      <c r="Q44" s="32"/>
      <c r="R44" s="32"/>
      <c r="S44" s="32"/>
      <c r="T44" s="32"/>
      <c r="U44" s="32"/>
      <c r="V44" s="57"/>
      <c r="W44" s="57"/>
      <c r="X44" s="57"/>
      <c r="Y44" s="57"/>
      <c r="Z44" s="57"/>
      <c r="AA44" s="57"/>
      <c r="AB44" s="56"/>
      <c r="AC44" s="57"/>
      <c r="AD44" s="57"/>
      <c r="AE44" s="30"/>
      <c r="AF44" s="30"/>
      <c r="AG44" s="30"/>
      <c r="AH44" s="30"/>
      <c r="AI44" s="30"/>
      <c r="AJ44" s="30"/>
      <c r="AK44" s="30"/>
      <c r="AL44" s="30"/>
      <c r="AM44" s="30"/>
      <c r="AN44" s="90"/>
      <c r="AO44" s="90"/>
      <c r="AP44" s="90"/>
      <c r="AQ44" s="90"/>
      <c r="AR44" s="90"/>
      <c r="AS44" s="90"/>
      <c r="AT44" s="90"/>
      <c r="AU44" s="30"/>
      <c r="AV44" s="30"/>
      <c r="AW44" s="2"/>
      <c r="AX44" s="2"/>
    </row>
    <row r="45" spans="1:50" x14ac:dyDescent="0.2">
      <c r="A45" s="2"/>
      <c r="B45" s="30"/>
      <c r="C45" s="30"/>
      <c r="D45" s="47" t="s">
        <v>287</v>
      </c>
      <c r="G45" s="47" t="s">
        <v>222</v>
      </c>
      <c r="J45" s="47" t="s">
        <v>222</v>
      </c>
      <c r="K45" s="30"/>
      <c r="L45" s="30"/>
      <c r="M45" s="30"/>
      <c r="N45" s="30"/>
      <c r="O45" s="30"/>
      <c r="P45" s="30"/>
      <c r="Q45" s="30"/>
      <c r="R45" s="30"/>
      <c r="S45" s="30"/>
      <c r="T45" s="30"/>
      <c r="U45" s="30"/>
      <c r="V45" s="30"/>
      <c r="W45" s="30"/>
      <c r="X45" s="30"/>
      <c r="Y45" s="57"/>
      <c r="Z45" s="57"/>
      <c r="AA45" s="57"/>
      <c r="AB45" s="57"/>
      <c r="AC45" s="57"/>
      <c r="AD45" s="57"/>
      <c r="AE45" s="30"/>
      <c r="AF45" s="30"/>
      <c r="AG45" s="30"/>
      <c r="AH45" s="30"/>
      <c r="AI45" s="30"/>
      <c r="AJ45" s="30"/>
      <c r="AK45" s="30"/>
      <c r="AL45" s="30"/>
      <c r="AM45" s="30"/>
      <c r="AN45" s="30"/>
      <c r="AO45" s="30"/>
      <c r="AP45" s="30"/>
      <c r="AQ45" s="30"/>
      <c r="AR45" s="30"/>
      <c r="AS45" s="30"/>
      <c r="AT45" s="30"/>
      <c r="AU45" s="30"/>
      <c r="AV45" s="30"/>
      <c r="AW45" s="2"/>
      <c r="AX45" s="2"/>
    </row>
    <row r="46" spans="1:50" x14ac:dyDescent="0.2">
      <c r="A46" s="2"/>
      <c r="B46" s="53">
        <f>IF(Weather!G2/4=INT(Weather!G2/4),1,0)</f>
        <v>1</v>
      </c>
      <c r="C46" s="51"/>
      <c r="D46" s="47" t="s">
        <v>24</v>
      </c>
      <c r="G46" s="47" t="s">
        <v>24</v>
      </c>
      <c r="J46" s="47" t="s">
        <v>288</v>
      </c>
      <c r="K46" s="47" t="s">
        <v>24</v>
      </c>
      <c r="L46" s="47" t="s">
        <v>24</v>
      </c>
      <c r="M46" s="51"/>
      <c r="N46" s="47"/>
      <c r="O46" s="47" t="s">
        <v>44</v>
      </c>
      <c r="P46" s="47" t="s">
        <v>52</v>
      </c>
      <c r="Q46" s="47" t="s">
        <v>52</v>
      </c>
      <c r="R46" s="47" t="s">
        <v>67</v>
      </c>
      <c r="S46" s="47"/>
      <c r="T46" s="47"/>
      <c r="U46" s="47"/>
      <c r="V46" s="47"/>
      <c r="W46" s="47" t="s">
        <v>147</v>
      </c>
      <c r="X46" s="52"/>
      <c r="Y46" s="57"/>
      <c r="Z46" s="57"/>
      <c r="AA46" s="57"/>
      <c r="AB46" s="91" t="s">
        <v>65</v>
      </c>
      <c r="AC46" s="91" t="s">
        <v>66</v>
      </c>
      <c r="AD46" s="91" t="s">
        <v>65</v>
      </c>
      <c r="AE46" s="91" t="s">
        <v>66</v>
      </c>
      <c r="AF46" s="30"/>
      <c r="AG46" s="30"/>
      <c r="AH46" s="30"/>
      <c r="AI46" s="30"/>
      <c r="AJ46" s="30"/>
      <c r="AK46" s="30"/>
      <c r="AL46" s="30"/>
      <c r="AM46" s="30"/>
      <c r="AN46" s="30"/>
      <c r="AO46" s="30"/>
      <c r="AP46" s="30"/>
      <c r="AQ46" s="30"/>
      <c r="AR46" s="30"/>
      <c r="AS46" s="30"/>
      <c r="AT46" s="30"/>
      <c r="AU46" s="30"/>
      <c r="AV46" s="30"/>
      <c r="AW46" s="2"/>
      <c r="AX46" s="2"/>
    </row>
    <row r="47" spans="1:50" ht="14.25" x14ac:dyDescent="0.2">
      <c r="A47" s="2"/>
      <c r="B47" s="47" t="s">
        <v>43</v>
      </c>
      <c r="C47" s="47"/>
      <c r="D47" s="47" t="s">
        <v>266</v>
      </c>
      <c r="G47" s="47" t="s">
        <v>266</v>
      </c>
      <c r="J47" s="47" t="s">
        <v>266</v>
      </c>
      <c r="K47" s="47" t="s">
        <v>266</v>
      </c>
      <c r="L47" s="47" t="s">
        <v>266</v>
      </c>
      <c r="M47" s="47" t="s">
        <v>41</v>
      </c>
      <c r="N47" s="47" t="s">
        <v>217</v>
      </c>
      <c r="O47" s="47" t="s">
        <v>45</v>
      </c>
      <c r="P47" s="47" t="s">
        <v>53</v>
      </c>
      <c r="Q47" s="47" t="s">
        <v>53</v>
      </c>
      <c r="R47" s="47" t="s">
        <v>68</v>
      </c>
      <c r="S47" s="47"/>
      <c r="T47" s="47"/>
      <c r="U47" s="47"/>
      <c r="V47" s="47" t="s">
        <v>266</v>
      </c>
      <c r="W47" s="47" t="s">
        <v>289</v>
      </c>
      <c r="X47" s="47" t="s">
        <v>35</v>
      </c>
      <c r="Y47" s="57"/>
      <c r="Z47" s="57"/>
      <c r="AA47" s="57"/>
      <c r="AB47" s="91" t="s">
        <v>35</v>
      </c>
      <c r="AC47" s="91" t="s">
        <v>35</v>
      </c>
      <c r="AD47" s="91" t="s">
        <v>41</v>
      </c>
      <c r="AE47" s="91" t="s">
        <v>41</v>
      </c>
      <c r="AF47" s="30"/>
      <c r="AG47" s="30"/>
      <c r="AH47" s="30"/>
      <c r="AI47" s="30"/>
      <c r="AJ47" s="30"/>
      <c r="AK47" s="30"/>
      <c r="AL47" s="30"/>
      <c r="AM47" s="30"/>
      <c r="AN47" s="30"/>
      <c r="AO47" s="30"/>
      <c r="AP47" s="30"/>
      <c r="AQ47" s="30"/>
      <c r="AR47" s="30"/>
      <c r="AS47" s="30"/>
      <c r="AT47" s="30"/>
      <c r="AU47" s="30"/>
      <c r="AV47" s="30"/>
      <c r="AW47" s="2"/>
      <c r="AX47" s="2"/>
    </row>
    <row r="48" spans="1:50" x14ac:dyDescent="0.2">
      <c r="A48" s="2"/>
      <c r="B48" s="54">
        <f>DATE(D4-1,12,31)</f>
        <v>41639</v>
      </c>
      <c r="C48" s="49" t="s">
        <v>18</v>
      </c>
      <c r="D48" s="50" t="s">
        <v>48</v>
      </c>
      <c r="G48" s="50" t="s">
        <v>24</v>
      </c>
      <c r="J48" s="50" t="s">
        <v>24</v>
      </c>
      <c r="K48" s="50" t="s">
        <v>24</v>
      </c>
      <c r="L48" s="50" t="s">
        <v>24</v>
      </c>
      <c r="M48" s="50" t="s">
        <v>40</v>
      </c>
      <c r="N48" s="50" t="s">
        <v>218</v>
      </c>
      <c r="O48" s="50" t="s">
        <v>50</v>
      </c>
      <c r="P48" s="50" t="s">
        <v>51</v>
      </c>
      <c r="Q48" s="50" t="s">
        <v>51</v>
      </c>
      <c r="R48" s="50" t="s">
        <v>46</v>
      </c>
      <c r="S48" s="50" t="s">
        <v>55</v>
      </c>
      <c r="T48" s="50" t="s">
        <v>46</v>
      </c>
      <c r="U48" s="50" t="s">
        <v>46</v>
      </c>
      <c r="V48" s="50" t="s">
        <v>54</v>
      </c>
      <c r="W48" s="50" t="s">
        <v>24</v>
      </c>
      <c r="X48" s="50" t="s">
        <v>148</v>
      </c>
      <c r="Y48" s="57"/>
      <c r="Z48" s="57"/>
      <c r="AA48" s="57"/>
      <c r="AB48" s="92" t="s">
        <v>48</v>
      </c>
      <c r="AC48" s="92" t="s">
        <v>48</v>
      </c>
      <c r="AD48" s="92" t="s">
        <v>40</v>
      </c>
      <c r="AE48" s="92" t="s">
        <v>40</v>
      </c>
      <c r="AF48" s="30"/>
      <c r="AG48" s="30"/>
      <c r="AH48" s="30"/>
      <c r="AI48" s="30"/>
      <c r="AJ48" s="30"/>
      <c r="AK48" s="30"/>
      <c r="AL48" s="30"/>
      <c r="AM48" s="30"/>
      <c r="AN48" s="29" t="s">
        <v>19</v>
      </c>
      <c r="AO48" s="29" t="s">
        <v>351</v>
      </c>
      <c r="AP48" s="30" t="s">
        <v>352</v>
      </c>
      <c r="AQ48" s="29"/>
      <c r="AR48" s="29"/>
      <c r="AS48" s="29"/>
      <c r="AT48" s="29"/>
      <c r="AU48" s="30"/>
      <c r="AV48" s="30"/>
      <c r="AW48" s="2"/>
      <c r="AX48" s="2"/>
    </row>
    <row r="49" spans="1:50" x14ac:dyDescent="0.2">
      <c r="A49" s="2"/>
      <c r="B49" s="61">
        <f>B48+1</f>
        <v>41640</v>
      </c>
      <c r="C49" s="62">
        <v>1</v>
      </c>
      <c r="D49" s="63">
        <f>IF($B$46=0,IF(ISERROR($AB49),"",$AB49),IF(ISERROR($AC49),"",$AC49))</f>
        <v>0.94034754308832524</v>
      </c>
      <c r="G49" s="357" t="str">
        <f>IF(MakeSchedule!C16="","",MakeSchedule!C16)</f>
        <v/>
      </c>
      <c r="H49" s="358"/>
      <c r="I49" s="358"/>
      <c r="J49" s="359" t="str">
        <f>IF(MakeSchedule!B16="","",MakeSchedule!B16)</f>
        <v/>
      </c>
      <c r="K49" s="63">
        <f>IF($G49&lt;&gt;"",$G49,IF($D49="","",$D49))</f>
        <v>0.94034754308832524</v>
      </c>
      <c r="L49" s="63">
        <f>IF($G49&lt;&gt;"",$G49,IF($D49="","",$D49))</f>
        <v>0.94034754308832524</v>
      </c>
      <c r="M49" s="63">
        <f>IF(F$3=365,AD49,AE49)</f>
        <v>4.7842309762037329</v>
      </c>
      <c r="N49" s="63" t="str">
        <f t="shared" ref="N49:N112" si="0">IF(C49=$E$7,O49,"")</f>
        <v/>
      </c>
      <c r="O49" s="64">
        <f>AP49</f>
        <v>1.1975218607737483</v>
      </c>
      <c r="P49" s="63" t="str">
        <f>IF(B$49:B$625&lt;E$6,"",IF(AND(B$49:B$625&lt;=E$7,B$49:B$625&gt;=E$6),G$7,IF(AND(B$49:B$625&lt;=E$8,B$49:B$625&gt;=E$7),P48+H$8,IF(AND(B$49:B$625&lt;E$9,B$49:B$625&gt;E$8),P48+H$9,IF(AND(B$49:B$625&lt;=E$10,B$49:B$625&gt;E$9),P48+H$10,"")))))</f>
        <v/>
      </c>
      <c r="Q49" s="64" t="e">
        <f t="shared" ref="Q49:Q112" si="1">IF(AND(C$49:C$625&lt;F$7,$U$44&gt;2),#N/A,IF(P49="",#N/A,P49))</f>
        <v>#N/A</v>
      </c>
      <c r="R49" s="63">
        <f t="shared" ref="R49:R112" si="2">IF(OR(P49="",O49&gt;P49),O49,P49)</f>
        <v>1.1975218607737483</v>
      </c>
      <c r="S49" s="65">
        <f t="shared" ref="S49:S112" si="3">IF(OR(AND(C$49:C$625&gt;=U$6,C$49:C$625&lt;=U$7),AND(C$49:C$625&gt;=U$9,C$49:C$625&lt;=U$10)),0.35,0)</f>
        <v>0.35</v>
      </c>
      <c r="T49" s="65">
        <f>IF($J$5&lt;3,R49,IF(R49+S49&gt;1.2,1.2,IF(AND(R49+S49&lt;0.9,S49=0.35),0.9,R49+S49)))</f>
        <v>1.2</v>
      </c>
      <c r="U49" s="64" t="e">
        <f>IF(P49="",#N/A,IF($J$5&lt;3,R49,IF(R49+S49&gt;1.2,1.2,IF(AND(R49+S49&lt;0.9,S49=0.35),0.9,R49+S49))))</f>
        <v>#N/A</v>
      </c>
      <c r="V49" s="63">
        <f t="shared" ref="V49:V112" si="4">IF(L49="","",L49*T49)</f>
        <v>1.1284170517059902</v>
      </c>
      <c r="W49" s="63" t="str">
        <f t="shared" ref="W49:W112" si="5">IF(AND(B$49:B$625&gt;=E$6,B$49:B$625&lt;=E$7),L49,"")</f>
        <v/>
      </c>
      <c r="X49" s="63">
        <f>IF(B49=$E$6,V49,IF(OR(B49&lt;$E$6,B49&gt;$E$10),0,X48+V49))</f>
        <v>0</v>
      </c>
      <c r="Y49" s="59"/>
      <c r="Z49" s="59"/>
      <c r="AA49" s="59"/>
      <c r="AB49" s="55">
        <f>PMSplint!N50</f>
        <v>0.94034754308832524</v>
      </c>
      <c r="AC49" s="55">
        <f>PMSplint!N50</f>
        <v>0.94034754308832524</v>
      </c>
      <c r="AD49" s="55">
        <f>IF(RnSplint!N50&lt;0,0,RnSplint!N50)</f>
        <v>4.7842309762037329</v>
      </c>
      <c r="AE49" s="55">
        <f>IF(RnSplint!N50&lt;0,0,RnSplint!N50)</f>
        <v>4.7842309762037329</v>
      </c>
      <c r="AF49" s="30"/>
      <c r="AG49" s="30"/>
      <c r="AH49" s="30"/>
      <c r="AI49" s="55"/>
      <c r="AJ49" s="55"/>
      <c r="AK49" s="55"/>
      <c r="AL49" s="55"/>
      <c r="AM49" s="55"/>
      <c r="AN49" s="55">
        <f t="shared" ref="AN49:AN57" si="6">K49*M49</f>
        <v>4.4988398440402397</v>
      </c>
      <c r="AO49" s="55">
        <f t="shared" ref="AO49:AO57" si="7">SQRT(AN49)</f>
        <v>2.1210468745504518</v>
      </c>
      <c r="AP49" s="55">
        <f t="shared" ref="AP49:AP57" si="8">IF(2.54/AO49&gt;1.22,1.22,2.54/AO49)</f>
        <v>1.1975218607737483</v>
      </c>
      <c r="AQ49" s="55"/>
      <c r="AR49" s="55"/>
      <c r="AS49" s="55"/>
      <c r="AT49" s="55"/>
      <c r="AU49" s="30"/>
      <c r="AV49" s="30"/>
      <c r="AW49" s="2"/>
      <c r="AX49" s="2"/>
    </row>
    <row r="50" spans="1:50" x14ac:dyDescent="0.2">
      <c r="A50" s="2"/>
      <c r="B50" s="61">
        <f t="shared" ref="B50:B113" si="9">B49+1</f>
        <v>41641</v>
      </c>
      <c r="C50" s="62">
        <f t="shared" ref="C50:C113" si="10">IF(B49=DATE(D$4,12,31),1,C49+1)</f>
        <v>2</v>
      </c>
      <c r="D50" s="63">
        <f t="shared" ref="D50:D113" si="11">IF($B$46=0,IF(ISERROR($AB50),"",$AB50),IF(ISERROR($AC50),"",$AC50))</f>
        <v>0.93755718163841528</v>
      </c>
      <c r="G50" s="357" t="str">
        <f>IF(MakeSchedule!C17="","",MakeSchedule!C17)</f>
        <v/>
      </c>
      <c r="H50" s="358"/>
      <c r="I50" s="358"/>
      <c r="J50" s="359" t="str">
        <f>IF(MakeSchedule!B17="","",MakeSchedule!B17)</f>
        <v/>
      </c>
      <c r="K50" s="63">
        <f t="shared" ref="K50:K112" si="12">IF(G50&lt;&gt;"",G50,IF(D50="","",D50))</f>
        <v>0.93755718163841528</v>
      </c>
      <c r="L50" s="63">
        <f t="shared" ref="L50:L113" si="13">IF($G50&lt;&gt;"",$G50,IF($D50="","",$D50))</f>
        <v>0.93755718163841528</v>
      </c>
      <c r="M50" s="63">
        <f t="shared" ref="M50:M113" si="14">IF(F$3=365,AD50,AE50)</f>
        <v>4.6443836123315343</v>
      </c>
      <c r="N50" s="63" t="str">
        <f t="shared" si="0"/>
        <v/>
      </c>
      <c r="O50" s="64">
        <f t="shared" ref="O50:O113" si="15">AP50</f>
        <v>1.2172248000600492</v>
      </c>
      <c r="P50" s="63" t="str">
        <f t="shared" ref="P50:P113" si="16">IF(B$49:B$625&lt;E$6,"",IF(AND(B$49:B$625&lt;=E$7,B$49:B$625&gt;=E$6),G$7,IF(AND(B$49:B$625&lt;=E$8,B$49:B$625&gt;E$7),P49+H$8,IF(AND(B$49:B$625&lt;=E$9,B$49:B$625&gt;E$8),P49+H$9,IF(AND(B$49:B$625&lt;=E$10,B$49:B$625&gt;E$9),P49+H$10,"")))))</f>
        <v/>
      </c>
      <c r="Q50" s="64" t="e">
        <f t="shared" si="1"/>
        <v>#N/A</v>
      </c>
      <c r="R50" s="63">
        <f t="shared" si="2"/>
        <v>1.2172248000600492</v>
      </c>
      <c r="S50" s="65">
        <f t="shared" si="3"/>
        <v>0.35</v>
      </c>
      <c r="T50" s="65">
        <f t="shared" ref="T50:T113" si="17">IF($J$5&lt;3,R50,IF(R50+S50&gt;1.2,1.2,IF(AND(R50+S50&lt;0.9,S50=0.35),0.9,R50+S50)))</f>
        <v>1.2</v>
      </c>
      <c r="U50" s="64" t="e">
        <f t="shared" ref="U50:U113" si="18">IF(P50="",#N/A,IF($J$5&lt;3,R50,IF(R50+S50&gt;1.2,1.2,IF(AND(R50+S50&lt;0.9,S50=0.35),0.9,R50+S50))))</f>
        <v>#N/A</v>
      </c>
      <c r="V50" s="63">
        <f t="shared" si="4"/>
        <v>1.1250686179660982</v>
      </c>
      <c r="W50" s="63" t="str">
        <f t="shared" si="5"/>
        <v/>
      </c>
      <c r="X50" s="63">
        <f t="shared" ref="X50:X113" si="19">IF(B50=$E$6,V50,IF(OR(B50&lt;$E$6,B50&gt;$E$10),0,X49+V50))</f>
        <v>0</v>
      </c>
      <c r="Y50" s="59"/>
      <c r="Z50" s="59"/>
      <c r="AA50" s="59"/>
      <c r="AB50" s="55">
        <f>PMSplint!N51</f>
        <v>0.93755718163841528</v>
      </c>
      <c r="AC50" s="55">
        <f>PMSplint!N51</f>
        <v>0.93755718163841528</v>
      </c>
      <c r="AD50" s="55">
        <f>IF(RnSplint!N51&lt;0,0,RnSplint!N51)</f>
        <v>4.6443836123315343</v>
      </c>
      <c r="AE50" s="55">
        <f>IF(RnSplint!N51&lt;0,0,RnSplint!N51)</f>
        <v>4.6443836123315343</v>
      </c>
      <c r="AF50" s="90" t="s">
        <v>62</v>
      </c>
      <c r="AG50" s="30">
        <f>K8*K9</f>
        <v>2.0764409885594306</v>
      </c>
      <c r="AH50" s="30"/>
      <c r="AI50" s="55"/>
      <c r="AJ50" s="55"/>
      <c r="AK50" s="55"/>
      <c r="AL50" s="55"/>
      <c r="AM50" s="55"/>
      <c r="AN50" s="55">
        <f t="shared" si="6"/>
        <v>4.3543752100251956</v>
      </c>
      <c r="AO50" s="55">
        <f t="shared" si="7"/>
        <v>2.0867139741769103</v>
      </c>
      <c r="AP50" s="55">
        <f t="shared" si="8"/>
        <v>1.2172248000600492</v>
      </c>
      <c r="AQ50" s="55"/>
      <c r="AR50" s="55"/>
      <c r="AS50" s="55"/>
      <c r="AT50" s="55"/>
      <c r="AU50" s="30"/>
      <c r="AV50" s="30"/>
      <c r="AW50" s="2"/>
      <c r="AX50" s="2"/>
    </row>
    <row r="51" spans="1:50" x14ac:dyDescent="0.2">
      <c r="A51" s="2"/>
      <c r="B51" s="61">
        <f t="shared" si="9"/>
        <v>41642</v>
      </c>
      <c r="C51" s="62">
        <f t="shared" si="10"/>
        <v>3</v>
      </c>
      <c r="D51" s="63">
        <f t="shared" si="11"/>
        <v>0.93476682018850532</v>
      </c>
      <c r="G51" s="357" t="str">
        <f>IF(MakeSchedule!C18="","",MakeSchedule!C18)</f>
        <v/>
      </c>
      <c r="H51" s="358"/>
      <c r="I51" s="358"/>
      <c r="J51" s="359" t="str">
        <f>IF(MakeSchedule!B18="","",MakeSchedule!B18)</f>
        <v/>
      </c>
      <c r="K51" s="63">
        <f t="shared" si="12"/>
        <v>0.93476682018850532</v>
      </c>
      <c r="L51" s="63">
        <f t="shared" si="13"/>
        <v>0.93476682018850532</v>
      </c>
      <c r="M51" s="63">
        <f t="shared" si="14"/>
        <v>4.5045362484593356</v>
      </c>
      <c r="N51" s="63" t="str">
        <f t="shared" si="0"/>
        <v/>
      </c>
      <c r="O51" s="64">
        <f t="shared" si="15"/>
        <v>1.22</v>
      </c>
      <c r="P51" s="63" t="str">
        <f t="shared" si="16"/>
        <v/>
      </c>
      <c r="Q51" s="64" t="e">
        <f t="shared" si="1"/>
        <v>#N/A</v>
      </c>
      <c r="R51" s="63">
        <f t="shared" si="2"/>
        <v>1.22</v>
      </c>
      <c r="S51" s="65">
        <f t="shared" si="3"/>
        <v>0.35</v>
      </c>
      <c r="T51" s="65">
        <f t="shared" si="17"/>
        <v>1.2</v>
      </c>
      <c r="U51" s="64" t="e">
        <f t="shared" si="18"/>
        <v>#N/A</v>
      </c>
      <c r="V51" s="63">
        <f t="shared" si="4"/>
        <v>1.1217201842262063</v>
      </c>
      <c r="W51" s="63" t="str">
        <f t="shared" si="5"/>
        <v/>
      </c>
      <c r="X51" s="63">
        <f t="shared" si="19"/>
        <v>0</v>
      </c>
      <c r="Y51" s="55"/>
      <c r="Z51" s="55"/>
      <c r="AA51" s="55"/>
      <c r="AB51" s="55">
        <f>PMSplint!N52</f>
        <v>0.93476682018850532</v>
      </c>
      <c r="AC51" s="55">
        <f>PMSplint!N52</f>
        <v>0.93476682018850532</v>
      </c>
      <c r="AD51" s="55">
        <f>IF(RnSplint!N52&lt;0,0,RnSplint!N52)</f>
        <v>4.5045362484593356</v>
      </c>
      <c r="AE51" s="55">
        <f>IF(RnSplint!N52&lt;0,0,RnSplint!N52)</f>
        <v>4.5045362484593356</v>
      </c>
      <c r="AF51" s="30"/>
      <c r="AG51" s="30"/>
      <c r="AH51" s="30"/>
      <c r="AI51" s="55"/>
      <c r="AJ51" s="55"/>
      <c r="AK51" s="55"/>
      <c r="AL51" s="30"/>
      <c r="AM51" s="55"/>
      <c r="AN51" s="55">
        <f t="shared" si="6"/>
        <v>4.2106910253961924</v>
      </c>
      <c r="AO51" s="55">
        <f t="shared" si="7"/>
        <v>2.0519968385443952</v>
      </c>
      <c r="AP51" s="55">
        <f t="shared" si="8"/>
        <v>1.22</v>
      </c>
      <c r="AQ51" s="55"/>
      <c r="AR51" s="55"/>
      <c r="AS51" s="55"/>
      <c r="AT51" s="55"/>
      <c r="AU51" s="30"/>
      <c r="AV51" s="30"/>
      <c r="AW51" s="2"/>
      <c r="AX51" s="2"/>
    </row>
    <row r="52" spans="1:50" x14ac:dyDescent="0.2">
      <c r="A52" s="2"/>
      <c r="B52" s="61">
        <f t="shared" si="9"/>
        <v>41643</v>
      </c>
      <c r="C52" s="62">
        <f t="shared" si="10"/>
        <v>4</v>
      </c>
      <c r="D52" s="63">
        <f t="shared" si="11"/>
        <v>0.93197645873859536</v>
      </c>
      <c r="G52" s="357" t="str">
        <f>IF(MakeSchedule!C19="","",MakeSchedule!C19)</f>
        <v/>
      </c>
      <c r="H52" s="358"/>
      <c r="I52" s="358"/>
      <c r="J52" s="359" t="str">
        <f>IF(MakeSchedule!B19="","",MakeSchedule!B19)</f>
        <v/>
      </c>
      <c r="K52" s="63">
        <f t="shared" si="12"/>
        <v>0.93197645873859536</v>
      </c>
      <c r="L52" s="63">
        <f t="shared" si="13"/>
        <v>0.93197645873859536</v>
      </c>
      <c r="M52" s="63">
        <f t="shared" si="14"/>
        <v>4.364688884587137</v>
      </c>
      <c r="N52" s="63" t="str">
        <f t="shared" si="0"/>
        <v/>
      </c>
      <c r="O52" s="64">
        <f t="shared" si="15"/>
        <v>1.22</v>
      </c>
      <c r="P52" s="63" t="str">
        <f t="shared" si="16"/>
        <v/>
      </c>
      <c r="Q52" s="64" t="e">
        <f t="shared" si="1"/>
        <v>#N/A</v>
      </c>
      <c r="R52" s="63">
        <f t="shared" si="2"/>
        <v>1.22</v>
      </c>
      <c r="S52" s="65">
        <f t="shared" si="3"/>
        <v>0.35</v>
      </c>
      <c r="T52" s="65">
        <f t="shared" si="17"/>
        <v>1.2</v>
      </c>
      <c r="U52" s="64" t="e">
        <f t="shared" si="18"/>
        <v>#N/A</v>
      </c>
      <c r="V52" s="63">
        <f t="shared" si="4"/>
        <v>1.1183717504863144</v>
      </c>
      <c r="W52" s="63" t="str">
        <f t="shared" si="5"/>
        <v/>
      </c>
      <c r="X52" s="63">
        <f t="shared" si="19"/>
        <v>0</v>
      </c>
      <c r="Y52" s="55"/>
      <c r="Z52" s="55"/>
      <c r="AA52" s="55"/>
      <c r="AB52" s="55">
        <f>PMSplint!N53</f>
        <v>0.93197645873859536</v>
      </c>
      <c r="AC52" s="55">
        <f>PMSplint!N53</f>
        <v>0.93197645873859536</v>
      </c>
      <c r="AD52" s="55">
        <f>IF(RnSplint!N53&lt;0,0,RnSplint!N53)</f>
        <v>4.364688884587137</v>
      </c>
      <c r="AE52" s="55">
        <f>IF(RnSplint!N53&lt;0,0,RnSplint!N53)</f>
        <v>4.364688884587137</v>
      </c>
      <c r="AF52" s="90" t="s">
        <v>61</v>
      </c>
      <c r="AG52" s="90" t="s">
        <v>49</v>
      </c>
      <c r="AH52" s="90" t="s">
        <v>63</v>
      </c>
      <c r="AI52" s="90" t="s">
        <v>49</v>
      </c>
      <c r="AJ52" s="90" t="s">
        <v>63</v>
      </c>
      <c r="AK52" s="55" t="s">
        <v>47</v>
      </c>
      <c r="AL52" s="55" t="s">
        <v>64</v>
      </c>
      <c r="AM52" s="55"/>
      <c r="AN52" s="55">
        <f t="shared" si="6"/>
        <v>4.0677872901532295</v>
      </c>
      <c r="AO52" s="55">
        <f t="shared" si="7"/>
        <v>2.0168756258513389</v>
      </c>
      <c r="AP52" s="55">
        <f t="shared" si="8"/>
        <v>1.22</v>
      </c>
      <c r="AQ52" s="55"/>
      <c r="AR52" s="55"/>
      <c r="AS52" s="55"/>
      <c r="AT52" s="55"/>
      <c r="AU52" s="30"/>
      <c r="AV52" s="30"/>
      <c r="AW52" s="2"/>
      <c r="AX52" s="2"/>
    </row>
    <row r="53" spans="1:50" x14ac:dyDescent="0.2">
      <c r="A53" s="2"/>
      <c r="B53" s="61">
        <f t="shared" si="9"/>
        <v>41644</v>
      </c>
      <c r="C53" s="62">
        <f t="shared" si="10"/>
        <v>5</v>
      </c>
      <c r="D53" s="63">
        <f t="shared" si="11"/>
        <v>0.9291860972886854</v>
      </c>
      <c r="G53" s="357" t="str">
        <f>IF(MakeSchedule!C20="","",MakeSchedule!C20)</f>
        <v/>
      </c>
      <c r="H53" s="358"/>
      <c r="I53" s="358"/>
      <c r="J53" s="359" t="str">
        <f>IF(MakeSchedule!B20="","",MakeSchedule!B20)</f>
        <v/>
      </c>
      <c r="K53" s="63">
        <f t="shared" si="12"/>
        <v>0.9291860972886854</v>
      </c>
      <c r="L53" s="63">
        <f t="shared" si="13"/>
        <v>0.9291860972886854</v>
      </c>
      <c r="M53" s="63">
        <f t="shared" si="14"/>
        <v>4.2248415207149383</v>
      </c>
      <c r="N53" s="63" t="str">
        <f t="shared" si="0"/>
        <v/>
      </c>
      <c r="O53" s="64">
        <f t="shared" si="15"/>
        <v>1.22</v>
      </c>
      <c r="P53" s="63" t="str">
        <f t="shared" si="16"/>
        <v/>
      </c>
      <c r="Q53" s="64" t="e">
        <f t="shared" si="1"/>
        <v>#N/A</v>
      </c>
      <c r="R53" s="63">
        <f t="shared" si="2"/>
        <v>1.22</v>
      </c>
      <c r="S53" s="65">
        <f t="shared" si="3"/>
        <v>0.35</v>
      </c>
      <c r="T53" s="65">
        <f t="shared" si="17"/>
        <v>1.2</v>
      </c>
      <c r="U53" s="64" t="e">
        <f t="shared" si="18"/>
        <v>#N/A</v>
      </c>
      <c r="V53" s="63">
        <f t="shared" si="4"/>
        <v>1.1150233167464225</v>
      </c>
      <c r="W53" s="63" t="str">
        <f t="shared" si="5"/>
        <v/>
      </c>
      <c r="X53" s="63">
        <f t="shared" si="19"/>
        <v>0</v>
      </c>
      <c r="Y53" s="55"/>
      <c r="Z53" s="55"/>
      <c r="AA53" s="55"/>
      <c r="AB53" s="55">
        <f>PMSplint!N54</f>
        <v>0.9291860972886854</v>
      </c>
      <c r="AC53" s="55">
        <f>PMSplint!N54</f>
        <v>0.9291860972886854</v>
      </c>
      <c r="AD53" s="55">
        <f>IF(RnSplint!N54&lt;0,0,RnSplint!N54)</f>
        <v>4.2248415207149383</v>
      </c>
      <c r="AE53" s="55">
        <f>IF(RnSplint!N54&lt;0,0,RnSplint!N54)</f>
        <v>4.2248415207149383</v>
      </c>
      <c r="AF53" s="30">
        <v>1</v>
      </c>
      <c r="AG53" s="30">
        <f t="shared" ref="AG53:AG82" si="20">AF53*AG$50</f>
        <v>2.0764409885594306</v>
      </c>
      <c r="AH53" s="30">
        <f>SQRT(AG53)</f>
        <v>1.4409861167129372</v>
      </c>
      <c r="AI53" s="55" t="str">
        <f t="shared" ref="AI53:AI82" si="21">IF($AF$53:$AF$82=$L$7,AG53,"")</f>
        <v/>
      </c>
      <c r="AJ53" s="55" t="str">
        <f t="shared" ref="AJ53:AJ82" si="22">IF($AF$53:$AF$82=$L$7,AH53,"")</f>
        <v/>
      </c>
      <c r="AK53" s="55" t="str">
        <f>IF(AJ53="","",IF(AJ53&lt;$K$10,AG53,$K$10*AJ53))</f>
        <v/>
      </c>
      <c r="AL53" s="55" t="str">
        <f t="shared" ref="AL53:AL82" si="23">IF(AJ53="","",AK53/(AF53*$K$8))</f>
        <v/>
      </c>
      <c r="AM53" s="55"/>
      <c r="AN53" s="55">
        <f t="shared" si="6"/>
        <v>3.9256640042963085</v>
      </c>
      <c r="AO53" s="55">
        <f t="shared" si="7"/>
        <v>1.981328848095719</v>
      </c>
      <c r="AP53" s="55">
        <f t="shared" si="8"/>
        <v>1.22</v>
      </c>
      <c r="AQ53" s="55"/>
      <c r="AR53" s="55"/>
      <c r="AS53" s="55"/>
      <c r="AT53" s="55"/>
      <c r="AU53" s="30"/>
      <c r="AV53" s="30"/>
      <c r="AW53" s="2"/>
      <c r="AX53" s="2"/>
    </row>
    <row r="54" spans="1:50" x14ac:dyDescent="0.2">
      <c r="A54" s="2"/>
      <c r="B54" s="61">
        <f t="shared" si="9"/>
        <v>41645</v>
      </c>
      <c r="C54" s="62">
        <f t="shared" si="10"/>
        <v>6</v>
      </c>
      <c r="D54" s="63">
        <f t="shared" si="11"/>
        <v>0.92639573583877521</v>
      </c>
      <c r="G54" s="357" t="str">
        <f>IF(MakeSchedule!C21="","",MakeSchedule!C21)</f>
        <v/>
      </c>
      <c r="H54" s="358"/>
      <c r="I54" s="358"/>
      <c r="J54" s="359" t="str">
        <f>IF(MakeSchedule!B21="","",MakeSchedule!B21)</f>
        <v/>
      </c>
      <c r="K54" s="63">
        <f t="shared" si="12"/>
        <v>0.92639573583877521</v>
      </c>
      <c r="L54" s="63">
        <f t="shared" si="13"/>
        <v>0.92639573583877521</v>
      </c>
      <c r="M54" s="63">
        <f t="shared" si="14"/>
        <v>4.0849941568427415</v>
      </c>
      <c r="N54" s="63" t="str">
        <f t="shared" si="0"/>
        <v/>
      </c>
      <c r="O54" s="64">
        <f t="shared" si="15"/>
        <v>1.22</v>
      </c>
      <c r="P54" s="63" t="str">
        <f t="shared" si="16"/>
        <v/>
      </c>
      <c r="Q54" s="64" t="e">
        <f t="shared" si="1"/>
        <v>#N/A</v>
      </c>
      <c r="R54" s="63">
        <f t="shared" si="2"/>
        <v>1.22</v>
      </c>
      <c r="S54" s="65">
        <f t="shared" si="3"/>
        <v>0.35</v>
      </c>
      <c r="T54" s="65">
        <f t="shared" si="17"/>
        <v>1.2</v>
      </c>
      <c r="U54" s="64" t="e">
        <f t="shared" si="18"/>
        <v>#N/A</v>
      </c>
      <c r="V54" s="63">
        <f t="shared" si="4"/>
        <v>1.1116748830065302</v>
      </c>
      <c r="W54" s="63" t="str">
        <f t="shared" si="5"/>
        <v/>
      </c>
      <c r="X54" s="63">
        <f t="shared" si="19"/>
        <v>0</v>
      </c>
      <c r="Y54" s="55"/>
      <c r="Z54" s="55"/>
      <c r="AA54" s="55"/>
      <c r="AB54" s="55">
        <f>PMSplint!N55</f>
        <v>0.92639573583877521</v>
      </c>
      <c r="AC54" s="55">
        <f>PMSplint!N55</f>
        <v>0.92639573583877521</v>
      </c>
      <c r="AD54" s="55">
        <f>IF(RnSplint!N55&lt;0,0,RnSplint!N55)</f>
        <v>4.0849941568427415</v>
      </c>
      <c r="AE54" s="55">
        <f>IF(RnSplint!N55&lt;0,0,RnSplint!N55)</f>
        <v>4.0849941568427415</v>
      </c>
      <c r="AF54" s="30">
        <v>2</v>
      </c>
      <c r="AG54" s="30">
        <f t="shared" si="20"/>
        <v>4.1528819771188612</v>
      </c>
      <c r="AH54" s="30">
        <f t="shared" ref="AH54:AH82" si="24">SQRT(AG54)</f>
        <v>2.0378621094467753</v>
      </c>
      <c r="AI54" s="55" t="str">
        <f t="shared" si="21"/>
        <v/>
      </c>
      <c r="AJ54" s="55" t="str">
        <f t="shared" si="22"/>
        <v/>
      </c>
      <c r="AK54" s="55" t="str">
        <f>IF(AJ54="","",IF(AJ54&lt;$K$10,AG54,$K$10*AJ54))</f>
        <v/>
      </c>
      <c r="AL54" s="55" t="str">
        <f t="shared" si="23"/>
        <v/>
      </c>
      <c r="AM54" s="55"/>
      <c r="AN54" s="55">
        <f t="shared" si="6"/>
        <v>3.7843211678254285</v>
      </c>
      <c r="AO54" s="55">
        <f t="shared" si="7"/>
        <v>1.945333176560105</v>
      </c>
      <c r="AP54" s="55">
        <f t="shared" si="8"/>
        <v>1.22</v>
      </c>
      <c r="AQ54" s="55"/>
      <c r="AR54" s="55"/>
      <c r="AS54" s="55"/>
      <c r="AT54" s="55"/>
      <c r="AU54" s="30"/>
      <c r="AV54" s="30"/>
      <c r="AW54" s="2"/>
      <c r="AX54" s="2"/>
    </row>
    <row r="55" spans="1:50" x14ac:dyDescent="0.2">
      <c r="A55" s="2"/>
      <c r="B55" s="61">
        <f t="shared" si="9"/>
        <v>41646</v>
      </c>
      <c r="C55" s="62">
        <f t="shared" si="10"/>
        <v>7</v>
      </c>
      <c r="D55" s="63">
        <f t="shared" si="11"/>
        <v>0.93077895058450666</v>
      </c>
      <c r="G55" s="357" t="str">
        <f>IF(MakeSchedule!C22="","",MakeSchedule!C22)</f>
        <v/>
      </c>
      <c r="H55" s="358"/>
      <c r="I55" s="358"/>
      <c r="J55" s="359" t="str">
        <f>IF(MakeSchedule!B22="","",MakeSchedule!B22)</f>
        <v/>
      </c>
      <c r="K55" s="63">
        <f t="shared" si="12"/>
        <v>0.93077895058450666</v>
      </c>
      <c r="L55" s="63">
        <f t="shared" si="13"/>
        <v>0.93077895058450666</v>
      </c>
      <c r="M55" s="63">
        <f t="shared" si="14"/>
        <v>4.0061983096909835</v>
      </c>
      <c r="N55" s="63" t="str">
        <f t="shared" si="0"/>
        <v/>
      </c>
      <c r="O55" s="64">
        <f t="shared" si="15"/>
        <v>1.22</v>
      </c>
      <c r="P55" s="63" t="str">
        <f t="shared" si="16"/>
        <v/>
      </c>
      <c r="Q55" s="64" t="e">
        <f t="shared" si="1"/>
        <v>#N/A</v>
      </c>
      <c r="R55" s="63">
        <f t="shared" si="2"/>
        <v>1.22</v>
      </c>
      <c r="S55" s="65">
        <f t="shared" si="3"/>
        <v>0.35</v>
      </c>
      <c r="T55" s="65">
        <f t="shared" si="17"/>
        <v>1.2</v>
      </c>
      <c r="U55" s="64" t="e">
        <f t="shared" si="18"/>
        <v>#N/A</v>
      </c>
      <c r="V55" s="63">
        <f t="shared" si="4"/>
        <v>1.1169347407014079</v>
      </c>
      <c r="W55" s="63" t="str">
        <f t="shared" si="5"/>
        <v/>
      </c>
      <c r="X55" s="63">
        <f t="shared" si="19"/>
        <v>0</v>
      </c>
      <c r="Y55" s="55"/>
      <c r="Z55" s="55"/>
      <c r="AA55" s="55"/>
      <c r="AB55" s="55">
        <f>PMSplint!N56</f>
        <v>0.93077895058450666</v>
      </c>
      <c r="AC55" s="55">
        <f>PMSplint!N56</f>
        <v>0.93077895058450666</v>
      </c>
      <c r="AD55" s="55">
        <f>IF(RnSplint!N56&lt;0,0,RnSplint!N56)</f>
        <v>4.0061983096909835</v>
      </c>
      <c r="AE55" s="55">
        <f>IF(RnSplint!N56&lt;0,0,RnSplint!N56)</f>
        <v>4.0061983096909835</v>
      </c>
      <c r="AF55" s="30">
        <v>3</v>
      </c>
      <c r="AG55" s="30">
        <f t="shared" si="20"/>
        <v>6.2293229656782918</v>
      </c>
      <c r="AH55" s="30">
        <f t="shared" si="24"/>
        <v>2.4958611671481834</v>
      </c>
      <c r="AI55" s="55" t="str">
        <f t="shared" si="21"/>
        <v/>
      </c>
      <c r="AJ55" s="55" t="str">
        <f t="shared" si="22"/>
        <v/>
      </c>
      <c r="AK55" s="55" t="str">
        <f>IF(AJ55="","",IF(AJ55&lt;$K$10,AG55,$K$10*AJ55))</f>
        <v/>
      </c>
      <c r="AL55" s="55" t="str">
        <f t="shared" si="23"/>
        <v/>
      </c>
      <c r="AM55" s="55"/>
      <c r="AN55" s="55">
        <f t="shared" si="6"/>
        <v>3.7288850585275979</v>
      </c>
      <c r="AO55" s="55">
        <f t="shared" si="7"/>
        <v>1.9310321226037639</v>
      </c>
      <c r="AP55" s="55">
        <f t="shared" si="8"/>
        <v>1.22</v>
      </c>
      <c r="AQ55" s="55"/>
      <c r="AR55" s="55"/>
      <c r="AS55" s="55"/>
      <c r="AT55" s="55"/>
      <c r="AU55" s="30"/>
      <c r="AV55" s="30"/>
      <c r="AW55" s="2"/>
      <c r="AX55" s="2"/>
    </row>
    <row r="56" spans="1:50" x14ac:dyDescent="0.2">
      <c r="A56" s="2"/>
      <c r="B56" s="61">
        <f t="shared" si="9"/>
        <v>41647</v>
      </c>
      <c r="C56" s="62">
        <f t="shared" si="10"/>
        <v>8</v>
      </c>
      <c r="D56" s="63">
        <f t="shared" si="11"/>
        <v>0.93632780254464432</v>
      </c>
      <c r="G56" s="357" t="str">
        <f>IF(MakeSchedule!C23="","",MakeSchedule!C23)</f>
        <v/>
      </c>
      <c r="H56" s="358"/>
      <c r="I56" s="358"/>
      <c r="J56" s="359" t="str">
        <f>IF(MakeSchedule!B23="","",MakeSchedule!B23)</f>
        <v/>
      </c>
      <c r="K56" s="63">
        <f t="shared" si="12"/>
        <v>0.93632780254464432</v>
      </c>
      <c r="L56" s="63">
        <f t="shared" si="13"/>
        <v>0.93632780254464432</v>
      </c>
      <c r="M56" s="63">
        <f t="shared" si="14"/>
        <v>3.9329894120428111</v>
      </c>
      <c r="N56" s="63" t="str">
        <f t="shared" si="0"/>
        <v/>
      </c>
      <c r="O56" s="64">
        <f t="shared" si="15"/>
        <v>1.22</v>
      </c>
      <c r="P56" s="63" t="str">
        <f t="shared" si="16"/>
        <v/>
      </c>
      <c r="Q56" s="64" t="e">
        <f t="shared" si="1"/>
        <v>#N/A</v>
      </c>
      <c r="R56" s="63">
        <f t="shared" si="2"/>
        <v>1.22</v>
      </c>
      <c r="S56" s="65">
        <f t="shared" si="3"/>
        <v>0.35</v>
      </c>
      <c r="T56" s="65">
        <f t="shared" si="17"/>
        <v>1.2</v>
      </c>
      <c r="U56" s="64" t="e">
        <f t="shared" si="18"/>
        <v>#N/A</v>
      </c>
      <c r="V56" s="63">
        <f t="shared" si="4"/>
        <v>1.123593363053573</v>
      </c>
      <c r="W56" s="63" t="str">
        <f t="shared" si="5"/>
        <v/>
      </c>
      <c r="X56" s="63">
        <f t="shared" si="19"/>
        <v>0</v>
      </c>
      <c r="Y56" s="55"/>
      <c r="Z56" s="55"/>
      <c r="AA56" s="55"/>
      <c r="AB56" s="55">
        <f>PMSplint!N57</f>
        <v>0.93632780254464432</v>
      </c>
      <c r="AC56" s="55">
        <f>PMSplint!N57</f>
        <v>0.93632780254464432</v>
      </c>
      <c r="AD56" s="55">
        <f>IF(RnSplint!N57&lt;0,0,RnSplint!N57)</f>
        <v>3.9329894120428111</v>
      </c>
      <c r="AE56" s="55">
        <f>IF(RnSplint!N57&lt;0,0,RnSplint!N57)</f>
        <v>3.9329894120428111</v>
      </c>
      <c r="AF56" s="30">
        <v>4</v>
      </c>
      <c r="AG56" s="30">
        <f t="shared" si="20"/>
        <v>8.3057639542377224</v>
      </c>
      <c r="AH56" s="30">
        <f t="shared" si="24"/>
        <v>2.8819722334258744</v>
      </c>
      <c r="AI56" s="55" t="str">
        <f t="shared" si="21"/>
        <v/>
      </c>
      <c r="AJ56" s="55" t="str">
        <f t="shared" si="22"/>
        <v/>
      </c>
      <c r="AK56" s="55" t="str">
        <f>IF(AJ56="","",IF(AJ56&lt;$K$10,AG56,$K$10*AJ56))</f>
        <v/>
      </c>
      <c r="AL56" s="55" t="str">
        <f t="shared" si="23"/>
        <v/>
      </c>
      <c r="AM56" s="55"/>
      <c r="AN56" s="55">
        <f t="shared" si="6"/>
        <v>3.682567333609398</v>
      </c>
      <c r="AO56" s="55">
        <f t="shared" si="7"/>
        <v>1.9190016502362361</v>
      </c>
      <c r="AP56" s="55">
        <f t="shared" si="8"/>
        <v>1.22</v>
      </c>
      <c r="AQ56" s="55"/>
      <c r="AR56" s="55"/>
      <c r="AS56" s="55"/>
      <c r="AT56" s="55"/>
      <c r="AU56" s="30"/>
      <c r="AV56" s="30"/>
      <c r="AW56" s="2"/>
      <c r="AX56" s="2"/>
    </row>
    <row r="57" spans="1:50" x14ac:dyDescent="0.2">
      <c r="A57" s="2"/>
      <c r="B57" s="61">
        <f t="shared" si="9"/>
        <v>41648</v>
      </c>
      <c r="C57" s="62">
        <f t="shared" si="10"/>
        <v>9</v>
      </c>
      <c r="D57" s="63">
        <f t="shared" si="11"/>
        <v>0.94300294252322692</v>
      </c>
      <c r="G57" s="357" t="str">
        <f>IF(MakeSchedule!C24="","",MakeSchedule!C24)</f>
        <v/>
      </c>
      <c r="H57" s="358"/>
      <c r="I57" s="358"/>
      <c r="J57" s="359" t="str">
        <f>IF(MakeSchedule!B24="","",MakeSchedule!B24)</f>
        <v/>
      </c>
      <c r="K57" s="63">
        <f t="shared" si="12"/>
        <v>0.94300294252322692</v>
      </c>
      <c r="L57" s="63">
        <f t="shared" si="13"/>
        <v>0.94300294252322692</v>
      </c>
      <c r="M57" s="63">
        <f t="shared" si="14"/>
        <v>3.8656971001861367</v>
      </c>
      <c r="N57" s="63" t="str">
        <f t="shared" si="0"/>
        <v/>
      </c>
      <c r="O57" s="64">
        <f t="shared" si="15"/>
        <v>1.22</v>
      </c>
      <c r="P57" s="63" t="str">
        <f t="shared" si="16"/>
        <v/>
      </c>
      <c r="Q57" s="64" t="e">
        <f t="shared" si="1"/>
        <v>#N/A</v>
      </c>
      <c r="R57" s="63">
        <f t="shared" si="2"/>
        <v>1.22</v>
      </c>
      <c r="S57" s="65">
        <f t="shared" si="3"/>
        <v>0.35</v>
      </c>
      <c r="T57" s="65">
        <f t="shared" si="17"/>
        <v>1.2</v>
      </c>
      <c r="U57" s="64" t="e">
        <f t="shared" si="18"/>
        <v>#N/A</v>
      </c>
      <c r="V57" s="63">
        <f t="shared" si="4"/>
        <v>1.1316035310278723</v>
      </c>
      <c r="W57" s="63" t="str">
        <f t="shared" si="5"/>
        <v/>
      </c>
      <c r="X57" s="63">
        <f t="shared" si="19"/>
        <v>0</v>
      </c>
      <c r="Y57" s="55"/>
      <c r="Z57" s="55"/>
      <c r="AA57" s="55"/>
      <c r="AB57" s="55">
        <f>PMSplint!N58</f>
        <v>0.94300294252322692</v>
      </c>
      <c r="AC57" s="55">
        <f>PMSplint!N58</f>
        <v>0.94300294252322692</v>
      </c>
      <c r="AD57" s="55">
        <f>IF(RnSplint!N58&lt;0,0,RnSplint!N58)</f>
        <v>3.8656971001861367</v>
      </c>
      <c r="AE57" s="55">
        <f>IF(RnSplint!N58&lt;0,0,RnSplint!N58)</f>
        <v>3.8656971001861367</v>
      </c>
      <c r="AF57" s="30">
        <v>5</v>
      </c>
      <c r="AG57" s="30">
        <f t="shared" si="20"/>
        <v>10.382204942797152</v>
      </c>
      <c r="AH57" s="30">
        <f t="shared" si="24"/>
        <v>3.2221429116035734</v>
      </c>
      <c r="AI57" s="55" t="str">
        <f t="shared" si="21"/>
        <v/>
      </c>
      <c r="AJ57" s="55" t="str">
        <f t="shared" si="22"/>
        <v/>
      </c>
      <c r="AK57" s="55" t="str">
        <f>IF(AJ57="","",IF(AJ57&lt;$K$10,AG57,$K$10*AJ57))</f>
        <v/>
      </c>
      <c r="AL57" s="55" t="str">
        <f t="shared" si="23"/>
        <v/>
      </c>
      <c r="AM57" s="55"/>
      <c r="AN57" s="55">
        <f t="shared" si="6"/>
        <v>3.6453637403790324</v>
      </c>
      <c r="AO57" s="55">
        <f t="shared" si="7"/>
        <v>1.9092835673045092</v>
      </c>
      <c r="AP57" s="55">
        <f t="shared" si="8"/>
        <v>1.22</v>
      </c>
      <c r="AQ57" s="55"/>
      <c r="AR57" s="55"/>
      <c r="AS57" s="55"/>
      <c r="AT57" s="55"/>
      <c r="AU57" s="30"/>
      <c r="AV57" s="30"/>
      <c r="AW57" s="2"/>
      <c r="AX57" s="2"/>
    </row>
    <row r="58" spans="1:50" x14ac:dyDescent="0.2">
      <c r="A58" s="2"/>
      <c r="B58" s="61">
        <f t="shared" si="9"/>
        <v>41649</v>
      </c>
      <c r="C58" s="62">
        <f t="shared" si="10"/>
        <v>10</v>
      </c>
      <c r="D58" s="63">
        <f t="shared" si="11"/>
        <v>0.95076502132429297</v>
      </c>
      <c r="G58" s="357" t="str">
        <f>IF(MakeSchedule!C25="","",MakeSchedule!C25)</f>
        <v/>
      </c>
      <c r="H58" s="358"/>
      <c r="I58" s="358"/>
      <c r="J58" s="359">
        <f>IF(MakeSchedule!B25="","",MakeSchedule!B25)</f>
        <v>50</v>
      </c>
      <c r="K58" s="63">
        <f t="shared" si="12"/>
        <v>0.95076502132429297</v>
      </c>
      <c r="L58" s="63">
        <f t="shared" si="13"/>
        <v>0.95076502132429297</v>
      </c>
      <c r="M58" s="63">
        <f t="shared" si="14"/>
        <v>3.8046510104088762</v>
      </c>
      <c r="N58" s="63" t="str">
        <f t="shared" si="0"/>
        <v/>
      </c>
      <c r="O58" s="64">
        <f t="shared" si="15"/>
        <v>1.22</v>
      </c>
      <c r="P58" s="63" t="str">
        <f t="shared" si="16"/>
        <v/>
      </c>
      <c r="Q58" s="64" t="e">
        <f t="shared" si="1"/>
        <v>#N/A</v>
      </c>
      <c r="R58" s="63">
        <f t="shared" si="2"/>
        <v>1.22</v>
      </c>
      <c r="S58" s="65">
        <f t="shared" si="3"/>
        <v>0.35</v>
      </c>
      <c r="T58" s="65">
        <f t="shared" si="17"/>
        <v>1.2</v>
      </c>
      <c r="U58" s="64" t="e">
        <f t="shared" si="18"/>
        <v>#N/A</v>
      </c>
      <c r="V58" s="63">
        <f t="shared" si="4"/>
        <v>1.1409180255891516</v>
      </c>
      <c r="W58" s="63" t="str">
        <f t="shared" si="5"/>
        <v/>
      </c>
      <c r="X58" s="63">
        <f t="shared" si="19"/>
        <v>0</v>
      </c>
      <c r="Y58" s="55"/>
      <c r="Z58" s="55"/>
      <c r="AA58" s="55"/>
      <c r="AB58" s="55">
        <f>PMSplint!N59</f>
        <v>0.95076502132429297</v>
      </c>
      <c r="AC58" s="55">
        <f>PMSplint!N59</f>
        <v>0.95076502132429297</v>
      </c>
      <c r="AD58" s="55">
        <f>IF(RnSplint!N59&lt;0,0,RnSplint!N59)</f>
        <v>3.8046510104088762</v>
      </c>
      <c r="AE58" s="55">
        <f>IF(RnSplint!N59&lt;0,0,RnSplint!N59)</f>
        <v>3.8046510104088762</v>
      </c>
      <c r="AF58" s="30">
        <v>6</v>
      </c>
      <c r="AG58" s="30">
        <f t="shared" si="20"/>
        <v>12.458645931356584</v>
      </c>
      <c r="AH58" s="30">
        <f t="shared" si="24"/>
        <v>3.5296807123813032</v>
      </c>
      <c r="AI58" s="55" t="str">
        <f t="shared" si="21"/>
        <v/>
      </c>
      <c r="AJ58" s="55" t="str">
        <f t="shared" si="22"/>
        <v/>
      </c>
      <c r="AK58" s="55" t="str">
        <f t="shared" ref="AK58:AK82" si="25">IF(AJ58="","",IF(AJ58&lt;$K$10,AG58,$K$10*AJ58))</f>
        <v/>
      </c>
      <c r="AL58" s="55" t="str">
        <f t="shared" si="23"/>
        <v/>
      </c>
      <c r="AM58" s="55"/>
      <c r="AN58" s="55">
        <f>K58*M58</f>
        <v>3.6173290990428879</v>
      </c>
      <c r="AO58" s="55">
        <f>SQRT(AN58)</f>
        <v>1.9019277323397143</v>
      </c>
      <c r="AP58" s="55">
        <f>IF(2.54/AO58&gt;1.22,1.22,2.54/AO58)</f>
        <v>1.22</v>
      </c>
      <c r="AQ58" s="55"/>
      <c r="AR58" s="55"/>
      <c r="AS58" s="55"/>
      <c r="AT58" s="55"/>
      <c r="AU58" s="30"/>
      <c r="AV58" s="30"/>
      <c r="AW58" s="2"/>
      <c r="AX58" s="2"/>
    </row>
    <row r="59" spans="1:50" x14ac:dyDescent="0.2">
      <c r="A59" s="2"/>
      <c r="B59" s="61">
        <f t="shared" si="9"/>
        <v>41650</v>
      </c>
      <c r="C59" s="62">
        <f t="shared" si="10"/>
        <v>11</v>
      </c>
      <c r="D59" s="63">
        <f t="shared" si="11"/>
        <v>0.95957468975188176</v>
      </c>
      <c r="G59" s="357" t="str">
        <f>IF(MakeSchedule!C26="","",MakeSchedule!C26)</f>
        <v/>
      </c>
      <c r="H59" s="358"/>
      <c r="I59" s="358"/>
      <c r="J59" s="359" t="str">
        <f>IF(MakeSchedule!B26="","",MakeSchedule!B26)</f>
        <v/>
      </c>
      <c r="K59" s="63">
        <f t="shared" si="12"/>
        <v>0.95957468975188176</v>
      </c>
      <c r="L59" s="63">
        <f t="shared" si="13"/>
        <v>0.95957468975188176</v>
      </c>
      <c r="M59" s="63">
        <f t="shared" si="14"/>
        <v>3.7501807789989381</v>
      </c>
      <c r="N59" s="63" t="str">
        <f t="shared" si="0"/>
        <v/>
      </c>
      <c r="O59" s="64">
        <f t="shared" si="15"/>
        <v>1.22</v>
      </c>
      <c r="P59" s="63" t="str">
        <f t="shared" si="16"/>
        <v/>
      </c>
      <c r="Q59" s="64" t="e">
        <f t="shared" si="1"/>
        <v>#N/A</v>
      </c>
      <c r="R59" s="63">
        <f t="shared" si="2"/>
        <v>1.22</v>
      </c>
      <c r="S59" s="65">
        <f t="shared" si="3"/>
        <v>0.35</v>
      </c>
      <c r="T59" s="65">
        <f t="shared" si="17"/>
        <v>1.2</v>
      </c>
      <c r="U59" s="64" t="e">
        <f t="shared" si="18"/>
        <v>#N/A</v>
      </c>
      <c r="V59" s="63">
        <f t="shared" si="4"/>
        <v>1.1514896277022582</v>
      </c>
      <c r="W59" s="63" t="str">
        <f t="shared" si="5"/>
        <v/>
      </c>
      <c r="X59" s="63">
        <f t="shared" si="19"/>
        <v>0</v>
      </c>
      <c r="Y59" s="55"/>
      <c r="Z59" s="55"/>
      <c r="AA59" s="55"/>
      <c r="AB59" s="55">
        <f>PMSplint!N60</f>
        <v>0.95957468975188176</v>
      </c>
      <c r="AC59" s="55">
        <f>PMSplint!N60</f>
        <v>0.95957468975188176</v>
      </c>
      <c r="AD59" s="55">
        <f>IF(RnSplint!N60&lt;0,0,RnSplint!N60)</f>
        <v>3.7501807789989381</v>
      </c>
      <c r="AE59" s="55">
        <f>IF(RnSplint!N60&lt;0,0,RnSplint!N60)</f>
        <v>3.7501807789989381</v>
      </c>
      <c r="AF59" s="30">
        <v>7</v>
      </c>
      <c r="AG59" s="30">
        <f t="shared" si="20"/>
        <v>14.535086919916015</v>
      </c>
      <c r="AH59" s="30">
        <f t="shared" si="24"/>
        <v>3.8124909075191269</v>
      </c>
      <c r="AI59" s="55" t="str">
        <f t="shared" si="21"/>
        <v/>
      </c>
      <c r="AJ59" s="55" t="str">
        <f t="shared" si="22"/>
        <v/>
      </c>
      <c r="AK59" s="55" t="str">
        <f t="shared" si="25"/>
        <v/>
      </c>
      <c r="AL59" s="55" t="str">
        <f t="shared" si="23"/>
        <v/>
      </c>
      <c r="AM59" s="55"/>
      <c r="AN59" s="55">
        <f t="shared" ref="AN59:AN122" si="26">K59*M59</f>
        <v>3.5985785575213765</v>
      </c>
      <c r="AO59" s="55">
        <f t="shared" ref="AO59:AO122" si="27">SQRT(AN59)</f>
        <v>1.8969919761352119</v>
      </c>
      <c r="AP59" s="55">
        <f t="shared" ref="AP59:AP122" si="28">IF(2.54/AO59&gt;1.22,1.22,2.54/AO59)</f>
        <v>1.22</v>
      </c>
      <c r="AQ59" s="55"/>
      <c r="AR59" s="55"/>
      <c r="AS59" s="55"/>
      <c r="AT59" s="55"/>
      <c r="AU59" s="30"/>
      <c r="AV59" s="30"/>
      <c r="AW59" s="2"/>
      <c r="AX59" s="2"/>
    </row>
    <row r="60" spans="1:50" x14ac:dyDescent="0.2">
      <c r="A60" s="2"/>
      <c r="B60" s="61">
        <f t="shared" si="9"/>
        <v>41651</v>
      </c>
      <c r="C60" s="62">
        <f t="shared" si="10"/>
        <v>12</v>
      </c>
      <c r="D60" s="63">
        <f t="shared" si="11"/>
        <v>0.9693925986100318</v>
      </c>
      <c r="G60" s="357" t="str">
        <f>IF(MakeSchedule!C27="","",MakeSchedule!C27)</f>
        <v/>
      </c>
      <c r="H60" s="358"/>
      <c r="I60" s="358"/>
      <c r="J60" s="359" t="str">
        <f>IF(MakeSchedule!B27="","",MakeSchedule!B27)</f>
        <v/>
      </c>
      <c r="K60" s="63">
        <f t="shared" si="12"/>
        <v>0.9693925986100318</v>
      </c>
      <c r="L60" s="63">
        <f t="shared" si="13"/>
        <v>0.9693925986100318</v>
      </c>
      <c r="M60" s="63">
        <f t="shared" si="14"/>
        <v>3.7026160422442396</v>
      </c>
      <c r="N60" s="63" t="str">
        <f t="shared" si="0"/>
        <v/>
      </c>
      <c r="O60" s="64">
        <f t="shared" si="15"/>
        <v>1.22</v>
      </c>
      <c r="P60" s="63" t="str">
        <f t="shared" si="16"/>
        <v/>
      </c>
      <c r="Q60" s="64" t="e">
        <f t="shared" si="1"/>
        <v>#N/A</v>
      </c>
      <c r="R60" s="63">
        <f t="shared" si="2"/>
        <v>1.22</v>
      </c>
      <c r="S60" s="65">
        <f t="shared" si="3"/>
        <v>0.35</v>
      </c>
      <c r="T60" s="65">
        <f t="shared" si="17"/>
        <v>1.2</v>
      </c>
      <c r="U60" s="64" t="e">
        <f t="shared" si="18"/>
        <v>#N/A</v>
      </c>
      <c r="V60" s="63">
        <f t="shared" si="4"/>
        <v>1.1632711183320381</v>
      </c>
      <c r="W60" s="63" t="str">
        <f t="shared" si="5"/>
        <v/>
      </c>
      <c r="X60" s="63">
        <f t="shared" si="19"/>
        <v>0</v>
      </c>
      <c r="Y60" s="55"/>
      <c r="Z60" s="55"/>
      <c r="AA60" s="55"/>
      <c r="AB60" s="55">
        <f>PMSplint!N61</f>
        <v>0.9693925986100318</v>
      </c>
      <c r="AC60" s="55">
        <f>PMSplint!N61</f>
        <v>0.9693925986100318</v>
      </c>
      <c r="AD60" s="55">
        <f>IF(RnSplint!N61&lt;0,0,RnSplint!N61)</f>
        <v>3.7026160422442396</v>
      </c>
      <c r="AE60" s="55">
        <f>IF(RnSplint!N61&lt;0,0,RnSplint!N61)</f>
        <v>3.7026160422442396</v>
      </c>
      <c r="AF60" s="30">
        <v>8</v>
      </c>
      <c r="AG60" s="30">
        <f t="shared" si="20"/>
        <v>16.611527908475445</v>
      </c>
      <c r="AH60" s="30">
        <f t="shared" si="24"/>
        <v>4.0757242188935505</v>
      </c>
      <c r="AI60" s="55" t="str">
        <f t="shared" si="21"/>
        <v/>
      </c>
      <c r="AJ60" s="55" t="str">
        <f t="shared" si="22"/>
        <v/>
      </c>
      <c r="AK60" s="55" t="str">
        <f t="shared" si="25"/>
        <v/>
      </c>
      <c r="AL60" s="55" t="str">
        <f t="shared" si="23"/>
        <v/>
      </c>
      <c r="AM60" s="55"/>
      <c r="AN60" s="55">
        <f t="shared" si="26"/>
        <v>3.5892885868463345</v>
      </c>
      <c r="AO60" s="55">
        <f t="shared" si="27"/>
        <v>1.8945417880971469</v>
      </c>
      <c r="AP60" s="55">
        <f t="shared" si="28"/>
        <v>1.22</v>
      </c>
      <c r="AQ60" s="55"/>
      <c r="AR60" s="55"/>
      <c r="AS60" s="55"/>
      <c r="AT60" s="55"/>
      <c r="AU60" s="30"/>
      <c r="AV60" s="30"/>
      <c r="AW60" s="2"/>
      <c r="AX60" s="2"/>
    </row>
    <row r="61" spans="1:50" x14ac:dyDescent="0.2">
      <c r="A61" s="2"/>
      <c r="B61" s="61">
        <f t="shared" si="9"/>
        <v>41652</v>
      </c>
      <c r="C61" s="62">
        <f t="shared" si="10"/>
        <v>13</v>
      </c>
      <c r="D61" s="63">
        <f t="shared" si="11"/>
        <v>0.98017939870278192</v>
      </c>
      <c r="G61" s="357" t="str">
        <f>IF(MakeSchedule!C28="","",MakeSchedule!C28)</f>
        <v/>
      </c>
      <c r="H61" s="358"/>
      <c r="I61" s="358"/>
      <c r="J61" s="359" t="str">
        <f>IF(MakeSchedule!B28="","",MakeSchedule!B28)</f>
        <v/>
      </c>
      <c r="K61" s="63">
        <f t="shared" si="12"/>
        <v>0.98017939870278192</v>
      </c>
      <c r="L61" s="63">
        <f t="shared" si="13"/>
        <v>0.98017939870278192</v>
      </c>
      <c r="M61" s="63">
        <f t="shared" si="14"/>
        <v>3.6622864364326908</v>
      </c>
      <c r="N61" s="63" t="str">
        <f t="shared" si="0"/>
        <v/>
      </c>
      <c r="O61" s="64">
        <f t="shared" si="15"/>
        <v>1.22</v>
      </c>
      <c r="P61" s="63" t="str">
        <f t="shared" si="16"/>
        <v/>
      </c>
      <c r="Q61" s="64" t="e">
        <f t="shared" si="1"/>
        <v>#N/A</v>
      </c>
      <c r="R61" s="63">
        <f t="shared" si="2"/>
        <v>1.22</v>
      </c>
      <c r="S61" s="65">
        <f t="shared" si="3"/>
        <v>0.35</v>
      </c>
      <c r="T61" s="65">
        <f t="shared" si="17"/>
        <v>1.2</v>
      </c>
      <c r="U61" s="64" t="e">
        <f t="shared" si="18"/>
        <v>#N/A</v>
      </c>
      <c r="V61" s="63">
        <f t="shared" si="4"/>
        <v>1.1762152784433382</v>
      </c>
      <c r="W61" s="63" t="str">
        <f t="shared" si="5"/>
        <v/>
      </c>
      <c r="X61" s="63">
        <f t="shared" si="19"/>
        <v>0</v>
      </c>
      <c r="Y61" s="55"/>
      <c r="Z61" s="55"/>
      <c r="AA61" s="55"/>
      <c r="AB61" s="55">
        <f>PMSplint!N62</f>
        <v>0.98017939870278192</v>
      </c>
      <c r="AC61" s="55">
        <f>PMSplint!N62</f>
        <v>0.98017939870278192</v>
      </c>
      <c r="AD61" s="55">
        <f>IF(RnSplint!N62&lt;0,0,RnSplint!N62)</f>
        <v>3.6622864364326908</v>
      </c>
      <c r="AE61" s="55">
        <f>IF(RnSplint!N62&lt;0,0,RnSplint!N62)</f>
        <v>3.6622864364326908</v>
      </c>
      <c r="AF61" s="30">
        <v>9</v>
      </c>
      <c r="AG61" s="30">
        <f t="shared" si="20"/>
        <v>18.687968897034875</v>
      </c>
      <c r="AH61" s="30">
        <f t="shared" si="24"/>
        <v>4.3229583501388111</v>
      </c>
      <c r="AI61" s="55" t="str">
        <f t="shared" si="21"/>
        <v/>
      </c>
      <c r="AJ61" s="55" t="str">
        <f t="shared" si="22"/>
        <v/>
      </c>
      <c r="AK61" s="55" t="str">
        <f t="shared" si="25"/>
        <v/>
      </c>
      <c r="AL61" s="55" t="str">
        <f t="shared" si="23"/>
        <v/>
      </c>
      <c r="AM61" s="55"/>
      <c r="AN61" s="55">
        <f t="shared" si="26"/>
        <v>3.5896977171399489</v>
      </c>
      <c r="AO61" s="55">
        <f t="shared" si="27"/>
        <v>1.8946497610745763</v>
      </c>
      <c r="AP61" s="55">
        <f t="shared" si="28"/>
        <v>1.22</v>
      </c>
      <c r="AQ61" s="55"/>
      <c r="AR61" s="55"/>
      <c r="AS61" s="55"/>
      <c r="AT61" s="55"/>
      <c r="AU61" s="30"/>
      <c r="AV61" s="30"/>
      <c r="AW61" s="2"/>
      <c r="AX61" s="2"/>
    </row>
    <row r="62" spans="1:50" x14ac:dyDescent="0.2">
      <c r="A62" s="2"/>
      <c r="B62" s="61">
        <f t="shared" si="9"/>
        <v>41653</v>
      </c>
      <c r="C62" s="62">
        <f t="shared" si="10"/>
        <v>14</v>
      </c>
      <c r="D62" s="63">
        <f t="shared" si="11"/>
        <v>0.99189574083417142</v>
      </c>
      <c r="G62" s="357" t="str">
        <f>IF(MakeSchedule!C29="","",MakeSchedule!C29)</f>
        <v/>
      </c>
      <c r="H62" s="358"/>
      <c r="I62" s="358"/>
      <c r="J62" s="359" t="str">
        <f>IF(MakeSchedule!B29="","",MakeSchedule!B29)</f>
        <v/>
      </c>
      <c r="K62" s="63">
        <f t="shared" si="12"/>
        <v>0.99189574083417142</v>
      </c>
      <c r="L62" s="63">
        <f t="shared" si="13"/>
        <v>0.99189574083417142</v>
      </c>
      <c r="M62" s="63">
        <f t="shared" si="14"/>
        <v>3.629521597852206</v>
      </c>
      <c r="N62" s="63" t="str">
        <f t="shared" si="0"/>
        <v/>
      </c>
      <c r="O62" s="64">
        <f t="shared" si="15"/>
        <v>1.22</v>
      </c>
      <c r="P62" s="63" t="str">
        <f t="shared" si="16"/>
        <v/>
      </c>
      <c r="Q62" s="64" t="e">
        <f t="shared" si="1"/>
        <v>#N/A</v>
      </c>
      <c r="R62" s="63">
        <f t="shared" si="2"/>
        <v>1.22</v>
      </c>
      <c r="S62" s="65">
        <f t="shared" si="3"/>
        <v>0.35</v>
      </c>
      <c r="T62" s="65">
        <f t="shared" si="17"/>
        <v>1.2</v>
      </c>
      <c r="U62" s="64" t="e">
        <f t="shared" si="18"/>
        <v>#N/A</v>
      </c>
      <c r="V62" s="63">
        <f t="shared" si="4"/>
        <v>1.1902748890010058</v>
      </c>
      <c r="W62" s="63" t="str">
        <f t="shared" si="5"/>
        <v/>
      </c>
      <c r="X62" s="63">
        <f t="shared" si="19"/>
        <v>0</v>
      </c>
      <c r="Y62" s="55"/>
      <c r="Z62" s="55"/>
      <c r="AA62" s="55"/>
      <c r="AB62" s="55">
        <f>PMSplint!N63</f>
        <v>0.99189574083417142</v>
      </c>
      <c r="AC62" s="55">
        <f>PMSplint!N63</f>
        <v>0.99189574083417142</v>
      </c>
      <c r="AD62" s="55">
        <f>IF(RnSplint!N63&lt;0,0,RnSplint!N63)</f>
        <v>3.629521597852206</v>
      </c>
      <c r="AE62" s="55">
        <f>IF(RnSplint!N63&lt;0,0,RnSplint!N63)</f>
        <v>3.629521597852206</v>
      </c>
      <c r="AF62" s="30">
        <v>10</v>
      </c>
      <c r="AG62" s="30">
        <f t="shared" si="20"/>
        <v>20.764409885594304</v>
      </c>
      <c r="AH62" s="30">
        <f t="shared" si="24"/>
        <v>4.5567982054941059</v>
      </c>
      <c r="AI62" s="55" t="str">
        <f t="shared" si="21"/>
        <v/>
      </c>
      <c r="AJ62" s="55" t="str">
        <f t="shared" si="22"/>
        <v/>
      </c>
      <c r="AK62" s="55" t="str">
        <f t="shared" si="25"/>
        <v/>
      </c>
      <c r="AL62" s="55" t="str">
        <f t="shared" si="23"/>
        <v/>
      </c>
      <c r="AM62" s="55"/>
      <c r="AN62" s="55">
        <f t="shared" si="26"/>
        <v>3.6001070141752396</v>
      </c>
      <c r="AO62" s="55">
        <f t="shared" si="27"/>
        <v>1.8973947966027629</v>
      </c>
      <c r="AP62" s="55">
        <f t="shared" si="28"/>
        <v>1.22</v>
      </c>
      <c r="AQ62" s="55"/>
      <c r="AR62" s="55"/>
      <c r="AS62" s="55"/>
      <c r="AT62" s="55"/>
      <c r="AU62" s="30"/>
      <c r="AV62" s="30"/>
      <c r="AW62" s="2"/>
      <c r="AX62" s="2"/>
    </row>
    <row r="63" spans="1:50" x14ac:dyDescent="0.2">
      <c r="A63" s="2"/>
      <c r="B63" s="61">
        <f t="shared" si="9"/>
        <v>41654</v>
      </c>
      <c r="C63" s="62">
        <f t="shared" si="10"/>
        <v>15</v>
      </c>
      <c r="D63" s="63">
        <f t="shared" si="11"/>
        <v>1.0045022758082387</v>
      </c>
      <c r="G63" s="357" t="str">
        <f>IF(MakeSchedule!C30="","",MakeSchedule!C30)</f>
        <v/>
      </c>
      <c r="H63" s="358"/>
      <c r="I63" s="358"/>
      <c r="J63" s="359">
        <f>IF(MakeSchedule!B30="","",MakeSchedule!B30)</f>
        <v>15</v>
      </c>
      <c r="K63" s="63">
        <f t="shared" si="12"/>
        <v>1.0045022758082387</v>
      </c>
      <c r="L63" s="63">
        <f t="shared" si="13"/>
        <v>1.0045022758082387</v>
      </c>
      <c r="M63" s="63">
        <f t="shared" si="14"/>
        <v>3.6046511627906979</v>
      </c>
      <c r="N63" s="63" t="str">
        <f t="shared" si="0"/>
        <v/>
      </c>
      <c r="O63" s="64">
        <f t="shared" si="15"/>
        <v>1.22</v>
      </c>
      <c r="P63" s="63" t="str">
        <f t="shared" si="16"/>
        <v/>
      </c>
      <c r="Q63" s="64" t="e">
        <f t="shared" si="1"/>
        <v>#N/A</v>
      </c>
      <c r="R63" s="63">
        <f t="shared" si="2"/>
        <v>1.22</v>
      </c>
      <c r="S63" s="65">
        <f t="shared" si="3"/>
        <v>0.35</v>
      </c>
      <c r="T63" s="65">
        <f t="shared" si="17"/>
        <v>1.2</v>
      </c>
      <c r="U63" s="64" t="e">
        <f t="shared" si="18"/>
        <v>#N/A</v>
      </c>
      <c r="V63" s="63">
        <f t="shared" si="4"/>
        <v>1.2054027309698865</v>
      </c>
      <c r="W63" s="63" t="str">
        <f t="shared" si="5"/>
        <v/>
      </c>
      <c r="X63" s="63">
        <f t="shared" si="19"/>
        <v>0</v>
      </c>
      <c r="Y63" s="55"/>
      <c r="Z63" s="55"/>
      <c r="AA63" s="55"/>
      <c r="AB63" s="55">
        <f>PMSplint!N64</f>
        <v>1.0045022758082387</v>
      </c>
      <c r="AC63" s="55">
        <f>PMSplint!N64</f>
        <v>1.0045022758082387</v>
      </c>
      <c r="AD63" s="55">
        <f>IF(RnSplint!N64&lt;0,0,RnSplint!N64)</f>
        <v>3.6046511627906979</v>
      </c>
      <c r="AE63" s="55">
        <f>IF(RnSplint!N64&lt;0,0,RnSplint!N64)</f>
        <v>3.6046511627906979</v>
      </c>
      <c r="AF63" s="30">
        <v>11</v>
      </c>
      <c r="AG63" s="30">
        <f t="shared" si="20"/>
        <v>22.840850874153737</v>
      </c>
      <c r="AH63" s="30">
        <f t="shared" si="24"/>
        <v>4.7792102772480867</v>
      </c>
      <c r="AI63" s="55" t="str">
        <f t="shared" si="21"/>
        <v/>
      </c>
      <c r="AJ63" s="55" t="str">
        <f t="shared" si="22"/>
        <v/>
      </c>
      <c r="AK63" s="55" t="str">
        <f t="shared" si="25"/>
        <v/>
      </c>
      <c r="AL63" s="55" t="str">
        <f t="shared" si="23"/>
        <v/>
      </c>
      <c r="AM63" s="55"/>
      <c r="AN63" s="55">
        <f t="shared" si="26"/>
        <v>3.6208802965180698</v>
      </c>
      <c r="AO63" s="55">
        <f t="shared" si="27"/>
        <v>1.9028610817708342</v>
      </c>
      <c r="AP63" s="55">
        <f t="shared" si="28"/>
        <v>1.22</v>
      </c>
      <c r="AQ63" s="55"/>
      <c r="AR63" s="55"/>
      <c r="AS63" s="55"/>
      <c r="AT63" s="55"/>
      <c r="AU63" s="30"/>
      <c r="AV63" s="30"/>
      <c r="AW63" s="2"/>
      <c r="AX63" s="2"/>
    </row>
    <row r="64" spans="1:50" x14ac:dyDescent="0.2">
      <c r="A64" s="2"/>
      <c r="B64" s="61">
        <f t="shared" si="9"/>
        <v>41655</v>
      </c>
      <c r="C64" s="62">
        <f t="shared" si="10"/>
        <v>16</v>
      </c>
      <c r="D64" s="63">
        <f t="shared" si="11"/>
        <v>1.0179620672571157</v>
      </c>
      <c r="G64" s="357" t="str">
        <f>IF(MakeSchedule!C31="","",MakeSchedule!C31)</f>
        <v/>
      </c>
      <c r="H64" s="358"/>
      <c r="I64" s="358"/>
      <c r="J64" s="359" t="str">
        <f>IF(MakeSchedule!B31="","",MakeSchedule!B31)</f>
        <v/>
      </c>
      <c r="K64" s="63">
        <f t="shared" si="12"/>
        <v>1.0179620672571157</v>
      </c>
      <c r="L64" s="63">
        <f t="shared" si="13"/>
        <v>1.0179620672571157</v>
      </c>
      <c r="M64" s="63">
        <f t="shared" si="14"/>
        <v>3.5878624394806118</v>
      </c>
      <c r="N64" s="63" t="str">
        <f t="shared" si="0"/>
        <v/>
      </c>
      <c r="O64" s="64">
        <f t="shared" si="15"/>
        <v>1.22</v>
      </c>
      <c r="P64" s="63" t="str">
        <f t="shared" si="16"/>
        <v/>
      </c>
      <c r="Q64" s="64" t="e">
        <f t="shared" si="1"/>
        <v>#N/A</v>
      </c>
      <c r="R64" s="63">
        <f t="shared" si="2"/>
        <v>1.22</v>
      </c>
      <c r="S64" s="65">
        <f t="shared" si="3"/>
        <v>0.35</v>
      </c>
      <c r="T64" s="65">
        <f t="shared" si="17"/>
        <v>1.2</v>
      </c>
      <c r="U64" s="64" t="e">
        <f t="shared" si="18"/>
        <v>#N/A</v>
      </c>
      <c r="V64" s="63">
        <f t="shared" si="4"/>
        <v>1.2215544807085388</v>
      </c>
      <c r="W64" s="63" t="str">
        <f t="shared" si="5"/>
        <v/>
      </c>
      <c r="X64" s="63">
        <f t="shared" si="19"/>
        <v>0</v>
      </c>
      <c r="Y64" s="55"/>
      <c r="Z64" s="55"/>
      <c r="AA64" s="55"/>
      <c r="AB64" s="55">
        <f>PMSplint!N65</f>
        <v>1.0179620672571157</v>
      </c>
      <c r="AC64" s="55">
        <f>PMSplint!N65</f>
        <v>1.0179620672571157</v>
      </c>
      <c r="AD64" s="55">
        <f>IF(RnSplint!N65&lt;0,0,RnSplint!N65)</f>
        <v>3.5878624394806118</v>
      </c>
      <c r="AE64" s="55">
        <f>IF(RnSplint!N65&lt;0,0,RnSplint!N65)</f>
        <v>3.5878624394806118</v>
      </c>
      <c r="AF64" s="30">
        <v>12</v>
      </c>
      <c r="AG64" s="30">
        <f t="shared" si="20"/>
        <v>24.917291862713167</v>
      </c>
      <c r="AH64" s="30">
        <f t="shared" si="24"/>
        <v>4.9917223342963668</v>
      </c>
      <c r="AI64" s="55" t="str">
        <f t="shared" si="21"/>
        <v/>
      </c>
      <c r="AJ64" s="55" t="str">
        <f t="shared" si="22"/>
        <v/>
      </c>
      <c r="AK64" s="55" t="str">
        <f t="shared" si="25"/>
        <v/>
      </c>
      <c r="AL64" s="55" t="str">
        <f t="shared" si="23"/>
        <v/>
      </c>
      <c r="AM64" s="55"/>
      <c r="AN64" s="55">
        <f t="shared" si="26"/>
        <v>3.6523078659278418</v>
      </c>
      <c r="AO64" s="55">
        <f t="shared" si="27"/>
        <v>1.9111012181273501</v>
      </c>
      <c r="AP64" s="55">
        <f t="shared" si="28"/>
        <v>1.22</v>
      </c>
      <c r="AQ64" s="55"/>
      <c r="AR64" s="55"/>
      <c r="AS64" s="55"/>
      <c r="AT64" s="55"/>
      <c r="AU64" s="30"/>
      <c r="AV64" s="30"/>
      <c r="AW64" s="2"/>
      <c r="AX64" s="2"/>
    </row>
    <row r="65" spans="1:50" x14ac:dyDescent="0.2">
      <c r="A65" s="2"/>
      <c r="B65" s="61">
        <f t="shared" si="9"/>
        <v>41656</v>
      </c>
      <c r="C65" s="62">
        <f t="shared" si="10"/>
        <v>17</v>
      </c>
      <c r="D65" s="63">
        <f t="shared" si="11"/>
        <v>1.032247830125304</v>
      </c>
      <c r="G65" s="357" t="str">
        <f>IF(MakeSchedule!C32="","",MakeSchedule!C32)</f>
        <v/>
      </c>
      <c r="H65" s="358"/>
      <c r="I65" s="358"/>
      <c r="J65" s="359" t="str">
        <f>IF(MakeSchedule!B32="","",MakeSchedule!B32)</f>
        <v/>
      </c>
      <c r="K65" s="63">
        <f t="shared" si="12"/>
        <v>1.032247830125304</v>
      </c>
      <c r="L65" s="63">
        <f t="shared" si="13"/>
        <v>1.032247830125304</v>
      </c>
      <c r="M65" s="63">
        <f t="shared" si="14"/>
        <v>3.5787734239325166</v>
      </c>
      <c r="N65" s="63" t="str">
        <f t="shared" si="0"/>
        <v/>
      </c>
      <c r="O65" s="64">
        <f t="shared" si="15"/>
        <v>1.22</v>
      </c>
      <c r="P65" s="63" t="str">
        <f t="shared" si="16"/>
        <v/>
      </c>
      <c r="Q65" s="64" t="e">
        <f t="shared" si="1"/>
        <v>#N/A</v>
      </c>
      <c r="R65" s="63">
        <f t="shared" si="2"/>
        <v>1.22</v>
      </c>
      <c r="S65" s="65">
        <f t="shared" si="3"/>
        <v>0.35</v>
      </c>
      <c r="T65" s="65">
        <f t="shared" si="17"/>
        <v>1.2</v>
      </c>
      <c r="U65" s="64" t="e">
        <f t="shared" si="18"/>
        <v>#N/A</v>
      </c>
      <c r="V65" s="63">
        <f t="shared" si="4"/>
        <v>1.2386973961503647</v>
      </c>
      <c r="W65" s="63" t="str">
        <f t="shared" si="5"/>
        <v/>
      </c>
      <c r="X65" s="63">
        <f t="shared" si="19"/>
        <v>0</v>
      </c>
      <c r="Y65" s="55"/>
      <c r="Z65" s="55"/>
      <c r="AA65" s="55"/>
      <c r="AB65" s="55">
        <f>PMSplint!N66</f>
        <v>1.032247830125304</v>
      </c>
      <c r="AC65" s="55">
        <f>PMSplint!N66</f>
        <v>1.032247830125304</v>
      </c>
      <c r="AD65" s="55">
        <f>IF(RnSplint!N66&lt;0,0,RnSplint!N66)</f>
        <v>3.5787734239325166</v>
      </c>
      <c r="AE65" s="55">
        <f>IF(RnSplint!N66&lt;0,0,RnSplint!N66)</f>
        <v>3.5787734239325166</v>
      </c>
      <c r="AF65" s="30">
        <v>13</v>
      </c>
      <c r="AG65" s="30">
        <f t="shared" si="20"/>
        <v>26.993732851272597</v>
      </c>
      <c r="AH65" s="30">
        <f t="shared" si="24"/>
        <v>5.1955493310402314</v>
      </c>
      <c r="AI65" s="55" t="str">
        <f t="shared" si="21"/>
        <v/>
      </c>
      <c r="AJ65" s="55" t="str">
        <f t="shared" si="22"/>
        <v/>
      </c>
      <c r="AK65" s="55" t="str">
        <f t="shared" si="25"/>
        <v/>
      </c>
      <c r="AL65" s="55" t="str">
        <f t="shared" si="23"/>
        <v/>
      </c>
      <c r="AM65" s="55"/>
      <c r="AN65" s="55">
        <f t="shared" si="26"/>
        <v>3.6941811013644448</v>
      </c>
      <c r="AO65" s="55">
        <f t="shared" si="27"/>
        <v>1.9220252603346411</v>
      </c>
      <c r="AP65" s="55">
        <f t="shared" si="28"/>
        <v>1.22</v>
      </c>
      <c r="AQ65" s="55"/>
      <c r="AR65" s="55"/>
      <c r="AS65" s="55"/>
      <c r="AT65" s="55"/>
      <c r="AU65" s="30"/>
      <c r="AV65" s="30"/>
      <c r="AW65" s="2"/>
      <c r="AX65" s="2"/>
    </row>
    <row r="66" spans="1:50" x14ac:dyDescent="0.2">
      <c r="A66" s="2"/>
      <c r="B66" s="61">
        <f t="shared" si="9"/>
        <v>41657</v>
      </c>
      <c r="C66" s="62">
        <f t="shared" si="10"/>
        <v>18</v>
      </c>
      <c r="D66" s="63">
        <f t="shared" si="11"/>
        <v>1.047334692185399</v>
      </c>
      <c r="G66" s="357" t="str">
        <f>IF(MakeSchedule!C33="","",MakeSchedule!C33)</f>
        <v/>
      </c>
      <c r="H66" s="358"/>
      <c r="I66" s="358"/>
      <c r="J66" s="359" t="str">
        <f>IF(MakeSchedule!B33="","",MakeSchedule!B33)</f>
        <v/>
      </c>
      <c r="K66" s="63">
        <f t="shared" si="12"/>
        <v>1.047334692185399</v>
      </c>
      <c r="L66" s="63">
        <f t="shared" si="13"/>
        <v>1.047334692185399</v>
      </c>
      <c r="M66" s="63">
        <f t="shared" si="14"/>
        <v>3.5768597841015191</v>
      </c>
      <c r="N66" s="63" t="str">
        <f t="shared" si="0"/>
        <v/>
      </c>
      <c r="O66" s="64">
        <f t="shared" si="15"/>
        <v>1.22</v>
      </c>
      <c r="P66" s="63" t="str">
        <f t="shared" si="16"/>
        <v/>
      </c>
      <c r="Q66" s="64" t="e">
        <f t="shared" si="1"/>
        <v>#N/A</v>
      </c>
      <c r="R66" s="63">
        <f t="shared" si="2"/>
        <v>1.22</v>
      </c>
      <c r="S66" s="65">
        <f t="shared" si="3"/>
        <v>0.35</v>
      </c>
      <c r="T66" s="65">
        <f t="shared" si="17"/>
        <v>1.2</v>
      </c>
      <c r="U66" s="64" t="e">
        <f t="shared" si="18"/>
        <v>#N/A</v>
      </c>
      <c r="V66" s="63">
        <f t="shared" si="4"/>
        <v>1.2568016306224787</v>
      </c>
      <c r="W66" s="63" t="str">
        <f t="shared" si="5"/>
        <v/>
      </c>
      <c r="X66" s="63">
        <f t="shared" si="19"/>
        <v>0</v>
      </c>
      <c r="Y66" s="55"/>
      <c r="Z66" s="55"/>
      <c r="AA66" s="55"/>
      <c r="AB66" s="55">
        <f>PMSplint!N67</f>
        <v>1.047334692185399</v>
      </c>
      <c r="AC66" s="55">
        <f>PMSplint!N67</f>
        <v>1.047334692185399</v>
      </c>
      <c r="AD66" s="55">
        <f>IF(RnSplint!N67&lt;0,0,RnSplint!N67)</f>
        <v>3.5768597841015191</v>
      </c>
      <c r="AE66" s="55">
        <f>IF(RnSplint!N67&lt;0,0,RnSplint!N67)</f>
        <v>3.5768597841015191</v>
      </c>
      <c r="AF66" s="30">
        <v>14</v>
      </c>
      <c r="AG66" s="30">
        <f t="shared" si="20"/>
        <v>29.07017383983203</v>
      </c>
      <c r="AH66" s="30">
        <f t="shared" si="24"/>
        <v>5.3916763478376586</v>
      </c>
      <c r="AI66" s="55" t="str">
        <f t="shared" si="21"/>
        <v/>
      </c>
      <c r="AJ66" s="55" t="str">
        <f t="shared" si="22"/>
        <v/>
      </c>
      <c r="AK66" s="55" t="str">
        <f t="shared" si="25"/>
        <v/>
      </c>
      <c r="AL66" s="55" t="str">
        <f t="shared" si="23"/>
        <v/>
      </c>
      <c r="AM66" s="55"/>
      <c r="AN66" s="55">
        <f t="shared" si="26"/>
        <v>3.7461693409722971</v>
      </c>
      <c r="AO66" s="55">
        <f t="shared" si="27"/>
        <v>1.9355023484801812</v>
      </c>
      <c r="AP66" s="55">
        <f t="shared" si="28"/>
        <v>1.22</v>
      </c>
      <c r="AQ66" s="55"/>
      <c r="AR66" s="55"/>
      <c r="AS66" s="55"/>
      <c r="AT66" s="55"/>
      <c r="AU66" s="30"/>
      <c r="AV66" s="30"/>
      <c r="AW66" s="2"/>
      <c r="AX66" s="2"/>
    </row>
    <row r="67" spans="1:50" x14ac:dyDescent="0.2">
      <c r="A67" s="2"/>
      <c r="B67" s="61">
        <f t="shared" si="9"/>
        <v>41658</v>
      </c>
      <c r="C67" s="62">
        <f t="shared" si="10"/>
        <v>19</v>
      </c>
      <c r="D67" s="63">
        <f t="shared" si="11"/>
        <v>1.0631977812099955</v>
      </c>
      <c r="G67" s="357" t="str">
        <f>IF(MakeSchedule!C34="","",MakeSchedule!C34)</f>
        <v/>
      </c>
      <c r="H67" s="358"/>
      <c r="I67" s="358"/>
      <c r="J67" s="359" t="str">
        <f>IF(MakeSchedule!B34="","",MakeSchedule!B34)</f>
        <v/>
      </c>
      <c r="K67" s="63">
        <f t="shared" si="12"/>
        <v>1.0631977812099955</v>
      </c>
      <c r="L67" s="63">
        <f t="shared" si="13"/>
        <v>1.0631977812099955</v>
      </c>
      <c r="M67" s="63">
        <f t="shared" si="14"/>
        <v>3.5815971879427195</v>
      </c>
      <c r="N67" s="63" t="str">
        <f t="shared" si="0"/>
        <v/>
      </c>
      <c r="O67" s="64">
        <f t="shared" si="15"/>
        <v>1.22</v>
      </c>
      <c r="P67" s="63" t="str">
        <f t="shared" si="16"/>
        <v/>
      </c>
      <c r="Q67" s="64" t="e">
        <f t="shared" si="1"/>
        <v>#N/A</v>
      </c>
      <c r="R67" s="63">
        <f t="shared" si="2"/>
        <v>1.22</v>
      </c>
      <c r="S67" s="65">
        <f t="shared" si="3"/>
        <v>0.35</v>
      </c>
      <c r="T67" s="65">
        <f t="shared" si="17"/>
        <v>1.2</v>
      </c>
      <c r="U67" s="64" t="e">
        <f t="shared" si="18"/>
        <v>#N/A</v>
      </c>
      <c r="V67" s="63">
        <f t="shared" si="4"/>
        <v>1.2758373374519947</v>
      </c>
      <c r="W67" s="63" t="str">
        <f t="shared" si="5"/>
        <v/>
      </c>
      <c r="X67" s="63">
        <f t="shared" si="19"/>
        <v>0</v>
      </c>
      <c r="Y67" s="55"/>
      <c r="Z67" s="55"/>
      <c r="AA67" s="55"/>
      <c r="AB67" s="55">
        <f>PMSplint!N68</f>
        <v>1.0631977812099955</v>
      </c>
      <c r="AC67" s="55">
        <f>PMSplint!N68</f>
        <v>1.0631977812099955</v>
      </c>
      <c r="AD67" s="55">
        <f>IF(RnSplint!N68&lt;0,0,RnSplint!N68)</f>
        <v>3.5815971879427195</v>
      </c>
      <c r="AE67" s="55">
        <f>IF(RnSplint!N68&lt;0,0,RnSplint!N68)</f>
        <v>3.5815971879427195</v>
      </c>
      <c r="AF67" s="30">
        <v>15</v>
      </c>
      <c r="AG67" s="30">
        <f t="shared" si="20"/>
        <v>31.14661482839146</v>
      </c>
      <c r="AH67" s="30">
        <f t="shared" si="24"/>
        <v>5.5809152321453031</v>
      </c>
      <c r="AI67" s="55" t="str">
        <f t="shared" si="21"/>
        <v/>
      </c>
      <c r="AJ67" s="55" t="str">
        <f t="shared" si="22"/>
        <v/>
      </c>
      <c r="AK67" s="55" t="str">
        <f t="shared" si="25"/>
        <v/>
      </c>
      <c r="AL67" s="55" t="str">
        <f t="shared" si="23"/>
        <v/>
      </c>
      <c r="AM67" s="55"/>
      <c r="AN67" s="55">
        <f t="shared" si="26"/>
        <v>3.8079461834086588</v>
      </c>
      <c r="AO67" s="55">
        <f t="shared" si="27"/>
        <v>1.9513959576182018</v>
      </c>
      <c r="AP67" s="55">
        <f t="shared" si="28"/>
        <v>1.22</v>
      </c>
      <c r="AQ67" s="55"/>
      <c r="AR67" s="55"/>
      <c r="AS67" s="55"/>
      <c r="AT67" s="55"/>
      <c r="AU67" s="30"/>
      <c r="AV67" s="30"/>
      <c r="AW67" s="2"/>
      <c r="AX67" s="2"/>
    </row>
    <row r="68" spans="1:50" x14ac:dyDescent="0.2">
      <c r="A68" s="2"/>
      <c r="B68" s="61">
        <f t="shared" si="9"/>
        <v>41659</v>
      </c>
      <c r="C68" s="62">
        <f t="shared" si="10"/>
        <v>20</v>
      </c>
      <c r="D68" s="63">
        <f t="shared" si="11"/>
        <v>1.0798122249716882</v>
      </c>
      <c r="G68" s="357" t="str">
        <f>IF(MakeSchedule!C35="","",MakeSchedule!C35)</f>
        <v/>
      </c>
      <c r="H68" s="358"/>
      <c r="I68" s="358"/>
      <c r="J68" s="359" t="str">
        <f>IF(MakeSchedule!B35="","",MakeSchedule!B35)</f>
        <v/>
      </c>
      <c r="K68" s="63">
        <f t="shared" si="12"/>
        <v>1.0798122249716882</v>
      </c>
      <c r="L68" s="63">
        <f t="shared" si="13"/>
        <v>1.0798122249716882</v>
      </c>
      <c r="M68" s="63">
        <f t="shared" si="14"/>
        <v>3.5924613034112216</v>
      </c>
      <c r="N68" s="63" t="str">
        <f t="shared" si="0"/>
        <v/>
      </c>
      <c r="O68" s="64">
        <f t="shared" si="15"/>
        <v>1.22</v>
      </c>
      <c r="P68" s="63" t="str">
        <f t="shared" si="16"/>
        <v/>
      </c>
      <c r="Q68" s="64" t="e">
        <f t="shared" si="1"/>
        <v>#N/A</v>
      </c>
      <c r="R68" s="63">
        <f t="shared" si="2"/>
        <v>1.22</v>
      </c>
      <c r="S68" s="65">
        <f t="shared" si="3"/>
        <v>0.35</v>
      </c>
      <c r="T68" s="65">
        <f t="shared" si="17"/>
        <v>1.2</v>
      </c>
      <c r="U68" s="64" t="e">
        <f t="shared" si="18"/>
        <v>#N/A</v>
      </c>
      <c r="V68" s="63">
        <f t="shared" si="4"/>
        <v>1.2957746699660257</v>
      </c>
      <c r="W68" s="63" t="str">
        <f t="shared" si="5"/>
        <v/>
      </c>
      <c r="X68" s="63">
        <f t="shared" si="19"/>
        <v>0</v>
      </c>
      <c r="Y68" s="55"/>
      <c r="Z68" s="55"/>
      <c r="AA68" s="55"/>
      <c r="AB68" s="55">
        <f>PMSplint!N69</f>
        <v>1.0798122249716882</v>
      </c>
      <c r="AC68" s="55">
        <f>PMSplint!N69</f>
        <v>1.0798122249716882</v>
      </c>
      <c r="AD68" s="55">
        <f>IF(RnSplint!N69&lt;0,0,RnSplint!N69)</f>
        <v>3.5924613034112216</v>
      </c>
      <c r="AE68" s="55">
        <f>IF(RnSplint!N69&lt;0,0,RnSplint!N69)</f>
        <v>3.5924613034112216</v>
      </c>
      <c r="AF68" s="30">
        <v>16</v>
      </c>
      <c r="AG68" s="30">
        <f t="shared" si="20"/>
        <v>33.22305581695089</v>
      </c>
      <c r="AH68" s="30">
        <f t="shared" si="24"/>
        <v>5.7639444668517488</v>
      </c>
      <c r="AI68" s="55" t="str">
        <f t="shared" si="21"/>
        <v/>
      </c>
      <c r="AJ68" s="55" t="str">
        <f t="shared" si="22"/>
        <v/>
      </c>
      <c r="AK68" s="55" t="str">
        <f t="shared" si="25"/>
        <v/>
      </c>
      <c r="AL68" s="55" t="str">
        <f t="shared" si="23"/>
        <v/>
      </c>
      <c r="AM68" s="55"/>
      <c r="AN68" s="55">
        <f t="shared" si="26"/>
        <v>3.879183633161162</v>
      </c>
      <c r="AO68" s="55">
        <f t="shared" si="27"/>
        <v>1.9695643257231183</v>
      </c>
      <c r="AP68" s="55">
        <f t="shared" si="28"/>
        <v>1.22</v>
      </c>
      <c r="AQ68" s="55"/>
      <c r="AR68" s="55"/>
      <c r="AS68" s="55"/>
      <c r="AT68" s="55"/>
      <c r="AU68" s="30"/>
      <c r="AV68" s="30"/>
      <c r="AW68" s="2"/>
      <c r="AX68" s="2"/>
    </row>
    <row r="69" spans="1:50" x14ac:dyDescent="0.2">
      <c r="A69" s="2"/>
      <c r="B69" s="61">
        <f t="shared" si="9"/>
        <v>41660</v>
      </c>
      <c r="C69" s="62">
        <f t="shared" si="10"/>
        <v>21</v>
      </c>
      <c r="D69" s="63">
        <f t="shared" si="11"/>
        <v>1.0971531512430717</v>
      </c>
      <c r="G69" s="357" t="str">
        <f>IF(MakeSchedule!C36="","",MakeSchedule!C36)</f>
        <v/>
      </c>
      <c r="H69" s="358"/>
      <c r="I69" s="358"/>
      <c r="J69" s="359" t="str">
        <f>IF(MakeSchedule!B36="","",MakeSchedule!B36)</f>
        <v/>
      </c>
      <c r="K69" s="63">
        <f t="shared" si="12"/>
        <v>1.0971531512430717</v>
      </c>
      <c r="L69" s="63">
        <f t="shared" si="13"/>
        <v>1.0971531512430717</v>
      </c>
      <c r="M69" s="63">
        <f t="shared" si="14"/>
        <v>3.6089277984621271</v>
      </c>
      <c r="N69" s="63" t="str">
        <f t="shared" si="0"/>
        <v/>
      </c>
      <c r="O69" s="64">
        <f t="shared" si="15"/>
        <v>1.22</v>
      </c>
      <c r="P69" s="63" t="str">
        <f t="shared" si="16"/>
        <v/>
      </c>
      <c r="Q69" s="64" t="e">
        <f t="shared" si="1"/>
        <v>#N/A</v>
      </c>
      <c r="R69" s="63">
        <f t="shared" si="2"/>
        <v>1.22</v>
      </c>
      <c r="S69" s="65">
        <f t="shared" si="3"/>
        <v>0.35</v>
      </c>
      <c r="T69" s="65">
        <f t="shared" si="17"/>
        <v>1.2</v>
      </c>
      <c r="U69" s="64" t="e">
        <f t="shared" si="18"/>
        <v>#N/A</v>
      </c>
      <c r="V69" s="63">
        <f t="shared" si="4"/>
        <v>1.3165837814916859</v>
      </c>
      <c r="W69" s="63" t="str">
        <f t="shared" si="5"/>
        <v/>
      </c>
      <c r="X69" s="63">
        <f t="shared" si="19"/>
        <v>0</v>
      </c>
      <c r="Y69" s="55"/>
      <c r="Z69" s="55"/>
      <c r="AA69" s="55"/>
      <c r="AB69" s="55">
        <f>PMSplint!N70</f>
        <v>1.0971531512430717</v>
      </c>
      <c r="AC69" s="55">
        <f>PMSplint!N70</f>
        <v>1.0971531512430717</v>
      </c>
      <c r="AD69" s="55">
        <f>IF(RnSplint!N70&lt;0,0,RnSplint!N70)</f>
        <v>3.6089277984621271</v>
      </c>
      <c r="AE69" s="55">
        <f>IF(RnSplint!N70&lt;0,0,RnSplint!N70)</f>
        <v>3.6089277984621271</v>
      </c>
      <c r="AF69" s="30">
        <v>17</v>
      </c>
      <c r="AG69" s="30">
        <f t="shared" si="20"/>
        <v>35.299496805510323</v>
      </c>
      <c r="AH69" s="30">
        <f t="shared" si="24"/>
        <v>5.941337964256058</v>
      </c>
      <c r="AI69" s="55" t="str">
        <f t="shared" si="21"/>
        <v/>
      </c>
      <c r="AJ69" s="55" t="str">
        <f t="shared" si="22"/>
        <v/>
      </c>
      <c r="AK69" s="55" t="str">
        <f t="shared" si="25"/>
        <v/>
      </c>
      <c r="AL69" s="55" t="str">
        <f t="shared" si="23"/>
        <v/>
      </c>
      <c r="AM69" s="55"/>
      <c r="AN69" s="55">
        <f t="shared" si="26"/>
        <v>3.9595465066914439</v>
      </c>
      <c r="AO69" s="55">
        <f t="shared" si="27"/>
        <v>1.9898609264698486</v>
      </c>
      <c r="AP69" s="55">
        <f t="shared" si="28"/>
        <v>1.22</v>
      </c>
      <c r="AQ69" s="55"/>
      <c r="AR69" s="55"/>
      <c r="AS69" s="55"/>
      <c r="AT69" s="55"/>
      <c r="AU69" s="30"/>
      <c r="AV69" s="30"/>
      <c r="AW69" s="2"/>
      <c r="AX69" s="2"/>
    </row>
    <row r="70" spans="1:50" x14ac:dyDescent="0.2">
      <c r="A70" s="2"/>
      <c r="B70" s="61">
        <f t="shared" si="9"/>
        <v>41661</v>
      </c>
      <c r="C70" s="62">
        <f t="shared" si="10"/>
        <v>22</v>
      </c>
      <c r="D70" s="63">
        <f t="shared" si="11"/>
        <v>1.1151956877967413</v>
      </c>
      <c r="G70" s="357" t="str">
        <f>IF(MakeSchedule!C37="","",MakeSchedule!C37)</f>
        <v/>
      </c>
      <c r="H70" s="358"/>
      <c r="I70" s="358"/>
      <c r="J70" s="359" t="str">
        <f>IF(MakeSchedule!B37="","",MakeSchedule!B37)</f>
        <v/>
      </c>
      <c r="K70" s="63">
        <f t="shared" si="12"/>
        <v>1.1151956877967413</v>
      </c>
      <c r="L70" s="63">
        <f t="shared" si="13"/>
        <v>1.1151956877967413</v>
      </c>
      <c r="M70" s="63">
        <f t="shared" si="14"/>
        <v>3.6304723410505408</v>
      </c>
      <c r="N70" s="63" t="str">
        <f t="shared" si="0"/>
        <v/>
      </c>
      <c r="O70" s="64">
        <f t="shared" si="15"/>
        <v>1.22</v>
      </c>
      <c r="P70" s="63" t="str">
        <f t="shared" si="16"/>
        <v/>
      </c>
      <c r="Q70" s="64" t="e">
        <f t="shared" si="1"/>
        <v>#N/A</v>
      </c>
      <c r="R70" s="63">
        <f t="shared" si="2"/>
        <v>1.22</v>
      </c>
      <c r="S70" s="65">
        <f t="shared" si="3"/>
        <v>0.35</v>
      </c>
      <c r="T70" s="65">
        <f t="shared" si="17"/>
        <v>1.2</v>
      </c>
      <c r="U70" s="64" t="e">
        <f t="shared" si="18"/>
        <v>#N/A</v>
      </c>
      <c r="V70" s="63">
        <f t="shared" si="4"/>
        <v>1.3382348253560894</v>
      </c>
      <c r="W70" s="63" t="str">
        <f t="shared" si="5"/>
        <v/>
      </c>
      <c r="X70" s="63">
        <f t="shared" si="19"/>
        <v>0</v>
      </c>
      <c r="Y70" s="55"/>
      <c r="Z70" s="55"/>
      <c r="AA70" s="55"/>
      <c r="AB70" s="55">
        <f>PMSplint!N71</f>
        <v>1.1151956877967413</v>
      </c>
      <c r="AC70" s="55">
        <f>PMSplint!N71</f>
        <v>1.1151956877967413</v>
      </c>
      <c r="AD70" s="55">
        <f>IF(RnSplint!N71&lt;0,0,RnSplint!N71)</f>
        <v>3.6304723410505408</v>
      </c>
      <c r="AE70" s="55">
        <f>IF(RnSplint!N71&lt;0,0,RnSplint!N71)</f>
        <v>3.6304723410505408</v>
      </c>
      <c r="AF70" s="30">
        <v>18</v>
      </c>
      <c r="AG70" s="30">
        <f t="shared" si="20"/>
        <v>37.375937794069749</v>
      </c>
      <c r="AH70" s="30">
        <f t="shared" si="24"/>
        <v>6.1135863283403262</v>
      </c>
      <c r="AI70" s="55" t="str">
        <f t="shared" si="21"/>
        <v/>
      </c>
      <c r="AJ70" s="55" t="str">
        <f t="shared" si="22"/>
        <v/>
      </c>
      <c r="AK70" s="55" t="str">
        <f t="shared" si="25"/>
        <v/>
      </c>
      <c r="AL70" s="55" t="str">
        <f t="shared" si="23"/>
        <v/>
      </c>
      <c r="AM70" s="55"/>
      <c r="AN70" s="55">
        <f t="shared" si="26"/>
        <v>4.0486870994049031</v>
      </c>
      <c r="AO70" s="55">
        <f t="shared" si="27"/>
        <v>2.0121349605344325</v>
      </c>
      <c r="AP70" s="55">
        <f t="shared" si="28"/>
        <v>1.22</v>
      </c>
      <c r="AQ70" s="55"/>
      <c r="AR70" s="55"/>
      <c r="AS70" s="55"/>
      <c r="AT70" s="55"/>
      <c r="AU70" s="30"/>
      <c r="AV70" s="30"/>
      <c r="AW70" s="2"/>
      <c r="AX70" s="2"/>
    </row>
    <row r="71" spans="1:50" x14ac:dyDescent="0.2">
      <c r="A71" s="2"/>
      <c r="B71" s="61">
        <f t="shared" si="9"/>
        <v>41662</v>
      </c>
      <c r="C71" s="62">
        <f t="shared" si="10"/>
        <v>23</v>
      </c>
      <c r="D71" s="63">
        <f t="shared" si="11"/>
        <v>1.133914962405292</v>
      </c>
      <c r="G71" s="357" t="str">
        <f>IF(MakeSchedule!C38="","",MakeSchedule!C38)</f>
        <v/>
      </c>
      <c r="H71" s="358"/>
      <c r="I71" s="358"/>
      <c r="J71" s="359" t="str">
        <f>IF(MakeSchedule!B38="","",MakeSchedule!B38)</f>
        <v/>
      </c>
      <c r="K71" s="63">
        <f t="shared" si="12"/>
        <v>1.133914962405292</v>
      </c>
      <c r="L71" s="63">
        <f t="shared" si="13"/>
        <v>1.133914962405292</v>
      </c>
      <c r="M71" s="63">
        <f t="shared" si="14"/>
        <v>3.6565705991315651</v>
      </c>
      <c r="N71" s="63" t="str">
        <f t="shared" si="0"/>
        <v/>
      </c>
      <c r="O71" s="64">
        <f t="shared" si="15"/>
        <v>1.22</v>
      </c>
      <c r="P71" s="63" t="str">
        <f t="shared" si="16"/>
        <v/>
      </c>
      <c r="Q71" s="64" t="e">
        <f t="shared" si="1"/>
        <v>#N/A</v>
      </c>
      <c r="R71" s="63">
        <f t="shared" si="2"/>
        <v>1.22</v>
      </c>
      <c r="S71" s="65">
        <f t="shared" si="3"/>
        <v>0.35</v>
      </c>
      <c r="T71" s="65">
        <f t="shared" si="17"/>
        <v>1.2</v>
      </c>
      <c r="U71" s="64" t="e">
        <f t="shared" si="18"/>
        <v>#N/A</v>
      </c>
      <c r="V71" s="63">
        <f t="shared" si="4"/>
        <v>1.3606979548863503</v>
      </c>
      <c r="W71" s="63" t="str">
        <f t="shared" si="5"/>
        <v/>
      </c>
      <c r="X71" s="63">
        <f t="shared" si="19"/>
        <v>0</v>
      </c>
      <c r="Y71" s="55"/>
      <c r="Z71" s="55"/>
      <c r="AA71" s="55"/>
      <c r="AB71" s="55">
        <f>PMSplint!N72</f>
        <v>1.133914962405292</v>
      </c>
      <c r="AC71" s="55">
        <f>PMSplint!N72</f>
        <v>1.133914962405292</v>
      </c>
      <c r="AD71" s="55">
        <f>IF(RnSplint!N72&lt;0,0,RnSplint!N72)</f>
        <v>3.6565705991315651</v>
      </c>
      <c r="AE71" s="55">
        <f>IF(RnSplint!N72&lt;0,0,RnSplint!N72)</f>
        <v>3.6565705991315651</v>
      </c>
      <c r="AF71" s="30">
        <v>19</v>
      </c>
      <c r="AG71" s="30">
        <f t="shared" si="20"/>
        <v>39.452378782629182</v>
      </c>
      <c r="AH71" s="30">
        <f t="shared" si="24"/>
        <v>6.2811128617967995</v>
      </c>
      <c r="AI71" s="55" t="str">
        <f t="shared" si="21"/>
        <v/>
      </c>
      <c r="AJ71" s="55" t="str">
        <f t="shared" si="22"/>
        <v/>
      </c>
      <c r="AK71" s="55" t="str">
        <f t="shared" si="25"/>
        <v/>
      </c>
      <c r="AL71" s="55" t="str">
        <f t="shared" si="23"/>
        <v/>
      </c>
      <c r="AM71" s="55"/>
      <c r="AN71" s="55">
        <f t="shared" si="26"/>
        <v>4.1462401134465647</v>
      </c>
      <c r="AO71" s="55">
        <f t="shared" si="27"/>
        <v>2.0362318417720919</v>
      </c>
      <c r="AP71" s="55">
        <f t="shared" si="28"/>
        <v>1.22</v>
      </c>
      <c r="AQ71" s="55"/>
      <c r="AR71" s="55"/>
      <c r="AS71" s="55"/>
      <c r="AT71" s="55"/>
      <c r="AU71" s="30"/>
      <c r="AV71" s="30"/>
      <c r="AW71" s="2"/>
      <c r="AX71" s="2"/>
    </row>
    <row r="72" spans="1:50" x14ac:dyDescent="0.2">
      <c r="A72" s="2"/>
      <c r="B72" s="61">
        <f t="shared" si="9"/>
        <v>41663</v>
      </c>
      <c r="C72" s="62">
        <f t="shared" si="10"/>
        <v>24</v>
      </c>
      <c r="D72" s="63">
        <f t="shared" si="11"/>
        <v>1.1532861028413177</v>
      </c>
      <c r="G72" s="357" t="str">
        <f>IF(MakeSchedule!C39="","",MakeSchedule!C39)</f>
        <v/>
      </c>
      <c r="H72" s="358"/>
      <c r="I72" s="358"/>
      <c r="J72" s="359" t="str">
        <f>IF(MakeSchedule!B39="","",MakeSchedule!B39)</f>
        <v/>
      </c>
      <c r="K72" s="63">
        <f t="shared" si="12"/>
        <v>1.1532861028413177</v>
      </c>
      <c r="L72" s="63">
        <f t="shared" si="13"/>
        <v>1.1532861028413177</v>
      </c>
      <c r="M72" s="63">
        <f t="shared" si="14"/>
        <v>3.6866982406603026</v>
      </c>
      <c r="N72" s="63" t="str">
        <f t="shared" si="0"/>
        <v/>
      </c>
      <c r="O72" s="64">
        <f t="shared" si="15"/>
        <v>1.22</v>
      </c>
      <c r="P72" s="63" t="str">
        <f t="shared" si="16"/>
        <v/>
      </c>
      <c r="Q72" s="64" t="e">
        <f t="shared" si="1"/>
        <v>#N/A</v>
      </c>
      <c r="R72" s="63">
        <f t="shared" si="2"/>
        <v>1.22</v>
      </c>
      <c r="S72" s="65">
        <f t="shared" si="3"/>
        <v>0.35</v>
      </c>
      <c r="T72" s="65">
        <f t="shared" si="17"/>
        <v>1.2</v>
      </c>
      <c r="U72" s="64" t="e">
        <f t="shared" si="18"/>
        <v>#N/A</v>
      </c>
      <c r="V72" s="63">
        <f t="shared" si="4"/>
        <v>1.3839433234095813</v>
      </c>
      <c r="W72" s="63" t="str">
        <f t="shared" si="5"/>
        <v/>
      </c>
      <c r="X72" s="63">
        <f t="shared" si="19"/>
        <v>0</v>
      </c>
      <c r="Y72" s="55"/>
      <c r="Z72" s="55"/>
      <c r="AA72" s="55"/>
      <c r="AB72" s="55">
        <f>PMSplint!N73</f>
        <v>1.1532861028413177</v>
      </c>
      <c r="AC72" s="55">
        <f>PMSplint!N73</f>
        <v>1.1532861028413177</v>
      </c>
      <c r="AD72" s="55">
        <f>IF(RnSplint!N73&lt;0,0,RnSplint!N73)</f>
        <v>3.6866982406603026</v>
      </c>
      <c r="AE72" s="55">
        <f>IF(RnSplint!N73&lt;0,0,RnSplint!N73)</f>
        <v>3.6866982406603026</v>
      </c>
      <c r="AF72" s="30">
        <v>20</v>
      </c>
      <c r="AG72" s="30">
        <f t="shared" si="20"/>
        <v>41.528819771188608</v>
      </c>
      <c r="AH72" s="30">
        <f t="shared" si="24"/>
        <v>6.4442858232071467</v>
      </c>
      <c r="AI72" s="55" t="str">
        <f t="shared" si="21"/>
        <v/>
      </c>
      <c r="AJ72" s="55" t="str">
        <f t="shared" si="22"/>
        <v/>
      </c>
      <c r="AK72" s="55" t="str">
        <f t="shared" si="25"/>
        <v/>
      </c>
      <c r="AL72" s="55" t="str">
        <f t="shared" si="23"/>
        <v/>
      </c>
      <c r="AM72" s="55"/>
      <c r="AN72" s="55">
        <f t="shared" si="26"/>
        <v>4.2518178463230631</v>
      </c>
      <c r="AO72" s="55">
        <f t="shared" si="27"/>
        <v>2.061993658167518</v>
      </c>
      <c r="AP72" s="55">
        <f t="shared" si="28"/>
        <v>1.22</v>
      </c>
      <c r="AQ72" s="55"/>
      <c r="AR72" s="55"/>
      <c r="AS72" s="55"/>
      <c r="AT72" s="55"/>
      <c r="AU72" s="30"/>
      <c r="AV72" s="30"/>
      <c r="AW72" s="2"/>
      <c r="AX72" s="2"/>
    </row>
    <row r="73" spans="1:50" x14ac:dyDescent="0.2">
      <c r="A73" s="2"/>
      <c r="B73" s="61">
        <f t="shared" si="9"/>
        <v>41664</v>
      </c>
      <c r="C73" s="62">
        <f t="shared" si="10"/>
        <v>25</v>
      </c>
      <c r="D73" s="63">
        <f t="shared" si="11"/>
        <v>1.1732842368774141</v>
      </c>
      <c r="G73" s="357" t="str">
        <f>IF(MakeSchedule!C40="","",MakeSchedule!C40)</f>
        <v/>
      </c>
      <c r="H73" s="358"/>
      <c r="I73" s="358"/>
      <c r="J73" s="359" t="str">
        <f>IF(MakeSchedule!B40="","",MakeSchedule!B40)</f>
        <v/>
      </c>
      <c r="K73" s="63">
        <f t="shared" si="12"/>
        <v>1.1732842368774141</v>
      </c>
      <c r="L73" s="63">
        <f t="shared" si="13"/>
        <v>1.1732842368774141</v>
      </c>
      <c r="M73" s="63">
        <f t="shared" si="14"/>
        <v>3.7203309335918551</v>
      </c>
      <c r="N73" s="63" t="str">
        <f t="shared" si="0"/>
        <v/>
      </c>
      <c r="O73" s="64">
        <f t="shared" si="15"/>
        <v>1.2157416964498184</v>
      </c>
      <c r="P73" s="63" t="str">
        <f t="shared" si="16"/>
        <v/>
      </c>
      <c r="Q73" s="64" t="e">
        <f t="shared" si="1"/>
        <v>#N/A</v>
      </c>
      <c r="R73" s="63">
        <f t="shared" si="2"/>
        <v>1.2157416964498184</v>
      </c>
      <c r="S73" s="65">
        <f t="shared" si="3"/>
        <v>0.35</v>
      </c>
      <c r="T73" s="65">
        <f t="shared" si="17"/>
        <v>1.2</v>
      </c>
      <c r="U73" s="64" t="e">
        <f t="shared" si="18"/>
        <v>#N/A</v>
      </c>
      <c r="V73" s="63">
        <f t="shared" si="4"/>
        <v>1.407941084252897</v>
      </c>
      <c r="W73" s="63" t="str">
        <f t="shared" si="5"/>
        <v/>
      </c>
      <c r="X73" s="63">
        <f t="shared" si="19"/>
        <v>0</v>
      </c>
      <c r="Y73" s="55"/>
      <c r="Z73" s="55"/>
      <c r="AA73" s="55"/>
      <c r="AB73" s="55">
        <f>PMSplint!N74</f>
        <v>1.1732842368774141</v>
      </c>
      <c r="AC73" s="55">
        <f>PMSplint!N74</f>
        <v>1.1732842368774141</v>
      </c>
      <c r="AD73" s="55">
        <f>IF(RnSplint!N74&lt;0,0,RnSplint!N74)</f>
        <v>3.7203309335918551</v>
      </c>
      <c r="AE73" s="55">
        <f>IF(RnSplint!N74&lt;0,0,RnSplint!N74)</f>
        <v>3.7203309335918551</v>
      </c>
      <c r="AF73" s="30">
        <v>21</v>
      </c>
      <c r="AG73" s="30">
        <f t="shared" si="20"/>
        <v>43.605260759748042</v>
      </c>
      <c r="AH73" s="30">
        <f t="shared" si="24"/>
        <v>6.603427955217505</v>
      </c>
      <c r="AI73" s="55" t="str">
        <f t="shared" si="21"/>
        <v/>
      </c>
      <c r="AJ73" s="55" t="str">
        <f t="shared" si="22"/>
        <v/>
      </c>
      <c r="AK73" s="55" t="str">
        <f t="shared" si="25"/>
        <v/>
      </c>
      <c r="AL73" s="55" t="str">
        <f t="shared" si="23"/>
        <v/>
      </c>
      <c r="AM73" s="55"/>
      <c r="AN73" s="55">
        <f t="shared" si="26"/>
        <v>4.3650056403507573</v>
      </c>
      <c r="AO73" s="55">
        <f t="shared" si="27"/>
        <v>2.0892595914224632</v>
      </c>
      <c r="AP73" s="55">
        <f t="shared" si="28"/>
        <v>1.2157416964498184</v>
      </c>
      <c r="AQ73" s="55"/>
      <c r="AR73" s="55"/>
      <c r="AS73" s="55"/>
      <c r="AT73" s="55"/>
      <c r="AU73" s="30"/>
      <c r="AV73" s="30"/>
      <c r="AW73" s="2"/>
      <c r="AX73" s="2"/>
    </row>
    <row r="74" spans="1:50" x14ac:dyDescent="0.2">
      <c r="A74" s="2"/>
      <c r="B74" s="61">
        <f t="shared" si="9"/>
        <v>41665</v>
      </c>
      <c r="C74" s="62">
        <f t="shared" si="10"/>
        <v>26</v>
      </c>
      <c r="D74" s="63">
        <f t="shared" si="11"/>
        <v>1.193884492286176</v>
      </c>
      <c r="G74" s="357" t="str">
        <f>IF(MakeSchedule!C41="","",MakeSchedule!C41)</f>
        <v/>
      </c>
      <c r="H74" s="358"/>
      <c r="I74" s="358"/>
      <c r="J74" s="359" t="str">
        <f>IF(MakeSchedule!B41="","",MakeSchedule!B41)</f>
        <v/>
      </c>
      <c r="K74" s="63">
        <f t="shared" si="12"/>
        <v>1.193884492286176</v>
      </c>
      <c r="L74" s="63">
        <f t="shared" si="13"/>
        <v>1.193884492286176</v>
      </c>
      <c r="M74" s="63">
        <f t="shared" si="14"/>
        <v>3.7569443458813279</v>
      </c>
      <c r="N74" s="63" t="str">
        <f t="shared" si="0"/>
        <v/>
      </c>
      <c r="O74" s="64">
        <f t="shared" si="15"/>
        <v>1.1993202877416496</v>
      </c>
      <c r="P74" s="63" t="str">
        <f t="shared" si="16"/>
        <v/>
      </c>
      <c r="Q74" s="64" t="e">
        <f t="shared" si="1"/>
        <v>#N/A</v>
      </c>
      <c r="R74" s="63">
        <f t="shared" si="2"/>
        <v>1.1993202877416496</v>
      </c>
      <c r="S74" s="65">
        <f t="shared" si="3"/>
        <v>0.35</v>
      </c>
      <c r="T74" s="65">
        <f t="shared" si="17"/>
        <v>1.2</v>
      </c>
      <c r="U74" s="64" t="e">
        <f t="shared" si="18"/>
        <v>#N/A</v>
      </c>
      <c r="V74" s="63">
        <f t="shared" si="4"/>
        <v>1.4326613907434111</v>
      </c>
      <c r="W74" s="63" t="str">
        <f t="shared" si="5"/>
        <v/>
      </c>
      <c r="X74" s="63">
        <f t="shared" si="19"/>
        <v>0</v>
      </c>
      <c r="Y74" s="55"/>
      <c r="Z74" s="55"/>
      <c r="AA74" s="55"/>
      <c r="AB74" s="55">
        <f>PMSplint!N75</f>
        <v>1.193884492286176</v>
      </c>
      <c r="AC74" s="55">
        <f>PMSplint!N75</f>
        <v>1.193884492286176</v>
      </c>
      <c r="AD74" s="55">
        <f>IF(RnSplint!N75&lt;0,0,RnSplint!N75)</f>
        <v>3.7569443458813279</v>
      </c>
      <c r="AE74" s="55">
        <f>IF(RnSplint!N75&lt;0,0,RnSplint!N75)</f>
        <v>3.7569443458813279</v>
      </c>
      <c r="AF74" s="30">
        <v>22</v>
      </c>
      <c r="AG74" s="30">
        <f t="shared" si="20"/>
        <v>45.681701748307475</v>
      </c>
      <c r="AH74" s="30">
        <f t="shared" si="24"/>
        <v>6.7588239915171249</v>
      </c>
      <c r="AI74" s="55" t="str">
        <f t="shared" si="21"/>
        <v/>
      </c>
      <c r="AJ74" s="55" t="str">
        <f t="shared" si="22"/>
        <v/>
      </c>
      <c r="AK74" s="55" t="str">
        <f t="shared" si="25"/>
        <v/>
      </c>
      <c r="AL74" s="55" t="str">
        <f t="shared" si="23"/>
        <v/>
      </c>
      <c r="AM74" s="55"/>
      <c r="AN74" s="55">
        <f t="shared" si="26"/>
        <v>4.4853575929299483</v>
      </c>
      <c r="AO74" s="55">
        <f t="shared" si="27"/>
        <v>2.1178662830617867</v>
      </c>
      <c r="AP74" s="55">
        <f t="shared" si="28"/>
        <v>1.1993202877416496</v>
      </c>
      <c r="AQ74" s="55"/>
      <c r="AR74" s="55"/>
      <c r="AS74" s="55"/>
      <c r="AT74" s="55"/>
      <c r="AU74" s="30"/>
      <c r="AV74" s="30"/>
      <c r="AW74" s="2"/>
      <c r="AX74" s="2"/>
    </row>
    <row r="75" spans="1:50" x14ac:dyDescent="0.2">
      <c r="A75" s="2"/>
      <c r="B75" s="61">
        <f t="shared" si="9"/>
        <v>41666</v>
      </c>
      <c r="C75" s="62">
        <f t="shared" si="10"/>
        <v>27</v>
      </c>
      <c r="D75" s="63">
        <f t="shared" si="11"/>
        <v>1.2150619968401979</v>
      </c>
      <c r="G75" s="357" t="str">
        <f>IF(MakeSchedule!C42="","",MakeSchedule!C42)</f>
        <v/>
      </c>
      <c r="H75" s="358"/>
      <c r="I75" s="358"/>
      <c r="J75" s="359" t="str">
        <f>IF(MakeSchedule!B42="","",MakeSchedule!B42)</f>
        <v/>
      </c>
      <c r="K75" s="63">
        <f t="shared" si="12"/>
        <v>1.2150619968401979</v>
      </c>
      <c r="L75" s="63">
        <f t="shared" si="13"/>
        <v>1.2150619968401979</v>
      </c>
      <c r="M75" s="63">
        <f t="shared" si="14"/>
        <v>3.7960141454838223</v>
      </c>
      <c r="N75" s="63" t="str">
        <f t="shared" si="0"/>
        <v/>
      </c>
      <c r="O75" s="64">
        <f t="shared" si="15"/>
        <v>1.1826890793861613</v>
      </c>
      <c r="P75" s="63" t="str">
        <f t="shared" si="16"/>
        <v/>
      </c>
      <c r="Q75" s="64" t="e">
        <f t="shared" si="1"/>
        <v>#N/A</v>
      </c>
      <c r="R75" s="63">
        <f t="shared" si="2"/>
        <v>1.1826890793861613</v>
      </c>
      <c r="S75" s="65">
        <f t="shared" si="3"/>
        <v>0.35</v>
      </c>
      <c r="T75" s="65">
        <f t="shared" si="17"/>
        <v>1.2</v>
      </c>
      <c r="U75" s="64" t="e">
        <f t="shared" si="18"/>
        <v>#N/A</v>
      </c>
      <c r="V75" s="63">
        <f t="shared" si="4"/>
        <v>1.4580743962082374</v>
      </c>
      <c r="W75" s="63" t="str">
        <f t="shared" si="5"/>
        <v/>
      </c>
      <c r="X75" s="63">
        <f t="shared" si="19"/>
        <v>0</v>
      </c>
      <c r="Y75" s="55"/>
      <c r="Z75" s="55"/>
      <c r="AA75" s="55"/>
      <c r="AB75" s="55">
        <f>PMSplint!N76</f>
        <v>1.2150619968401979</v>
      </c>
      <c r="AC75" s="55">
        <f>PMSplint!N76</f>
        <v>1.2150619968401979</v>
      </c>
      <c r="AD75" s="55">
        <f>IF(RnSplint!N76&lt;0,0,RnSplint!N76)</f>
        <v>3.7960141454838223</v>
      </c>
      <c r="AE75" s="55">
        <f>IF(RnSplint!N76&lt;0,0,RnSplint!N76)</f>
        <v>3.7960141454838223</v>
      </c>
      <c r="AF75" s="30">
        <v>23</v>
      </c>
      <c r="AG75" s="30">
        <f t="shared" si="20"/>
        <v>47.758142736866901</v>
      </c>
      <c r="AH75" s="30">
        <f t="shared" si="24"/>
        <v>6.9107266431878855</v>
      </c>
      <c r="AI75" s="55" t="str">
        <f t="shared" si="21"/>
        <v/>
      </c>
      <c r="AJ75" s="55" t="str">
        <f t="shared" si="22"/>
        <v/>
      </c>
      <c r="AK75" s="55" t="str">
        <f t="shared" si="25"/>
        <v/>
      </c>
      <c r="AL75" s="55" t="str">
        <f t="shared" si="23"/>
        <v/>
      </c>
      <c r="AM75" s="55"/>
      <c r="AN75" s="55">
        <f t="shared" si="26"/>
        <v>4.6123925276452109</v>
      </c>
      <c r="AO75" s="55">
        <f t="shared" si="27"/>
        <v>2.1476481386961903</v>
      </c>
      <c r="AP75" s="55">
        <f t="shared" si="28"/>
        <v>1.1826890793861613</v>
      </c>
      <c r="AQ75" s="55"/>
      <c r="AR75" s="55"/>
      <c r="AS75" s="55"/>
      <c r="AT75" s="55"/>
      <c r="AU75" s="30"/>
      <c r="AV75" s="30"/>
      <c r="AW75" s="2"/>
      <c r="AX75" s="2"/>
    </row>
    <row r="76" spans="1:50" x14ac:dyDescent="0.2">
      <c r="A76" s="2"/>
      <c r="B76" s="61">
        <f t="shared" si="9"/>
        <v>41667</v>
      </c>
      <c r="C76" s="62">
        <f t="shared" si="10"/>
        <v>28</v>
      </c>
      <c r="D76" s="63">
        <f t="shared" si="11"/>
        <v>1.236791878312075</v>
      </c>
      <c r="G76" s="357" t="str">
        <f>IF(MakeSchedule!C43="","",MakeSchedule!C43)</f>
        <v/>
      </c>
      <c r="H76" s="358"/>
      <c r="I76" s="358"/>
      <c r="J76" s="359" t="str">
        <f>IF(MakeSchedule!B43="","",MakeSchedule!B43)</f>
        <v/>
      </c>
      <c r="K76" s="63">
        <f t="shared" si="12"/>
        <v>1.236791878312075</v>
      </c>
      <c r="L76" s="63">
        <f t="shared" si="13"/>
        <v>1.236791878312075</v>
      </c>
      <c r="M76" s="63">
        <f t="shared" si="14"/>
        <v>3.837016000354442</v>
      </c>
      <c r="N76" s="63" t="str">
        <f t="shared" si="0"/>
        <v/>
      </c>
      <c r="O76" s="64">
        <f t="shared" si="15"/>
        <v>1.1659732830464802</v>
      </c>
      <c r="P76" s="63" t="str">
        <f t="shared" si="16"/>
        <v/>
      </c>
      <c r="Q76" s="64" t="e">
        <f t="shared" si="1"/>
        <v>#N/A</v>
      </c>
      <c r="R76" s="63">
        <f t="shared" si="2"/>
        <v>1.1659732830464802</v>
      </c>
      <c r="S76" s="65">
        <f t="shared" si="3"/>
        <v>0.35</v>
      </c>
      <c r="T76" s="65">
        <f t="shared" si="17"/>
        <v>1.2</v>
      </c>
      <c r="U76" s="64" t="e">
        <f t="shared" si="18"/>
        <v>#N/A</v>
      </c>
      <c r="V76" s="63">
        <f t="shared" si="4"/>
        <v>1.48415025397449</v>
      </c>
      <c r="W76" s="63" t="str">
        <f t="shared" si="5"/>
        <v/>
      </c>
      <c r="X76" s="63">
        <f t="shared" si="19"/>
        <v>0</v>
      </c>
      <c r="Y76" s="55"/>
      <c r="Z76" s="55"/>
      <c r="AA76" s="55"/>
      <c r="AB76" s="55">
        <f>PMSplint!N77</f>
        <v>1.236791878312075</v>
      </c>
      <c r="AC76" s="55">
        <f>PMSplint!N77</f>
        <v>1.236791878312075</v>
      </c>
      <c r="AD76" s="55">
        <f>IF(RnSplint!N77&lt;0,0,RnSplint!N77)</f>
        <v>3.837016000354442</v>
      </c>
      <c r="AE76" s="55">
        <f>IF(RnSplint!N77&lt;0,0,RnSplint!N77)</f>
        <v>3.837016000354442</v>
      </c>
      <c r="AF76" s="30">
        <v>24</v>
      </c>
      <c r="AG76" s="30">
        <f t="shared" si="20"/>
        <v>49.834583725426334</v>
      </c>
      <c r="AH76" s="30">
        <f t="shared" si="24"/>
        <v>7.0593614247626064</v>
      </c>
      <c r="AI76" s="55" t="str">
        <f t="shared" si="21"/>
        <v/>
      </c>
      <c r="AJ76" s="55" t="str">
        <f t="shared" si="22"/>
        <v/>
      </c>
      <c r="AK76" s="55" t="str">
        <f t="shared" si="25"/>
        <v/>
      </c>
      <c r="AL76" s="55" t="str">
        <f t="shared" si="23"/>
        <v/>
      </c>
      <c r="AM76" s="55"/>
      <c r="AN76" s="55">
        <f t="shared" si="26"/>
        <v>4.7455902261918563</v>
      </c>
      <c r="AO76" s="55">
        <f t="shared" si="27"/>
        <v>2.1784375653646482</v>
      </c>
      <c r="AP76" s="55">
        <f t="shared" si="28"/>
        <v>1.1659732830464802</v>
      </c>
      <c r="AQ76" s="55"/>
      <c r="AR76" s="55"/>
      <c r="AS76" s="55"/>
      <c r="AT76" s="55"/>
      <c r="AU76" s="30"/>
      <c r="AV76" s="30"/>
      <c r="AW76" s="2"/>
      <c r="AX76" s="2"/>
    </row>
    <row r="77" spans="1:50" x14ac:dyDescent="0.2">
      <c r="A77" s="2"/>
      <c r="B77" s="61">
        <f t="shared" si="9"/>
        <v>41668</v>
      </c>
      <c r="C77" s="62">
        <f t="shared" si="10"/>
        <v>29</v>
      </c>
      <c r="D77" s="63">
        <f t="shared" si="11"/>
        <v>1.2590492644744016</v>
      </c>
      <c r="G77" s="357" t="str">
        <f>IF(MakeSchedule!C44="","",MakeSchedule!C44)</f>
        <v/>
      </c>
      <c r="H77" s="358"/>
      <c r="I77" s="358"/>
      <c r="J77" s="359" t="str">
        <f>IF(MakeSchedule!B44="","",MakeSchedule!B44)</f>
        <v/>
      </c>
      <c r="K77" s="63">
        <f t="shared" si="12"/>
        <v>1.2590492644744016</v>
      </c>
      <c r="L77" s="63">
        <f t="shared" si="13"/>
        <v>1.2590492644744016</v>
      </c>
      <c r="M77" s="63">
        <f t="shared" si="14"/>
        <v>3.8794255784482887</v>
      </c>
      <c r="N77" s="63" t="str">
        <f t="shared" si="0"/>
        <v/>
      </c>
      <c r="O77" s="64">
        <f t="shared" si="15"/>
        <v>1.149287391817714</v>
      </c>
      <c r="P77" s="63" t="str">
        <f t="shared" si="16"/>
        <v/>
      </c>
      <c r="Q77" s="64" t="e">
        <f t="shared" si="1"/>
        <v>#N/A</v>
      </c>
      <c r="R77" s="63">
        <f t="shared" si="2"/>
        <v>1.149287391817714</v>
      </c>
      <c r="S77" s="65">
        <f t="shared" si="3"/>
        <v>0.35</v>
      </c>
      <c r="T77" s="65">
        <f t="shared" si="17"/>
        <v>1.2</v>
      </c>
      <c r="U77" s="64" t="e">
        <f t="shared" si="18"/>
        <v>#N/A</v>
      </c>
      <c r="V77" s="63">
        <f t="shared" si="4"/>
        <v>1.5108591173692818</v>
      </c>
      <c r="W77" s="63" t="str">
        <f t="shared" si="5"/>
        <v/>
      </c>
      <c r="X77" s="63">
        <f t="shared" si="19"/>
        <v>0</v>
      </c>
      <c r="Y77" s="55"/>
      <c r="Z77" s="55"/>
      <c r="AA77" s="55"/>
      <c r="AB77" s="55">
        <f>PMSplint!N78</f>
        <v>1.2590492644744016</v>
      </c>
      <c r="AC77" s="55">
        <f>PMSplint!N78</f>
        <v>1.2590492644744016</v>
      </c>
      <c r="AD77" s="55">
        <f>IF(RnSplint!N78&lt;0,0,RnSplint!N78)</f>
        <v>3.8794255784482887</v>
      </c>
      <c r="AE77" s="55">
        <f>IF(RnSplint!N78&lt;0,0,RnSplint!N78)</f>
        <v>3.8794255784482887</v>
      </c>
      <c r="AF77" s="30">
        <v>25</v>
      </c>
      <c r="AG77" s="30">
        <f t="shared" si="20"/>
        <v>51.911024713985768</v>
      </c>
      <c r="AH77" s="30">
        <f t="shared" si="24"/>
        <v>7.2049305835646864</v>
      </c>
      <c r="AI77" s="55" t="str">
        <f t="shared" si="21"/>
        <v/>
      </c>
      <c r="AJ77" s="55" t="str">
        <f t="shared" si="22"/>
        <v/>
      </c>
      <c r="AK77" s="55" t="str">
        <f t="shared" si="25"/>
        <v/>
      </c>
      <c r="AL77" s="55" t="str">
        <f t="shared" si="23"/>
        <v/>
      </c>
      <c r="AM77" s="55"/>
      <c r="AN77" s="55">
        <f t="shared" si="26"/>
        <v>4.8843879211284982</v>
      </c>
      <c r="AO77" s="55">
        <f t="shared" si="27"/>
        <v>2.2100651395668178</v>
      </c>
      <c r="AP77" s="55">
        <f t="shared" si="28"/>
        <v>1.149287391817714</v>
      </c>
      <c r="AQ77" s="55"/>
      <c r="AR77" s="55"/>
      <c r="AS77" s="55"/>
      <c r="AT77" s="55"/>
      <c r="AU77" s="30"/>
      <c r="AV77" s="30"/>
      <c r="AW77" s="2"/>
      <c r="AX77" s="2"/>
    </row>
    <row r="78" spans="1:50" x14ac:dyDescent="0.2">
      <c r="A78" s="2"/>
      <c r="B78" s="61">
        <f t="shared" si="9"/>
        <v>41669</v>
      </c>
      <c r="C78" s="62">
        <f t="shared" si="10"/>
        <v>30</v>
      </c>
      <c r="D78" s="63">
        <f t="shared" si="11"/>
        <v>1.2818092830997729</v>
      </c>
      <c r="G78" s="357" t="str">
        <f>IF(MakeSchedule!C45="","",MakeSchedule!C45)</f>
        <v/>
      </c>
      <c r="H78" s="358"/>
      <c r="I78" s="358"/>
      <c r="J78" s="359" t="str">
        <f>IF(MakeSchedule!B45="","",MakeSchedule!B45)</f>
        <v/>
      </c>
      <c r="K78" s="63">
        <f t="shared" si="12"/>
        <v>1.2818092830997729</v>
      </c>
      <c r="L78" s="63">
        <f t="shared" si="13"/>
        <v>1.2818092830997729</v>
      </c>
      <c r="M78" s="63">
        <f t="shared" si="14"/>
        <v>3.9227185477204669</v>
      </c>
      <c r="N78" s="63" t="str">
        <f t="shared" si="0"/>
        <v/>
      </c>
      <c r="O78" s="64">
        <f t="shared" si="15"/>
        <v>1.1327353027335305</v>
      </c>
      <c r="P78" s="63" t="str">
        <f t="shared" si="16"/>
        <v/>
      </c>
      <c r="Q78" s="64" t="e">
        <f t="shared" si="1"/>
        <v>#N/A</v>
      </c>
      <c r="R78" s="63">
        <f t="shared" si="2"/>
        <v>1.1327353027335305</v>
      </c>
      <c r="S78" s="65">
        <f t="shared" si="3"/>
        <v>0.35</v>
      </c>
      <c r="T78" s="65">
        <f t="shared" si="17"/>
        <v>1.2</v>
      </c>
      <c r="U78" s="64" t="e">
        <f t="shared" si="18"/>
        <v>#N/A</v>
      </c>
      <c r="V78" s="63">
        <f t="shared" si="4"/>
        <v>1.5381711397197275</v>
      </c>
      <c r="W78" s="63" t="str">
        <f t="shared" si="5"/>
        <v/>
      </c>
      <c r="X78" s="63">
        <f t="shared" si="19"/>
        <v>0</v>
      </c>
      <c r="Y78" s="55"/>
      <c r="Z78" s="55"/>
      <c r="AA78" s="55"/>
      <c r="AB78" s="55">
        <f>PMSplint!N79</f>
        <v>1.2818092830997729</v>
      </c>
      <c r="AC78" s="55">
        <f>PMSplint!N79</f>
        <v>1.2818092830997729</v>
      </c>
      <c r="AD78" s="55">
        <f>IF(RnSplint!N79&lt;0,0,RnSplint!N79)</f>
        <v>3.9227185477204669</v>
      </c>
      <c r="AE78" s="55">
        <f>IF(RnSplint!N79&lt;0,0,RnSplint!N79)</f>
        <v>3.9227185477204669</v>
      </c>
      <c r="AF78" s="30">
        <v>26</v>
      </c>
      <c r="AG78" s="30">
        <f t="shared" si="20"/>
        <v>53.987465702545194</v>
      </c>
      <c r="AH78" s="30">
        <f t="shared" si="24"/>
        <v>7.3476163279355564</v>
      </c>
      <c r="AI78" s="55" t="str">
        <f t="shared" si="21"/>
        <v/>
      </c>
      <c r="AJ78" s="55" t="str">
        <f t="shared" si="22"/>
        <v/>
      </c>
      <c r="AK78" s="55" t="str">
        <f t="shared" si="25"/>
        <v/>
      </c>
      <c r="AL78" s="55" t="str">
        <f t="shared" si="23"/>
        <v/>
      </c>
      <c r="AM78" s="55"/>
      <c r="AN78" s="55">
        <f t="shared" si="26"/>
        <v>5.0281770494557545</v>
      </c>
      <c r="AO78" s="55">
        <f t="shared" si="27"/>
        <v>2.2423597056350602</v>
      </c>
      <c r="AP78" s="55">
        <f t="shared" si="28"/>
        <v>1.1327353027335305</v>
      </c>
      <c r="AQ78" s="55"/>
      <c r="AR78" s="55"/>
      <c r="AS78" s="55"/>
      <c r="AT78" s="55"/>
      <c r="AU78" s="30"/>
      <c r="AV78" s="30"/>
      <c r="AW78" s="2"/>
      <c r="AX78" s="2"/>
    </row>
    <row r="79" spans="1:50" x14ac:dyDescent="0.2">
      <c r="A79" s="2"/>
      <c r="B79" s="61">
        <f t="shared" si="9"/>
        <v>41670</v>
      </c>
      <c r="C79" s="62">
        <f t="shared" si="10"/>
        <v>31</v>
      </c>
      <c r="D79" s="63">
        <f t="shared" si="11"/>
        <v>1.3050470619607843</v>
      </c>
      <c r="G79" s="357" t="str">
        <f>IF(MakeSchedule!C46="","",MakeSchedule!C46)</f>
        <v/>
      </c>
      <c r="H79" s="358"/>
      <c r="I79" s="358"/>
      <c r="J79" s="359" t="str">
        <f>IF(MakeSchedule!B46="","",MakeSchedule!B46)</f>
        <v/>
      </c>
      <c r="K79" s="63">
        <f t="shared" si="12"/>
        <v>1.3050470619607843</v>
      </c>
      <c r="L79" s="63">
        <f t="shared" si="13"/>
        <v>1.3050470619607843</v>
      </c>
      <c r="M79" s="63">
        <f t="shared" si="14"/>
        <v>3.9663705761260792</v>
      </c>
      <c r="N79" s="63" t="str">
        <f t="shared" si="0"/>
        <v/>
      </c>
      <c r="O79" s="64">
        <f t="shared" si="15"/>
        <v>1.1164106894594865</v>
      </c>
      <c r="P79" s="63" t="str">
        <f t="shared" si="16"/>
        <v/>
      </c>
      <c r="Q79" s="64" t="e">
        <f t="shared" si="1"/>
        <v>#N/A</v>
      </c>
      <c r="R79" s="63">
        <f t="shared" si="2"/>
        <v>1.1164106894594865</v>
      </c>
      <c r="S79" s="65">
        <f t="shared" si="3"/>
        <v>0.35</v>
      </c>
      <c r="T79" s="65">
        <f t="shared" si="17"/>
        <v>1.2</v>
      </c>
      <c r="U79" s="64" t="e">
        <f t="shared" si="18"/>
        <v>#N/A</v>
      </c>
      <c r="V79" s="63">
        <f t="shared" si="4"/>
        <v>1.5660564743529413</v>
      </c>
      <c r="W79" s="63" t="str">
        <f t="shared" si="5"/>
        <v/>
      </c>
      <c r="X79" s="63">
        <f t="shared" si="19"/>
        <v>0</v>
      </c>
      <c r="Y79" s="55"/>
      <c r="Z79" s="55"/>
      <c r="AA79" s="55"/>
      <c r="AB79" s="55">
        <f>PMSplint!N80</f>
        <v>1.3050470619607843</v>
      </c>
      <c r="AC79" s="55">
        <f>PMSplint!N80</f>
        <v>1.3050470619607843</v>
      </c>
      <c r="AD79" s="55">
        <f>IF(RnSplint!N80&lt;0,0,RnSplint!N80)</f>
        <v>3.9663705761260792</v>
      </c>
      <c r="AE79" s="55">
        <f>IF(RnSplint!N80&lt;0,0,RnSplint!N80)</f>
        <v>3.9663705761260792</v>
      </c>
      <c r="AF79" s="30">
        <v>27</v>
      </c>
      <c r="AG79" s="30">
        <f t="shared" si="20"/>
        <v>56.063906691104627</v>
      </c>
      <c r="AH79" s="30">
        <f t="shared" si="24"/>
        <v>7.4875835014445498</v>
      </c>
      <c r="AI79" s="55" t="str">
        <f t="shared" si="21"/>
        <v/>
      </c>
      <c r="AJ79" s="55" t="str">
        <f t="shared" si="22"/>
        <v/>
      </c>
      <c r="AK79" s="55" t="str">
        <f t="shared" si="25"/>
        <v/>
      </c>
      <c r="AL79" s="55" t="str">
        <f t="shared" si="23"/>
        <v/>
      </c>
      <c r="AM79" s="55"/>
      <c r="AN79" s="55">
        <f t="shared" si="26"/>
        <v>5.176300267021043</v>
      </c>
      <c r="AO79" s="55">
        <f t="shared" si="27"/>
        <v>2.2751484054938138</v>
      </c>
      <c r="AP79" s="55">
        <f t="shared" si="28"/>
        <v>1.1164106894594865</v>
      </c>
      <c r="AQ79" s="55"/>
      <c r="AR79" s="55"/>
      <c r="AS79" s="55"/>
      <c r="AT79" s="55"/>
      <c r="AU79" s="30"/>
      <c r="AV79" s="30"/>
      <c r="AW79" s="2"/>
      <c r="AX79" s="2"/>
    </row>
    <row r="80" spans="1:50" x14ac:dyDescent="0.2">
      <c r="A80" s="2"/>
      <c r="B80" s="61">
        <f t="shared" si="9"/>
        <v>41671</v>
      </c>
      <c r="C80" s="62">
        <f t="shared" si="10"/>
        <v>32</v>
      </c>
      <c r="D80" s="63">
        <f t="shared" si="11"/>
        <v>1.3287377288300295</v>
      </c>
      <c r="G80" s="357" t="str">
        <f>IF(MakeSchedule!C47="","",MakeSchedule!C47)</f>
        <v/>
      </c>
      <c r="H80" s="358"/>
      <c r="I80" s="358"/>
      <c r="J80" s="359" t="str">
        <f>IF(MakeSchedule!B47="","",MakeSchedule!B47)</f>
        <v/>
      </c>
      <c r="K80" s="63">
        <f t="shared" si="12"/>
        <v>1.3287377288300295</v>
      </c>
      <c r="L80" s="63">
        <f t="shared" si="13"/>
        <v>1.3287377288300295</v>
      </c>
      <c r="M80" s="63">
        <f t="shared" si="14"/>
        <v>4.0098573316202275</v>
      </c>
      <c r="N80" s="63" t="str">
        <f t="shared" si="0"/>
        <v/>
      </c>
      <c r="O80" s="64">
        <f t="shared" si="15"/>
        <v>1.1003975702535531</v>
      </c>
      <c r="P80" s="63" t="str">
        <f t="shared" si="16"/>
        <v/>
      </c>
      <c r="Q80" s="64" t="e">
        <f t="shared" si="1"/>
        <v>#N/A</v>
      </c>
      <c r="R80" s="63">
        <f t="shared" si="2"/>
        <v>1.1003975702535531</v>
      </c>
      <c r="S80" s="65">
        <f t="shared" si="3"/>
        <v>0.35</v>
      </c>
      <c r="T80" s="65">
        <f t="shared" si="17"/>
        <v>1.2</v>
      </c>
      <c r="U80" s="64" t="e">
        <f t="shared" si="18"/>
        <v>#N/A</v>
      </c>
      <c r="V80" s="63">
        <f t="shared" si="4"/>
        <v>1.5944852745960354</v>
      </c>
      <c r="W80" s="63" t="str">
        <f t="shared" si="5"/>
        <v/>
      </c>
      <c r="X80" s="63">
        <f t="shared" si="19"/>
        <v>0</v>
      </c>
      <c r="Y80" s="55"/>
      <c r="Z80" s="55"/>
      <c r="AA80" s="55"/>
      <c r="AB80" s="55">
        <f>PMSplint!N81</f>
        <v>1.3287377288300295</v>
      </c>
      <c r="AC80" s="55">
        <f>PMSplint!N81</f>
        <v>1.3287377288300295</v>
      </c>
      <c r="AD80" s="55">
        <f>IF(RnSplint!N81&lt;0,0,RnSplint!N81)</f>
        <v>4.0098573316202275</v>
      </c>
      <c r="AE80" s="55">
        <f>IF(RnSplint!N81&lt;0,0,RnSplint!N81)</f>
        <v>4.0098573316202275</v>
      </c>
      <c r="AF80" s="30">
        <v>28</v>
      </c>
      <c r="AG80" s="30">
        <f t="shared" si="20"/>
        <v>58.14034767966406</v>
      </c>
      <c r="AH80" s="30">
        <f t="shared" si="24"/>
        <v>7.6249818150382538</v>
      </c>
      <c r="AI80" s="55" t="str">
        <f t="shared" si="21"/>
        <v/>
      </c>
      <c r="AJ80" s="55" t="str">
        <f t="shared" si="22"/>
        <v/>
      </c>
      <c r="AK80" s="55" t="str">
        <f t="shared" si="25"/>
        <v/>
      </c>
      <c r="AL80" s="55" t="str">
        <f t="shared" si="23"/>
        <v/>
      </c>
      <c r="AM80" s="55"/>
      <c r="AN80" s="55">
        <f t="shared" si="26"/>
        <v>5.3280487237495038</v>
      </c>
      <c r="AO80" s="55">
        <f t="shared" si="27"/>
        <v>2.3082566416561012</v>
      </c>
      <c r="AP80" s="55">
        <f t="shared" si="28"/>
        <v>1.1003975702535531</v>
      </c>
      <c r="AQ80" s="55"/>
      <c r="AR80" s="55"/>
      <c r="AS80" s="55"/>
      <c r="AT80" s="55"/>
      <c r="AU80" s="30"/>
      <c r="AV80" s="30"/>
      <c r="AW80" s="2"/>
      <c r="AX80" s="2"/>
    </row>
    <row r="81" spans="1:50" x14ac:dyDescent="0.2">
      <c r="A81" s="2"/>
      <c r="B81" s="61">
        <f t="shared" si="9"/>
        <v>41672</v>
      </c>
      <c r="C81" s="62">
        <f t="shared" si="10"/>
        <v>33</v>
      </c>
      <c r="D81" s="63">
        <f t="shared" si="11"/>
        <v>1.3528564114801045</v>
      </c>
      <c r="G81" s="357" t="str">
        <f>IF(MakeSchedule!C48="","",MakeSchedule!C48)</f>
        <v/>
      </c>
      <c r="H81" s="358"/>
      <c r="I81" s="358"/>
      <c r="J81" s="359" t="str">
        <f>IF(MakeSchedule!B48="","",MakeSchedule!B48)</f>
        <v/>
      </c>
      <c r="K81" s="63">
        <f t="shared" si="12"/>
        <v>1.3528564114801045</v>
      </c>
      <c r="L81" s="63">
        <f t="shared" si="13"/>
        <v>1.3528564114801045</v>
      </c>
      <c r="M81" s="63">
        <f t="shared" si="14"/>
        <v>4.0526544821580162</v>
      </c>
      <c r="N81" s="63" t="str">
        <f t="shared" si="0"/>
        <v/>
      </c>
      <c r="O81" s="64">
        <f t="shared" si="15"/>
        <v>1.0847710221323028</v>
      </c>
      <c r="P81" s="63" t="str">
        <f t="shared" si="16"/>
        <v/>
      </c>
      <c r="Q81" s="64" t="e">
        <f t="shared" si="1"/>
        <v>#N/A</v>
      </c>
      <c r="R81" s="63">
        <f t="shared" si="2"/>
        <v>1.0847710221323028</v>
      </c>
      <c r="S81" s="65">
        <f t="shared" si="3"/>
        <v>0.35</v>
      </c>
      <c r="T81" s="65">
        <f t="shared" si="17"/>
        <v>1.2</v>
      </c>
      <c r="U81" s="64" t="e">
        <f t="shared" si="18"/>
        <v>#N/A</v>
      </c>
      <c r="V81" s="63">
        <f t="shared" si="4"/>
        <v>1.6234276937761254</v>
      </c>
      <c r="W81" s="63" t="str">
        <f t="shared" si="5"/>
        <v/>
      </c>
      <c r="X81" s="63">
        <f t="shared" si="19"/>
        <v>0</v>
      </c>
      <c r="Y81" s="55"/>
      <c r="Z81" s="55"/>
      <c r="AA81" s="55"/>
      <c r="AB81" s="55">
        <f>PMSplint!N82</f>
        <v>1.3528564114801045</v>
      </c>
      <c r="AC81" s="55">
        <f>PMSplint!N82</f>
        <v>1.3528564114801045</v>
      </c>
      <c r="AD81" s="55">
        <f>IF(RnSplint!N82&lt;0,0,RnSplint!N82)</f>
        <v>4.0526544821580162</v>
      </c>
      <c r="AE81" s="55">
        <f>IF(RnSplint!N82&lt;0,0,RnSplint!N82)</f>
        <v>4.0526544821580162</v>
      </c>
      <c r="AF81" s="30">
        <v>29</v>
      </c>
      <c r="AG81" s="30">
        <f t="shared" si="20"/>
        <v>60.216788668223487</v>
      </c>
      <c r="AH81" s="30">
        <f t="shared" si="24"/>
        <v>7.7599477232919218</v>
      </c>
      <c r="AI81" s="55" t="str">
        <f t="shared" si="21"/>
        <v/>
      </c>
      <c r="AJ81" s="55" t="str">
        <f t="shared" si="22"/>
        <v/>
      </c>
      <c r="AK81" s="55" t="str">
        <f t="shared" si="25"/>
        <v/>
      </c>
      <c r="AL81" s="55" t="str">
        <f t="shared" si="23"/>
        <v/>
      </c>
      <c r="AM81" s="55"/>
      <c r="AN81" s="55">
        <f t="shared" si="26"/>
        <v>5.482659599701055</v>
      </c>
      <c r="AO81" s="55">
        <f t="shared" si="27"/>
        <v>2.3415079755792112</v>
      </c>
      <c r="AP81" s="55">
        <f t="shared" si="28"/>
        <v>1.0847710221323028</v>
      </c>
      <c r="AQ81" s="55"/>
      <c r="AR81" s="55"/>
      <c r="AS81" s="55"/>
      <c r="AT81" s="55"/>
      <c r="AU81" s="30"/>
      <c r="AV81" s="30"/>
      <c r="AW81" s="2"/>
      <c r="AX81" s="2"/>
    </row>
    <row r="82" spans="1:50" x14ac:dyDescent="0.2">
      <c r="A82" s="2"/>
      <c r="B82" s="61">
        <f t="shared" si="9"/>
        <v>41673</v>
      </c>
      <c r="C82" s="62">
        <f t="shared" si="10"/>
        <v>34</v>
      </c>
      <c r="D82" s="63">
        <f t="shared" si="11"/>
        <v>1.377378237683603</v>
      </c>
      <c r="G82" s="357" t="str">
        <f>IF(MakeSchedule!C49="","",MakeSchedule!C49)</f>
        <v/>
      </c>
      <c r="H82" s="358"/>
      <c r="I82" s="358"/>
      <c r="J82" s="359" t="str">
        <f>IF(MakeSchedule!B49="","",MakeSchedule!B49)</f>
        <v/>
      </c>
      <c r="K82" s="63">
        <f t="shared" si="12"/>
        <v>1.377378237683603</v>
      </c>
      <c r="L82" s="63">
        <f t="shared" si="13"/>
        <v>1.377378237683603</v>
      </c>
      <c r="M82" s="63">
        <f t="shared" si="14"/>
        <v>4.094237695694547</v>
      </c>
      <c r="N82" s="63" t="str">
        <f t="shared" si="0"/>
        <v/>
      </c>
      <c r="O82" s="64">
        <f t="shared" si="15"/>
        <v>1.0695979992772713</v>
      </c>
      <c r="P82" s="63" t="str">
        <f t="shared" si="16"/>
        <v/>
      </c>
      <c r="Q82" s="64" t="e">
        <f t="shared" si="1"/>
        <v>#N/A</v>
      </c>
      <c r="R82" s="63">
        <f t="shared" si="2"/>
        <v>1.0695979992772713</v>
      </c>
      <c r="S82" s="65">
        <f t="shared" si="3"/>
        <v>0.35</v>
      </c>
      <c r="T82" s="65">
        <f t="shared" si="17"/>
        <v>1.2</v>
      </c>
      <c r="U82" s="64" t="e">
        <f t="shared" si="18"/>
        <v>#N/A</v>
      </c>
      <c r="V82" s="63">
        <f t="shared" si="4"/>
        <v>1.6528538852203236</v>
      </c>
      <c r="W82" s="63" t="str">
        <f t="shared" si="5"/>
        <v/>
      </c>
      <c r="X82" s="63">
        <f t="shared" si="19"/>
        <v>0</v>
      </c>
      <c r="Y82" s="55"/>
      <c r="Z82" s="55"/>
      <c r="AA82" s="55"/>
      <c r="AB82" s="55">
        <f>PMSplint!N83</f>
        <v>1.377378237683603</v>
      </c>
      <c r="AC82" s="55">
        <f>PMSplint!N83</f>
        <v>1.377378237683603</v>
      </c>
      <c r="AD82" s="55">
        <f>IF(RnSplint!N83&lt;0,0,RnSplint!N83)</f>
        <v>4.094237695694547</v>
      </c>
      <c r="AE82" s="55">
        <f>IF(RnSplint!N83&lt;0,0,RnSplint!N83)</f>
        <v>4.094237695694547</v>
      </c>
      <c r="AF82" s="30">
        <v>30</v>
      </c>
      <c r="AG82" s="30">
        <f t="shared" si="20"/>
        <v>62.29322965678292</v>
      </c>
      <c r="AH82" s="30">
        <f t="shared" si="24"/>
        <v>7.8926060117544772</v>
      </c>
      <c r="AI82" s="55" t="str">
        <f t="shared" si="21"/>
        <v/>
      </c>
      <c r="AJ82" s="55" t="str">
        <f t="shared" si="22"/>
        <v/>
      </c>
      <c r="AK82" s="55" t="str">
        <f t="shared" si="25"/>
        <v/>
      </c>
      <c r="AL82" s="55" t="str">
        <f t="shared" si="23"/>
        <v/>
      </c>
      <c r="AM82" s="55"/>
      <c r="AN82" s="55">
        <f t="shared" si="26"/>
        <v>5.639313901953531</v>
      </c>
      <c r="AO82" s="55">
        <f t="shared" si="27"/>
        <v>2.3747239633173223</v>
      </c>
      <c r="AP82" s="55">
        <f t="shared" si="28"/>
        <v>1.0695979992772713</v>
      </c>
      <c r="AQ82" s="55"/>
      <c r="AR82" s="55"/>
      <c r="AS82" s="55"/>
      <c r="AT82" s="55"/>
      <c r="AU82" s="30"/>
      <c r="AV82" s="30"/>
      <c r="AW82" s="2"/>
      <c r="AX82" s="2"/>
    </row>
    <row r="83" spans="1:50" x14ac:dyDescent="0.2">
      <c r="A83" s="2"/>
      <c r="B83" s="61">
        <f t="shared" si="9"/>
        <v>41674</v>
      </c>
      <c r="C83" s="62">
        <f t="shared" si="10"/>
        <v>35</v>
      </c>
      <c r="D83" s="63">
        <f t="shared" si="11"/>
        <v>1.4022783352131207</v>
      </c>
      <c r="G83" s="357" t="str">
        <f>IF(MakeSchedule!C50="","",MakeSchedule!C50)</f>
        <v/>
      </c>
      <c r="H83" s="358"/>
      <c r="I83" s="358"/>
      <c r="J83" s="359" t="str">
        <f>IF(MakeSchedule!B50="","",MakeSchedule!B50)</f>
        <v/>
      </c>
      <c r="K83" s="63">
        <f t="shared" si="12"/>
        <v>1.4022783352131207</v>
      </c>
      <c r="L83" s="63">
        <f t="shared" si="13"/>
        <v>1.4022783352131207</v>
      </c>
      <c r="M83" s="63">
        <f t="shared" si="14"/>
        <v>4.1340826401849231</v>
      </c>
      <c r="N83" s="63" t="str">
        <f t="shared" si="0"/>
        <v/>
      </c>
      <c r="O83" s="64">
        <f t="shared" si="15"/>
        <v>1.0549382213314888</v>
      </c>
      <c r="P83" s="63" t="str">
        <f t="shared" si="16"/>
        <v/>
      </c>
      <c r="Q83" s="64" t="e">
        <f t="shared" si="1"/>
        <v>#N/A</v>
      </c>
      <c r="R83" s="63">
        <f t="shared" si="2"/>
        <v>1.0549382213314888</v>
      </c>
      <c r="S83" s="65">
        <f t="shared" si="3"/>
        <v>0.35</v>
      </c>
      <c r="T83" s="65">
        <f t="shared" si="17"/>
        <v>1.2</v>
      </c>
      <c r="U83" s="64" t="e">
        <f t="shared" si="18"/>
        <v>#N/A</v>
      </c>
      <c r="V83" s="63">
        <f t="shared" si="4"/>
        <v>1.6827340022557449</v>
      </c>
      <c r="W83" s="63" t="str">
        <f t="shared" si="5"/>
        <v/>
      </c>
      <c r="X83" s="63">
        <f t="shared" si="19"/>
        <v>0</v>
      </c>
      <c r="Y83" s="55"/>
      <c r="Z83" s="55"/>
      <c r="AA83" s="55"/>
      <c r="AB83" s="55">
        <f>PMSplint!N84</f>
        <v>1.4022783352131207</v>
      </c>
      <c r="AC83" s="55">
        <f>PMSplint!N84</f>
        <v>1.4022783352131207</v>
      </c>
      <c r="AD83" s="55">
        <f>IF(RnSplint!N84&lt;0,0,RnSplint!N84)</f>
        <v>4.1340826401849231</v>
      </c>
      <c r="AE83" s="55">
        <f>IF(RnSplint!N84&lt;0,0,RnSplint!N84)</f>
        <v>4.1340826401849231</v>
      </c>
      <c r="AF83" s="30"/>
      <c r="AG83" s="30"/>
      <c r="AH83" s="30"/>
      <c r="AI83" s="55"/>
      <c r="AJ83" s="55"/>
      <c r="AK83" s="55"/>
      <c r="AL83" s="55"/>
      <c r="AM83" s="55"/>
      <c r="AN83" s="55">
        <f t="shared" si="26"/>
        <v>5.7971345223119766</v>
      </c>
      <c r="AO83" s="55">
        <f t="shared" si="27"/>
        <v>2.4077239298374673</v>
      </c>
      <c r="AP83" s="55">
        <f t="shared" si="28"/>
        <v>1.0549382213314888</v>
      </c>
      <c r="AQ83" s="55"/>
      <c r="AR83" s="55"/>
      <c r="AS83" s="55"/>
      <c r="AT83" s="55"/>
      <c r="AU83" s="30"/>
      <c r="AV83" s="30"/>
      <c r="AW83" s="2"/>
      <c r="AX83" s="2"/>
    </row>
    <row r="84" spans="1:50" x14ac:dyDescent="0.2">
      <c r="A84" s="2"/>
      <c r="B84" s="61">
        <f t="shared" si="9"/>
        <v>41675</v>
      </c>
      <c r="C84" s="62">
        <f t="shared" si="10"/>
        <v>36</v>
      </c>
      <c r="D84" s="63">
        <f t="shared" si="11"/>
        <v>1.4275318318412524</v>
      </c>
      <c r="G84" s="357" t="str">
        <f>IF(MakeSchedule!C51="","",MakeSchedule!C51)</f>
        <v/>
      </c>
      <c r="H84" s="358"/>
      <c r="I84" s="358"/>
      <c r="J84" s="359" t="str">
        <f>IF(MakeSchedule!B51="","",MakeSchedule!B51)</f>
        <v/>
      </c>
      <c r="K84" s="63">
        <f t="shared" si="12"/>
        <v>1.4275318318412524</v>
      </c>
      <c r="L84" s="63">
        <f t="shared" si="13"/>
        <v>1.4275318318412524</v>
      </c>
      <c r="M84" s="63">
        <f t="shared" si="14"/>
        <v>4.1716649835842476</v>
      </c>
      <c r="N84" s="63" t="str">
        <f t="shared" si="0"/>
        <v/>
      </c>
      <c r="O84" s="64">
        <f t="shared" si="15"/>
        <v>1.0408451048551224</v>
      </c>
      <c r="P84" s="63" t="str">
        <f t="shared" si="16"/>
        <v/>
      </c>
      <c r="Q84" s="64" t="e">
        <f t="shared" si="1"/>
        <v>#N/A</v>
      </c>
      <c r="R84" s="63">
        <f t="shared" si="2"/>
        <v>1.0408451048551224</v>
      </c>
      <c r="S84" s="65">
        <f t="shared" si="3"/>
        <v>0.35</v>
      </c>
      <c r="T84" s="65">
        <f t="shared" si="17"/>
        <v>1.2</v>
      </c>
      <c r="U84" s="64" t="e">
        <f t="shared" si="18"/>
        <v>#N/A</v>
      </c>
      <c r="V84" s="63">
        <f t="shared" si="4"/>
        <v>1.7130381982095029</v>
      </c>
      <c r="W84" s="63" t="str">
        <f t="shared" si="5"/>
        <v/>
      </c>
      <c r="X84" s="63">
        <f t="shared" si="19"/>
        <v>0</v>
      </c>
      <c r="Y84" s="55"/>
      <c r="Z84" s="55"/>
      <c r="AA84" s="55"/>
      <c r="AB84" s="55">
        <f>PMSplint!N85</f>
        <v>1.4275318318412524</v>
      </c>
      <c r="AC84" s="55">
        <f>PMSplint!N85</f>
        <v>1.4275318318412524</v>
      </c>
      <c r="AD84" s="55">
        <f>IF(RnSplint!N85&lt;0,0,RnSplint!N85)</f>
        <v>4.1716649835842476</v>
      </c>
      <c r="AE84" s="55">
        <f>IF(RnSplint!N85&lt;0,0,RnSplint!N85)</f>
        <v>4.1716649835842476</v>
      </c>
      <c r="AF84" s="30"/>
      <c r="AG84" s="30"/>
      <c r="AH84" s="30"/>
      <c r="AI84" s="55"/>
      <c r="AJ84" s="55"/>
      <c r="AK84" s="55"/>
      <c r="AL84" s="55"/>
      <c r="AM84" s="55"/>
      <c r="AN84" s="55">
        <f t="shared" si="26"/>
        <v>5.9551845558440295</v>
      </c>
      <c r="AO84" s="55">
        <f t="shared" si="27"/>
        <v>2.4403246824642064</v>
      </c>
      <c r="AP84" s="55">
        <f t="shared" si="28"/>
        <v>1.0408451048551224</v>
      </c>
      <c r="AQ84" s="55"/>
      <c r="AR84" s="55"/>
      <c r="AS84" s="55"/>
      <c r="AT84" s="55"/>
      <c r="AU84" s="30"/>
      <c r="AV84" s="30"/>
      <c r="AW84" s="2"/>
      <c r="AX84" s="2"/>
    </row>
    <row r="85" spans="1:50" x14ac:dyDescent="0.2">
      <c r="A85" s="2"/>
      <c r="B85" s="61">
        <f t="shared" si="9"/>
        <v>41676</v>
      </c>
      <c r="C85" s="62">
        <f t="shared" si="10"/>
        <v>37</v>
      </c>
      <c r="D85" s="63">
        <f t="shared" si="11"/>
        <v>1.4531138553405927</v>
      </c>
      <c r="G85" s="357" t="str">
        <f>IF(MakeSchedule!C52="","",MakeSchedule!C52)</f>
        <v/>
      </c>
      <c r="H85" s="358"/>
      <c r="I85" s="358"/>
      <c r="J85" s="359" t="str">
        <f>IF(MakeSchedule!B52="","",MakeSchedule!B52)</f>
        <v/>
      </c>
      <c r="K85" s="63">
        <f t="shared" si="12"/>
        <v>1.4531138553405927</v>
      </c>
      <c r="L85" s="63">
        <f t="shared" si="13"/>
        <v>1.4531138553405927</v>
      </c>
      <c r="M85" s="63">
        <f t="shared" si="14"/>
        <v>4.2064603938476246</v>
      </c>
      <c r="N85" s="63" t="str">
        <f t="shared" si="0"/>
        <v/>
      </c>
      <c r="O85" s="64">
        <f t="shared" si="15"/>
        <v>1.0273667185006667</v>
      </c>
      <c r="P85" s="63" t="str">
        <f t="shared" si="16"/>
        <v/>
      </c>
      <c r="Q85" s="64" t="e">
        <f t="shared" si="1"/>
        <v>#N/A</v>
      </c>
      <c r="R85" s="63">
        <f t="shared" si="2"/>
        <v>1.0273667185006667</v>
      </c>
      <c r="S85" s="65">
        <f t="shared" si="3"/>
        <v>0.35</v>
      </c>
      <c r="T85" s="65">
        <f t="shared" si="17"/>
        <v>1.2</v>
      </c>
      <c r="U85" s="64" t="e">
        <f t="shared" si="18"/>
        <v>#N/A</v>
      </c>
      <c r="V85" s="63">
        <f t="shared" si="4"/>
        <v>1.7437366264087111</v>
      </c>
      <c r="W85" s="63" t="str">
        <f t="shared" si="5"/>
        <v/>
      </c>
      <c r="X85" s="63">
        <f t="shared" si="19"/>
        <v>0</v>
      </c>
      <c r="Y85" s="55"/>
      <c r="Z85" s="55"/>
      <c r="AA85" s="55"/>
      <c r="AB85" s="55">
        <f>PMSplint!N86</f>
        <v>1.4531138553405927</v>
      </c>
      <c r="AC85" s="55">
        <f>PMSplint!N86</f>
        <v>1.4531138553405927</v>
      </c>
      <c r="AD85" s="55">
        <f>IF(RnSplint!N86&lt;0,0,RnSplint!N86)</f>
        <v>4.2064603938476246</v>
      </c>
      <c r="AE85" s="55">
        <f>IF(RnSplint!N86&lt;0,0,RnSplint!N86)</f>
        <v>4.2064603938476246</v>
      </c>
      <c r="AF85" s="30"/>
      <c r="AG85" s="30"/>
      <c r="AH85" s="30"/>
      <c r="AI85" s="55"/>
      <c r="AJ85" s="55"/>
      <c r="AK85" s="55"/>
      <c r="AL85" s="55"/>
      <c r="AM85" s="55"/>
      <c r="AN85" s="55">
        <f t="shared" si="26"/>
        <v>6.1124658802414293</v>
      </c>
      <c r="AO85" s="55">
        <f t="shared" si="27"/>
        <v>2.4723401627287109</v>
      </c>
      <c r="AP85" s="55">
        <f t="shared" si="28"/>
        <v>1.0273667185006667</v>
      </c>
      <c r="AQ85" s="55"/>
      <c r="AR85" s="55"/>
      <c r="AS85" s="55"/>
      <c r="AT85" s="55"/>
      <c r="AU85" s="30"/>
      <c r="AV85" s="30"/>
      <c r="AW85" s="2"/>
      <c r="AX85" s="2"/>
    </row>
    <row r="86" spans="1:50" x14ac:dyDescent="0.2">
      <c r="A86" s="2"/>
      <c r="B86" s="61">
        <f t="shared" si="9"/>
        <v>41677</v>
      </c>
      <c r="C86" s="62">
        <f t="shared" si="10"/>
        <v>38</v>
      </c>
      <c r="D86" s="63">
        <f t="shared" si="11"/>
        <v>1.4789995334837365</v>
      </c>
      <c r="G86" s="357" t="str">
        <f>IF(MakeSchedule!C53="","",MakeSchedule!C53)</f>
        <v/>
      </c>
      <c r="H86" s="358"/>
      <c r="I86" s="358"/>
      <c r="J86" s="359" t="str">
        <f>IF(MakeSchedule!B53="","",MakeSchedule!B53)</f>
        <v/>
      </c>
      <c r="K86" s="63">
        <f t="shared" si="12"/>
        <v>1.4789995334837365</v>
      </c>
      <c r="L86" s="63">
        <f t="shared" si="13"/>
        <v>1.4789995334837365</v>
      </c>
      <c r="M86" s="63">
        <f t="shared" si="14"/>
        <v>4.2379445389301544</v>
      </c>
      <c r="N86" s="63" t="str">
        <f t="shared" si="0"/>
        <v/>
      </c>
      <c r="O86" s="64">
        <f t="shared" si="15"/>
        <v>1.0145467492599651</v>
      </c>
      <c r="P86" s="63" t="str">
        <f t="shared" si="16"/>
        <v/>
      </c>
      <c r="Q86" s="64" t="e">
        <f t="shared" si="1"/>
        <v>#N/A</v>
      </c>
      <c r="R86" s="63">
        <f t="shared" si="2"/>
        <v>1.0145467492599651</v>
      </c>
      <c r="S86" s="65">
        <f t="shared" si="3"/>
        <v>0.35</v>
      </c>
      <c r="T86" s="65">
        <f t="shared" si="17"/>
        <v>1.2</v>
      </c>
      <c r="U86" s="64" t="e">
        <f t="shared" si="18"/>
        <v>#N/A</v>
      </c>
      <c r="V86" s="63">
        <f t="shared" si="4"/>
        <v>1.7747994401804836</v>
      </c>
      <c r="W86" s="63" t="str">
        <f t="shared" si="5"/>
        <v/>
      </c>
      <c r="X86" s="63">
        <f t="shared" si="19"/>
        <v>0</v>
      </c>
      <c r="Y86" s="55"/>
      <c r="Z86" s="55"/>
      <c r="AA86" s="55"/>
      <c r="AB86" s="55">
        <f>PMSplint!N87</f>
        <v>1.4789995334837365</v>
      </c>
      <c r="AC86" s="55">
        <f>PMSplint!N87</f>
        <v>1.4789995334837365</v>
      </c>
      <c r="AD86" s="55">
        <f>IF(RnSplint!N87&lt;0,0,RnSplint!N87)</f>
        <v>4.2379445389301544</v>
      </c>
      <c r="AE86" s="55">
        <f>IF(RnSplint!N87&lt;0,0,RnSplint!N87)</f>
        <v>4.2379445389301544</v>
      </c>
      <c r="AF86" s="30"/>
      <c r="AG86" s="30"/>
      <c r="AH86" s="30"/>
      <c r="AI86" s="55"/>
      <c r="AJ86" s="55"/>
      <c r="AK86" s="55"/>
      <c r="AL86" s="55"/>
      <c r="AM86" s="55"/>
      <c r="AN86" s="55">
        <f t="shared" si="26"/>
        <v>6.2679179960076468</v>
      </c>
      <c r="AO86" s="55">
        <f t="shared" si="27"/>
        <v>2.5035810344399971</v>
      </c>
      <c r="AP86" s="55">
        <f t="shared" si="28"/>
        <v>1.0145467492599651</v>
      </c>
      <c r="AQ86" s="55"/>
      <c r="AR86" s="55"/>
      <c r="AS86" s="55"/>
      <c r="AT86" s="55"/>
      <c r="AU86" s="30"/>
      <c r="AV86" s="30"/>
      <c r="AW86" s="2"/>
      <c r="AX86" s="2"/>
    </row>
    <row r="87" spans="1:50" x14ac:dyDescent="0.2">
      <c r="A87" s="2"/>
      <c r="B87" s="61">
        <f t="shared" si="9"/>
        <v>41678</v>
      </c>
      <c r="C87" s="62">
        <f t="shared" si="10"/>
        <v>39</v>
      </c>
      <c r="D87" s="63">
        <f t="shared" si="11"/>
        <v>1.5051639940432782</v>
      </c>
      <c r="G87" s="357" t="str">
        <f>IF(MakeSchedule!C54="","",MakeSchedule!C54)</f>
        <v/>
      </c>
      <c r="H87" s="358"/>
      <c r="I87" s="358"/>
      <c r="J87" s="359" t="str">
        <f>IF(MakeSchedule!B54="","",MakeSchedule!B54)</f>
        <v/>
      </c>
      <c r="K87" s="63">
        <f t="shared" si="12"/>
        <v>1.5051639940432782</v>
      </c>
      <c r="L87" s="63">
        <f t="shared" si="13"/>
        <v>1.5051639940432782</v>
      </c>
      <c r="M87" s="63">
        <f t="shared" si="14"/>
        <v>4.2655930867869429</v>
      </c>
      <c r="N87" s="63" t="str">
        <f t="shared" si="0"/>
        <v/>
      </c>
      <c r="O87" s="64">
        <f t="shared" si="15"/>
        <v>1.0024254733845457</v>
      </c>
      <c r="P87" s="63" t="str">
        <f t="shared" si="16"/>
        <v/>
      </c>
      <c r="Q87" s="64" t="e">
        <f t="shared" si="1"/>
        <v>#N/A</v>
      </c>
      <c r="R87" s="63">
        <f t="shared" si="2"/>
        <v>1.0024254733845457</v>
      </c>
      <c r="S87" s="65">
        <f t="shared" si="3"/>
        <v>0.35</v>
      </c>
      <c r="T87" s="65">
        <f t="shared" si="17"/>
        <v>1.2</v>
      </c>
      <c r="U87" s="64" t="e">
        <f t="shared" si="18"/>
        <v>#N/A</v>
      </c>
      <c r="V87" s="63">
        <f t="shared" si="4"/>
        <v>1.8061967928519338</v>
      </c>
      <c r="W87" s="63" t="str">
        <f t="shared" si="5"/>
        <v/>
      </c>
      <c r="X87" s="63">
        <f t="shared" si="19"/>
        <v>0</v>
      </c>
      <c r="Y87" s="55"/>
      <c r="Z87" s="55"/>
      <c r="AA87" s="55"/>
      <c r="AB87" s="55">
        <f>PMSplint!N88</f>
        <v>1.5051639940432782</v>
      </c>
      <c r="AC87" s="55">
        <f>PMSplint!N88</f>
        <v>1.5051639940432782</v>
      </c>
      <c r="AD87" s="55">
        <f>IF(RnSplint!N88&lt;0,0,RnSplint!N88)</f>
        <v>4.2655930867869429</v>
      </c>
      <c r="AE87" s="55">
        <f>IF(RnSplint!N88&lt;0,0,RnSplint!N88)</f>
        <v>4.2655930867869429</v>
      </c>
      <c r="AF87" s="30"/>
      <c r="AG87" s="30"/>
      <c r="AH87" s="30"/>
      <c r="AI87" s="55"/>
      <c r="AJ87" s="55"/>
      <c r="AK87" s="55"/>
      <c r="AL87" s="55"/>
      <c r="AM87" s="55"/>
      <c r="AN87" s="55">
        <f t="shared" si="26"/>
        <v>6.4204171274716311</v>
      </c>
      <c r="AO87" s="55">
        <f t="shared" si="27"/>
        <v>2.5338542040677146</v>
      </c>
      <c r="AP87" s="55">
        <f t="shared" si="28"/>
        <v>1.0024254733845457</v>
      </c>
      <c r="AQ87" s="55"/>
      <c r="AR87" s="55"/>
      <c r="AS87" s="55"/>
      <c r="AT87" s="55"/>
      <c r="AU87" s="30"/>
      <c r="AV87" s="30"/>
      <c r="AW87" s="2"/>
      <c r="AX87" s="2"/>
    </row>
    <row r="88" spans="1:50" x14ac:dyDescent="0.2">
      <c r="A88" s="2"/>
      <c r="B88" s="61">
        <f t="shared" si="9"/>
        <v>41679</v>
      </c>
      <c r="C88" s="62">
        <f t="shared" si="10"/>
        <v>40</v>
      </c>
      <c r="D88" s="63">
        <f t="shared" si="11"/>
        <v>1.5315823647918134</v>
      </c>
      <c r="G88" s="357" t="str">
        <f>IF(MakeSchedule!C55="","",MakeSchedule!C55)</f>
        <v/>
      </c>
      <c r="H88" s="358"/>
      <c r="I88" s="358"/>
      <c r="J88" s="359" t="str">
        <f>IF(MakeSchedule!B55="","",MakeSchedule!B55)</f>
        <v/>
      </c>
      <c r="K88" s="63">
        <f t="shared" si="12"/>
        <v>1.5315823647918134</v>
      </c>
      <c r="L88" s="63">
        <f t="shared" si="13"/>
        <v>1.5315823647918134</v>
      </c>
      <c r="M88" s="63">
        <f t="shared" si="14"/>
        <v>4.2888817053730905</v>
      </c>
      <c r="N88" s="63" t="str">
        <f t="shared" si="0"/>
        <v/>
      </c>
      <c r="O88" s="64">
        <f t="shared" si="15"/>
        <v>0.99104073134787518</v>
      </c>
      <c r="P88" s="63" t="str">
        <f t="shared" si="16"/>
        <v/>
      </c>
      <c r="Q88" s="64" t="e">
        <f t="shared" si="1"/>
        <v>#N/A</v>
      </c>
      <c r="R88" s="63">
        <f t="shared" si="2"/>
        <v>0.99104073134787518</v>
      </c>
      <c r="S88" s="65">
        <f t="shared" si="3"/>
        <v>0.35</v>
      </c>
      <c r="T88" s="65">
        <f t="shared" si="17"/>
        <v>1.2</v>
      </c>
      <c r="U88" s="64" t="e">
        <f t="shared" si="18"/>
        <v>#N/A</v>
      </c>
      <c r="V88" s="63">
        <f t="shared" si="4"/>
        <v>1.8378988377501759</v>
      </c>
      <c r="W88" s="63" t="str">
        <f t="shared" si="5"/>
        <v/>
      </c>
      <c r="X88" s="63">
        <f t="shared" si="19"/>
        <v>0</v>
      </c>
      <c r="Y88" s="55"/>
      <c r="Z88" s="55"/>
      <c r="AA88" s="55"/>
      <c r="AB88" s="55">
        <f>PMSplint!N89</f>
        <v>1.5315823647918134</v>
      </c>
      <c r="AC88" s="55">
        <f>PMSplint!N89</f>
        <v>1.5315823647918134</v>
      </c>
      <c r="AD88" s="55">
        <f>IF(RnSplint!N89&lt;0,0,RnSplint!N89)</f>
        <v>4.2888817053730905</v>
      </c>
      <c r="AE88" s="55">
        <f>IF(RnSplint!N89&lt;0,0,RnSplint!N89)</f>
        <v>4.2888817053730905</v>
      </c>
      <c r="AF88" s="30"/>
      <c r="AG88" s="30"/>
      <c r="AH88" s="30"/>
      <c r="AI88" s="55"/>
      <c r="AJ88" s="55"/>
      <c r="AK88" s="55"/>
      <c r="AL88" s="55"/>
      <c r="AM88" s="55"/>
      <c r="AN88" s="55">
        <f t="shared" si="26"/>
        <v>6.5687755846276632</v>
      </c>
      <c r="AO88" s="55">
        <f t="shared" si="27"/>
        <v>2.5629622674997896</v>
      </c>
      <c r="AP88" s="55">
        <f t="shared" si="28"/>
        <v>0.99104073134787518</v>
      </c>
      <c r="AQ88" s="55"/>
      <c r="AR88" s="55"/>
      <c r="AS88" s="55"/>
      <c r="AT88" s="55"/>
      <c r="AU88" s="30"/>
      <c r="AV88" s="30"/>
      <c r="AW88" s="2"/>
      <c r="AX88" s="2"/>
    </row>
    <row r="89" spans="1:50" x14ac:dyDescent="0.2">
      <c r="A89" s="2"/>
      <c r="B89" s="61">
        <f t="shared" si="9"/>
        <v>41680</v>
      </c>
      <c r="C89" s="62">
        <f t="shared" si="10"/>
        <v>41</v>
      </c>
      <c r="D89" s="63">
        <f t="shared" si="11"/>
        <v>1.5582297735019368</v>
      </c>
      <c r="G89" s="357" t="str">
        <f>IF(MakeSchedule!C56="","",MakeSchedule!C56)</f>
        <v/>
      </c>
      <c r="H89" s="358"/>
      <c r="I89" s="358"/>
      <c r="J89" s="359" t="str">
        <f>IF(MakeSchedule!B56="","",MakeSchedule!B56)</f>
        <v/>
      </c>
      <c r="K89" s="63">
        <f t="shared" si="12"/>
        <v>1.5582297735019368</v>
      </c>
      <c r="L89" s="63">
        <f t="shared" si="13"/>
        <v>1.5582297735019368</v>
      </c>
      <c r="M89" s="63">
        <f t="shared" si="14"/>
        <v>4.3072860626437013</v>
      </c>
      <c r="N89" s="63" t="str">
        <f t="shared" si="0"/>
        <v/>
      </c>
      <c r="O89" s="64">
        <f t="shared" si="15"/>
        <v>0.9804289116475754</v>
      </c>
      <c r="P89" s="63" t="str">
        <f t="shared" si="16"/>
        <v/>
      </c>
      <c r="Q89" s="64" t="e">
        <f t="shared" si="1"/>
        <v>#N/A</v>
      </c>
      <c r="R89" s="63">
        <f t="shared" si="2"/>
        <v>0.9804289116475754</v>
      </c>
      <c r="S89" s="65">
        <f t="shared" si="3"/>
        <v>0.35</v>
      </c>
      <c r="T89" s="65">
        <f t="shared" si="17"/>
        <v>1.2</v>
      </c>
      <c r="U89" s="64" t="e">
        <f t="shared" si="18"/>
        <v>#N/A</v>
      </c>
      <c r="V89" s="63">
        <f t="shared" si="4"/>
        <v>1.8698757282023242</v>
      </c>
      <c r="W89" s="63" t="str">
        <f t="shared" si="5"/>
        <v/>
      </c>
      <c r="X89" s="63">
        <f t="shared" si="19"/>
        <v>0</v>
      </c>
      <c r="Y89" s="55"/>
      <c r="Z89" s="55"/>
      <c r="AA89" s="55"/>
      <c r="AB89" s="55">
        <f>PMSplint!N90</f>
        <v>1.5582297735019368</v>
      </c>
      <c r="AC89" s="55">
        <f>PMSplint!N90</f>
        <v>1.5582297735019368</v>
      </c>
      <c r="AD89" s="55">
        <f>IF(RnSplint!N90&lt;0,0,RnSplint!N90)</f>
        <v>4.3072860626437013</v>
      </c>
      <c r="AE89" s="55">
        <f>IF(RnSplint!N90&lt;0,0,RnSplint!N90)</f>
        <v>4.3072860626437013</v>
      </c>
      <c r="AF89" s="30"/>
      <c r="AG89" s="30"/>
      <c r="AH89" s="30"/>
      <c r="AI89" s="55"/>
      <c r="AJ89" s="55"/>
      <c r="AK89" s="55"/>
      <c r="AL89" s="55"/>
      <c r="AM89" s="55"/>
      <c r="AN89" s="55">
        <f t="shared" si="26"/>
        <v>6.7117413858013437</v>
      </c>
      <c r="AO89" s="55">
        <f t="shared" si="27"/>
        <v>2.5907028748587408</v>
      </c>
      <c r="AP89" s="55">
        <f t="shared" si="28"/>
        <v>0.9804289116475754</v>
      </c>
      <c r="AQ89" s="55"/>
      <c r="AR89" s="55"/>
      <c r="AS89" s="55"/>
      <c r="AT89" s="55"/>
      <c r="AU89" s="30"/>
      <c r="AV89" s="30"/>
      <c r="AW89" s="2"/>
      <c r="AX89" s="2"/>
    </row>
    <row r="90" spans="1:50" x14ac:dyDescent="0.2">
      <c r="A90" s="2"/>
      <c r="B90" s="61">
        <f t="shared" si="9"/>
        <v>41681</v>
      </c>
      <c r="C90" s="62">
        <f t="shared" si="10"/>
        <v>42</v>
      </c>
      <c r="D90" s="63">
        <f t="shared" si="11"/>
        <v>1.5850813479462431</v>
      </c>
      <c r="G90" s="357" t="str">
        <f>IF(MakeSchedule!C57="","",MakeSchedule!C57)</f>
        <v/>
      </c>
      <c r="H90" s="358"/>
      <c r="I90" s="358"/>
      <c r="J90" s="359" t="str">
        <f>IF(MakeSchedule!B57="","",MakeSchedule!B57)</f>
        <v/>
      </c>
      <c r="K90" s="63">
        <f t="shared" si="12"/>
        <v>1.5850813479462431</v>
      </c>
      <c r="L90" s="63">
        <f t="shared" si="13"/>
        <v>1.5850813479462431</v>
      </c>
      <c r="M90" s="63">
        <f t="shared" si="14"/>
        <v>4.3202818265538792</v>
      </c>
      <c r="N90" s="63" t="str">
        <f t="shared" si="0"/>
        <v/>
      </c>
      <c r="O90" s="64">
        <f t="shared" si="15"/>
        <v>0.97062595355474168</v>
      </c>
      <c r="P90" s="63" t="str">
        <f t="shared" si="16"/>
        <v/>
      </c>
      <c r="Q90" s="64" t="e">
        <f t="shared" si="1"/>
        <v>#N/A</v>
      </c>
      <c r="R90" s="63">
        <f t="shared" si="2"/>
        <v>0.97062595355474168</v>
      </c>
      <c r="S90" s="65">
        <f t="shared" si="3"/>
        <v>0.35</v>
      </c>
      <c r="T90" s="65">
        <f t="shared" si="17"/>
        <v>1.2</v>
      </c>
      <c r="U90" s="64" t="e">
        <f t="shared" si="18"/>
        <v>#N/A</v>
      </c>
      <c r="V90" s="63">
        <f t="shared" si="4"/>
        <v>1.9020976175354916</v>
      </c>
      <c r="W90" s="63" t="str">
        <f t="shared" si="5"/>
        <v/>
      </c>
      <c r="X90" s="63">
        <f t="shared" si="19"/>
        <v>0</v>
      </c>
      <c r="Y90" s="55"/>
      <c r="Z90" s="55"/>
      <c r="AA90" s="55"/>
      <c r="AB90" s="55">
        <f>PMSplint!N91</f>
        <v>1.5850813479462431</v>
      </c>
      <c r="AC90" s="55">
        <f>PMSplint!N91</f>
        <v>1.5850813479462431</v>
      </c>
      <c r="AD90" s="55">
        <f>IF(RnSplint!N91&lt;0,0,RnSplint!N91)</f>
        <v>4.3202818265538792</v>
      </c>
      <c r="AE90" s="55">
        <f>IF(RnSplint!N91&lt;0,0,RnSplint!N91)</f>
        <v>4.3202818265538792</v>
      </c>
      <c r="AF90" s="30"/>
      <c r="AG90" s="30"/>
      <c r="AH90" s="30"/>
      <c r="AI90" s="55"/>
      <c r="AJ90" s="55"/>
      <c r="AK90" s="55"/>
      <c r="AL90" s="55"/>
      <c r="AM90" s="55"/>
      <c r="AN90" s="55">
        <f t="shared" si="26"/>
        <v>6.8479981411416802</v>
      </c>
      <c r="AO90" s="55">
        <f t="shared" si="27"/>
        <v>2.6168680022388751</v>
      </c>
      <c r="AP90" s="55">
        <f t="shared" si="28"/>
        <v>0.97062595355474168</v>
      </c>
      <c r="AQ90" s="55"/>
      <c r="AR90" s="55"/>
      <c r="AS90" s="55"/>
      <c r="AT90" s="55"/>
      <c r="AU90" s="30"/>
      <c r="AV90" s="30"/>
      <c r="AW90" s="2"/>
      <c r="AX90" s="2"/>
    </row>
    <row r="91" spans="1:50" x14ac:dyDescent="0.2">
      <c r="A91" s="2"/>
      <c r="B91" s="61">
        <f t="shared" si="9"/>
        <v>41682</v>
      </c>
      <c r="C91" s="62">
        <f t="shared" si="10"/>
        <v>43</v>
      </c>
      <c r="D91" s="63">
        <f t="shared" si="11"/>
        <v>1.6121122158973267</v>
      </c>
      <c r="G91" s="357" t="str">
        <f>IF(MakeSchedule!C58="","",MakeSchedule!C58)</f>
        <v/>
      </c>
      <c r="H91" s="358"/>
      <c r="I91" s="358"/>
      <c r="J91" s="359" t="str">
        <f>IF(MakeSchedule!B58="","",MakeSchedule!B58)</f>
        <v/>
      </c>
      <c r="K91" s="63">
        <f t="shared" si="12"/>
        <v>1.6121122158973267</v>
      </c>
      <c r="L91" s="63">
        <f t="shared" si="13"/>
        <v>1.6121122158973267</v>
      </c>
      <c r="M91" s="63">
        <f t="shared" si="14"/>
        <v>4.3273446650587255</v>
      </c>
      <c r="N91" s="63" t="str">
        <f t="shared" si="0"/>
        <v/>
      </c>
      <c r="O91" s="64">
        <f t="shared" si="15"/>
        <v>0.96166838439565105</v>
      </c>
      <c r="P91" s="63" t="str">
        <f t="shared" si="16"/>
        <v/>
      </c>
      <c r="Q91" s="64" t="e">
        <f t="shared" si="1"/>
        <v>#N/A</v>
      </c>
      <c r="R91" s="63">
        <f t="shared" si="2"/>
        <v>0.96166838439565105</v>
      </c>
      <c r="S91" s="65">
        <f t="shared" si="3"/>
        <v>0.35</v>
      </c>
      <c r="T91" s="65">
        <f t="shared" si="17"/>
        <v>1.2</v>
      </c>
      <c r="U91" s="64" t="e">
        <f t="shared" si="18"/>
        <v>#N/A</v>
      </c>
      <c r="V91" s="63">
        <f t="shared" si="4"/>
        <v>1.934534659076792</v>
      </c>
      <c r="W91" s="63" t="str">
        <f t="shared" si="5"/>
        <v/>
      </c>
      <c r="X91" s="63">
        <f t="shared" si="19"/>
        <v>0</v>
      </c>
      <c r="Y91" s="55"/>
      <c r="Z91" s="55"/>
      <c r="AA91" s="55"/>
      <c r="AB91" s="55">
        <f>PMSplint!N92</f>
        <v>1.6121122158973267</v>
      </c>
      <c r="AC91" s="55">
        <f>PMSplint!N92</f>
        <v>1.6121122158973267</v>
      </c>
      <c r="AD91" s="55">
        <f>IF(RnSplint!N92&lt;0,0,RnSplint!N92)</f>
        <v>4.3273446650587255</v>
      </c>
      <c r="AE91" s="55">
        <f>IF(RnSplint!N92&lt;0,0,RnSplint!N92)</f>
        <v>4.3273446650587255</v>
      </c>
      <c r="AF91" s="30"/>
      <c r="AG91" s="30"/>
      <c r="AH91" s="30"/>
      <c r="AI91" s="55"/>
      <c r="AJ91" s="55"/>
      <c r="AK91" s="55"/>
      <c r="AL91" s="55"/>
      <c r="AM91" s="55"/>
      <c r="AN91" s="55">
        <f t="shared" si="26"/>
        <v>6.9761651969392968</v>
      </c>
      <c r="AO91" s="55">
        <f t="shared" si="27"/>
        <v>2.641243115833773</v>
      </c>
      <c r="AP91" s="55">
        <f t="shared" si="28"/>
        <v>0.96166838439565105</v>
      </c>
      <c r="AQ91" s="55"/>
      <c r="AR91" s="55"/>
      <c r="AS91" s="55"/>
      <c r="AT91" s="55"/>
      <c r="AU91" s="30"/>
      <c r="AV91" s="30"/>
      <c r="AW91" s="2"/>
      <c r="AX91" s="2"/>
    </row>
    <row r="92" spans="1:50" x14ac:dyDescent="0.2">
      <c r="A92" s="2"/>
      <c r="B92" s="61">
        <f t="shared" si="9"/>
        <v>41683</v>
      </c>
      <c r="C92" s="62">
        <f t="shared" si="10"/>
        <v>44</v>
      </c>
      <c r="D92" s="63">
        <f t="shared" si="11"/>
        <v>1.6392975051277832</v>
      </c>
      <c r="G92" s="357" t="str">
        <f>IF(MakeSchedule!C59="","",MakeSchedule!C59)</f>
        <v/>
      </c>
      <c r="H92" s="358"/>
      <c r="I92" s="358"/>
      <c r="J92" s="359" t="str">
        <f>IF(MakeSchedule!B59="","",MakeSchedule!B59)</f>
        <v/>
      </c>
      <c r="K92" s="63">
        <f t="shared" si="12"/>
        <v>1.6392975051277832</v>
      </c>
      <c r="L92" s="63">
        <f t="shared" si="13"/>
        <v>1.6392975051277832</v>
      </c>
      <c r="M92" s="63">
        <f t="shared" si="14"/>
        <v>4.3279502461133443</v>
      </c>
      <c r="N92" s="63" t="str">
        <f t="shared" si="0"/>
        <v/>
      </c>
      <c r="O92" s="64">
        <f t="shared" si="15"/>
        <v>0.95359441297112246</v>
      </c>
      <c r="P92" s="63" t="str">
        <f t="shared" si="16"/>
        <v/>
      </c>
      <c r="Q92" s="64" t="e">
        <f t="shared" si="1"/>
        <v>#N/A</v>
      </c>
      <c r="R92" s="63">
        <f t="shared" si="2"/>
        <v>0.95359441297112246</v>
      </c>
      <c r="S92" s="65">
        <f t="shared" si="3"/>
        <v>0.35</v>
      </c>
      <c r="T92" s="65">
        <f t="shared" si="17"/>
        <v>1.2</v>
      </c>
      <c r="U92" s="64" t="e">
        <f t="shared" si="18"/>
        <v>#N/A</v>
      </c>
      <c r="V92" s="63">
        <f t="shared" si="4"/>
        <v>1.9671570061533397</v>
      </c>
      <c r="W92" s="63" t="str">
        <f t="shared" si="5"/>
        <v/>
      </c>
      <c r="X92" s="63">
        <f t="shared" si="19"/>
        <v>0</v>
      </c>
      <c r="Y92" s="55"/>
      <c r="Z92" s="55"/>
      <c r="AA92" s="55"/>
      <c r="AB92" s="55">
        <f>PMSplint!N93</f>
        <v>1.6392975051277832</v>
      </c>
      <c r="AC92" s="55">
        <f>PMSplint!N93</f>
        <v>1.6392975051277832</v>
      </c>
      <c r="AD92" s="55">
        <f>IF(RnSplint!N93&lt;0,0,RnSplint!N93)</f>
        <v>4.3279502461133443</v>
      </c>
      <c r="AE92" s="55">
        <f>IF(RnSplint!N93&lt;0,0,RnSplint!N93)</f>
        <v>4.3279502461133443</v>
      </c>
      <c r="AF92" s="30"/>
      <c r="AG92" s="30"/>
      <c r="AH92" s="30"/>
      <c r="AI92" s="55"/>
      <c r="AJ92" s="55"/>
      <c r="AK92" s="55"/>
      <c r="AL92" s="55"/>
      <c r="AM92" s="55"/>
      <c r="AN92" s="55">
        <f t="shared" si="26"/>
        <v>7.0947980407707805</v>
      </c>
      <c r="AO92" s="55">
        <f t="shared" si="27"/>
        <v>2.6636062097785365</v>
      </c>
      <c r="AP92" s="55">
        <f t="shared" si="28"/>
        <v>0.95359441297112246</v>
      </c>
      <c r="AQ92" s="55"/>
      <c r="AR92" s="55"/>
      <c r="AS92" s="55"/>
      <c r="AT92" s="55"/>
      <c r="AU92" s="30"/>
      <c r="AV92" s="30"/>
      <c r="AW92" s="2"/>
      <c r="AX92" s="2"/>
    </row>
    <row r="93" spans="1:50" x14ac:dyDescent="0.2">
      <c r="A93" s="2"/>
      <c r="B93" s="61">
        <f t="shared" si="9"/>
        <v>41684</v>
      </c>
      <c r="C93" s="62">
        <f t="shared" si="10"/>
        <v>45</v>
      </c>
      <c r="D93" s="63">
        <f t="shared" si="11"/>
        <v>1.6666123434102071</v>
      </c>
      <c r="G93" s="357" t="str">
        <f>IF(MakeSchedule!C60="","",MakeSchedule!C60)</f>
        <v/>
      </c>
      <c r="H93" s="358"/>
      <c r="I93" s="358"/>
      <c r="J93" s="359">
        <f>IF(MakeSchedule!B60="","",MakeSchedule!B60)</f>
        <v>75</v>
      </c>
      <c r="K93" s="63">
        <f t="shared" si="12"/>
        <v>1.6666123434102071</v>
      </c>
      <c r="L93" s="63">
        <f t="shared" si="13"/>
        <v>1.6666123434102071</v>
      </c>
      <c r="M93" s="63">
        <f t="shared" si="14"/>
        <v>4.321574237672837</v>
      </c>
      <c r="N93" s="63" t="str">
        <f t="shared" si="0"/>
        <v/>
      </c>
      <c r="O93" s="64">
        <f t="shared" si="15"/>
        <v>0.94644510776295898</v>
      </c>
      <c r="P93" s="63" t="str">
        <f t="shared" si="16"/>
        <v/>
      </c>
      <c r="Q93" s="64" t="e">
        <f t="shared" si="1"/>
        <v>#N/A</v>
      </c>
      <c r="R93" s="63">
        <f t="shared" si="2"/>
        <v>0.94644510776295898</v>
      </c>
      <c r="S93" s="65">
        <f t="shared" si="3"/>
        <v>0.35</v>
      </c>
      <c r="T93" s="65">
        <f t="shared" si="17"/>
        <v>1.2</v>
      </c>
      <c r="U93" s="64" t="e">
        <f t="shared" si="18"/>
        <v>#N/A</v>
      </c>
      <c r="V93" s="63">
        <f t="shared" si="4"/>
        <v>1.9999348120922484</v>
      </c>
      <c r="W93" s="63" t="str">
        <f t="shared" si="5"/>
        <v/>
      </c>
      <c r="X93" s="63">
        <f t="shared" si="19"/>
        <v>0</v>
      </c>
      <c r="Y93" s="55"/>
      <c r="Z93" s="55"/>
      <c r="AA93" s="55"/>
      <c r="AB93" s="55">
        <f>PMSplint!N94</f>
        <v>1.6666123434102071</v>
      </c>
      <c r="AC93" s="55">
        <f>PMSplint!N94</f>
        <v>1.6666123434102071</v>
      </c>
      <c r="AD93" s="55">
        <f>IF(RnSplint!N94&lt;0,0,RnSplint!N94)</f>
        <v>4.321574237672837</v>
      </c>
      <c r="AE93" s="55">
        <f>IF(RnSplint!N94&lt;0,0,RnSplint!N94)</f>
        <v>4.321574237672837</v>
      </c>
      <c r="AF93" s="30"/>
      <c r="AG93" s="30"/>
      <c r="AH93" s="30"/>
      <c r="AI93" s="55"/>
      <c r="AJ93" s="55"/>
      <c r="AK93" s="55"/>
      <c r="AL93" s="55"/>
      <c r="AM93" s="55"/>
      <c r="AN93" s="55">
        <f t="shared" si="26"/>
        <v>7.2023889674691066</v>
      </c>
      <c r="AO93" s="55">
        <f t="shared" si="27"/>
        <v>2.6837266938846636</v>
      </c>
      <c r="AP93" s="55">
        <f t="shared" si="28"/>
        <v>0.94644510776295898</v>
      </c>
      <c r="AQ93" s="55"/>
      <c r="AR93" s="55"/>
      <c r="AS93" s="55"/>
      <c r="AT93" s="55"/>
      <c r="AU93" s="30"/>
      <c r="AV93" s="30"/>
      <c r="AW93" s="2"/>
      <c r="AX93" s="2"/>
    </row>
    <row r="94" spans="1:50" x14ac:dyDescent="0.2">
      <c r="A94" s="2"/>
      <c r="B94" s="61">
        <f t="shared" si="9"/>
        <v>41685</v>
      </c>
      <c r="C94" s="62">
        <f t="shared" si="10"/>
        <v>46</v>
      </c>
      <c r="D94" s="63">
        <f t="shared" si="11"/>
        <v>1.6940318585171934</v>
      </c>
      <c r="G94" s="357" t="str">
        <f>IF(MakeSchedule!C61="","",MakeSchedule!C61)</f>
        <v/>
      </c>
      <c r="H94" s="358"/>
      <c r="I94" s="358"/>
      <c r="J94" s="359" t="str">
        <f>IF(MakeSchedule!B61="","",MakeSchedule!B61)</f>
        <v/>
      </c>
      <c r="K94" s="63">
        <f t="shared" si="12"/>
        <v>1.6940318585171934</v>
      </c>
      <c r="L94" s="63">
        <f t="shared" si="13"/>
        <v>1.6940318585171934</v>
      </c>
      <c r="M94" s="63">
        <f t="shared" si="14"/>
        <v>4.3076923076923075</v>
      </c>
      <c r="N94" s="63" t="str">
        <f t="shared" si="0"/>
        <v/>
      </c>
      <c r="O94" s="64">
        <f t="shared" si="15"/>
        <v>0.94026569728363274</v>
      </c>
      <c r="P94" s="63" t="str">
        <f t="shared" si="16"/>
        <v/>
      </c>
      <c r="Q94" s="64" t="e">
        <f t="shared" si="1"/>
        <v>#N/A</v>
      </c>
      <c r="R94" s="63">
        <f t="shared" si="2"/>
        <v>0.94026569728363274</v>
      </c>
      <c r="S94" s="65">
        <f t="shared" si="3"/>
        <v>0.35</v>
      </c>
      <c r="T94" s="65">
        <f t="shared" si="17"/>
        <v>1.2</v>
      </c>
      <c r="U94" s="64" t="e">
        <f t="shared" si="18"/>
        <v>#N/A</v>
      </c>
      <c r="V94" s="63">
        <f t="shared" si="4"/>
        <v>2.0328382302206318</v>
      </c>
      <c r="W94" s="63" t="str">
        <f t="shared" si="5"/>
        <v/>
      </c>
      <c r="X94" s="63">
        <f t="shared" si="19"/>
        <v>0</v>
      </c>
      <c r="Y94" s="55"/>
      <c r="Z94" s="55"/>
      <c r="AA94" s="55"/>
      <c r="AB94" s="55">
        <f>PMSplint!N95</f>
        <v>1.6940318585171934</v>
      </c>
      <c r="AC94" s="55">
        <f>PMSplint!N95</f>
        <v>1.6940318585171934</v>
      </c>
      <c r="AD94" s="55">
        <f>IF(RnSplint!N95&lt;0,0,RnSplint!N95)</f>
        <v>4.3076923076923075</v>
      </c>
      <c r="AE94" s="55">
        <f>IF(RnSplint!N95&lt;0,0,RnSplint!N95)</f>
        <v>4.3076923076923075</v>
      </c>
      <c r="AF94" s="30"/>
      <c r="AG94" s="30"/>
      <c r="AH94" s="30"/>
      <c r="AI94" s="55"/>
      <c r="AJ94" s="55"/>
      <c r="AK94" s="55"/>
      <c r="AL94" s="55"/>
      <c r="AM94" s="55"/>
      <c r="AN94" s="55">
        <f t="shared" si="26"/>
        <v>7.2973680059202177</v>
      </c>
      <c r="AO94" s="55">
        <f t="shared" si="27"/>
        <v>2.7013641009534828</v>
      </c>
      <c r="AP94" s="55">
        <f t="shared" si="28"/>
        <v>0.94026569728363274</v>
      </c>
      <c r="AQ94" s="55"/>
      <c r="AR94" s="55"/>
      <c r="AS94" s="55"/>
      <c r="AT94" s="55"/>
      <c r="AU94" s="30"/>
      <c r="AV94" s="30"/>
      <c r="AW94" s="2"/>
      <c r="AX94" s="2"/>
    </row>
    <row r="95" spans="1:50" x14ac:dyDescent="0.2">
      <c r="A95" s="2"/>
      <c r="B95" s="61">
        <f t="shared" si="9"/>
        <v>41686</v>
      </c>
      <c r="C95" s="62">
        <f t="shared" si="10"/>
        <v>47</v>
      </c>
      <c r="D95" s="63">
        <f t="shared" si="11"/>
        <v>1.7215417764472893</v>
      </c>
      <c r="G95" s="357" t="str">
        <f>IF(MakeSchedule!C62="","",MakeSchedule!C62)</f>
        <v/>
      </c>
      <c r="H95" s="358"/>
      <c r="I95" s="358"/>
      <c r="J95" s="359" t="str">
        <f>IF(MakeSchedule!B62="","",MakeSchedule!B62)</f>
        <v/>
      </c>
      <c r="K95" s="63">
        <f t="shared" si="12"/>
        <v>1.7215417764472893</v>
      </c>
      <c r="L95" s="63">
        <f t="shared" si="13"/>
        <v>1.7215417764472893</v>
      </c>
      <c r="M95" s="63">
        <f t="shared" si="14"/>
        <v>4.2860595512985897</v>
      </c>
      <c r="N95" s="63" t="str">
        <f t="shared" si="0"/>
        <v/>
      </c>
      <c r="O95" s="64">
        <f t="shared" si="15"/>
        <v>0.93507368050351325</v>
      </c>
      <c r="P95" s="63" t="str">
        <f t="shared" si="16"/>
        <v/>
      </c>
      <c r="Q95" s="64" t="e">
        <f t="shared" si="1"/>
        <v>#N/A</v>
      </c>
      <c r="R95" s="63">
        <f t="shared" si="2"/>
        <v>0.93507368050351325</v>
      </c>
      <c r="S95" s="65">
        <f t="shared" si="3"/>
        <v>0.35</v>
      </c>
      <c r="T95" s="65">
        <f t="shared" si="17"/>
        <v>1.2</v>
      </c>
      <c r="U95" s="64" t="e">
        <f t="shared" si="18"/>
        <v>#N/A</v>
      </c>
      <c r="V95" s="63">
        <f t="shared" si="4"/>
        <v>2.065850131736747</v>
      </c>
      <c r="W95" s="63" t="str">
        <f t="shared" si="5"/>
        <v/>
      </c>
      <c r="X95" s="63">
        <f t="shared" si="19"/>
        <v>0</v>
      </c>
      <c r="Y95" s="55"/>
      <c r="Z95" s="55"/>
      <c r="AA95" s="55"/>
      <c r="AB95" s="55">
        <f>PMSplint!N96</f>
        <v>1.7215417764472893</v>
      </c>
      <c r="AC95" s="55">
        <f>PMSplint!N96</f>
        <v>1.7215417764472893</v>
      </c>
      <c r="AD95" s="55">
        <f>IF(RnSplint!N96&lt;0,0,RnSplint!N96)</f>
        <v>4.2860595512985897</v>
      </c>
      <c r="AE95" s="55">
        <f>IF(RnSplint!N96&lt;0,0,RnSplint!N96)</f>
        <v>4.2860595512985897</v>
      </c>
      <c r="AF95" s="30"/>
      <c r="AG95" s="30"/>
      <c r="AH95" s="30"/>
      <c r="AI95" s="55"/>
      <c r="AJ95" s="55"/>
      <c r="AK95" s="55"/>
      <c r="AL95" s="55"/>
      <c r="AM95" s="55"/>
      <c r="AN95" s="55">
        <f t="shared" si="26"/>
        <v>7.3786305739014457</v>
      </c>
      <c r="AO95" s="55">
        <f t="shared" si="27"/>
        <v>2.71636348339125</v>
      </c>
      <c r="AP95" s="55">
        <f t="shared" si="28"/>
        <v>0.93507368050351325</v>
      </c>
      <c r="AQ95" s="55"/>
      <c r="AR95" s="55"/>
      <c r="AS95" s="55"/>
      <c r="AT95" s="55"/>
      <c r="AU95" s="30"/>
      <c r="AV95" s="30"/>
      <c r="AW95" s="2"/>
      <c r="AX95" s="2"/>
    </row>
    <row r="96" spans="1:50" x14ac:dyDescent="0.2">
      <c r="A96" s="2"/>
      <c r="B96" s="61">
        <f t="shared" si="9"/>
        <v>41687</v>
      </c>
      <c r="C96" s="62">
        <f t="shared" si="10"/>
        <v>48</v>
      </c>
      <c r="D96" s="63">
        <f t="shared" si="11"/>
        <v>1.7491702161028528</v>
      </c>
      <c r="G96" s="357" t="str">
        <f>IF(MakeSchedule!C63="","",MakeSchedule!C63)</f>
        <v/>
      </c>
      <c r="H96" s="358"/>
      <c r="I96" s="358"/>
      <c r="J96" s="359" t="str">
        <f>IF(MakeSchedule!B63="","",MakeSchedule!B63)</f>
        <v/>
      </c>
      <c r="K96" s="63">
        <f t="shared" si="12"/>
        <v>1.7491702161028528</v>
      </c>
      <c r="L96" s="63">
        <f t="shared" si="13"/>
        <v>1.7491702161028528</v>
      </c>
      <c r="M96" s="63">
        <f t="shared" si="14"/>
        <v>4.2575487723054399</v>
      </c>
      <c r="N96" s="63" t="str">
        <f t="shared" si="0"/>
        <v/>
      </c>
      <c r="O96" s="64">
        <f t="shared" si="15"/>
        <v>0.93076032772986017</v>
      </c>
      <c r="P96" s="63" t="str">
        <f t="shared" si="16"/>
        <v/>
      </c>
      <c r="Q96" s="64" t="e">
        <f t="shared" si="1"/>
        <v>#N/A</v>
      </c>
      <c r="R96" s="63">
        <f t="shared" si="2"/>
        <v>0.93076032772986017</v>
      </c>
      <c r="S96" s="65">
        <f t="shared" si="3"/>
        <v>0.35</v>
      </c>
      <c r="T96" s="65">
        <f t="shared" si="17"/>
        <v>1.2</v>
      </c>
      <c r="U96" s="64" t="e">
        <f t="shared" si="18"/>
        <v>#N/A</v>
      </c>
      <c r="V96" s="63">
        <f t="shared" si="4"/>
        <v>2.0990042593234235</v>
      </c>
      <c r="W96" s="63" t="str">
        <f t="shared" si="5"/>
        <v/>
      </c>
      <c r="X96" s="63">
        <f t="shared" si="19"/>
        <v>0</v>
      </c>
      <c r="Y96" s="55"/>
      <c r="Z96" s="55"/>
      <c r="AA96" s="55"/>
      <c r="AB96" s="55">
        <f>PMSplint!N97</f>
        <v>1.7491702161028528</v>
      </c>
      <c r="AC96" s="55">
        <f>PMSplint!N97</f>
        <v>1.7491702161028528</v>
      </c>
      <c r="AD96" s="55">
        <f>IF(RnSplint!N97&lt;0,0,RnSplint!N97)</f>
        <v>4.2575487723054399</v>
      </c>
      <c r="AE96" s="55">
        <f>IF(RnSplint!N97&lt;0,0,RnSplint!N97)</f>
        <v>4.2575487723054399</v>
      </c>
      <c r="AF96" s="30"/>
      <c r="AG96" s="30"/>
      <c r="AH96" s="30"/>
      <c r="AI96" s="55"/>
      <c r="AJ96" s="55"/>
      <c r="AK96" s="55"/>
      <c r="AL96" s="55"/>
      <c r="AM96" s="55"/>
      <c r="AN96" s="55">
        <f t="shared" si="26"/>
        <v>7.4471775061219425</v>
      </c>
      <c r="AO96" s="55">
        <f t="shared" si="27"/>
        <v>2.7289517229372056</v>
      </c>
      <c r="AP96" s="55">
        <f t="shared" si="28"/>
        <v>0.93076032772986017</v>
      </c>
      <c r="AQ96" s="55"/>
      <c r="AR96" s="55"/>
      <c r="AS96" s="55"/>
      <c r="AT96" s="55"/>
      <c r="AU96" s="30"/>
      <c r="AV96" s="30"/>
      <c r="AW96" s="2"/>
      <c r="AX96" s="2"/>
    </row>
    <row r="97" spans="1:50" x14ac:dyDescent="0.2">
      <c r="A97" s="2"/>
      <c r="B97" s="61">
        <f t="shared" si="9"/>
        <v>41688</v>
      </c>
      <c r="C97" s="62">
        <f t="shared" si="10"/>
        <v>49</v>
      </c>
      <c r="D97" s="63">
        <f t="shared" si="11"/>
        <v>1.7769558946121939</v>
      </c>
      <c r="G97" s="357" t="str">
        <f>IF(MakeSchedule!C64="","",MakeSchedule!C64)</f>
        <v/>
      </c>
      <c r="H97" s="358"/>
      <c r="I97" s="358"/>
      <c r="J97" s="359" t="str">
        <f>IF(MakeSchedule!B64="","",MakeSchedule!B64)</f>
        <v/>
      </c>
      <c r="K97" s="63">
        <f t="shared" si="12"/>
        <v>1.7769558946121939</v>
      </c>
      <c r="L97" s="63">
        <f t="shared" si="13"/>
        <v>1.7769558946121939</v>
      </c>
      <c r="M97" s="63">
        <f t="shared" si="14"/>
        <v>4.2233122016983469</v>
      </c>
      <c r="N97" s="63" t="str">
        <f t="shared" si="0"/>
        <v/>
      </c>
      <c r="O97" s="64">
        <f t="shared" si="15"/>
        <v>0.92719012775584053</v>
      </c>
      <c r="P97" s="63" t="str">
        <f t="shared" si="16"/>
        <v/>
      </c>
      <c r="Q97" s="64" t="e">
        <f t="shared" si="1"/>
        <v>#N/A</v>
      </c>
      <c r="R97" s="63">
        <f t="shared" si="2"/>
        <v>0.92719012775584053</v>
      </c>
      <c r="S97" s="65">
        <f t="shared" si="3"/>
        <v>0.35</v>
      </c>
      <c r="T97" s="65">
        <f t="shared" si="17"/>
        <v>1.2</v>
      </c>
      <c r="U97" s="64" t="e">
        <f t="shared" si="18"/>
        <v>#N/A</v>
      </c>
      <c r="V97" s="63">
        <f t="shared" si="4"/>
        <v>2.1323470735346328</v>
      </c>
      <c r="W97" s="63" t="str">
        <f t="shared" si="5"/>
        <v/>
      </c>
      <c r="X97" s="63">
        <f t="shared" si="19"/>
        <v>0</v>
      </c>
      <c r="Y97" s="55"/>
      <c r="Z97" s="55"/>
      <c r="AA97" s="55"/>
      <c r="AB97" s="55">
        <f>PMSplint!N98</f>
        <v>1.7769558946121939</v>
      </c>
      <c r="AC97" s="55">
        <f>PMSplint!N98</f>
        <v>1.7769558946121939</v>
      </c>
      <c r="AD97" s="55">
        <f>IF(RnSplint!N98&lt;0,0,RnSplint!N98)</f>
        <v>4.2233122016983469</v>
      </c>
      <c r="AE97" s="55">
        <f>IF(RnSplint!N98&lt;0,0,RnSplint!N98)</f>
        <v>4.2233122016983469</v>
      </c>
      <c r="AF97" s="30"/>
      <c r="AG97" s="30"/>
      <c r="AH97" s="30"/>
      <c r="AI97" s="55"/>
      <c r="AJ97" s="55"/>
      <c r="AK97" s="55"/>
      <c r="AL97" s="55"/>
      <c r="AM97" s="55"/>
      <c r="AN97" s="55">
        <f t="shared" si="26"/>
        <v>7.5046395115954807</v>
      </c>
      <c r="AO97" s="55">
        <f t="shared" si="27"/>
        <v>2.7394597116211585</v>
      </c>
      <c r="AP97" s="55">
        <f t="shared" si="28"/>
        <v>0.92719012775584053</v>
      </c>
      <c r="AQ97" s="55"/>
      <c r="AR97" s="55"/>
      <c r="AS97" s="55"/>
      <c r="AT97" s="55"/>
      <c r="AU97" s="30"/>
      <c r="AV97" s="30"/>
      <c r="AW97" s="2"/>
      <c r="AX97" s="2"/>
    </row>
    <row r="98" spans="1:50" x14ac:dyDescent="0.2">
      <c r="A98" s="2"/>
      <c r="B98" s="61">
        <f t="shared" si="9"/>
        <v>41689</v>
      </c>
      <c r="C98" s="62">
        <f t="shared" si="10"/>
        <v>50</v>
      </c>
      <c r="D98" s="63">
        <f t="shared" si="11"/>
        <v>1.8049375291036236</v>
      </c>
      <c r="G98" s="357" t="str">
        <f>IF(MakeSchedule!C65="","",MakeSchedule!C65)</f>
        <v/>
      </c>
      <c r="H98" s="358"/>
      <c r="I98" s="358"/>
      <c r="J98" s="359" t="str">
        <f>IF(MakeSchedule!B65="","",MakeSchedule!B65)</f>
        <v/>
      </c>
      <c r="K98" s="63">
        <f t="shared" si="12"/>
        <v>1.8049375291036236</v>
      </c>
      <c r="L98" s="63">
        <f t="shared" si="13"/>
        <v>1.8049375291036236</v>
      </c>
      <c r="M98" s="63">
        <f t="shared" si="14"/>
        <v>4.1845020704627958</v>
      </c>
      <c r="N98" s="63" t="str">
        <f t="shared" si="0"/>
        <v/>
      </c>
      <c r="O98" s="64">
        <f t="shared" si="15"/>
        <v>0.92423143470121927</v>
      </c>
      <c r="P98" s="63" t="str">
        <f t="shared" si="16"/>
        <v/>
      </c>
      <c r="Q98" s="64" t="e">
        <f t="shared" si="1"/>
        <v>#N/A</v>
      </c>
      <c r="R98" s="63">
        <f t="shared" si="2"/>
        <v>0.92423143470121927</v>
      </c>
      <c r="S98" s="65">
        <f t="shared" si="3"/>
        <v>0.35</v>
      </c>
      <c r="T98" s="65">
        <f t="shared" si="17"/>
        <v>1.2</v>
      </c>
      <c r="U98" s="64" t="e">
        <f t="shared" si="18"/>
        <v>#N/A</v>
      </c>
      <c r="V98" s="63">
        <f t="shared" si="4"/>
        <v>2.1659250349243484</v>
      </c>
      <c r="W98" s="63" t="str">
        <f t="shared" si="5"/>
        <v/>
      </c>
      <c r="X98" s="63">
        <f t="shared" si="19"/>
        <v>0</v>
      </c>
      <c r="Y98" s="55"/>
      <c r="Z98" s="55"/>
      <c r="AA98" s="55"/>
      <c r="AB98" s="55">
        <f>PMSplint!N99</f>
        <v>1.8049375291036236</v>
      </c>
      <c r="AC98" s="55">
        <f>PMSplint!N99</f>
        <v>1.8049375291036236</v>
      </c>
      <c r="AD98" s="55">
        <f>IF(RnSplint!N99&lt;0,0,RnSplint!N99)</f>
        <v>4.1845020704627958</v>
      </c>
      <c r="AE98" s="55">
        <f>IF(RnSplint!N99&lt;0,0,RnSplint!N99)</f>
        <v>4.1845020704627958</v>
      </c>
      <c r="AF98" s="30"/>
      <c r="AG98" s="30"/>
      <c r="AH98" s="30"/>
      <c r="AI98" s="55"/>
      <c r="AJ98" s="55"/>
      <c r="AK98" s="55"/>
      <c r="AL98" s="55"/>
      <c r="AM98" s="55"/>
      <c r="AN98" s="55">
        <f t="shared" si="26"/>
        <v>7.5527648275901154</v>
      </c>
      <c r="AO98" s="55">
        <f t="shared" si="27"/>
        <v>2.7482293986474482</v>
      </c>
      <c r="AP98" s="55">
        <f t="shared" si="28"/>
        <v>0.92423143470121927</v>
      </c>
      <c r="AQ98" s="55"/>
      <c r="AR98" s="55"/>
      <c r="AS98" s="55"/>
      <c r="AT98" s="55"/>
      <c r="AU98" s="30"/>
      <c r="AV98" s="30"/>
      <c r="AW98" s="2"/>
      <c r="AX98" s="2"/>
    </row>
    <row r="99" spans="1:50" x14ac:dyDescent="0.2">
      <c r="A99" s="2"/>
      <c r="B99" s="61">
        <f t="shared" si="9"/>
        <v>41690</v>
      </c>
      <c r="C99" s="62">
        <f t="shared" si="10"/>
        <v>51</v>
      </c>
      <c r="D99" s="63">
        <f t="shared" si="11"/>
        <v>1.8331538367054514</v>
      </c>
      <c r="G99" s="357" t="str">
        <f>IF(MakeSchedule!C66="","",MakeSchedule!C66)</f>
        <v/>
      </c>
      <c r="H99" s="358"/>
      <c r="I99" s="358"/>
      <c r="J99" s="359" t="str">
        <f>IF(MakeSchedule!B66="","",MakeSchedule!B66)</f>
        <v/>
      </c>
      <c r="K99" s="63">
        <f t="shared" si="12"/>
        <v>1.8331538367054514</v>
      </c>
      <c r="L99" s="63">
        <f t="shared" si="13"/>
        <v>1.8331538367054514</v>
      </c>
      <c r="M99" s="63">
        <f t="shared" si="14"/>
        <v>4.1422706095842754</v>
      </c>
      <c r="N99" s="63" t="str">
        <f t="shared" si="0"/>
        <v/>
      </c>
      <c r="O99" s="64">
        <f t="shared" si="15"/>
        <v>0.92175399135198677</v>
      </c>
      <c r="P99" s="63" t="str">
        <f t="shared" si="16"/>
        <v/>
      </c>
      <c r="Q99" s="64" t="e">
        <f t="shared" si="1"/>
        <v>#N/A</v>
      </c>
      <c r="R99" s="63">
        <f t="shared" si="2"/>
        <v>0.92175399135198677</v>
      </c>
      <c r="S99" s="65">
        <f t="shared" si="3"/>
        <v>0.35</v>
      </c>
      <c r="T99" s="65">
        <f t="shared" si="17"/>
        <v>1.2</v>
      </c>
      <c r="U99" s="64" t="e">
        <f t="shared" si="18"/>
        <v>#N/A</v>
      </c>
      <c r="V99" s="63">
        <f t="shared" si="4"/>
        <v>2.1997846040465414</v>
      </c>
      <c r="W99" s="63" t="str">
        <f t="shared" si="5"/>
        <v/>
      </c>
      <c r="X99" s="63">
        <f t="shared" si="19"/>
        <v>0</v>
      </c>
      <c r="Y99" s="55"/>
      <c r="Z99" s="55"/>
      <c r="AA99" s="55"/>
      <c r="AB99" s="55">
        <f>PMSplint!N100</f>
        <v>1.8331538367054514</v>
      </c>
      <c r="AC99" s="55">
        <f>PMSplint!N100</f>
        <v>1.8331538367054514</v>
      </c>
      <c r="AD99" s="55">
        <f>IF(RnSplint!N100&lt;0,0,RnSplint!N100)</f>
        <v>4.1422706095842754</v>
      </c>
      <c r="AE99" s="55">
        <f>IF(RnSplint!N100&lt;0,0,RnSplint!N100)</f>
        <v>4.1422706095842754</v>
      </c>
      <c r="AF99" s="30"/>
      <c r="AG99" s="30"/>
      <c r="AH99" s="30"/>
      <c r="AI99" s="55"/>
      <c r="AJ99" s="55"/>
      <c r="AK99" s="55"/>
      <c r="AL99" s="55"/>
      <c r="AM99" s="55"/>
      <c r="AN99" s="55">
        <f t="shared" si="26"/>
        <v>7.5934192606316433</v>
      </c>
      <c r="AO99" s="55">
        <f t="shared" si="27"/>
        <v>2.7556159494079799</v>
      </c>
      <c r="AP99" s="55">
        <f t="shared" si="28"/>
        <v>0.92175399135198677</v>
      </c>
      <c r="AQ99" s="55"/>
      <c r="AR99" s="55"/>
      <c r="AS99" s="55"/>
      <c r="AT99" s="55"/>
      <c r="AU99" s="30"/>
      <c r="AV99" s="30"/>
      <c r="AW99" s="2"/>
      <c r="AX99" s="2"/>
    </row>
    <row r="100" spans="1:50" x14ac:dyDescent="0.2">
      <c r="A100" s="2"/>
      <c r="B100" s="61">
        <f t="shared" si="9"/>
        <v>41691</v>
      </c>
      <c r="C100" s="62">
        <f t="shared" si="10"/>
        <v>52</v>
      </c>
      <c r="D100" s="63">
        <f t="shared" si="11"/>
        <v>1.861643534545989</v>
      </c>
      <c r="G100" s="357" t="str">
        <f>IF(MakeSchedule!C67="","",MakeSchedule!C67)</f>
        <v/>
      </c>
      <c r="H100" s="358"/>
      <c r="I100" s="358"/>
      <c r="J100" s="359" t="str">
        <f>IF(MakeSchedule!B67="","",MakeSchedule!B67)</f>
        <v/>
      </c>
      <c r="K100" s="63">
        <f t="shared" si="12"/>
        <v>1.861643534545989</v>
      </c>
      <c r="L100" s="63">
        <f t="shared" si="13"/>
        <v>1.861643534545989</v>
      </c>
      <c r="M100" s="63">
        <f t="shared" si="14"/>
        <v>4.0977700500482728</v>
      </c>
      <c r="N100" s="63" t="str">
        <f t="shared" si="0"/>
        <v/>
      </c>
      <c r="O100" s="64">
        <f t="shared" si="15"/>
        <v>0.91962688970180118</v>
      </c>
      <c r="P100" s="63" t="str">
        <f t="shared" si="16"/>
        <v/>
      </c>
      <c r="Q100" s="64" t="e">
        <f t="shared" si="1"/>
        <v>#N/A</v>
      </c>
      <c r="R100" s="63">
        <f t="shared" si="2"/>
        <v>0.91962688970180118</v>
      </c>
      <c r="S100" s="65">
        <f t="shared" si="3"/>
        <v>0.35</v>
      </c>
      <c r="T100" s="65">
        <f t="shared" si="17"/>
        <v>1.2</v>
      </c>
      <c r="U100" s="64" t="e">
        <f t="shared" si="18"/>
        <v>#N/A</v>
      </c>
      <c r="V100" s="63">
        <f t="shared" si="4"/>
        <v>2.2339722414551866</v>
      </c>
      <c r="W100" s="63" t="str">
        <f t="shared" si="5"/>
        <v/>
      </c>
      <c r="X100" s="63">
        <f t="shared" si="19"/>
        <v>0</v>
      </c>
      <c r="Y100" s="55"/>
      <c r="Z100" s="55"/>
      <c r="AA100" s="55"/>
      <c r="AB100" s="55">
        <f>PMSplint!N101</f>
        <v>1.861643534545989</v>
      </c>
      <c r="AC100" s="55">
        <f>PMSplint!N101</f>
        <v>1.861643534545989</v>
      </c>
      <c r="AD100" s="55">
        <f>IF(RnSplint!N101&lt;0,0,RnSplint!N101)</f>
        <v>4.0977700500482728</v>
      </c>
      <c r="AE100" s="55">
        <f>IF(RnSplint!N101&lt;0,0,RnSplint!N101)</f>
        <v>4.0977700500482728</v>
      </c>
      <c r="AF100" s="30"/>
      <c r="AG100" s="30"/>
      <c r="AH100" s="30"/>
      <c r="AI100" s="55"/>
      <c r="AJ100" s="55"/>
      <c r="AK100" s="55"/>
      <c r="AL100" s="55"/>
      <c r="AM100" s="55"/>
      <c r="AN100" s="55">
        <f t="shared" si="26"/>
        <v>7.6285871197285609</v>
      </c>
      <c r="AO100" s="55">
        <f t="shared" si="27"/>
        <v>2.7619897030453537</v>
      </c>
      <c r="AP100" s="55">
        <f t="shared" si="28"/>
        <v>0.91962688970180118</v>
      </c>
      <c r="AQ100" s="55"/>
      <c r="AR100" s="55"/>
      <c r="AS100" s="55"/>
      <c r="AT100" s="55"/>
      <c r="AU100" s="30"/>
      <c r="AV100" s="30"/>
      <c r="AW100" s="2"/>
      <c r="AX100" s="2"/>
    </row>
    <row r="101" spans="1:50" x14ac:dyDescent="0.2">
      <c r="A101" s="2"/>
      <c r="B101" s="61">
        <f t="shared" si="9"/>
        <v>41692</v>
      </c>
      <c r="C101" s="62">
        <f t="shared" si="10"/>
        <v>53</v>
      </c>
      <c r="D101" s="63">
        <f t="shared" si="11"/>
        <v>1.8904453397535455</v>
      </c>
      <c r="G101" s="357" t="str">
        <f>IF(MakeSchedule!C68="","",MakeSchedule!C68)</f>
        <v/>
      </c>
      <c r="H101" s="358"/>
      <c r="I101" s="358"/>
      <c r="J101" s="359" t="str">
        <f>IF(MakeSchedule!B68="","",MakeSchedule!B68)</f>
        <v/>
      </c>
      <c r="K101" s="63">
        <f t="shared" si="12"/>
        <v>1.8904453397535455</v>
      </c>
      <c r="L101" s="63">
        <f t="shared" si="13"/>
        <v>1.8904453397535455</v>
      </c>
      <c r="M101" s="63">
        <f t="shared" si="14"/>
        <v>4.0521526228402758</v>
      </c>
      <c r="N101" s="63" t="str">
        <f t="shared" si="0"/>
        <v/>
      </c>
      <c r="O101" s="64">
        <f t="shared" si="15"/>
        <v>0.91771695825800281</v>
      </c>
      <c r="P101" s="63" t="str">
        <f t="shared" si="16"/>
        <v/>
      </c>
      <c r="Q101" s="64" t="e">
        <f t="shared" si="1"/>
        <v>#N/A</v>
      </c>
      <c r="R101" s="63">
        <f t="shared" si="2"/>
        <v>0.91771695825800281</v>
      </c>
      <c r="S101" s="65">
        <f t="shared" si="3"/>
        <v>0.35</v>
      </c>
      <c r="T101" s="65">
        <f t="shared" si="17"/>
        <v>1.2</v>
      </c>
      <c r="U101" s="64" t="e">
        <f t="shared" si="18"/>
        <v>#N/A</v>
      </c>
      <c r="V101" s="63">
        <f t="shared" si="4"/>
        <v>2.2685344077042546</v>
      </c>
      <c r="W101" s="63" t="str">
        <f t="shared" si="5"/>
        <v/>
      </c>
      <c r="X101" s="63">
        <f t="shared" si="19"/>
        <v>0</v>
      </c>
      <c r="Y101" s="55"/>
      <c r="Z101" s="55"/>
      <c r="AA101" s="55"/>
      <c r="AB101" s="55">
        <f>PMSplint!N102</f>
        <v>1.8904453397535455</v>
      </c>
      <c r="AC101" s="55">
        <f>PMSplint!N102</f>
        <v>1.8904453397535455</v>
      </c>
      <c r="AD101" s="55">
        <f>IF(RnSplint!N102&lt;0,0,RnSplint!N102)</f>
        <v>4.0521526228402758</v>
      </c>
      <c r="AE101" s="55">
        <f>IF(RnSplint!N102&lt;0,0,RnSplint!N102)</f>
        <v>4.0521526228402758</v>
      </c>
      <c r="AF101" s="30"/>
      <c r="AG101" s="30"/>
      <c r="AH101" s="30"/>
      <c r="AI101" s="55"/>
      <c r="AJ101" s="55"/>
      <c r="AK101" s="55"/>
      <c r="AL101" s="55"/>
      <c r="AM101" s="55"/>
      <c r="AN101" s="55">
        <f t="shared" si="26"/>
        <v>7.6603730418185059</v>
      </c>
      <c r="AO101" s="55">
        <f t="shared" si="27"/>
        <v>2.7677378925430252</v>
      </c>
      <c r="AP101" s="55">
        <f t="shared" si="28"/>
        <v>0.91771695825800281</v>
      </c>
      <c r="AQ101" s="55"/>
      <c r="AR101" s="55"/>
      <c r="AS101" s="55"/>
      <c r="AT101" s="55"/>
      <c r="AU101" s="30"/>
      <c r="AV101" s="30"/>
      <c r="AW101" s="2"/>
      <c r="AX101" s="2"/>
    </row>
    <row r="102" spans="1:50" x14ac:dyDescent="0.2">
      <c r="A102" s="2"/>
      <c r="B102" s="61">
        <f t="shared" si="9"/>
        <v>41693</v>
      </c>
      <c r="C102" s="62">
        <f t="shared" si="10"/>
        <v>54</v>
      </c>
      <c r="D102" s="63">
        <f t="shared" si="11"/>
        <v>1.9195979694564316</v>
      </c>
      <c r="G102" s="357" t="str">
        <f>IF(MakeSchedule!C69="","",MakeSchedule!C69)</f>
        <v/>
      </c>
      <c r="H102" s="358"/>
      <c r="I102" s="358"/>
      <c r="J102" s="359" t="str">
        <f>IF(MakeSchedule!B69="","",MakeSchedule!B69)</f>
        <v/>
      </c>
      <c r="K102" s="63">
        <f t="shared" si="12"/>
        <v>1.9195979694564316</v>
      </c>
      <c r="L102" s="63">
        <f t="shared" si="13"/>
        <v>1.9195979694564316</v>
      </c>
      <c r="M102" s="63">
        <f t="shared" si="14"/>
        <v>4.0065705589457705</v>
      </c>
      <c r="N102" s="63" t="str">
        <f t="shared" si="0"/>
        <v/>
      </c>
      <c r="O102" s="64">
        <f t="shared" si="15"/>
        <v>0.91588759733333602</v>
      </c>
      <c r="P102" s="63" t="str">
        <f t="shared" si="16"/>
        <v/>
      </c>
      <c r="Q102" s="64" t="e">
        <f t="shared" si="1"/>
        <v>#N/A</v>
      </c>
      <c r="R102" s="63">
        <f t="shared" si="2"/>
        <v>0.91588759733333602</v>
      </c>
      <c r="S102" s="65">
        <f t="shared" si="3"/>
        <v>0.35</v>
      </c>
      <c r="T102" s="65">
        <f t="shared" si="17"/>
        <v>1.2</v>
      </c>
      <c r="U102" s="64" t="e">
        <f t="shared" si="18"/>
        <v>#N/A</v>
      </c>
      <c r="V102" s="63">
        <f t="shared" si="4"/>
        <v>2.3035175633477176</v>
      </c>
      <c r="W102" s="63" t="str">
        <f t="shared" si="5"/>
        <v/>
      </c>
      <c r="X102" s="63">
        <f t="shared" si="19"/>
        <v>0</v>
      </c>
      <c r="Y102" s="55"/>
      <c r="Z102" s="55"/>
      <c r="AA102" s="55"/>
      <c r="AB102" s="55">
        <f>PMSplint!N103</f>
        <v>1.9195979694564316</v>
      </c>
      <c r="AC102" s="55">
        <f>PMSplint!N103</f>
        <v>1.9195979694564316</v>
      </c>
      <c r="AD102" s="55">
        <f>IF(RnSplint!N103&lt;0,0,RnSplint!N103)</f>
        <v>4.0065705589457705</v>
      </c>
      <c r="AE102" s="55">
        <f>IF(RnSplint!N103&lt;0,0,RnSplint!N103)</f>
        <v>4.0065705589457705</v>
      </c>
      <c r="AF102" s="30"/>
      <c r="AG102" s="30"/>
      <c r="AH102" s="30"/>
      <c r="AI102" s="55"/>
      <c r="AJ102" s="55"/>
      <c r="AK102" s="55"/>
      <c r="AL102" s="55"/>
      <c r="AM102" s="55"/>
      <c r="AN102" s="55">
        <f t="shared" si="26"/>
        <v>7.6910047094362213</v>
      </c>
      <c r="AO102" s="55">
        <f t="shared" si="27"/>
        <v>2.7732660726003591</v>
      </c>
      <c r="AP102" s="55">
        <f t="shared" si="28"/>
        <v>0.91588759733333602</v>
      </c>
      <c r="AQ102" s="55"/>
      <c r="AR102" s="55"/>
      <c r="AS102" s="55"/>
      <c r="AT102" s="55"/>
      <c r="AU102" s="30"/>
      <c r="AV102" s="30"/>
      <c r="AW102" s="2"/>
      <c r="AX102" s="2"/>
    </row>
    <row r="103" spans="1:50" x14ac:dyDescent="0.2">
      <c r="A103" s="2"/>
      <c r="B103" s="61">
        <f t="shared" si="9"/>
        <v>41694</v>
      </c>
      <c r="C103" s="62">
        <f t="shared" si="10"/>
        <v>55</v>
      </c>
      <c r="D103" s="63">
        <f t="shared" si="11"/>
        <v>1.9491401407829581</v>
      </c>
      <c r="G103" s="357" t="str">
        <f>IF(MakeSchedule!C70="","",MakeSchedule!C70)</f>
        <v/>
      </c>
      <c r="H103" s="358"/>
      <c r="I103" s="358"/>
      <c r="J103" s="359" t="str">
        <f>IF(MakeSchedule!B70="","",MakeSchedule!B70)</f>
        <v/>
      </c>
      <c r="K103" s="63">
        <f t="shared" si="12"/>
        <v>1.9491401407829581</v>
      </c>
      <c r="L103" s="63">
        <f t="shared" si="13"/>
        <v>1.9491401407829581</v>
      </c>
      <c r="M103" s="63">
        <f t="shared" si="14"/>
        <v>3.9621760893502467</v>
      </c>
      <c r="N103" s="63" t="str">
        <f t="shared" si="0"/>
        <v/>
      </c>
      <c r="O103" s="64">
        <f t="shared" si="15"/>
        <v>0.91399810956880234</v>
      </c>
      <c r="P103" s="63" t="str">
        <f t="shared" si="16"/>
        <v/>
      </c>
      <c r="Q103" s="64" t="e">
        <f t="shared" si="1"/>
        <v>#N/A</v>
      </c>
      <c r="R103" s="63">
        <f t="shared" si="2"/>
        <v>0.91399810956880234</v>
      </c>
      <c r="S103" s="65">
        <f t="shared" si="3"/>
        <v>0.35</v>
      </c>
      <c r="T103" s="65">
        <f t="shared" si="17"/>
        <v>1.2</v>
      </c>
      <c r="U103" s="64" t="e">
        <f t="shared" si="18"/>
        <v>#N/A</v>
      </c>
      <c r="V103" s="63">
        <f t="shared" si="4"/>
        <v>2.3389681689395494</v>
      </c>
      <c r="W103" s="63" t="str">
        <f t="shared" si="5"/>
        <v/>
      </c>
      <c r="X103" s="63">
        <f t="shared" si="19"/>
        <v>0</v>
      </c>
      <c r="Y103" s="55"/>
      <c r="Z103" s="55"/>
      <c r="AA103" s="55"/>
      <c r="AB103" s="55">
        <f>PMSplint!N104</f>
        <v>1.9491401407829581</v>
      </c>
      <c r="AC103" s="55">
        <f>PMSplint!N104</f>
        <v>1.9491401407829581</v>
      </c>
      <c r="AD103" s="55">
        <f>IF(RnSplint!N104&lt;0,0,RnSplint!N104)</f>
        <v>3.9621760893502467</v>
      </c>
      <c r="AE103" s="55">
        <f>IF(RnSplint!N104&lt;0,0,RnSplint!N104)</f>
        <v>3.9621760893502467</v>
      </c>
      <c r="AF103" s="30"/>
      <c r="AG103" s="30"/>
      <c r="AH103" s="30"/>
      <c r="AI103" s="55"/>
      <c r="AJ103" s="55"/>
      <c r="AK103" s="55"/>
      <c r="AL103" s="55"/>
      <c r="AM103" s="55"/>
      <c r="AN103" s="55">
        <f t="shared" si="26"/>
        <v>7.72283646060301</v>
      </c>
      <c r="AO103" s="55">
        <f t="shared" si="27"/>
        <v>2.7789991832677838</v>
      </c>
      <c r="AP103" s="55">
        <f t="shared" si="28"/>
        <v>0.91399810956880234</v>
      </c>
      <c r="AQ103" s="55"/>
      <c r="AR103" s="55"/>
      <c r="AS103" s="55"/>
      <c r="AT103" s="55"/>
      <c r="AU103" s="30"/>
      <c r="AV103" s="30"/>
      <c r="AW103" s="2"/>
      <c r="AX103" s="2"/>
    </row>
    <row r="104" spans="1:50" x14ac:dyDescent="0.2">
      <c r="A104" s="2"/>
      <c r="B104" s="61">
        <f t="shared" si="9"/>
        <v>41695</v>
      </c>
      <c r="C104" s="62">
        <f t="shared" si="10"/>
        <v>56</v>
      </c>
      <c r="D104" s="63">
        <f t="shared" si="11"/>
        <v>1.9791105708614347</v>
      </c>
      <c r="G104" s="357" t="str">
        <f>IF(MakeSchedule!C71="","",MakeSchedule!C71)</f>
        <v/>
      </c>
      <c r="H104" s="358"/>
      <c r="I104" s="358"/>
      <c r="J104" s="359" t="str">
        <f>IF(MakeSchedule!B71="","",MakeSchedule!B71)</f>
        <v/>
      </c>
      <c r="K104" s="63">
        <f t="shared" si="12"/>
        <v>1.9791105708614347</v>
      </c>
      <c r="L104" s="63">
        <f t="shared" si="13"/>
        <v>1.9791105708614347</v>
      </c>
      <c r="M104" s="63">
        <f t="shared" si="14"/>
        <v>3.9201214450391904</v>
      </c>
      <c r="N104" s="63" t="str">
        <f t="shared" si="0"/>
        <v/>
      </c>
      <c r="O104" s="64">
        <f t="shared" si="15"/>
        <v>0.91190359234540119</v>
      </c>
      <c r="P104" s="63" t="str">
        <f t="shared" si="16"/>
        <v/>
      </c>
      <c r="Q104" s="64" t="e">
        <f t="shared" si="1"/>
        <v>#N/A</v>
      </c>
      <c r="R104" s="63">
        <f t="shared" si="2"/>
        <v>0.91190359234540119</v>
      </c>
      <c r="S104" s="65">
        <f t="shared" si="3"/>
        <v>0.35</v>
      </c>
      <c r="T104" s="65">
        <f t="shared" si="17"/>
        <v>1.2</v>
      </c>
      <c r="U104" s="64" t="e">
        <f t="shared" si="18"/>
        <v>#N/A</v>
      </c>
      <c r="V104" s="63">
        <f t="shared" si="4"/>
        <v>2.3749326850337216</v>
      </c>
      <c r="W104" s="63" t="str">
        <f t="shared" si="5"/>
        <v/>
      </c>
      <c r="X104" s="63">
        <f t="shared" si="19"/>
        <v>0</v>
      </c>
      <c r="Y104" s="55"/>
      <c r="Z104" s="55"/>
      <c r="AA104" s="55"/>
      <c r="AB104" s="55">
        <f>PMSplint!N105</f>
        <v>1.9791105708614347</v>
      </c>
      <c r="AC104" s="55">
        <f>PMSplint!N105</f>
        <v>1.9791105708614347</v>
      </c>
      <c r="AD104" s="55">
        <f>IF(RnSplint!N105&lt;0,0,RnSplint!N105)</f>
        <v>3.9201214450391904</v>
      </c>
      <c r="AE104" s="55">
        <f>IF(RnSplint!N105&lt;0,0,RnSplint!N105)</f>
        <v>3.9201214450391904</v>
      </c>
      <c r="AF104" s="30"/>
      <c r="AG104" s="30"/>
      <c r="AH104" s="30"/>
      <c r="AI104" s="55"/>
      <c r="AJ104" s="55"/>
      <c r="AK104" s="55"/>
      <c r="AL104" s="55"/>
      <c r="AM104" s="55"/>
      <c r="AN104" s="55">
        <f t="shared" si="26"/>
        <v>7.7583537909376643</v>
      </c>
      <c r="AO104" s="55">
        <f t="shared" si="27"/>
        <v>2.7853821624577235</v>
      </c>
      <c r="AP104" s="55">
        <f t="shared" si="28"/>
        <v>0.91190359234540119</v>
      </c>
      <c r="AQ104" s="55"/>
      <c r="AR104" s="55"/>
      <c r="AS104" s="55"/>
      <c r="AT104" s="55"/>
      <c r="AU104" s="30"/>
      <c r="AV104" s="30"/>
      <c r="AW104" s="2"/>
      <c r="AX104" s="2"/>
    </row>
    <row r="105" spans="1:50" x14ac:dyDescent="0.2">
      <c r="A105" s="2"/>
      <c r="B105" s="61">
        <f t="shared" si="9"/>
        <v>41696</v>
      </c>
      <c r="C105" s="62">
        <f t="shared" si="10"/>
        <v>57</v>
      </c>
      <c r="D105" s="63">
        <f t="shared" si="11"/>
        <v>2.0095479768201732</v>
      </c>
      <c r="G105" s="357" t="str">
        <f>IF(MakeSchedule!C72="","",MakeSchedule!C72)</f>
        <v/>
      </c>
      <c r="H105" s="358"/>
      <c r="I105" s="358"/>
      <c r="J105" s="359" t="str">
        <f>IF(MakeSchedule!B72="","",MakeSchedule!B72)</f>
        <v/>
      </c>
      <c r="K105" s="63">
        <f t="shared" si="12"/>
        <v>2.0095479768201732</v>
      </c>
      <c r="L105" s="63">
        <f t="shared" si="13"/>
        <v>2.0095479768201732</v>
      </c>
      <c r="M105" s="63">
        <f t="shared" si="14"/>
        <v>3.8815588569980881</v>
      </c>
      <c r="N105" s="63" t="str">
        <f t="shared" si="0"/>
        <v/>
      </c>
      <c r="O105" s="64">
        <f t="shared" si="15"/>
        <v>0.90945546936310284</v>
      </c>
      <c r="P105" s="63" t="str">
        <f t="shared" si="16"/>
        <v/>
      </c>
      <c r="Q105" s="64" t="e">
        <f t="shared" si="1"/>
        <v>#N/A</v>
      </c>
      <c r="R105" s="63">
        <f t="shared" si="2"/>
        <v>0.90945546936310284</v>
      </c>
      <c r="S105" s="65">
        <f t="shared" si="3"/>
        <v>0.35</v>
      </c>
      <c r="T105" s="65">
        <f t="shared" si="17"/>
        <v>1.2</v>
      </c>
      <c r="U105" s="64" t="e">
        <f t="shared" si="18"/>
        <v>#N/A</v>
      </c>
      <c r="V105" s="63">
        <f t="shared" si="4"/>
        <v>2.4114575721842075</v>
      </c>
      <c r="W105" s="63" t="str">
        <f t="shared" si="5"/>
        <v/>
      </c>
      <c r="X105" s="63">
        <f t="shared" si="19"/>
        <v>0</v>
      </c>
      <c r="Y105" s="55"/>
      <c r="Z105" s="55"/>
      <c r="AA105" s="55"/>
      <c r="AB105" s="55">
        <f>PMSplint!N106</f>
        <v>2.0095479768201732</v>
      </c>
      <c r="AC105" s="55">
        <f>PMSplint!N106</f>
        <v>2.0095479768201732</v>
      </c>
      <c r="AD105" s="55">
        <f>IF(RnSplint!N106&lt;0,0,RnSplint!N106)</f>
        <v>3.8815588569980881</v>
      </c>
      <c r="AE105" s="55">
        <f>IF(RnSplint!N106&lt;0,0,RnSplint!N106)</f>
        <v>3.8815588569980881</v>
      </c>
      <c r="AF105" s="30"/>
      <c r="AG105" s="30"/>
      <c r="AH105" s="30"/>
      <c r="AI105" s="55"/>
      <c r="AJ105" s="55"/>
      <c r="AK105" s="55"/>
      <c r="AL105" s="55"/>
      <c r="AM105" s="55"/>
      <c r="AN105" s="55">
        <f t="shared" si="26"/>
        <v>7.800178747988932</v>
      </c>
      <c r="AO105" s="55">
        <f t="shared" si="27"/>
        <v>2.7928800095938477</v>
      </c>
      <c r="AP105" s="55">
        <f t="shared" si="28"/>
        <v>0.90945546936310284</v>
      </c>
      <c r="AQ105" s="55"/>
      <c r="AR105" s="55"/>
      <c r="AS105" s="55"/>
      <c r="AT105" s="55"/>
      <c r="AU105" s="30"/>
      <c r="AV105" s="30"/>
      <c r="AW105" s="2"/>
      <c r="AX105" s="2"/>
    </row>
    <row r="106" spans="1:50" x14ac:dyDescent="0.2">
      <c r="A106" s="2"/>
      <c r="B106" s="61">
        <f t="shared" si="9"/>
        <v>41697</v>
      </c>
      <c r="C106" s="62">
        <f t="shared" si="10"/>
        <v>58</v>
      </c>
      <c r="D106" s="63">
        <f t="shared" si="11"/>
        <v>2.0404910757874815</v>
      </c>
      <c r="G106" s="357" t="str">
        <f>IF(MakeSchedule!C73="","",MakeSchedule!C73)</f>
        <v/>
      </c>
      <c r="H106" s="358"/>
      <c r="I106" s="358"/>
      <c r="J106" s="359">
        <f>IF(MakeSchedule!B73="","",MakeSchedule!B73)</f>
        <v>20</v>
      </c>
      <c r="K106" s="63">
        <f t="shared" si="12"/>
        <v>2.0404910757874815</v>
      </c>
      <c r="L106" s="63">
        <f t="shared" si="13"/>
        <v>2.0404910757874815</v>
      </c>
      <c r="M106" s="63">
        <f t="shared" si="14"/>
        <v>3.8476405562124296</v>
      </c>
      <c r="N106" s="63" t="str">
        <f t="shared" si="0"/>
        <v/>
      </c>
      <c r="O106" s="64">
        <f t="shared" si="15"/>
        <v>0.90650273737601128</v>
      </c>
      <c r="P106" s="63" t="str">
        <f t="shared" si="16"/>
        <v/>
      </c>
      <c r="Q106" s="64" t="e">
        <f t="shared" si="1"/>
        <v>#N/A</v>
      </c>
      <c r="R106" s="63">
        <f t="shared" si="2"/>
        <v>0.90650273737601128</v>
      </c>
      <c r="S106" s="65">
        <f t="shared" si="3"/>
        <v>0.35</v>
      </c>
      <c r="T106" s="65">
        <f t="shared" si="17"/>
        <v>1.2</v>
      </c>
      <c r="U106" s="64" t="e">
        <f t="shared" si="18"/>
        <v>#N/A</v>
      </c>
      <c r="V106" s="63">
        <f t="shared" si="4"/>
        <v>2.4485892909449776</v>
      </c>
      <c r="W106" s="63" t="str">
        <f t="shared" si="5"/>
        <v/>
      </c>
      <c r="X106" s="63">
        <f t="shared" si="19"/>
        <v>0</v>
      </c>
      <c r="Y106" s="55"/>
      <c r="Z106" s="55"/>
      <c r="AA106" s="55"/>
      <c r="AB106" s="55">
        <f>PMSplint!N107</f>
        <v>2.0404910757874815</v>
      </c>
      <c r="AC106" s="55">
        <f>PMSplint!N107</f>
        <v>2.0404910757874815</v>
      </c>
      <c r="AD106" s="55">
        <f>IF(RnSplint!N107&lt;0,0,RnSplint!N107)</f>
        <v>3.8476405562124296</v>
      </c>
      <c r="AE106" s="55">
        <f>IF(RnSplint!N107&lt;0,0,RnSplint!N107)</f>
        <v>3.8476405562124296</v>
      </c>
      <c r="AF106" s="30"/>
      <c r="AG106" s="30"/>
      <c r="AH106" s="30"/>
      <c r="AI106" s="55"/>
      <c r="AJ106" s="55"/>
      <c r="AK106" s="55"/>
      <c r="AL106" s="55"/>
      <c r="AM106" s="55"/>
      <c r="AN106" s="55">
        <f t="shared" si="26"/>
        <v>7.8510762177894442</v>
      </c>
      <c r="AO106" s="55">
        <f t="shared" si="27"/>
        <v>2.8019771979424535</v>
      </c>
      <c r="AP106" s="55">
        <f t="shared" si="28"/>
        <v>0.90650273737601128</v>
      </c>
      <c r="AQ106" s="55"/>
      <c r="AR106" s="55"/>
      <c r="AS106" s="55"/>
      <c r="AT106" s="55"/>
      <c r="AU106" s="30"/>
      <c r="AV106" s="30"/>
      <c r="AW106" s="2"/>
      <c r="AX106" s="2"/>
    </row>
    <row r="107" spans="1:50" x14ac:dyDescent="0.2">
      <c r="A107" s="2"/>
      <c r="B107" s="61">
        <f t="shared" si="9"/>
        <v>41698</v>
      </c>
      <c r="C107" s="62">
        <f t="shared" si="10"/>
        <v>59</v>
      </c>
      <c r="D107" s="63">
        <f t="shared" si="11"/>
        <v>2.0719785848916725</v>
      </c>
      <c r="G107" s="357" t="str">
        <f>IF(MakeSchedule!C74="","",MakeSchedule!C74)</f>
        <v/>
      </c>
      <c r="H107" s="358"/>
      <c r="I107" s="358"/>
      <c r="J107" s="359" t="str">
        <f>IF(MakeSchedule!B74="","",MakeSchedule!B74)</f>
        <v/>
      </c>
      <c r="K107" s="63">
        <f t="shared" si="12"/>
        <v>2.0719785848916725</v>
      </c>
      <c r="L107" s="63">
        <f t="shared" si="13"/>
        <v>2.0719785848916725</v>
      </c>
      <c r="M107" s="63">
        <f t="shared" si="14"/>
        <v>3.8195187736677005</v>
      </c>
      <c r="N107" s="63" t="str">
        <f t="shared" si="0"/>
        <v/>
      </c>
      <c r="O107" s="64">
        <f t="shared" si="15"/>
        <v>0.90289398730564407</v>
      </c>
      <c r="P107" s="63" t="str">
        <f t="shared" si="16"/>
        <v/>
      </c>
      <c r="Q107" s="64" t="e">
        <f t="shared" si="1"/>
        <v>#N/A</v>
      </c>
      <c r="R107" s="63">
        <f t="shared" si="2"/>
        <v>0.90289398730564407</v>
      </c>
      <c r="S107" s="65">
        <f t="shared" si="3"/>
        <v>0.35</v>
      </c>
      <c r="T107" s="65">
        <f t="shared" si="17"/>
        <v>1.2</v>
      </c>
      <c r="U107" s="64" t="e">
        <f t="shared" si="18"/>
        <v>#N/A</v>
      </c>
      <c r="V107" s="63">
        <f t="shared" si="4"/>
        <v>2.4863743018700069</v>
      </c>
      <c r="W107" s="63" t="str">
        <f t="shared" si="5"/>
        <v/>
      </c>
      <c r="X107" s="63">
        <f t="shared" si="19"/>
        <v>0</v>
      </c>
      <c r="Y107" s="55"/>
      <c r="Z107" s="55"/>
      <c r="AA107" s="55"/>
      <c r="AB107" s="55">
        <f>PMSplint!N108</f>
        <v>2.0719785848916725</v>
      </c>
      <c r="AC107" s="55">
        <f>PMSplint!N108</f>
        <v>2.0719785848916725</v>
      </c>
      <c r="AD107" s="55">
        <f>IF(RnSplint!N108&lt;0,0,RnSplint!N108)</f>
        <v>3.8195187736677005</v>
      </c>
      <c r="AE107" s="55">
        <f>IF(RnSplint!N108&lt;0,0,RnSplint!N108)</f>
        <v>3.8195187736677005</v>
      </c>
      <c r="AF107" s="30"/>
      <c r="AG107" s="30"/>
      <c r="AH107" s="30"/>
      <c r="AI107" s="55"/>
      <c r="AJ107" s="55"/>
      <c r="AK107" s="55"/>
      <c r="AL107" s="55"/>
      <c r="AM107" s="55"/>
      <c r="AN107" s="55">
        <f t="shared" si="26"/>
        <v>7.9139611036311788</v>
      </c>
      <c r="AO107" s="55">
        <f t="shared" si="27"/>
        <v>2.8131763371020981</v>
      </c>
      <c r="AP107" s="55">
        <f t="shared" si="28"/>
        <v>0.90289398730564407</v>
      </c>
      <c r="AQ107" s="55"/>
      <c r="AR107" s="55"/>
      <c r="AS107" s="55"/>
      <c r="AT107" s="55"/>
      <c r="AU107" s="30"/>
      <c r="AV107" s="30"/>
      <c r="AW107" s="2"/>
      <c r="AX107" s="2"/>
    </row>
    <row r="108" spans="1:50" x14ac:dyDescent="0.2">
      <c r="A108" s="2"/>
      <c r="B108" s="61">
        <f t="shared" si="9"/>
        <v>41699</v>
      </c>
      <c r="C108" s="62">
        <f t="shared" si="10"/>
        <v>60</v>
      </c>
      <c r="D108" s="63">
        <f t="shared" si="11"/>
        <v>2.1040492212610551</v>
      </c>
      <c r="G108" s="357" t="str">
        <f>IF(MakeSchedule!C75="","",MakeSchedule!C75)</f>
        <v/>
      </c>
      <c r="H108" s="358"/>
      <c r="I108" s="358"/>
      <c r="J108" s="359" t="str">
        <f>IF(MakeSchedule!B75="","",MakeSchedule!B75)</f>
        <v/>
      </c>
      <c r="K108" s="63">
        <f t="shared" si="12"/>
        <v>2.1040492212610551</v>
      </c>
      <c r="L108" s="63">
        <f t="shared" si="13"/>
        <v>2.1040492212610551</v>
      </c>
      <c r="M108" s="63">
        <f t="shared" si="14"/>
        <v>3.7983457403493883</v>
      </c>
      <c r="N108" s="63" t="str">
        <f t="shared" si="0"/>
        <v/>
      </c>
      <c r="O108" s="64">
        <f t="shared" si="15"/>
        <v>0.89848022350466372</v>
      </c>
      <c r="P108" s="63">
        <f t="shared" si="16"/>
        <v>0.55000000000000004</v>
      </c>
      <c r="Q108" s="64">
        <f t="shared" si="1"/>
        <v>0.55000000000000004</v>
      </c>
      <c r="R108" s="63">
        <f t="shared" si="2"/>
        <v>0.89848022350466372</v>
      </c>
      <c r="S108" s="65">
        <f t="shared" si="3"/>
        <v>0.35</v>
      </c>
      <c r="T108" s="65">
        <f t="shared" si="17"/>
        <v>1.2</v>
      </c>
      <c r="U108" s="64">
        <f t="shared" si="18"/>
        <v>1.2</v>
      </c>
      <c r="V108" s="63">
        <f t="shared" si="4"/>
        <v>2.5248590655132661</v>
      </c>
      <c r="W108" s="63">
        <f t="shared" si="5"/>
        <v>2.1040492212610551</v>
      </c>
      <c r="X108" s="63">
        <f t="shared" si="19"/>
        <v>2.5248590655132661</v>
      </c>
      <c r="Y108" s="55"/>
      <c r="Z108" s="55"/>
      <c r="AA108" s="55"/>
      <c r="AB108" s="55">
        <f>PMSplint!N109</f>
        <v>2.1040492212610551</v>
      </c>
      <c r="AC108" s="55">
        <f>PMSplint!N109</f>
        <v>2.1040492212610551</v>
      </c>
      <c r="AD108" s="55">
        <f>IF(RnSplint!N109&lt;0,0,RnSplint!N109)</f>
        <v>3.7983457403493883</v>
      </c>
      <c r="AE108" s="55">
        <f>IF(RnSplint!N109&lt;0,0,RnSplint!N109)</f>
        <v>3.7983457403493883</v>
      </c>
      <c r="AF108" s="30"/>
      <c r="AG108" s="30"/>
      <c r="AH108" s="30"/>
      <c r="AI108" s="55"/>
      <c r="AJ108" s="55"/>
      <c r="AK108" s="55"/>
      <c r="AL108" s="55"/>
      <c r="AM108" s="55"/>
      <c r="AN108" s="55">
        <f t="shared" si="26"/>
        <v>7.991906397062376</v>
      </c>
      <c r="AO108" s="55">
        <f t="shared" si="27"/>
        <v>2.826996002307463</v>
      </c>
      <c r="AP108" s="55">
        <f t="shared" si="28"/>
        <v>0.89848022350466372</v>
      </c>
      <c r="AQ108" s="55"/>
      <c r="AR108" s="55"/>
      <c r="AS108" s="55"/>
      <c r="AT108" s="55"/>
      <c r="AU108" s="30"/>
      <c r="AV108" s="30"/>
      <c r="AW108" s="2"/>
      <c r="AX108" s="2"/>
    </row>
    <row r="109" spans="1:50" x14ac:dyDescent="0.2">
      <c r="A109" s="2"/>
      <c r="B109" s="61">
        <f t="shared" si="9"/>
        <v>41700</v>
      </c>
      <c r="C109" s="62">
        <f t="shared" si="10"/>
        <v>61</v>
      </c>
      <c r="D109" s="63">
        <f t="shared" si="11"/>
        <v>2.1367417020239401</v>
      </c>
      <c r="G109" s="357" t="str">
        <f>IF(MakeSchedule!C76="","",MakeSchedule!C76)</f>
        <v/>
      </c>
      <c r="H109" s="358"/>
      <c r="I109" s="358"/>
      <c r="J109" s="359" t="str">
        <f>IF(MakeSchedule!B76="","",MakeSchedule!B76)</f>
        <v/>
      </c>
      <c r="K109" s="63">
        <f t="shared" si="12"/>
        <v>2.1367417020239401</v>
      </c>
      <c r="L109" s="63">
        <f t="shared" si="13"/>
        <v>2.1367417020239401</v>
      </c>
      <c r="M109" s="63">
        <f t="shared" si="14"/>
        <v>3.7852736872429809</v>
      </c>
      <c r="N109" s="63" t="str">
        <f t="shared" si="0"/>
        <v/>
      </c>
      <c r="O109" s="64">
        <f t="shared" si="15"/>
        <v>0.89311844912868621</v>
      </c>
      <c r="P109" s="63">
        <f t="shared" si="16"/>
        <v>0.5552401746724891</v>
      </c>
      <c r="Q109" s="64">
        <f t="shared" si="1"/>
        <v>0.5552401746724891</v>
      </c>
      <c r="R109" s="63">
        <f t="shared" si="2"/>
        <v>0.89311844912868621</v>
      </c>
      <c r="S109" s="65">
        <f t="shared" si="3"/>
        <v>0.35</v>
      </c>
      <c r="T109" s="65">
        <f t="shared" si="17"/>
        <v>1.2</v>
      </c>
      <c r="U109" s="64">
        <f t="shared" si="18"/>
        <v>1.2</v>
      </c>
      <c r="V109" s="63">
        <f t="shared" si="4"/>
        <v>2.5640900424287278</v>
      </c>
      <c r="W109" s="63" t="str">
        <f t="shared" si="5"/>
        <v/>
      </c>
      <c r="X109" s="63">
        <f t="shared" si="19"/>
        <v>5.0889491079419944</v>
      </c>
      <c r="Y109" s="55"/>
      <c r="Z109" s="55"/>
      <c r="AA109" s="55"/>
      <c r="AB109" s="55">
        <f>PMSplint!N110</f>
        <v>2.1367417020239401</v>
      </c>
      <c r="AC109" s="55">
        <f>PMSplint!N110</f>
        <v>2.1367417020239401</v>
      </c>
      <c r="AD109" s="55">
        <f>IF(RnSplint!N110&lt;0,0,RnSplint!N110)</f>
        <v>3.7852736872429809</v>
      </c>
      <c r="AE109" s="55">
        <f>IF(RnSplint!N110&lt;0,0,RnSplint!N110)</f>
        <v>3.7852736872429809</v>
      </c>
      <c r="AF109" s="30"/>
      <c r="AG109" s="30"/>
      <c r="AH109" s="30"/>
      <c r="AI109" s="55"/>
      <c r="AJ109" s="55"/>
      <c r="AK109" s="55"/>
      <c r="AL109" s="55"/>
      <c r="AM109" s="55"/>
      <c r="AN109" s="55">
        <f t="shared" si="26"/>
        <v>8.0881521411060024</v>
      </c>
      <c r="AO109" s="55">
        <f t="shared" si="27"/>
        <v>2.8439676758194707</v>
      </c>
      <c r="AP109" s="55">
        <f t="shared" si="28"/>
        <v>0.89311844912868621</v>
      </c>
      <c r="AQ109" s="55"/>
      <c r="AR109" s="55"/>
      <c r="AS109" s="55"/>
      <c r="AT109" s="55"/>
      <c r="AU109" s="30"/>
      <c r="AV109" s="30"/>
      <c r="AW109" s="2"/>
      <c r="AX109" s="2"/>
    </row>
    <row r="110" spans="1:50" x14ac:dyDescent="0.2">
      <c r="A110" s="2"/>
      <c r="B110" s="61">
        <f t="shared" si="9"/>
        <v>41701</v>
      </c>
      <c r="C110" s="62">
        <f t="shared" si="10"/>
        <v>62</v>
      </c>
      <c r="D110" s="63">
        <f t="shared" si="11"/>
        <v>2.1700947443086385</v>
      </c>
      <c r="G110" s="357" t="str">
        <f>IF(MakeSchedule!C77="","",MakeSchedule!C77)</f>
        <v/>
      </c>
      <c r="H110" s="358"/>
      <c r="I110" s="358"/>
      <c r="J110" s="359" t="str">
        <f>IF(MakeSchedule!B77="","",MakeSchedule!B77)</f>
        <v/>
      </c>
      <c r="K110" s="63">
        <f t="shared" si="12"/>
        <v>2.1700947443086385</v>
      </c>
      <c r="L110" s="63">
        <f t="shared" si="13"/>
        <v>2.1700947443086385</v>
      </c>
      <c r="M110" s="63">
        <f t="shared" si="14"/>
        <v>3.7814548453339665</v>
      </c>
      <c r="N110" s="63" t="str">
        <f t="shared" si="0"/>
        <v/>
      </c>
      <c r="O110" s="64">
        <f t="shared" si="15"/>
        <v>0.8866759106300961</v>
      </c>
      <c r="P110" s="63">
        <f t="shared" si="16"/>
        <v>0.56048034934497815</v>
      </c>
      <c r="Q110" s="64">
        <f t="shared" si="1"/>
        <v>0.56048034934497815</v>
      </c>
      <c r="R110" s="63">
        <f t="shared" si="2"/>
        <v>0.8866759106300961</v>
      </c>
      <c r="S110" s="65">
        <f t="shared" si="3"/>
        <v>0.35</v>
      </c>
      <c r="T110" s="65">
        <f t="shared" si="17"/>
        <v>1.2</v>
      </c>
      <c r="U110" s="64">
        <f t="shared" si="18"/>
        <v>1.2</v>
      </c>
      <c r="V110" s="63">
        <f t="shared" si="4"/>
        <v>2.6041136931703659</v>
      </c>
      <c r="W110" s="63" t="str">
        <f t="shared" si="5"/>
        <v/>
      </c>
      <c r="X110" s="63">
        <f t="shared" si="19"/>
        <v>7.6930628011123598</v>
      </c>
      <c r="Y110" s="55"/>
      <c r="Z110" s="55"/>
      <c r="AA110" s="55"/>
      <c r="AB110" s="55">
        <f>PMSplint!N111</f>
        <v>2.1700947443086385</v>
      </c>
      <c r="AC110" s="55">
        <f>PMSplint!N111</f>
        <v>2.1700947443086385</v>
      </c>
      <c r="AD110" s="55">
        <f>IF(RnSplint!N111&lt;0,0,RnSplint!N111)</f>
        <v>3.7814548453339665</v>
      </c>
      <c r="AE110" s="55">
        <f>IF(RnSplint!N111&lt;0,0,RnSplint!N111)</f>
        <v>3.7814548453339665</v>
      </c>
      <c r="AF110" s="30"/>
      <c r="AG110" s="30"/>
      <c r="AH110" s="30"/>
      <c r="AI110" s="55"/>
      <c r="AJ110" s="55"/>
      <c r="AK110" s="55"/>
      <c r="AL110" s="55"/>
      <c r="AM110" s="55"/>
      <c r="AN110" s="55">
        <f t="shared" si="26"/>
        <v>8.206115285699676</v>
      </c>
      <c r="AO110" s="55">
        <f t="shared" si="27"/>
        <v>2.8646317888516974</v>
      </c>
      <c r="AP110" s="55">
        <f t="shared" si="28"/>
        <v>0.8866759106300961</v>
      </c>
      <c r="AQ110" s="55"/>
      <c r="AR110" s="55"/>
      <c r="AS110" s="55"/>
      <c r="AT110" s="55"/>
      <c r="AU110" s="30"/>
      <c r="AV110" s="30"/>
      <c r="AW110" s="2"/>
      <c r="AX110" s="2"/>
    </row>
    <row r="111" spans="1:50" x14ac:dyDescent="0.2">
      <c r="A111" s="2"/>
      <c r="B111" s="61">
        <f t="shared" si="9"/>
        <v>41702</v>
      </c>
      <c r="C111" s="62">
        <f t="shared" si="10"/>
        <v>63</v>
      </c>
      <c r="D111" s="63">
        <f t="shared" si="11"/>
        <v>2.2041470652434585</v>
      </c>
      <c r="G111" s="357" t="str">
        <f>IF(MakeSchedule!C78="","",MakeSchedule!C78)</f>
        <v/>
      </c>
      <c r="H111" s="358"/>
      <c r="I111" s="358"/>
      <c r="J111" s="359" t="str">
        <f>IF(MakeSchedule!B78="","",MakeSchedule!B78)</f>
        <v/>
      </c>
      <c r="K111" s="63">
        <f t="shared" si="12"/>
        <v>2.2041470652434585</v>
      </c>
      <c r="L111" s="63">
        <f t="shared" si="13"/>
        <v>2.2041470652434585</v>
      </c>
      <c r="M111" s="63">
        <f t="shared" si="14"/>
        <v>3.7880414456078313</v>
      </c>
      <c r="N111" s="63" t="str">
        <f t="shared" si="0"/>
        <v/>
      </c>
      <c r="O111" s="64">
        <f t="shared" si="15"/>
        <v>0.879034805801159</v>
      </c>
      <c r="P111" s="63">
        <f t="shared" si="16"/>
        <v>0.5657205240174672</v>
      </c>
      <c r="Q111" s="64">
        <f t="shared" si="1"/>
        <v>0.5657205240174672</v>
      </c>
      <c r="R111" s="63">
        <f t="shared" si="2"/>
        <v>0.879034805801159</v>
      </c>
      <c r="S111" s="65">
        <f t="shared" si="3"/>
        <v>0.35</v>
      </c>
      <c r="T111" s="65">
        <f t="shared" si="17"/>
        <v>1.2</v>
      </c>
      <c r="U111" s="64">
        <f t="shared" si="18"/>
        <v>1.2</v>
      </c>
      <c r="V111" s="63">
        <f t="shared" si="4"/>
        <v>2.6449764782921501</v>
      </c>
      <c r="W111" s="63" t="str">
        <f t="shared" si="5"/>
        <v/>
      </c>
      <c r="X111" s="63">
        <f t="shared" si="19"/>
        <v>10.33803927940451</v>
      </c>
      <c r="Y111" s="55"/>
      <c r="Z111" s="55"/>
      <c r="AA111" s="55"/>
      <c r="AB111" s="55">
        <f>PMSplint!N112</f>
        <v>2.2041470652434585</v>
      </c>
      <c r="AC111" s="55">
        <f>PMSplint!N112</f>
        <v>2.2041470652434585</v>
      </c>
      <c r="AD111" s="55">
        <f>IF(RnSplint!N112&lt;0,0,RnSplint!N112)</f>
        <v>3.7880414456078313</v>
      </c>
      <c r="AE111" s="55">
        <f>IF(RnSplint!N112&lt;0,0,RnSplint!N112)</f>
        <v>3.7880414456078313</v>
      </c>
      <c r="AF111" s="30"/>
      <c r="AG111" s="30"/>
      <c r="AH111" s="30"/>
      <c r="AI111" s="55"/>
      <c r="AJ111" s="55"/>
      <c r="AK111" s="55"/>
      <c r="AL111" s="55"/>
      <c r="AM111" s="55"/>
      <c r="AN111" s="55">
        <f t="shared" si="26"/>
        <v>8.3494004353570901</v>
      </c>
      <c r="AO111" s="55">
        <f t="shared" si="27"/>
        <v>2.8895329095473357</v>
      </c>
      <c r="AP111" s="55">
        <f t="shared" si="28"/>
        <v>0.879034805801159</v>
      </c>
      <c r="AQ111" s="55"/>
      <c r="AR111" s="55"/>
      <c r="AS111" s="55"/>
      <c r="AT111" s="55"/>
      <c r="AU111" s="30"/>
      <c r="AV111" s="30"/>
      <c r="AW111" s="2"/>
      <c r="AX111" s="2"/>
    </row>
    <row r="112" spans="1:50" x14ac:dyDescent="0.2">
      <c r="A112" s="2"/>
      <c r="B112" s="61">
        <f t="shared" si="9"/>
        <v>41703</v>
      </c>
      <c r="C112" s="62">
        <f t="shared" si="10"/>
        <v>64</v>
      </c>
      <c r="D112" s="63">
        <f t="shared" si="11"/>
        <v>2.2389373819567133</v>
      </c>
      <c r="G112" s="357" t="str">
        <f>IF(MakeSchedule!C79="","",MakeSchedule!C79)</f>
        <v/>
      </c>
      <c r="H112" s="358"/>
      <c r="I112" s="358"/>
      <c r="J112" s="359" t="str">
        <f>IF(MakeSchedule!B79="","",MakeSchedule!B79)</f>
        <v/>
      </c>
      <c r="K112" s="63">
        <f t="shared" si="12"/>
        <v>2.2389373819567133</v>
      </c>
      <c r="L112" s="63">
        <f t="shared" si="13"/>
        <v>2.2389373819567133</v>
      </c>
      <c r="M112" s="63">
        <f t="shared" si="14"/>
        <v>3.8061857190500628</v>
      </c>
      <c r="N112" s="63" t="str">
        <f t="shared" si="0"/>
        <v/>
      </c>
      <c r="O112" s="64">
        <f t="shared" si="15"/>
        <v>0.87009716807003235</v>
      </c>
      <c r="P112" s="63">
        <f t="shared" si="16"/>
        <v>0.57096069868995625</v>
      </c>
      <c r="Q112" s="64">
        <f t="shared" si="1"/>
        <v>0.57096069868995625</v>
      </c>
      <c r="R112" s="63">
        <f t="shared" si="2"/>
        <v>0.87009716807003235</v>
      </c>
      <c r="S112" s="65">
        <f t="shared" si="3"/>
        <v>0.35</v>
      </c>
      <c r="T112" s="65">
        <f t="shared" si="17"/>
        <v>1.2</v>
      </c>
      <c r="U112" s="64">
        <f t="shared" si="18"/>
        <v>1.2</v>
      </c>
      <c r="V112" s="63">
        <f t="shared" si="4"/>
        <v>2.6867248583480561</v>
      </c>
      <c r="W112" s="63" t="str">
        <f t="shared" si="5"/>
        <v/>
      </c>
      <c r="X112" s="63">
        <f t="shared" si="19"/>
        <v>13.024764137752566</v>
      </c>
      <c r="Y112" s="55"/>
      <c r="Z112" s="55"/>
      <c r="AA112" s="55"/>
      <c r="AB112" s="55">
        <f>PMSplint!N113</f>
        <v>2.2389373819567133</v>
      </c>
      <c r="AC112" s="55">
        <f>PMSplint!N113</f>
        <v>2.2389373819567133</v>
      </c>
      <c r="AD112" s="55">
        <f>IF(RnSplint!N113&lt;0,0,RnSplint!N113)</f>
        <v>3.8061857190500628</v>
      </c>
      <c r="AE112" s="55">
        <f>IF(RnSplint!N113&lt;0,0,RnSplint!N113)</f>
        <v>3.8061857190500628</v>
      </c>
      <c r="AF112" s="30"/>
      <c r="AG112" s="30"/>
      <c r="AH112" s="30"/>
      <c r="AI112" s="55"/>
      <c r="AJ112" s="55"/>
      <c r="AK112" s="55"/>
      <c r="AL112" s="55"/>
      <c r="AM112" s="55"/>
      <c r="AN112" s="55">
        <f t="shared" si="26"/>
        <v>8.5218114890509771</v>
      </c>
      <c r="AO112" s="55">
        <f t="shared" si="27"/>
        <v>2.919214190334614</v>
      </c>
      <c r="AP112" s="55">
        <f t="shared" si="28"/>
        <v>0.87009716807003235</v>
      </c>
      <c r="AQ112" s="55"/>
      <c r="AR112" s="55"/>
      <c r="AS112" s="55"/>
      <c r="AT112" s="55"/>
      <c r="AU112" s="30"/>
      <c r="AV112" s="30"/>
      <c r="AW112" s="2"/>
      <c r="AX112" s="2"/>
    </row>
    <row r="113" spans="1:50" x14ac:dyDescent="0.2">
      <c r="A113" s="2"/>
      <c r="B113" s="61">
        <f t="shared" si="9"/>
        <v>41704</v>
      </c>
      <c r="C113" s="62">
        <f t="shared" si="10"/>
        <v>65</v>
      </c>
      <c r="D113" s="63">
        <f t="shared" si="11"/>
        <v>2.2745044115767117</v>
      </c>
      <c r="G113" s="357" t="str">
        <f>IF(MakeSchedule!C80="","",MakeSchedule!C80)</f>
        <v/>
      </c>
      <c r="H113" s="358"/>
      <c r="I113" s="358"/>
      <c r="J113" s="359" t="str">
        <f>IF(MakeSchedule!B80="","",MakeSchedule!B80)</f>
        <v/>
      </c>
      <c r="K113" s="63">
        <f t="shared" ref="K113:K176" si="29">IF(G113&lt;&gt;"",G113,IF(D113="","",D113))</f>
        <v>2.2745044115767117</v>
      </c>
      <c r="L113" s="63">
        <f t="shared" si="13"/>
        <v>2.2745044115767117</v>
      </c>
      <c r="M113" s="63">
        <f t="shared" si="14"/>
        <v>3.8370398966461483</v>
      </c>
      <c r="N113" s="63" t="str">
        <f t="shared" ref="N113:N176" si="30">IF(C113=$E$7,O113,"")</f>
        <v/>
      </c>
      <c r="O113" s="64">
        <f t="shared" si="15"/>
        <v>0.85978956003138107</v>
      </c>
      <c r="P113" s="63">
        <f t="shared" si="16"/>
        <v>0.5762008733624453</v>
      </c>
      <c r="Q113" s="64">
        <f t="shared" ref="Q113:Q176" si="31">IF(AND(C$49:C$625&lt;F$7,$U$44&gt;2),#N/A,IF(P113="",#N/A,P113))</f>
        <v>0.5762008733624453</v>
      </c>
      <c r="R113" s="63">
        <f t="shared" ref="R113:R176" si="32">IF(OR(P113="",O113&gt;P113),O113,P113)</f>
        <v>0.85978956003138107</v>
      </c>
      <c r="S113" s="65">
        <f t="shared" ref="S113:S176" si="33">IF(OR(AND(C$49:C$625&gt;=U$6,C$49:C$625&lt;=U$7),AND(C$49:C$625&gt;=U$9,C$49:C$625&lt;=U$10)),0.35,0)</f>
        <v>0.35</v>
      </c>
      <c r="T113" s="65">
        <f t="shared" si="17"/>
        <v>1.2</v>
      </c>
      <c r="U113" s="64">
        <f t="shared" si="18"/>
        <v>1.2</v>
      </c>
      <c r="V113" s="63">
        <f t="shared" ref="V113:V176" si="34">IF(L113="","",L113*T113)</f>
        <v>2.7294052938920541</v>
      </c>
      <c r="W113" s="63" t="str">
        <f t="shared" ref="W113:W176" si="35">IF(AND(B$49:B$625&gt;=E$6,B$49:B$625&lt;=E$7),L113,"")</f>
        <v/>
      </c>
      <c r="X113" s="63">
        <f t="shared" si="19"/>
        <v>15.75416943164462</v>
      </c>
      <c r="Y113" s="55"/>
      <c r="Z113" s="55"/>
      <c r="AA113" s="55"/>
      <c r="AB113" s="55">
        <f>PMSplint!N114</f>
        <v>2.2745044115767117</v>
      </c>
      <c r="AC113" s="55">
        <f>PMSplint!N114</f>
        <v>2.2745044115767117</v>
      </c>
      <c r="AD113" s="55">
        <f>IF(RnSplint!N114&lt;0,0,RnSplint!N114)</f>
        <v>3.8370398966461483</v>
      </c>
      <c r="AE113" s="55">
        <f>IF(RnSplint!N114&lt;0,0,RnSplint!N114)</f>
        <v>3.8370398966461483</v>
      </c>
      <c r="AF113" s="30"/>
      <c r="AG113" s="30"/>
      <c r="AH113" s="30"/>
      <c r="AI113" s="55"/>
      <c r="AJ113" s="55"/>
      <c r="AK113" s="55"/>
      <c r="AL113" s="55"/>
      <c r="AM113" s="55"/>
      <c r="AN113" s="55">
        <f t="shared" si="26"/>
        <v>8.7273641723175146</v>
      </c>
      <c r="AO113" s="55">
        <f t="shared" si="27"/>
        <v>2.954211260610438</v>
      </c>
      <c r="AP113" s="55">
        <f t="shared" si="28"/>
        <v>0.85978956003138107</v>
      </c>
      <c r="AQ113" s="55"/>
      <c r="AR113" s="55"/>
      <c r="AS113" s="55"/>
      <c r="AT113" s="55"/>
      <c r="AU113" s="30"/>
      <c r="AV113" s="30"/>
      <c r="AW113" s="2"/>
      <c r="AX113" s="2"/>
    </row>
    <row r="114" spans="1:50" x14ac:dyDescent="0.2">
      <c r="A114" s="2"/>
      <c r="B114" s="61">
        <f t="shared" ref="B114:B177" si="36">B113+1</f>
        <v>41705</v>
      </c>
      <c r="C114" s="62">
        <f t="shared" ref="C114:C177" si="37">IF(B113=DATE(D$4,12,31),1,C113+1)</f>
        <v>66</v>
      </c>
      <c r="D114" s="63">
        <f t="shared" ref="D114:D177" si="38">IF($B$46=0,IF(ISERROR($AB114),"",$AB114),IF(ISERROR($AC114),"",$AC114))</f>
        <v>2.3108868712317641</v>
      </c>
      <c r="G114" s="357" t="str">
        <f>IF(MakeSchedule!C81="","",MakeSchedule!C81)</f>
        <v/>
      </c>
      <c r="H114" s="358"/>
      <c r="I114" s="358"/>
      <c r="J114" s="359" t="str">
        <f>IF(MakeSchedule!B81="","",MakeSchedule!B81)</f>
        <v/>
      </c>
      <c r="K114" s="63">
        <f t="shared" si="29"/>
        <v>2.3108868712317641</v>
      </c>
      <c r="L114" s="63">
        <f t="shared" ref="L114:L177" si="39">IF($G114&lt;&gt;"",$G114,IF($D114="","",$D114))</f>
        <v>2.3108868712317641</v>
      </c>
      <c r="M114" s="63">
        <f t="shared" ref="M114:M177" si="40">IF(F$3=365,AD114,AE114)</f>
        <v>3.8817562093815763</v>
      </c>
      <c r="N114" s="63" t="str">
        <f t="shared" si="30"/>
        <v/>
      </c>
      <c r="O114" s="64">
        <f t="shared" ref="O114:O177" si="41">AP114</f>
        <v>0.8480671592289919</v>
      </c>
      <c r="P114" s="63">
        <f t="shared" ref="P114:P177" si="42">IF(B$49:B$625&lt;E$6,"",IF(AND(B$49:B$625&lt;=E$7,B$49:B$625&gt;=E$6),G$7,IF(AND(B$49:B$625&lt;=E$8,B$49:B$625&gt;E$7),P113+H$8,IF(AND(B$49:B$625&lt;=E$9,B$49:B$625&gt;E$8),P113+H$9,IF(AND(B$49:B$625&lt;=E$10,B$49:B$625&gt;E$9),P113+H$10,"")))))</f>
        <v>0.58144104803493435</v>
      </c>
      <c r="Q114" s="64">
        <f t="shared" si="31"/>
        <v>0.58144104803493435</v>
      </c>
      <c r="R114" s="63">
        <f t="shared" si="32"/>
        <v>0.8480671592289919</v>
      </c>
      <c r="S114" s="65">
        <f t="shared" si="33"/>
        <v>0.35</v>
      </c>
      <c r="T114" s="65">
        <f t="shared" ref="T114:T177" si="43">IF($J$5&lt;3,R114,IF(R114+S114&gt;1.2,1.2,IF(AND(R114+S114&lt;0.9,S114=0.35),0.9,R114+S114)))</f>
        <v>1.1980671592289918</v>
      </c>
      <c r="U114" s="64">
        <f t="shared" ref="U114:U177" si="44">IF(P114="",#N/A,IF($J$5&lt;3,R114,IF(R114+S114&gt;1.2,1.2,IF(AND(R114+S114&lt;0.9,S114=0.35),0.9,R114+S114))))</f>
        <v>1.1980671592289918</v>
      </c>
      <c r="V114" s="63">
        <f t="shared" si="34"/>
        <v>2.7685976691162124</v>
      </c>
      <c r="W114" s="63" t="str">
        <f t="shared" si="35"/>
        <v/>
      </c>
      <c r="X114" s="63">
        <f t="shared" ref="X114:X177" si="45">IF(B114=$E$6,V114,IF(OR(B114&lt;$E$6,B114&gt;$E$10),0,X113+V114))</f>
        <v>18.522767100760831</v>
      </c>
      <c r="Y114" s="55"/>
      <c r="Z114" s="55"/>
      <c r="AA114" s="55"/>
      <c r="AB114" s="55">
        <f>PMSplint!N115</f>
        <v>2.3108868712317641</v>
      </c>
      <c r="AC114" s="55">
        <f>PMSplint!N115</f>
        <v>2.3108868712317641</v>
      </c>
      <c r="AD114" s="55">
        <f>IF(RnSplint!N115&lt;0,0,RnSplint!N115)</f>
        <v>3.8817562093815763</v>
      </c>
      <c r="AE114" s="55">
        <f>IF(RnSplint!N115&lt;0,0,RnSplint!N115)</f>
        <v>3.8817562093815763</v>
      </c>
      <c r="AF114" s="30"/>
      <c r="AG114" s="30"/>
      <c r="AH114" s="30"/>
      <c r="AI114" s="55"/>
      <c r="AJ114" s="55"/>
      <c r="AK114" s="55"/>
      <c r="AL114" s="55"/>
      <c r="AM114" s="55"/>
      <c r="AN114" s="55">
        <f t="shared" si="26"/>
        <v>8.9702994615822629</v>
      </c>
      <c r="AO114" s="55">
        <f t="shared" si="27"/>
        <v>2.9950458196131597</v>
      </c>
      <c r="AP114" s="55">
        <f t="shared" si="28"/>
        <v>0.8480671592289919</v>
      </c>
      <c r="AQ114" s="55"/>
      <c r="AR114" s="55"/>
      <c r="AS114" s="55"/>
      <c r="AT114" s="55"/>
      <c r="AU114" s="30"/>
      <c r="AV114" s="30"/>
      <c r="AW114" s="2"/>
      <c r="AX114" s="2"/>
    </row>
    <row r="115" spans="1:50" x14ac:dyDescent="0.2">
      <c r="A115" s="2"/>
      <c r="B115" s="61">
        <f t="shared" si="36"/>
        <v>41706</v>
      </c>
      <c r="C115" s="62">
        <f t="shared" si="37"/>
        <v>67</v>
      </c>
      <c r="D115" s="63">
        <f t="shared" si="38"/>
        <v>2.3481234780501814</v>
      </c>
      <c r="G115" s="357" t="str">
        <f>IF(MakeSchedule!C82="","",MakeSchedule!C82)</f>
        <v/>
      </c>
      <c r="H115" s="358"/>
      <c r="I115" s="358"/>
      <c r="J115" s="359" t="str">
        <f>IF(MakeSchedule!B82="","",MakeSchedule!B82)</f>
        <v/>
      </c>
      <c r="K115" s="63">
        <f t="shared" si="29"/>
        <v>2.3481234780501814</v>
      </c>
      <c r="L115" s="63">
        <f t="shared" si="39"/>
        <v>2.3481234780501814</v>
      </c>
      <c r="M115" s="63">
        <f t="shared" si="40"/>
        <v>3.9414868882418332</v>
      </c>
      <c r="N115" s="63" t="str">
        <f t="shared" si="30"/>
        <v/>
      </c>
      <c r="O115" s="64">
        <f t="shared" si="41"/>
        <v>0.83491681568709852</v>
      </c>
      <c r="P115" s="63">
        <f t="shared" si="42"/>
        <v>0.5866812227074234</v>
      </c>
      <c r="Q115" s="64">
        <f t="shared" si="31"/>
        <v>0.5866812227074234</v>
      </c>
      <c r="R115" s="63">
        <f t="shared" si="32"/>
        <v>0.83491681568709852</v>
      </c>
      <c r="S115" s="65">
        <f t="shared" si="33"/>
        <v>0.35</v>
      </c>
      <c r="T115" s="65">
        <f t="shared" si="43"/>
        <v>1.1849168156870986</v>
      </c>
      <c r="U115" s="64">
        <f t="shared" si="44"/>
        <v>1.1849168156870986</v>
      </c>
      <c r="V115" s="63">
        <f t="shared" si="34"/>
        <v>2.7823309944513359</v>
      </c>
      <c r="W115" s="63" t="str">
        <f t="shared" si="35"/>
        <v/>
      </c>
      <c r="X115" s="63">
        <f t="shared" si="45"/>
        <v>21.305098095212166</v>
      </c>
      <c r="Y115" s="55"/>
      <c r="Z115" s="55"/>
      <c r="AA115" s="55"/>
      <c r="AB115" s="55">
        <f>PMSplint!N116</f>
        <v>2.3481234780501814</v>
      </c>
      <c r="AC115" s="55">
        <f>PMSplint!N116</f>
        <v>2.3481234780501814</v>
      </c>
      <c r="AD115" s="55">
        <f>IF(RnSplint!N116&lt;0,0,RnSplint!N116)</f>
        <v>3.9414868882418332</v>
      </c>
      <c r="AE115" s="55">
        <f>IF(RnSplint!N116&lt;0,0,RnSplint!N116)</f>
        <v>3.9414868882418332</v>
      </c>
      <c r="AF115" s="30"/>
      <c r="AG115" s="30"/>
      <c r="AH115" s="30"/>
      <c r="AI115" s="55"/>
      <c r="AJ115" s="55"/>
      <c r="AK115" s="55"/>
      <c r="AL115" s="55"/>
      <c r="AM115" s="55"/>
      <c r="AN115" s="55">
        <f t="shared" si="26"/>
        <v>9.2550979007076002</v>
      </c>
      <c r="AO115" s="55">
        <f t="shared" si="27"/>
        <v>3.0422192394217089</v>
      </c>
      <c r="AP115" s="55">
        <f t="shared" si="28"/>
        <v>0.83491681568709852</v>
      </c>
      <c r="AQ115" s="55"/>
      <c r="AR115" s="55"/>
      <c r="AS115" s="55"/>
      <c r="AT115" s="55"/>
      <c r="AU115" s="30"/>
      <c r="AV115" s="30"/>
      <c r="AW115" s="2"/>
      <c r="AX115" s="2"/>
    </row>
    <row r="116" spans="1:50" x14ac:dyDescent="0.2">
      <c r="A116" s="2"/>
      <c r="B116" s="61">
        <f t="shared" si="36"/>
        <v>41707</v>
      </c>
      <c r="C116" s="62">
        <f t="shared" si="37"/>
        <v>68</v>
      </c>
      <c r="D116" s="63">
        <f t="shared" si="38"/>
        <v>2.3862529491602733</v>
      </c>
      <c r="G116" s="357" t="str">
        <f>IF(MakeSchedule!C83="","",MakeSchedule!C83)</f>
        <v/>
      </c>
      <c r="H116" s="358"/>
      <c r="I116" s="358"/>
      <c r="J116" s="359" t="str">
        <f>IF(MakeSchedule!B83="","",MakeSchedule!B83)</f>
        <v/>
      </c>
      <c r="K116" s="63">
        <f t="shared" si="29"/>
        <v>2.3862529491602733</v>
      </c>
      <c r="L116" s="63">
        <f t="shared" si="39"/>
        <v>2.3862529491602733</v>
      </c>
      <c r="M116" s="63">
        <f t="shared" si="40"/>
        <v>4.017384164212408</v>
      </c>
      <c r="N116" s="63" t="str">
        <f t="shared" si="30"/>
        <v/>
      </c>
      <c r="O116" s="64">
        <f t="shared" si="41"/>
        <v>0.82035871451703801</v>
      </c>
      <c r="P116" s="63">
        <f t="shared" si="42"/>
        <v>0.59192139737991245</v>
      </c>
      <c r="Q116" s="64">
        <f t="shared" si="31"/>
        <v>0.59192139737991245</v>
      </c>
      <c r="R116" s="63">
        <f t="shared" si="32"/>
        <v>0.82035871451703801</v>
      </c>
      <c r="S116" s="65">
        <f t="shared" si="33"/>
        <v>0.35</v>
      </c>
      <c r="T116" s="65">
        <f t="shared" si="43"/>
        <v>1.170358714517038</v>
      </c>
      <c r="U116" s="64">
        <f t="shared" si="44"/>
        <v>1.170358714517038</v>
      </c>
      <c r="V116" s="63">
        <f t="shared" si="34"/>
        <v>2.7927719340917081</v>
      </c>
      <c r="W116" s="63" t="str">
        <f t="shared" si="35"/>
        <v/>
      </c>
      <c r="X116" s="63">
        <f t="shared" si="45"/>
        <v>24.097870029303873</v>
      </c>
      <c r="Y116" s="55"/>
      <c r="Z116" s="55"/>
      <c r="AA116" s="55"/>
      <c r="AB116" s="55">
        <f>PMSplint!N117</f>
        <v>2.3862529491602733</v>
      </c>
      <c r="AC116" s="55">
        <f>PMSplint!N117</f>
        <v>2.3862529491602733</v>
      </c>
      <c r="AD116" s="55">
        <f>IF(RnSplint!N117&lt;0,0,RnSplint!N117)</f>
        <v>4.017384164212408</v>
      </c>
      <c r="AE116" s="55">
        <f>IF(RnSplint!N117&lt;0,0,RnSplint!N117)</f>
        <v>4.017384164212408</v>
      </c>
      <c r="AF116" s="30"/>
      <c r="AG116" s="30"/>
      <c r="AH116" s="30"/>
      <c r="AI116" s="55"/>
      <c r="AJ116" s="55"/>
      <c r="AK116" s="55"/>
      <c r="AL116" s="55"/>
      <c r="AM116" s="55"/>
      <c r="AN116" s="55">
        <f t="shared" si="26"/>
        <v>9.5864948097616374</v>
      </c>
      <c r="AO116" s="55">
        <f t="shared" si="27"/>
        <v>3.0962065192363442</v>
      </c>
      <c r="AP116" s="55">
        <f t="shared" si="28"/>
        <v>0.82035871451703801</v>
      </c>
      <c r="AQ116" s="55"/>
      <c r="AR116" s="55"/>
      <c r="AS116" s="55"/>
      <c r="AT116" s="55"/>
      <c r="AU116" s="30"/>
      <c r="AV116" s="30"/>
      <c r="AW116" s="2"/>
      <c r="AX116" s="2"/>
    </row>
    <row r="117" spans="1:50" x14ac:dyDescent="0.2">
      <c r="A117" s="2"/>
      <c r="B117" s="61">
        <f t="shared" si="36"/>
        <v>41708</v>
      </c>
      <c r="C117" s="62">
        <f t="shared" si="37"/>
        <v>69</v>
      </c>
      <c r="D117" s="63">
        <f t="shared" si="38"/>
        <v>2.4253140016903516</v>
      </c>
      <c r="G117" s="357" t="str">
        <f>IF(MakeSchedule!C84="","",MakeSchedule!C84)</f>
        <v/>
      </c>
      <c r="H117" s="358"/>
      <c r="I117" s="358"/>
      <c r="J117" s="359">
        <f>IF(MakeSchedule!B84="","",MakeSchedule!B84)</f>
        <v>25</v>
      </c>
      <c r="K117" s="63">
        <f t="shared" si="29"/>
        <v>2.4253140016903516</v>
      </c>
      <c r="L117" s="63">
        <f t="shared" si="39"/>
        <v>2.4253140016903516</v>
      </c>
      <c r="M117" s="63">
        <f t="shared" si="40"/>
        <v>4.1106002682787874</v>
      </c>
      <c r="N117" s="63" t="str">
        <f t="shared" si="30"/>
        <v/>
      </c>
      <c r="O117" s="64">
        <f t="shared" si="41"/>
        <v>0.80444638886065301</v>
      </c>
      <c r="P117" s="63">
        <f t="shared" si="42"/>
        <v>0.5971615720524015</v>
      </c>
      <c r="Q117" s="64">
        <f t="shared" si="31"/>
        <v>0.5971615720524015</v>
      </c>
      <c r="R117" s="63">
        <f t="shared" si="32"/>
        <v>0.80444638886065301</v>
      </c>
      <c r="S117" s="65">
        <f t="shared" si="33"/>
        <v>0.35</v>
      </c>
      <c r="T117" s="65">
        <f t="shared" si="43"/>
        <v>1.1544463888606531</v>
      </c>
      <c r="U117" s="64">
        <f t="shared" si="44"/>
        <v>1.1544463888606531</v>
      </c>
      <c r="V117" s="63">
        <f t="shared" si="34"/>
        <v>2.7998949911046065</v>
      </c>
      <c r="W117" s="63" t="str">
        <f t="shared" si="35"/>
        <v/>
      </c>
      <c r="X117" s="63">
        <f t="shared" si="45"/>
        <v>26.897765020408478</v>
      </c>
      <c r="Y117" s="55"/>
      <c r="Z117" s="55"/>
      <c r="AA117" s="55"/>
      <c r="AB117" s="55">
        <f>PMSplint!N118</f>
        <v>2.4253140016903516</v>
      </c>
      <c r="AC117" s="55">
        <f>PMSplint!N118</f>
        <v>2.4253140016903516</v>
      </c>
      <c r="AD117" s="55">
        <f>IF(RnSplint!N118&lt;0,0,RnSplint!N118)</f>
        <v>4.1106002682787874</v>
      </c>
      <c r="AE117" s="55">
        <f>IF(RnSplint!N118&lt;0,0,RnSplint!N118)</f>
        <v>4.1106002682787874</v>
      </c>
      <c r="AF117" s="30"/>
      <c r="AG117" s="30"/>
      <c r="AH117" s="30"/>
      <c r="AI117" s="55"/>
      <c r="AJ117" s="55"/>
      <c r="AK117" s="55"/>
      <c r="AL117" s="55"/>
      <c r="AM117" s="55"/>
      <c r="AN117" s="55">
        <f t="shared" si="26"/>
        <v>9.9694963860086592</v>
      </c>
      <c r="AO117" s="55">
        <f t="shared" si="27"/>
        <v>3.1574509316866126</v>
      </c>
      <c r="AP117" s="55">
        <f t="shared" si="28"/>
        <v>0.80444638886065301</v>
      </c>
      <c r="AQ117" s="55"/>
      <c r="AR117" s="55"/>
      <c r="AS117" s="55"/>
      <c r="AT117" s="55"/>
      <c r="AU117" s="30"/>
      <c r="AV117" s="30"/>
      <c r="AW117" s="2"/>
      <c r="AX117" s="2"/>
    </row>
    <row r="118" spans="1:50" x14ac:dyDescent="0.2">
      <c r="A118" s="2"/>
      <c r="B118" s="61">
        <f t="shared" si="36"/>
        <v>41709</v>
      </c>
      <c r="C118" s="62">
        <f t="shared" si="37"/>
        <v>70</v>
      </c>
      <c r="D118" s="63">
        <f t="shared" si="38"/>
        <v>2.4653453527687246</v>
      </c>
      <c r="G118" s="357" t="str">
        <f>IF(MakeSchedule!C85="","",MakeSchedule!C85)</f>
        <v/>
      </c>
      <c r="H118" s="358"/>
      <c r="I118" s="358"/>
      <c r="J118" s="359" t="str">
        <f>IF(MakeSchedule!B85="","",MakeSchedule!B85)</f>
        <v/>
      </c>
      <c r="K118" s="63">
        <f t="shared" si="29"/>
        <v>2.4653453527687246</v>
      </c>
      <c r="L118" s="63">
        <f t="shared" si="39"/>
        <v>2.4653453527687246</v>
      </c>
      <c r="M118" s="63">
        <f t="shared" si="40"/>
        <v>4.2222874314264578</v>
      </c>
      <c r="N118" s="63" t="str">
        <f t="shared" si="30"/>
        <v/>
      </c>
      <c r="O118" s="64">
        <f t="shared" si="41"/>
        <v>0.78726498673846279</v>
      </c>
      <c r="P118" s="63">
        <f t="shared" si="42"/>
        <v>0.60240174672489055</v>
      </c>
      <c r="Q118" s="64">
        <f t="shared" si="31"/>
        <v>0.60240174672489055</v>
      </c>
      <c r="R118" s="63">
        <f t="shared" si="32"/>
        <v>0.78726498673846279</v>
      </c>
      <c r="S118" s="65">
        <f t="shared" si="33"/>
        <v>0.35</v>
      </c>
      <c r="T118" s="65">
        <f t="shared" si="43"/>
        <v>1.1372649867384628</v>
      </c>
      <c r="U118" s="64">
        <f t="shared" si="44"/>
        <v>1.1372649867384628</v>
      </c>
      <c r="V118" s="63">
        <f t="shared" si="34"/>
        <v>2.8037509499222542</v>
      </c>
      <c r="W118" s="63" t="str">
        <f t="shared" si="35"/>
        <v/>
      </c>
      <c r="X118" s="63">
        <f t="shared" si="45"/>
        <v>29.701515970330732</v>
      </c>
      <c r="Y118" s="55"/>
      <c r="Z118" s="55"/>
      <c r="AA118" s="55"/>
      <c r="AB118" s="55">
        <f>PMSplint!N119</f>
        <v>2.4653453527687246</v>
      </c>
      <c r="AC118" s="55">
        <f>PMSplint!N119</f>
        <v>2.4653453527687246</v>
      </c>
      <c r="AD118" s="55">
        <f>IF(RnSplint!N119&lt;0,0,RnSplint!N119)</f>
        <v>4.2222874314264578</v>
      </c>
      <c r="AE118" s="55">
        <f>IF(RnSplint!N119&lt;0,0,RnSplint!N119)</f>
        <v>4.2222874314264578</v>
      </c>
      <c r="AF118" s="30"/>
      <c r="AG118" s="30"/>
      <c r="AH118" s="30"/>
      <c r="AI118" s="55"/>
      <c r="AJ118" s="55"/>
      <c r="AK118" s="55"/>
      <c r="AL118" s="55"/>
      <c r="AM118" s="55"/>
      <c r="AN118" s="55">
        <f t="shared" si="26"/>
        <v>10.409396697121013</v>
      </c>
      <c r="AO118" s="55">
        <f t="shared" si="27"/>
        <v>3.2263596664229817</v>
      </c>
      <c r="AP118" s="55">
        <f t="shared" si="28"/>
        <v>0.78726498673846279</v>
      </c>
      <c r="AQ118" s="55"/>
      <c r="AR118" s="55"/>
      <c r="AS118" s="55"/>
      <c r="AT118" s="55"/>
      <c r="AU118" s="30"/>
      <c r="AV118" s="30"/>
      <c r="AW118" s="2"/>
      <c r="AX118" s="2"/>
    </row>
    <row r="119" spans="1:50" x14ac:dyDescent="0.2">
      <c r="A119" s="2"/>
      <c r="B119" s="61">
        <f t="shared" si="36"/>
        <v>41710</v>
      </c>
      <c r="C119" s="62">
        <f t="shared" si="37"/>
        <v>71</v>
      </c>
      <c r="D119" s="63">
        <f t="shared" si="38"/>
        <v>2.506385719523704</v>
      </c>
      <c r="G119" s="357" t="str">
        <f>IF(MakeSchedule!C86="","",MakeSchedule!C86)</f>
        <v/>
      </c>
      <c r="H119" s="358"/>
      <c r="I119" s="358"/>
      <c r="J119" s="359" t="str">
        <f>IF(MakeSchedule!B86="","",MakeSchedule!B86)</f>
        <v/>
      </c>
      <c r="K119" s="63">
        <f t="shared" si="29"/>
        <v>2.506385719523704</v>
      </c>
      <c r="L119" s="63">
        <f t="shared" si="39"/>
        <v>2.506385719523704</v>
      </c>
      <c r="M119" s="63">
        <f t="shared" si="40"/>
        <v>4.3535978846409069</v>
      </c>
      <c r="N119" s="63" t="str">
        <f t="shared" si="30"/>
        <v/>
      </c>
      <c r="O119" s="64">
        <f t="shared" si="41"/>
        <v>0.76892787688046538</v>
      </c>
      <c r="P119" s="63">
        <f t="shared" si="42"/>
        <v>0.6076419213973796</v>
      </c>
      <c r="Q119" s="64">
        <f t="shared" si="31"/>
        <v>0.6076419213973796</v>
      </c>
      <c r="R119" s="63">
        <f t="shared" si="32"/>
        <v>0.76892787688046538</v>
      </c>
      <c r="S119" s="65">
        <f t="shared" si="33"/>
        <v>0.35</v>
      </c>
      <c r="T119" s="65">
        <f t="shared" si="43"/>
        <v>1.1189278768804654</v>
      </c>
      <c r="U119" s="64">
        <f t="shared" si="44"/>
        <v>1.1189278768804654</v>
      </c>
      <c r="V119" s="63">
        <f t="shared" si="34"/>
        <v>2.8044648517901756</v>
      </c>
      <c r="W119" s="63" t="str">
        <f t="shared" si="35"/>
        <v/>
      </c>
      <c r="X119" s="63">
        <f t="shared" si="45"/>
        <v>32.505980822120904</v>
      </c>
      <c r="Y119" s="55"/>
      <c r="Z119" s="55"/>
      <c r="AA119" s="55"/>
      <c r="AB119" s="55">
        <f>PMSplint!N120</f>
        <v>2.506385719523704</v>
      </c>
      <c r="AC119" s="55">
        <f>PMSplint!N120</f>
        <v>2.506385719523704</v>
      </c>
      <c r="AD119" s="55">
        <f>IF(RnSplint!N120&lt;0,0,RnSplint!N120)</f>
        <v>4.3535978846409069</v>
      </c>
      <c r="AE119" s="55">
        <f>IF(RnSplint!N120&lt;0,0,RnSplint!N120)</f>
        <v>4.3535978846409069</v>
      </c>
      <c r="AF119" s="30"/>
      <c r="AG119" s="30"/>
      <c r="AH119" s="30"/>
      <c r="AI119" s="55"/>
      <c r="AJ119" s="55"/>
      <c r="AK119" s="55"/>
      <c r="AL119" s="55"/>
      <c r="AM119" s="55"/>
      <c r="AN119" s="55">
        <f t="shared" si="26"/>
        <v>10.911795566612575</v>
      </c>
      <c r="AO119" s="55">
        <f t="shared" si="27"/>
        <v>3.3033007078697172</v>
      </c>
      <c r="AP119" s="55">
        <f t="shared" si="28"/>
        <v>0.76892787688046538</v>
      </c>
      <c r="AQ119" s="55"/>
      <c r="AR119" s="55"/>
      <c r="AS119" s="55"/>
      <c r="AT119" s="55"/>
      <c r="AU119" s="30"/>
      <c r="AV119" s="30"/>
      <c r="AW119" s="2"/>
      <c r="AX119" s="2"/>
    </row>
    <row r="120" spans="1:50" x14ac:dyDescent="0.2">
      <c r="A120" s="2"/>
      <c r="B120" s="61">
        <f t="shared" si="36"/>
        <v>41711</v>
      </c>
      <c r="C120" s="62">
        <f t="shared" si="37"/>
        <v>72</v>
      </c>
      <c r="D120" s="63">
        <f t="shared" si="38"/>
        <v>2.5484738190836005</v>
      </c>
      <c r="G120" s="357" t="str">
        <f>IF(MakeSchedule!C87="","",MakeSchedule!C87)</f>
        <v/>
      </c>
      <c r="H120" s="358"/>
      <c r="I120" s="358"/>
      <c r="J120" s="359" t="str">
        <f>IF(MakeSchedule!B87="","",MakeSchedule!B87)</f>
        <v/>
      </c>
      <c r="K120" s="63">
        <f t="shared" si="29"/>
        <v>2.5484738190836005</v>
      </c>
      <c r="L120" s="63">
        <f t="shared" si="39"/>
        <v>2.5484738190836005</v>
      </c>
      <c r="M120" s="63">
        <f t="shared" si="40"/>
        <v>4.5056838589076218</v>
      </c>
      <c r="N120" s="63" t="str">
        <f t="shared" si="30"/>
        <v/>
      </c>
      <c r="O120" s="64">
        <f t="shared" si="41"/>
        <v>0.74957185341621169</v>
      </c>
      <c r="P120" s="63">
        <f t="shared" si="42"/>
        <v>0.61288209606986865</v>
      </c>
      <c r="Q120" s="64">
        <f t="shared" si="31"/>
        <v>0.61288209606986865</v>
      </c>
      <c r="R120" s="63">
        <f t="shared" si="32"/>
        <v>0.74957185341621169</v>
      </c>
      <c r="S120" s="65">
        <f t="shared" si="33"/>
        <v>0.35</v>
      </c>
      <c r="T120" s="65">
        <f t="shared" si="43"/>
        <v>1.0995718534162116</v>
      </c>
      <c r="U120" s="64">
        <f t="shared" si="44"/>
        <v>1.0995718534162116</v>
      </c>
      <c r="V120" s="63">
        <f t="shared" si="34"/>
        <v>2.8022300806324454</v>
      </c>
      <c r="W120" s="63" t="str">
        <f t="shared" si="35"/>
        <v/>
      </c>
      <c r="X120" s="63">
        <f t="shared" si="45"/>
        <v>35.308210902753352</v>
      </c>
      <c r="Y120" s="55"/>
      <c r="Z120" s="55"/>
      <c r="AA120" s="55"/>
      <c r="AB120" s="55">
        <f>PMSplint!N121</f>
        <v>2.5484738190836005</v>
      </c>
      <c r="AC120" s="55">
        <f>PMSplint!N121</f>
        <v>2.5484738190836005</v>
      </c>
      <c r="AD120" s="55">
        <f>IF(RnSplint!N121&lt;0,0,RnSplint!N121)</f>
        <v>4.5056838589076218</v>
      </c>
      <c r="AE120" s="55">
        <f>IF(RnSplint!N121&lt;0,0,RnSplint!N121)</f>
        <v>4.5056838589076218</v>
      </c>
      <c r="AF120" s="30"/>
      <c r="AG120" s="30"/>
      <c r="AH120" s="30"/>
      <c r="AI120" s="55"/>
      <c r="AJ120" s="55"/>
      <c r="AK120" s="55"/>
      <c r="AL120" s="55"/>
      <c r="AM120" s="55"/>
      <c r="AN120" s="55">
        <f t="shared" si="26"/>
        <v>11.482617351493641</v>
      </c>
      <c r="AO120" s="55">
        <f t="shared" si="27"/>
        <v>3.3886010906410391</v>
      </c>
      <c r="AP120" s="55">
        <f t="shared" si="28"/>
        <v>0.74957185341621169</v>
      </c>
      <c r="AQ120" s="55"/>
      <c r="AR120" s="55"/>
      <c r="AS120" s="55"/>
      <c r="AT120" s="55"/>
      <c r="AU120" s="30"/>
      <c r="AV120" s="30"/>
      <c r="AW120" s="2"/>
      <c r="AX120" s="2"/>
    </row>
    <row r="121" spans="1:50" x14ac:dyDescent="0.2">
      <c r="A121" s="2"/>
      <c r="B121" s="61">
        <f t="shared" si="36"/>
        <v>41712</v>
      </c>
      <c r="C121" s="62">
        <f t="shared" si="37"/>
        <v>73</v>
      </c>
      <c r="D121" s="63">
        <f t="shared" si="38"/>
        <v>2.5916483685767231</v>
      </c>
      <c r="G121" s="357" t="str">
        <f>IF(MakeSchedule!C88="","",MakeSchedule!C88)</f>
        <v/>
      </c>
      <c r="H121" s="358"/>
      <c r="I121" s="358"/>
      <c r="J121" s="359" t="str">
        <f>IF(MakeSchedule!B88="","",MakeSchedule!B88)</f>
        <v/>
      </c>
      <c r="K121" s="63">
        <f t="shared" si="29"/>
        <v>2.5916483685767231</v>
      </c>
      <c r="L121" s="63">
        <f t="shared" si="39"/>
        <v>2.5916483685767231</v>
      </c>
      <c r="M121" s="63">
        <f t="shared" si="40"/>
        <v>4.6796975852120912</v>
      </c>
      <c r="N121" s="63" t="str">
        <f t="shared" si="30"/>
        <v/>
      </c>
      <c r="O121" s="64">
        <f t="shared" si="41"/>
        <v>0.7293513378652331</v>
      </c>
      <c r="P121" s="63">
        <f t="shared" si="42"/>
        <v>0.6181222707423577</v>
      </c>
      <c r="Q121" s="64">
        <f t="shared" si="31"/>
        <v>0.6181222707423577</v>
      </c>
      <c r="R121" s="63">
        <f t="shared" si="32"/>
        <v>0.7293513378652331</v>
      </c>
      <c r="S121" s="65">
        <f t="shared" si="33"/>
        <v>0.35</v>
      </c>
      <c r="T121" s="65">
        <f t="shared" si="43"/>
        <v>1.0793513378652331</v>
      </c>
      <c r="U121" s="64">
        <f t="shared" si="44"/>
        <v>1.0793513378652331</v>
      </c>
      <c r="V121" s="63">
        <f t="shared" si="34"/>
        <v>2.7972991338995348</v>
      </c>
      <c r="W121" s="63" t="str">
        <f t="shared" si="35"/>
        <v/>
      </c>
      <c r="X121" s="63">
        <f t="shared" si="45"/>
        <v>38.105510036652888</v>
      </c>
      <c r="Y121" s="55"/>
      <c r="Z121" s="55"/>
      <c r="AA121" s="55"/>
      <c r="AB121" s="55">
        <f>PMSplint!N122</f>
        <v>2.5916483685767231</v>
      </c>
      <c r="AC121" s="55">
        <f>PMSplint!N122</f>
        <v>2.5916483685767231</v>
      </c>
      <c r="AD121" s="55">
        <f>IF(RnSplint!N122&lt;0,0,RnSplint!N122)</f>
        <v>4.6796975852120912</v>
      </c>
      <c r="AE121" s="55">
        <f>IF(RnSplint!N122&lt;0,0,RnSplint!N122)</f>
        <v>4.6796975852120912</v>
      </c>
      <c r="AF121" s="30"/>
      <c r="AG121" s="30"/>
      <c r="AH121" s="30"/>
      <c r="AI121" s="55"/>
      <c r="AJ121" s="55"/>
      <c r="AK121" s="55"/>
      <c r="AL121" s="55"/>
      <c r="AM121" s="55"/>
      <c r="AN121" s="55">
        <f t="shared" si="26"/>
        <v>12.128130612147347</v>
      </c>
      <c r="AO121" s="55">
        <f t="shared" si="27"/>
        <v>3.4825465699897462</v>
      </c>
      <c r="AP121" s="55">
        <f t="shared" si="28"/>
        <v>0.7293513378652331</v>
      </c>
      <c r="AQ121" s="55"/>
      <c r="AR121" s="55"/>
      <c r="AS121" s="55"/>
      <c r="AT121" s="55"/>
      <c r="AU121" s="30"/>
      <c r="AV121" s="30"/>
      <c r="AW121" s="2"/>
      <c r="AX121" s="2"/>
    </row>
    <row r="122" spans="1:50" x14ac:dyDescent="0.2">
      <c r="A122" s="2"/>
      <c r="B122" s="61">
        <f t="shared" si="36"/>
        <v>41713</v>
      </c>
      <c r="C122" s="62">
        <f t="shared" si="37"/>
        <v>74</v>
      </c>
      <c r="D122" s="63">
        <f t="shared" si="38"/>
        <v>2.6359480851313828</v>
      </c>
      <c r="G122" s="357" t="str">
        <f>IF(MakeSchedule!C89="","",MakeSchedule!C89)</f>
        <v/>
      </c>
      <c r="H122" s="358"/>
      <c r="I122" s="358"/>
      <c r="J122" s="359" t="str">
        <f>IF(MakeSchedule!B89="","",MakeSchedule!B89)</f>
        <v/>
      </c>
      <c r="K122" s="63">
        <f t="shared" si="29"/>
        <v>2.6359480851313828</v>
      </c>
      <c r="L122" s="63">
        <f t="shared" si="39"/>
        <v>2.6359480851313828</v>
      </c>
      <c r="M122" s="63">
        <f t="shared" si="40"/>
        <v>4.8767912945398022</v>
      </c>
      <c r="N122" s="63" t="str">
        <f t="shared" si="30"/>
        <v/>
      </c>
      <c r="O122" s="64">
        <f t="shared" si="41"/>
        <v>0.70843205735988912</v>
      </c>
      <c r="P122" s="63">
        <f t="shared" si="42"/>
        <v>0.62336244541484676</v>
      </c>
      <c r="Q122" s="64">
        <f t="shared" si="31"/>
        <v>0.62336244541484676</v>
      </c>
      <c r="R122" s="63">
        <f t="shared" si="32"/>
        <v>0.70843205735988912</v>
      </c>
      <c r="S122" s="65">
        <f t="shared" si="33"/>
        <v>0.35</v>
      </c>
      <c r="T122" s="65">
        <f t="shared" si="43"/>
        <v>1.0584320573598891</v>
      </c>
      <c r="U122" s="64">
        <f t="shared" si="44"/>
        <v>1.0584320573598891</v>
      </c>
      <c r="V122" s="63">
        <f t="shared" si="34"/>
        <v>2.7899719548394697</v>
      </c>
      <c r="W122" s="63" t="str">
        <f t="shared" si="35"/>
        <v/>
      </c>
      <c r="X122" s="63">
        <f t="shared" si="45"/>
        <v>40.89548199149236</v>
      </c>
      <c r="Y122" s="55"/>
      <c r="Z122" s="55"/>
      <c r="AA122" s="55"/>
      <c r="AB122" s="55">
        <f>PMSplint!N123</f>
        <v>2.6359480851313828</v>
      </c>
      <c r="AC122" s="55">
        <f>PMSplint!N123</f>
        <v>2.6359480851313828</v>
      </c>
      <c r="AD122" s="55">
        <f>IF(RnSplint!N123&lt;0,0,RnSplint!N123)</f>
        <v>4.8767912945398022</v>
      </c>
      <c r="AE122" s="55">
        <f>IF(RnSplint!N123&lt;0,0,RnSplint!N123)</f>
        <v>4.8767912945398022</v>
      </c>
      <c r="AF122" s="30"/>
      <c r="AG122" s="30"/>
      <c r="AH122" s="30"/>
      <c r="AI122" s="55"/>
      <c r="AJ122" s="55"/>
      <c r="AK122" s="55"/>
      <c r="AL122" s="55"/>
      <c r="AM122" s="55"/>
      <c r="AN122" s="55">
        <f t="shared" si="26"/>
        <v>12.854968674427589</v>
      </c>
      <c r="AO122" s="55">
        <f t="shared" si="27"/>
        <v>3.5853826398904189</v>
      </c>
      <c r="AP122" s="55">
        <f t="shared" si="28"/>
        <v>0.70843205735988912</v>
      </c>
      <c r="AQ122" s="55"/>
      <c r="AR122" s="55"/>
      <c r="AS122" s="55"/>
      <c r="AT122" s="55"/>
      <c r="AU122" s="30"/>
      <c r="AV122" s="30"/>
      <c r="AW122" s="2"/>
      <c r="AX122" s="2"/>
    </row>
    <row r="123" spans="1:50" x14ac:dyDescent="0.2">
      <c r="A123" s="2"/>
      <c r="B123" s="61">
        <f t="shared" si="36"/>
        <v>41714</v>
      </c>
      <c r="C123" s="62">
        <f t="shared" si="37"/>
        <v>75</v>
      </c>
      <c r="D123" s="63">
        <f t="shared" si="38"/>
        <v>2.6814116858758905</v>
      </c>
      <c r="G123" s="357" t="str">
        <f>IF(MakeSchedule!C90="","",MakeSchedule!C90)</f>
        <v/>
      </c>
      <c r="H123" s="358"/>
      <c r="I123" s="358"/>
      <c r="J123" s="359" t="str">
        <f>IF(MakeSchedule!B90="","",MakeSchedule!B90)</f>
        <v/>
      </c>
      <c r="K123" s="63">
        <f t="shared" si="29"/>
        <v>2.6814116858758905</v>
      </c>
      <c r="L123" s="63">
        <f t="shared" si="39"/>
        <v>2.6814116858758905</v>
      </c>
      <c r="M123" s="63">
        <f t="shared" si="40"/>
        <v>5.0981172178762417</v>
      </c>
      <c r="N123" s="63" t="str">
        <f t="shared" si="30"/>
        <v/>
      </c>
      <c r="O123" s="64">
        <f t="shared" si="41"/>
        <v>0.6869846912948071</v>
      </c>
      <c r="P123" s="63">
        <f t="shared" si="42"/>
        <v>0.62860262008733581</v>
      </c>
      <c r="Q123" s="64">
        <f t="shared" si="31"/>
        <v>0.62860262008733581</v>
      </c>
      <c r="R123" s="63">
        <f t="shared" si="32"/>
        <v>0.6869846912948071</v>
      </c>
      <c r="S123" s="65">
        <f t="shared" si="33"/>
        <v>0.35</v>
      </c>
      <c r="T123" s="65">
        <f t="shared" si="43"/>
        <v>1.0369846912948071</v>
      </c>
      <c r="U123" s="64">
        <f t="shared" si="44"/>
        <v>1.0369846912948071</v>
      </c>
      <c r="V123" s="63">
        <f t="shared" si="34"/>
        <v>2.7805828693122985</v>
      </c>
      <c r="W123" s="63" t="str">
        <f t="shared" si="35"/>
        <v/>
      </c>
      <c r="X123" s="63">
        <f t="shared" si="45"/>
        <v>43.676064860804658</v>
      </c>
      <c r="Y123" s="55"/>
      <c r="Z123" s="55"/>
      <c r="AA123" s="55"/>
      <c r="AB123" s="55">
        <f>PMSplint!N124</f>
        <v>2.6814116858758905</v>
      </c>
      <c r="AC123" s="55">
        <f>PMSplint!N124</f>
        <v>2.6814116858758905</v>
      </c>
      <c r="AD123" s="55">
        <f>IF(RnSplint!N124&lt;0,0,RnSplint!N124)</f>
        <v>5.0981172178762417</v>
      </c>
      <c r="AE123" s="55">
        <f>IF(RnSplint!N124&lt;0,0,RnSplint!N124)</f>
        <v>5.0981172178762417</v>
      </c>
      <c r="AF123" s="30"/>
      <c r="AG123" s="30"/>
      <c r="AH123" s="30"/>
      <c r="AI123" s="55"/>
      <c r="AJ123" s="55"/>
      <c r="AK123" s="55"/>
      <c r="AL123" s="55"/>
      <c r="AM123" s="55"/>
      <c r="AN123" s="55">
        <f t="shared" ref="AN123:AN186" si="46">K123*M123</f>
        <v>13.670151083978437</v>
      </c>
      <c r="AO123" s="55">
        <f t="shared" ref="AO123:AO186" si="47">SQRT(AN123)</f>
        <v>3.697316741094606</v>
      </c>
      <c r="AP123" s="55">
        <f t="shared" ref="AP123:AP186" si="48">IF(2.54/AO123&gt;1.22,1.22,2.54/AO123)</f>
        <v>0.6869846912948071</v>
      </c>
      <c r="AQ123" s="55"/>
      <c r="AR123" s="55"/>
      <c r="AS123" s="55"/>
      <c r="AT123" s="55"/>
      <c r="AU123" s="30"/>
      <c r="AV123" s="30"/>
      <c r="AW123" s="2"/>
      <c r="AX123" s="2"/>
    </row>
    <row r="124" spans="1:50" x14ac:dyDescent="0.2">
      <c r="A124" s="2"/>
      <c r="B124" s="61">
        <f t="shared" si="36"/>
        <v>41715</v>
      </c>
      <c r="C124" s="62">
        <f t="shared" si="37"/>
        <v>76</v>
      </c>
      <c r="D124" s="63">
        <f t="shared" si="38"/>
        <v>2.7280778879385563</v>
      </c>
      <c r="G124" s="357" t="str">
        <f>IF(MakeSchedule!C91="","",MakeSchedule!C91)</f>
        <v/>
      </c>
      <c r="H124" s="358"/>
      <c r="I124" s="358"/>
      <c r="J124" s="359" t="str">
        <f>IF(MakeSchedule!B91="","",MakeSchedule!B91)</f>
        <v/>
      </c>
      <c r="K124" s="63">
        <f t="shared" si="29"/>
        <v>2.7280778879385563</v>
      </c>
      <c r="L124" s="63">
        <f t="shared" si="39"/>
        <v>2.7280778879385563</v>
      </c>
      <c r="M124" s="63">
        <f t="shared" si="40"/>
        <v>5.3448275862068968</v>
      </c>
      <c r="N124" s="63" t="str">
        <f t="shared" si="30"/>
        <v/>
      </c>
      <c r="O124" s="64">
        <f t="shared" si="41"/>
        <v>0.66517892932018863</v>
      </c>
      <c r="P124" s="63">
        <f t="shared" si="42"/>
        <v>0.63384279475982486</v>
      </c>
      <c r="Q124" s="64">
        <f t="shared" si="31"/>
        <v>0.63384279475982486</v>
      </c>
      <c r="R124" s="63">
        <f t="shared" si="32"/>
        <v>0.66517892932018863</v>
      </c>
      <c r="S124" s="65">
        <f t="shared" si="33"/>
        <v>0.35</v>
      </c>
      <c r="T124" s="65">
        <f t="shared" si="43"/>
        <v>1.0151789293201885</v>
      </c>
      <c r="U124" s="64">
        <f t="shared" si="44"/>
        <v>1.0151789293201885</v>
      </c>
      <c r="V124" s="63">
        <f t="shared" si="34"/>
        <v>2.7694871893795447</v>
      </c>
      <c r="W124" s="63" t="str">
        <f t="shared" si="35"/>
        <v/>
      </c>
      <c r="X124" s="63">
        <f t="shared" si="45"/>
        <v>46.445552050184205</v>
      </c>
      <c r="Y124" s="55"/>
      <c r="Z124" s="55"/>
      <c r="AA124" s="55"/>
      <c r="AB124" s="55">
        <f>PMSplint!N125</f>
        <v>2.7280778879385563</v>
      </c>
      <c r="AC124" s="55">
        <f>PMSplint!N125</f>
        <v>2.7280778879385563</v>
      </c>
      <c r="AD124" s="55">
        <f>IF(RnSplint!N125&lt;0,0,RnSplint!N125)</f>
        <v>5.3448275862068968</v>
      </c>
      <c r="AE124" s="55">
        <f>IF(RnSplint!N125&lt;0,0,RnSplint!N125)</f>
        <v>5.3448275862068968</v>
      </c>
      <c r="AF124" s="30"/>
      <c r="AG124" s="30"/>
      <c r="AH124" s="30"/>
      <c r="AI124" s="55"/>
      <c r="AJ124" s="55"/>
      <c r="AK124" s="55"/>
      <c r="AL124" s="55"/>
      <c r="AM124" s="55"/>
      <c r="AN124" s="55">
        <f t="shared" si="46"/>
        <v>14.581105952775044</v>
      </c>
      <c r="AO124" s="55">
        <f t="shared" si="47"/>
        <v>3.8185214354217059</v>
      </c>
      <c r="AP124" s="55">
        <f t="shared" si="48"/>
        <v>0.66517892932018863</v>
      </c>
      <c r="AQ124" s="55"/>
      <c r="AR124" s="55"/>
      <c r="AS124" s="55"/>
      <c r="AT124" s="55"/>
      <c r="AU124" s="30"/>
      <c r="AV124" s="30"/>
      <c r="AW124" s="2"/>
      <c r="AX124" s="2"/>
    </row>
    <row r="125" spans="1:50" x14ac:dyDescent="0.2">
      <c r="A125" s="2"/>
      <c r="B125" s="61">
        <f t="shared" si="36"/>
        <v>41716</v>
      </c>
      <c r="C125" s="62">
        <f t="shared" si="37"/>
        <v>77</v>
      </c>
      <c r="D125" s="63">
        <f t="shared" si="38"/>
        <v>2.7759654219725172</v>
      </c>
      <c r="G125" s="357" t="str">
        <f>IF(MakeSchedule!C92="","",MakeSchedule!C92)</f>
        <v/>
      </c>
      <c r="H125" s="358"/>
      <c r="I125" s="358"/>
      <c r="J125" s="359" t="str">
        <f>IF(MakeSchedule!B92="","",MakeSchedule!B92)</f>
        <v/>
      </c>
      <c r="K125" s="63">
        <f t="shared" si="29"/>
        <v>2.7759654219725172</v>
      </c>
      <c r="L125" s="63">
        <f t="shared" si="39"/>
        <v>2.7759654219725172</v>
      </c>
      <c r="M125" s="63">
        <f t="shared" si="40"/>
        <v>5.6175972028661239</v>
      </c>
      <c r="N125" s="63" t="str">
        <f t="shared" si="30"/>
        <v/>
      </c>
      <c r="O125" s="64">
        <f t="shared" si="41"/>
        <v>0.64320793368996532</v>
      </c>
      <c r="P125" s="63">
        <f t="shared" si="42"/>
        <v>0.63908296943231391</v>
      </c>
      <c r="Q125" s="64">
        <f t="shared" si="31"/>
        <v>0.63908296943231391</v>
      </c>
      <c r="R125" s="63">
        <f t="shared" si="32"/>
        <v>0.64320793368996532</v>
      </c>
      <c r="S125" s="65">
        <f t="shared" si="33"/>
        <v>0.35</v>
      </c>
      <c r="T125" s="65">
        <f t="shared" si="43"/>
        <v>0.99320793368996529</v>
      </c>
      <c r="U125" s="64">
        <f t="shared" si="44"/>
        <v>0.99320793368996529</v>
      </c>
      <c r="V125" s="63">
        <f t="shared" si="34"/>
        <v>2.7571108807521165</v>
      </c>
      <c r="W125" s="63" t="str">
        <f t="shared" si="35"/>
        <v/>
      </c>
      <c r="X125" s="63">
        <f t="shared" si="45"/>
        <v>49.20266293093632</v>
      </c>
      <c r="Y125" s="55"/>
      <c r="Z125" s="55"/>
      <c r="AA125" s="55"/>
      <c r="AB125" s="55">
        <f>PMSplint!N126</f>
        <v>2.7759654219725172</v>
      </c>
      <c r="AC125" s="55">
        <f>PMSplint!N126</f>
        <v>2.7759654219725172</v>
      </c>
      <c r="AD125" s="55">
        <f>IF(RnSplint!N126&lt;0,0,RnSplint!N126)</f>
        <v>5.6175972028661239</v>
      </c>
      <c r="AE125" s="55">
        <f>IF(RnSplint!N126&lt;0,0,RnSplint!N126)</f>
        <v>5.6175972028661239</v>
      </c>
      <c r="AF125" s="30"/>
      <c r="AG125" s="30"/>
      <c r="AH125" s="30"/>
      <c r="AI125" s="55"/>
      <c r="AJ125" s="55"/>
      <c r="AK125" s="55"/>
      <c r="AL125" s="55"/>
      <c r="AM125" s="55"/>
      <c r="AN125" s="55">
        <f t="shared" si="46"/>
        <v>15.594255589725892</v>
      </c>
      <c r="AO125" s="55">
        <f t="shared" si="47"/>
        <v>3.9489562658664492</v>
      </c>
      <c r="AP125" s="55">
        <f t="shared" si="48"/>
        <v>0.64320793368996532</v>
      </c>
      <c r="AQ125" s="55"/>
      <c r="AR125" s="55"/>
      <c r="AS125" s="55"/>
      <c r="AT125" s="55"/>
      <c r="AU125" s="30"/>
      <c r="AV125" s="30"/>
      <c r="AW125" s="2"/>
      <c r="AX125" s="2"/>
    </row>
    <row r="126" spans="1:50" x14ac:dyDescent="0.2">
      <c r="A126" s="2"/>
      <c r="B126" s="61">
        <f t="shared" si="36"/>
        <v>41717</v>
      </c>
      <c r="C126" s="62">
        <f t="shared" si="37"/>
        <v>78</v>
      </c>
      <c r="D126" s="63">
        <f t="shared" si="38"/>
        <v>2.8250130727302176</v>
      </c>
      <c r="G126" s="357" t="str">
        <f>IF(MakeSchedule!C93="","",MakeSchedule!C93)</f>
        <v/>
      </c>
      <c r="H126" s="358"/>
      <c r="I126" s="358"/>
      <c r="J126" s="359" t="str">
        <f>IF(MakeSchedule!B93="","",MakeSchedule!B93)</f>
        <v/>
      </c>
      <c r="K126" s="63">
        <f t="shared" si="29"/>
        <v>2.8250130727302176</v>
      </c>
      <c r="L126" s="63">
        <f t="shared" si="39"/>
        <v>2.8250130727302176</v>
      </c>
      <c r="M126" s="63">
        <f t="shared" si="40"/>
        <v>5.9151911605837482</v>
      </c>
      <c r="N126" s="63" t="str">
        <f t="shared" si="30"/>
        <v/>
      </c>
      <c r="O126" s="64">
        <f t="shared" si="41"/>
        <v>0.62135399298672411</v>
      </c>
      <c r="P126" s="63">
        <f t="shared" si="42"/>
        <v>0.64432314410480296</v>
      </c>
      <c r="Q126" s="64">
        <f t="shared" si="31"/>
        <v>0.64432314410480296</v>
      </c>
      <c r="R126" s="63">
        <f t="shared" si="32"/>
        <v>0.64432314410480296</v>
      </c>
      <c r="S126" s="65">
        <f t="shared" si="33"/>
        <v>0.35</v>
      </c>
      <c r="T126" s="65">
        <f t="shared" si="43"/>
        <v>0.99432314410480294</v>
      </c>
      <c r="U126" s="64">
        <f t="shared" si="44"/>
        <v>0.99432314410480294</v>
      </c>
      <c r="V126" s="63">
        <f t="shared" si="34"/>
        <v>2.8089758806142804</v>
      </c>
      <c r="W126" s="63" t="str">
        <f t="shared" si="35"/>
        <v/>
      </c>
      <c r="X126" s="63">
        <f t="shared" si="45"/>
        <v>52.011638811550597</v>
      </c>
      <c r="Y126" s="55"/>
      <c r="Z126" s="55"/>
      <c r="AA126" s="55"/>
      <c r="AB126" s="55">
        <f>PMSplint!N127</f>
        <v>2.8250130727302176</v>
      </c>
      <c r="AC126" s="55">
        <f>PMSplint!N127</f>
        <v>2.8250130727302176</v>
      </c>
      <c r="AD126" s="55">
        <f>IF(RnSplint!N127&lt;0,0,RnSplint!N127)</f>
        <v>5.9151911605837482</v>
      </c>
      <c r="AE126" s="55">
        <f>IF(RnSplint!N127&lt;0,0,RnSplint!N127)</f>
        <v>5.9151911605837482</v>
      </c>
      <c r="AF126" s="30"/>
      <c r="AG126" s="30"/>
      <c r="AH126" s="30"/>
      <c r="AI126" s="55"/>
      <c r="AJ126" s="55"/>
      <c r="AK126" s="55"/>
      <c r="AL126" s="55"/>
      <c r="AM126" s="55"/>
      <c r="AN126" s="55">
        <f t="shared" si="46"/>
        <v>16.710492356347316</v>
      </c>
      <c r="AO126" s="55">
        <f t="shared" si="47"/>
        <v>4.0878469096025745</v>
      </c>
      <c r="AP126" s="55">
        <f t="shared" si="48"/>
        <v>0.62135399298672411</v>
      </c>
      <c r="AQ126" s="55"/>
      <c r="AR126" s="55"/>
      <c r="AS126" s="55"/>
      <c r="AT126" s="55"/>
      <c r="AU126" s="30"/>
      <c r="AV126" s="30"/>
      <c r="AW126" s="2"/>
      <c r="AX126" s="2"/>
    </row>
    <row r="127" spans="1:50" x14ac:dyDescent="0.2">
      <c r="A127" s="2"/>
      <c r="B127" s="61">
        <f t="shared" si="36"/>
        <v>41718</v>
      </c>
      <c r="C127" s="62">
        <f t="shared" si="37"/>
        <v>79</v>
      </c>
      <c r="D127" s="63">
        <f t="shared" si="38"/>
        <v>2.8751396384889283</v>
      </c>
      <c r="G127" s="357" t="str">
        <f>IF(MakeSchedule!C94="","",MakeSchedule!C94)</f>
        <v/>
      </c>
      <c r="H127" s="358"/>
      <c r="I127" s="358"/>
      <c r="J127" s="359" t="str">
        <f>IF(MakeSchedule!B94="","",MakeSchedule!B94)</f>
        <v/>
      </c>
      <c r="K127" s="63">
        <f t="shared" si="29"/>
        <v>2.8751396384889283</v>
      </c>
      <c r="L127" s="63">
        <f t="shared" si="39"/>
        <v>2.8751396384889283</v>
      </c>
      <c r="M127" s="63">
        <f t="shared" si="40"/>
        <v>6.2358971244384662</v>
      </c>
      <c r="N127" s="63" t="str">
        <f t="shared" si="30"/>
        <v/>
      </c>
      <c r="O127" s="64">
        <f t="shared" si="41"/>
        <v>0.59986672858253554</v>
      </c>
      <c r="P127" s="63">
        <f t="shared" si="42"/>
        <v>0.64956331877729201</v>
      </c>
      <c r="Q127" s="64">
        <f t="shared" si="31"/>
        <v>0.64956331877729201</v>
      </c>
      <c r="R127" s="63">
        <f t="shared" si="32"/>
        <v>0.64956331877729201</v>
      </c>
      <c r="S127" s="65">
        <f t="shared" si="33"/>
        <v>0.35</v>
      </c>
      <c r="T127" s="65">
        <f t="shared" si="43"/>
        <v>0.99956331877729199</v>
      </c>
      <c r="U127" s="64">
        <f t="shared" si="44"/>
        <v>0.99956331877729199</v>
      </c>
      <c r="V127" s="63">
        <f t="shared" si="34"/>
        <v>2.8738841189961368</v>
      </c>
      <c r="W127" s="63" t="str">
        <f t="shared" si="35"/>
        <v/>
      </c>
      <c r="X127" s="63">
        <f t="shared" si="45"/>
        <v>54.885522930546735</v>
      </c>
      <c r="Y127" s="55"/>
      <c r="Z127" s="55"/>
      <c r="AA127" s="55"/>
      <c r="AB127" s="55">
        <f>PMSplint!N128</f>
        <v>2.8751396384889283</v>
      </c>
      <c r="AC127" s="55">
        <f>PMSplint!N128</f>
        <v>2.8751396384889283</v>
      </c>
      <c r="AD127" s="55">
        <f>IF(RnSplint!N128&lt;0,0,RnSplint!N128)</f>
        <v>6.2358971244384662</v>
      </c>
      <c r="AE127" s="55">
        <f>IF(RnSplint!N128&lt;0,0,RnSplint!N128)</f>
        <v>6.2358971244384662</v>
      </c>
      <c r="AF127" s="30"/>
      <c r="AG127" s="30"/>
      <c r="AH127" s="30"/>
      <c r="AI127" s="55"/>
      <c r="AJ127" s="55"/>
      <c r="AK127" s="55"/>
      <c r="AL127" s="55"/>
      <c r="AM127" s="55"/>
      <c r="AN127" s="55">
        <f t="shared" si="46"/>
        <v>17.929075004012159</v>
      </c>
      <c r="AO127" s="55">
        <f t="shared" si="47"/>
        <v>4.2342738461290104</v>
      </c>
      <c r="AP127" s="55">
        <f t="shared" si="48"/>
        <v>0.59986672858253554</v>
      </c>
      <c r="AQ127" s="55"/>
      <c r="AR127" s="55"/>
      <c r="AS127" s="55"/>
      <c r="AT127" s="55"/>
      <c r="AU127" s="30"/>
      <c r="AV127" s="30"/>
      <c r="AW127" s="2"/>
      <c r="AX127" s="2"/>
    </row>
    <row r="128" spans="1:50" x14ac:dyDescent="0.2">
      <c r="A128" s="2"/>
      <c r="B128" s="61">
        <f t="shared" si="36"/>
        <v>41719</v>
      </c>
      <c r="C128" s="62">
        <f t="shared" si="37"/>
        <v>80</v>
      </c>
      <c r="D128" s="63">
        <f t="shared" si="38"/>
        <v>2.9262639175259211</v>
      </c>
      <c r="G128" s="357" t="str">
        <f>IF(MakeSchedule!C95="","",MakeSchedule!C95)</f>
        <v/>
      </c>
      <c r="H128" s="358"/>
      <c r="I128" s="358"/>
      <c r="J128" s="359" t="str">
        <f>IF(MakeSchedule!B95="","",MakeSchedule!B95)</f>
        <v/>
      </c>
      <c r="K128" s="63">
        <f t="shared" si="29"/>
        <v>2.9262639175259211</v>
      </c>
      <c r="L128" s="63">
        <f t="shared" si="39"/>
        <v>2.9262639175259211</v>
      </c>
      <c r="M128" s="63">
        <f t="shared" si="40"/>
        <v>6.5780027595089718</v>
      </c>
      <c r="N128" s="63" t="str">
        <f t="shared" si="30"/>
        <v/>
      </c>
      <c r="O128" s="64">
        <f t="shared" si="41"/>
        <v>0.57893518506990216</v>
      </c>
      <c r="P128" s="63">
        <f t="shared" si="42"/>
        <v>0.65480349344978106</v>
      </c>
      <c r="Q128" s="64">
        <f t="shared" si="31"/>
        <v>0.65480349344978106</v>
      </c>
      <c r="R128" s="63">
        <f t="shared" si="32"/>
        <v>0.65480349344978106</v>
      </c>
      <c r="S128" s="65">
        <f t="shared" si="33"/>
        <v>0.35</v>
      </c>
      <c r="T128" s="65">
        <f t="shared" si="43"/>
        <v>1.0048034934497809</v>
      </c>
      <c r="U128" s="64">
        <f t="shared" si="44"/>
        <v>1.0048034934497809</v>
      </c>
      <c r="V128" s="63">
        <f t="shared" si="34"/>
        <v>2.9403202070860872</v>
      </c>
      <c r="W128" s="63" t="str">
        <f t="shared" si="35"/>
        <v/>
      </c>
      <c r="X128" s="63">
        <f t="shared" si="45"/>
        <v>57.825843137632823</v>
      </c>
      <c r="Y128" s="55"/>
      <c r="Z128" s="55"/>
      <c r="AA128" s="55"/>
      <c r="AB128" s="55">
        <f>PMSplint!N129</f>
        <v>2.9262639175259211</v>
      </c>
      <c r="AC128" s="55">
        <f>PMSplint!N129</f>
        <v>2.9262639175259211</v>
      </c>
      <c r="AD128" s="55">
        <f>IF(RnSplint!N129&lt;0,0,RnSplint!N129)</f>
        <v>6.5780027595089718</v>
      </c>
      <c r="AE128" s="55">
        <f>IF(RnSplint!N129&lt;0,0,RnSplint!N129)</f>
        <v>6.5780027595089718</v>
      </c>
      <c r="AF128" s="30"/>
      <c r="AG128" s="30"/>
      <c r="AH128" s="30"/>
      <c r="AI128" s="55"/>
      <c r="AJ128" s="55"/>
      <c r="AK128" s="55"/>
      <c r="AL128" s="55"/>
      <c r="AM128" s="55"/>
      <c r="AN128" s="55">
        <f t="shared" si="46"/>
        <v>19.248972124537044</v>
      </c>
      <c r="AO128" s="55">
        <f t="shared" si="47"/>
        <v>4.3873650548520624</v>
      </c>
      <c r="AP128" s="55">
        <f t="shared" si="48"/>
        <v>0.57893518506990216</v>
      </c>
      <c r="AQ128" s="55"/>
      <c r="AR128" s="55"/>
      <c r="AS128" s="55"/>
      <c r="AT128" s="55"/>
      <c r="AU128" s="30"/>
      <c r="AV128" s="30"/>
      <c r="AW128" s="2"/>
      <c r="AX128" s="2"/>
    </row>
    <row r="129" spans="1:50" x14ac:dyDescent="0.2">
      <c r="A129" s="2"/>
      <c r="B129" s="61">
        <f t="shared" si="36"/>
        <v>41720</v>
      </c>
      <c r="C129" s="62">
        <f t="shared" si="37"/>
        <v>81</v>
      </c>
      <c r="D129" s="63">
        <f t="shared" si="38"/>
        <v>2.978304708118467</v>
      </c>
      <c r="G129" s="357" t="str">
        <f>IF(MakeSchedule!C96="","",MakeSchedule!C96)</f>
        <v/>
      </c>
      <c r="H129" s="358"/>
      <c r="I129" s="358"/>
      <c r="J129" s="359" t="str">
        <f>IF(MakeSchedule!B96="","",MakeSchedule!B96)</f>
        <v/>
      </c>
      <c r="K129" s="63">
        <f t="shared" si="29"/>
        <v>2.978304708118467</v>
      </c>
      <c r="L129" s="63">
        <f t="shared" si="39"/>
        <v>2.978304708118467</v>
      </c>
      <c r="M129" s="63">
        <f t="shared" si="40"/>
        <v>6.939795730873958</v>
      </c>
      <c r="N129" s="63" t="str">
        <f t="shared" si="30"/>
        <v/>
      </c>
      <c r="O129" s="64">
        <f t="shared" si="41"/>
        <v>0.55869631758024885</v>
      </c>
      <c r="P129" s="63">
        <f t="shared" si="42"/>
        <v>0.66004366812227011</v>
      </c>
      <c r="Q129" s="64">
        <f t="shared" si="31"/>
        <v>0.66004366812227011</v>
      </c>
      <c r="R129" s="63">
        <f t="shared" si="32"/>
        <v>0.66004366812227011</v>
      </c>
      <c r="S129" s="65">
        <f t="shared" si="33"/>
        <v>0.35</v>
      </c>
      <c r="T129" s="65">
        <f t="shared" si="43"/>
        <v>1.01004366812227</v>
      </c>
      <c r="U129" s="64">
        <f t="shared" si="44"/>
        <v>1.01004366812227</v>
      </c>
      <c r="V129" s="63">
        <f t="shared" si="34"/>
        <v>3.008217812173803</v>
      </c>
      <c r="W129" s="63" t="str">
        <f t="shared" si="35"/>
        <v/>
      </c>
      <c r="X129" s="63">
        <f t="shared" si="45"/>
        <v>60.834060949806627</v>
      </c>
      <c r="Y129" s="55"/>
      <c r="Z129" s="55"/>
      <c r="AA129" s="55"/>
      <c r="AB129" s="55">
        <f>PMSplint!N130</f>
        <v>2.978304708118467</v>
      </c>
      <c r="AC129" s="55">
        <f>PMSplint!N130</f>
        <v>2.978304708118467</v>
      </c>
      <c r="AD129" s="55">
        <f>IF(RnSplint!N130&lt;0,0,RnSplint!N130)</f>
        <v>6.939795730873958</v>
      </c>
      <c r="AE129" s="55">
        <f>IF(RnSplint!N130&lt;0,0,RnSplint!N130)</f>
        <v>6.939795730873958</v>
      </c>
      <c r="AF129" s="30"/>
      <c r="AG129" s="30"/>
      <c r="AH129" s="30"/>
      <c r="AI129" s="55"/>
      <c r="AJ129" s="55"/>
      <c r="AK129" s="55"/>
      <c r="AL129" s="55"/>
      <c r="AM129" s="55"/>
      <c r="AN129" s="55">
        <f t="shared" si="46"/>
        <v>20.668826298642347</v>
      </c>
      <c r="AO129" s="55">
        <f t="shared" si="47"/>
        <v>4.5462980873060168</v>
      </c>
      <c r="AP129" s="55">
        <f t="shared" si="48"/>
        <v>0.55869631758024885</v>
      </c>
      <c r="AQ129" s="55"/>
      <c r="AR129" s="55"/>
      <c r="AS129" s="55"/>
      <c r="AT129" s="55"/>
      <c r="AU129" s="30"/>
      <c r="AV129" s="30"/>
      <c r="AW129" s="2"/>
      <c r="AX129" s="2"/>
    </row>
    <row r="130" spans="1:50" x14ac:dyDescent="0.2">
      <c r="A130" s="2"/>
      <c r="B130" s="61">
        <f t="shared" si="36"/>
        <v>41721</v>
      </c>
      <c r="C130" s="62">
        <f t="shared" si="37"/>
        <v>82</v>
      </c>
      <c r="D130" s="63">
        <f t="shared" si="38"/>
        <v>3.0311808085438354</v>
      </c>
      <c r="G130" s="357" t="str">
        <f>IF(MakeSchedule!C97="","",MakeSchedule!C97)</f>
        <v/>
      </c>
      <c r="H130" s="358"/>
      <c r="I130" s="358"/>
      <c r="J130" s="359" t="str">
        <f>IF(MakeSchedule!B97="","",MakeSchedule!B97)</f>
        <v/>
      </c>
      <c r="K130" s="63">
        <f t="shared" si="29"/>
        <v>3.0311808085438354</v>
      </c>
      <c r="L130" s="63">
        <f t="shared" si="39"/>
        <v>3.0311808085438354</v>
      </c>
      <c r="M130" s="63">
        <f t="shared" si="40"/>
        <v>7.3195637036121175</v>
      </c>
      <c r="N130" s="63" t="str">
        <f t="shared" si="30"/>
        <v/>
      </c>
      <c r="O130" s="64">
        <f t="shared" si="41"/>
        <v>0.53924384644458867</v>
      </c>
      <c r="P130" s="63">
        <f t="shared" si="42"/>
        <v>0.66528384279475916</v>
      </c>
      <c r="Q130" s="64">
        <f t="shared" si="31"/>
        <v>0.66528384279475916</v>
      </c>
      <c r="R130" s="63">
        <f t="shared" si="32"/>
        <v>0.66528384279475916</v>
      </c>
      <c r="S130" s="65">
        <f t="shared" si="33"/>
        <v>0.35</v>
      </c>
      <c r="T130" s="65">
        <f t="shared" si="43"/>
        <v>1.015283842794759</v>
      </c>
      <c r="U130" s="64">
        <f t="shared" si="44"/>
        <v>1.015283842794759</v>
      </c>
      <c r="V130" s="63">
        <f t="shared" si="34"/>
        <v>3.0775088995041098</v>
      </c>
      <c r="W130" s="63" t="str">
        <f t="shared" si="35"/>
        <v/>
      </c>
      <c r="X130" s="63">
        <f t="shared" si="45"/>
        <v>63.911569849310737</v>
      </c>
      <c r="Y130" s="55"/>
      <c r="Z130" s="55"/>
      <c r="AA130" s="55"/>
      <c r="AB130" s="55">
        <f>PMSplint!N131</f>
        <v>3.0311808085438354</v>
      </c>
      <c r="AC130" s="55">
        <f>PMSplint!N131</f>
        <v>3.0311808085438354</v>
      </c>
      <c r="AD130" s="55">
        <f>IF(RnSplint!N131&lt;0,0,RnSplint!N131)</f>
        <v>7.3195637036121175</v>
      </c>
      <c r="AE130" s="55">
        <f>IF(RnSplint!N131&lt;0,0,RnSplint!N131)</f>
        <v>7.3195637036121175</v>
      </c>
      <c r="AF130" s="30"/>
      <c r="AG130" s="30"/>
      <c r="AH130" s="30"/>
      <c r="AI130" s="55"/>
      <c r="AJ130" s="55"/>
      <c r="AK130" s="55"/>
      <c r="AL130" s="55"/>
      <c r="AM130" s="55"/>
      <c r="AN130" s="55">
        <f t="shared" si="46"/>
        <v>22.186921025303089</v>
      </c>
      <c r="AO130" s="55">
        <f t="shared" si="47"/>
        <v>4.7102994623806129</v>
      </c>
      <c r="AP130" s="55">
        <f t="shared" si="48"/>
        <v>0.53924384644458867</v>
      </c>
      <c r="AQ130" s="55"/>
      <c r="AR130" s="55"/>
      <c r="AS130" s="55"/>
      <c r="AT130" s="55"/>
      <c r="AU130" s="30"/>
      <c r="AV130" s="30"/>
      <c r="AW130" s="2"/>
      <c r="AX130" s="2"/>
    </row>
    <row r="131" spans="1:50" x14ac:dyDescent="0.2">
      <c r="A131" s="2"/>
      <c r="B131" s="61">
        <f t="shared" si="36"/>
        <v>41722</v>
      </c>
      <c r="C131" s="62">
        <f t="shared" si="37"/>
        <v>83</v>
      </c>
      <c r="D131" s="63">
        <f t="shared" si="38"/>
        <v>3.0848110170792999</v>
      </c>
      <c r="G131" s="357" t="str">
        <f>IF(MakeSchedule!C98="","",MakeSchedule!C98)</f>
        <v/>
      </c>
      <c r="H131" s="358"/>
      <c r="I131" s="358"/>
      <c r="J131" s="359" t="str">
        <f>IF(MakeSchedule!B98="","",MakeSchedule!B98)</f>
        <v/>
      </c>
      <c r="K131" s="63">
        <f t="shared" si="29"/>
        <v>3.0848110170792999</v>
      </c>
      <c r="L131" s="63">
        <f t="shared" si="39"/>
        <v>3.0848110170792999</v>
      </c>
      <c r="M131" s="63">
        <f t="shared" si="40"/>
        <v>7.7155943428021505</v>
      </c>
      <c r="N131" s="63" t="str">
        <f t="shared" si="30"/>
        <v/>
      </c>
      <c r="O131" s="64">
        <f t="shared" si="41"/>
        <v>0.52063665619409094</v>
      </c>
      <c r="P131" s="63">
        <f t="shared" si="42"/>
        <v>0.67052401746724821</v>
      </c>
      <c r="Q131" s="64">
        <f t="shared" si="31"/>
        <v>0.67052401746724821</v>
      </c>
      <c r="R131" s="63">
        <f t="shared" si="32"/>
        <v>0.67052401746724821</v>
      </c>
      <c r="S131" s="65">
        <f t="shared" si="33"/>
        <v>0.35</v>
      </c>
      <c r="T131" s="65">
        <f t="shared" si="43"/>
        <v>1.0205240174672481</v>
      </c>
      <c r="U131" s="64">
        <f t="shared" si="44"/>
        <v>1.0205240174672481</v>
      </c>
      <c r="V131" s="63">
        <f t="shared" si="34"/>
        <v>3.1481237322769946</v>
      </c>
      <c r="W131" s="63" t="str">
        <f t="shared" si="35"/>
        <v/>
      </c>
      <c r="X131" s="63">
        <f t="shared" si="45"/>
        <v>67.059693581587737</v>
      </c>
      <c r="Y131" s="55"/>
      <c r="Z131" s="55"/>
      <c r="AA131" s="55"/>
      <c r="AB131" s="55">
        <f>PMSplint!N132</f>
        <v>3.0848110170792999</v>
      </c>
      <c r="AC131" s="55">
        <f>PMSplint!N132</f>
        <v>3.0848110170792999</v>
      </c>
      <c r="AD131" s="55">
        <f>IF(RnSplint!N132&lt;0,0,RnSplint!N132)</f>
        <v>7.7155943428021505</v>
      </c>
      <c r="AE131" s="55">
        <f>IF(RnSplint!N132&lt;0,0,RnSplint!N132)</f>
        <v>7.7155943428021505</v>
      </c>
      <c r="AF131" s="30"/>
      <c r="AG131" s="30"/>
      <c r="AH131" s="30"/>
      <c r="AI131" s="55"/>
      <c r="AJ131" s="55"/>
      <c r="AK131" s="55"/>
      <c r="AL131" s="55"/>
      <c r="AM131" s="55"/>
      <c r="AN131" s="55">
        <f t="shared" si="46"/>
        <v>23.801150431990795</v>
      </c>
      <c r="AO131" s="55">
        <f t="shared" si="47"/>
        <v>4.878642273418988</v>
      </c>
      <c r="AP131" s="55">
        <f t="shared" si="48"/>
        <v>0.52063665619409094</v>
      </c>
      <c r="AQ131" s="55"/>
      <c r="AR131" s="55"/>
      <c r="AS131" s="55"/>
      <c r="AT131" s="55"/>
      <c r="AU131" s="30"/>
      <c r="AV131" s="30"/>
      <c r="AW131" s="2"/>
      <c r="AX131" s="2"/>
    </row>
    <row r="132" spans="1:50" x14ac:dyDescent="0.2">
      <c r="A132" s="2"/>
      <c r="B132" s="61">
        <f t="shared" si="36"/>
        <v>41723</v>
      </c>
      <c r="C132" s="62">
        <f t="shared" si="37"/>
        <v>84</v>
      </c>
      <c r="D132" s="63">
        <f t="shared" si="38"/>
        <v>3.1391141320021307</v>
      </c>
      <c r="G132" s="357" t="str">
        <f>IF(MakeSchedule!C99="","",MakeSchedule!C99)</f>
        <v/>
      </c>
      <c r="H132" s="358"/>
      <c r="I132" s="358"/>
      <c r="J132" s="359" t="str">
        <f>IF(MakeSchedule!B99="","",MakeSchedule!B99)</f>
        <v/>
      </c>
      <c r="K132" s="63">
        <f t="shared" si="29"/>
        <v>3.1391141320021307</v>
      </c>
      <c r="L132" s="63">
        <f t="shared" si="39"/>
        <v>3.1391141320021307</v>
      </c>
      <c r="M132" s="63">
        <f t="shared" si="40"/>
        <v>8.1261753135227455</v>
      </c>
      <c r="N132" s="63" t="str">
        <f t="shared" si="30"/>
        <v/>
      </c>
      <c r="O132" s="64">
        <f t="shared" si="41"/>
        <v>0.50290629267450193</v>
      </c>
      <c r="P132" s="63">
        <f t="shared" si="42"/>
        <v>0.67576419213973726</v>
      </c>
      <c r="Q132" s="64">
        <f t="shared" si="31"/>
        <v>0.67576419213973726</v>
      </c>
      <c r="R132" s="63">
        <f t="shared" si="32"/>
        <v>0.67576419213973726</v>
      </c>
      <c r="S132" s="65">
        <f t="shared" si="33"/>
        <v>0.35</v>
      </c>
      <c r="T132" s="65">
        <f t="shared" si="43"/>
        <v>1.0257641921397371</v>
      </c>
      <c r="U132" s="64">
        <f t="shared" si="44"/>
        <v>1.0257641921397371</v>
      </c>
      <c r="V132" s="63">
        <f t="shared" si="34"/>
        <v>3.2199908716475978</v>
      </c>
      <c r="W132" s="63" t="str">
        <f t="shared" si="35"/>
        <v/>
      </c>
      <c r="X132" s="63">
        <f t="shared" si="45"/>
        <v>70.279684453235333</v>
      </c>
      <c r="Y132" s="55"/>
      <c r="Z132" s="55"/>
      <c r="AA132" s="55"/>
      <c r="AB132" s="55">
        <f>PMSplint!N133</f>
        <v>3.1391141320021307</v>
      </c>
      <c r="AC132" s="55">
        <f>PMSplint!N133</f>
        <v>3.1391141320021307</v>
      </c>
      <c r="AD132" s="55">
        <f>IF(RnSplint!N133&lt;0,0,RnSplint!N133)</f>
        <v>8.1261753135227455</v>
      </c>
      <c r="AE132" s="55">
        <f>IF(RnSplint!N133&lt;0,0,RnSplint!N133)</f>
        <v>8.1261753135227455</v>
      </c>
      <c r="AF132" s="30"/>
      <c r="AG132" s="30"/>
      <c r="AH132" s="30"/>
      <c r="AI132" s="55"/>
      <c r="AJ132" s="55"/>
      <c r="AK132" s="55"/>
      <c r="AL132" s="55"/>
      <c r="AM132" s="55"/>
      <c r="AN132" s="55">
        <f t="shared" si="46"/>
        <v>25.508991765806094</v>
      </c>
      <c r="AO132" s="55">
        <f t="shared" si="47"/>
        <v>5.0506427081913143</v>
      </c>
      <c r="AP132" s="55">
        <f t="shared" si="48"/>
        <v>0.50290629267450193</v>
      </c>
      <c r="AQ132" s="55"/>
      <c r="AR132" s="55"/>
      <c r="AS132" s="55"/>
      <c r="AT132" s="55"/>
      <c r="AU132" s="30"/>
      <c r="AV132" s="30"/>
      <c r="AW132" s="2"/>
      <c r="AX132" s="2"/>
    </row>
    <row r="133" spans="1:50" x14ac:dyDescent="0.2">
      <c r="A133" s="2"/>
      <c r="B133" s="61">
        <f t="shared" si="36"/>
        <v>41724</v>
      </c>
      <c r="C133" s="62">
        <f t="shared" si="37"/>
        <v>85</v>
      </c>
      <c r="D133" s="63">
        <f t="shared" si="38"/>
        <v>3.1940089515895989</v>
      </c>
      <c r="G133" s="357" t="str">
        <f>IF(MakeSchedule!C100="","",MakeSchedule!C100)</f>
        <v/>
      </c>
      <c r="H133" s="358"/>
      <c r="I133" s="358"/>
      <c r="J133" s="359" t="str">
        <f>IF(MakeSchedule!B100="","",MakeSchedule!B100)</f>
        <v/>
      </c>
      <c r="K133" s="63">
        <f t="shared" si="29"/>
        <v>3.1940089515895989</v>
      </c>
      <c r="L133" s="63">
        <f t="shared" si="39"/>
        <v>3.1940089515895989</v>
      </c>
      <c r="M133" s="63">
        <f t="shared" si="40"/>
        <v>8.5495942808526024</v>
      </c>
      <c r="N133" s="63" t="str">
        <f t="shared" si="30"/>
        <v/>
      </c>
      <c r="O133" s="64">
        <f t="shared" si="41"/>
        <v>0.48606337622769269</v>
      </c>
      <c r="P133" s="63">
        <f t="shared" si="42"/>
        <v>0.68100436681222631</v>
      </c>
      <c r="Q133" s="64">
        <f t="shared" si="31"/>
        <v>0.68100436681222631</v>
      </c>
      <c r="R133" s="63">
        <f t="shared" si="32"/>
        <v>0.68100436681222631</v>
      </c>
      <c r="S133" s="65">
        <f t="shared" si="33"/>
        <v>0.35</v>
      </c>
      <c r="T133" s="65">
        <f t="shared" si="43"/>
        <v>1.0310043668122262</v>
      </c>
      <c r="U133" s="64">
        <f t="shared" si="44"/>
        <v>1.0310043668122262</v>
      </c>
      <c r="V133" s="63">
        <f t="shared" si="34"/>
        <v>3.2930371767262168</v>
      </c>
      <c r="W133" s="63" t="str">
        <f t="shared" si="35"/>
        <v/>
      </c>
      <c r="X133" s="63">
        <f t="shared" si="45"/>
        <v>73.572721629961549</v>
      </c>
      <c r="Y133" s="55"/>
      <c r="Z133" s="55"/>
      <c r="AA133" s="55"/>
      <c r="AB133" s="55">
        <f>PMSplint!N134</f>
        <v>3.1940089515895989</v>
      </c>
      <c r="AC133" s="55">
        <f>PMSplint!N134</f>
        <v>3.1940089515895989</v>
      </c>
      <c r="AD133" s="55">
        <f>IF(RnSplint!N134&lt;0,0,RnSplint!N134)</f>
        <v>8.5495942808526024</v>
      </c>
      <c r="AE133" s="55">
        <f>IF(RnSplint!N134&lt;0,0,RnSplint!N134)</f>
        <v>8.5495942808526024</v>
      </c>
      <c r="AF133" s="30"/>
      <c r="AG133" s="30"/>
      <c r="AH133" s="30"/>
      <c r="AI133" s="55"/>
      <c r="AJ133" s="55"/>
      <c r="AK133" s="55"/>
      <c r="AL133" s="55"/>
      <c r="AM133" s="55"/>
      <c r="AN133" s="55">
        <f t="shared" si="46"/>
        <v>27.30748066550245</v>
      </c>
      <c r="AO133" s="55">
        <f t="shared" si="47"/>
        <v>5.2256560033647883</v>
      </c>
      <c r="AP133" s="55">
        <f t="shared" si="48"/>
        <v>0.48606337622769269</v>
      </c>
      <c r="AQ133" s="55"/>
      <c r="AR133" s="55"/>
      <c r="AS133" s="55"/>
      <c r="AT133" s="55"/>
      <c r="AU133" s="30"/>
      <c r="AV133" s="30"/>
      <c r="AW133" s="2"/>
      <c r="AX133" s="2"/>
    </row>
    <row r="134" spans="1:50" x14ac:dyDescent="0.2">
      <c r="A134" s="2"/>
      <c r="B134" s="61">
        <f t="shared" si="36"/>
        <v>41725</v>
      </c>
      <c r="C134" s="62">
        <f t="shared" si="37"/>
        <v>86</v>
      </c>
      <c r="D134" s="63">
        <f t="shared" si="38"/>
        <v>3.2494142741189744</v>
      </c>
      <c r="G134" s="357" t="str">
        <f>IF(MakeSchedule!C101="","",MakeSchedule!C101)</f>
        <v/>
      </c>
      <c r="H134" s="358"/>
      <c r="I134" s="358"/>
      <c r="J134" s="359" t="str">
        <f>IF(MakeSchedule!B101="","",MakeSchedule!B101)</f>
        <v/>
      </c>
      <c r="K134" s="63">
        <f t="shared" si="29"/>
        <v>3.2494142741189744</v>
      </c>
      <c r="L134" s="63">
        <f t="shared" si="39"/>
        <v>3.2494142741189744</v>
      </c>
      <c r="M134" s="63">
        <f t="shared" si="40"/>
        <v>8.9841389098704081</v>
      </c>
      <c r="N134" s="63" t="str">
        <f t="shared" si="30"/>
        <v/>
      </c>
      <c r="O134" s="64">
        <f t="shared" si="41"/>
        <v>0.47010291650451763</v>
      </c>
      <c r="P134" s="63">
        <f t="shared" si="42"/>
        <v>0.68624454148471536</v>
      </c>
      <c r="Q134" s="64">
        <f t="shared" si="31"/>
        <v>0.68624454148471536</v>
      </c>
      <c r="R134" s="63">
        <f t="shared" si="32"/>
        <v>0.68624454148471536</v>
      </c>
      <c r="S134" s="65">
        <f t="shared" si="33"/>
        <v>0.35</v>
      </c>
      <c r="T134" s="65">
        <f t="shared" si="43"/>
        <v>1.0362445414847152</v>
      </c>
      <c r="U134" s="64">
        <f t="shared" si="44"/>
        <v>1.0362445414847152</v>
      </c>
      <c r="V134" s="63">
        <f t="shared" si="34"/>
        <v>3.3671878045783052</v>
      </c>
      <c r="W134" s="63" t="str">
        <f t="shared" si="35"/>
        <v/>
      </c>
      <c r="X134" s="63">
        <f t="shared" si="45"/>
        <v>76.939909434539857</v>
      </c>
      <c r="Y134" s="55"/>
      <c r="Z134" s="55"/>
      <c r="AA134" s="55"/>
      <c r="AB134" s="55">
        <f>PMSplint!N135</f>
        <v>3.2494142741189744</v>
      </c>
      <c r="AC134" s="55">
        <f>PMSplint!N135</f>
        <v>3.2494142741189744</v>
      </c>
      <c r="AD134" s="55">
        <f>IF(RnSplint!N135&lt;0,0,RnSplint!N135)</f>
        <v>8.9841389098704081</v>
      </c>
      <c r="AE134" s="55">
        <f>IF(RnSplint!N135&lt;0,0,RnSplint!N135)</f>
        <v>8.9841389098704081</v>
      </c>
      <c r="AF134" s="30"/>
      <c r="AG134" s="30"/>
      <c r="AH134" s="30"/>
      <c r="AI134" s="55"/>
      <c r="AJ134" s="55"/>
      <c r="AK134" s="55"/>
      <c r="AL134" s="55"/>
      <c r="AM134" s="55"/>
      <c r="AN134" s="55">
        <f t="shared" si="46"/>
        <v>29.193189214400586</v>
      </c>
      <c r="AO134" s="55">
        <f t="shared" si="47"/>
        <v>5.403072201479505</v>
      </c>
      <c r="AP134" s="55">
        <f t="shared" si="48"/>
        <v>0.47010291650451763</v>
      </c>
      <c r="AQ134" s="55"/>
      <c r="AR134" s="55"/>
      <c r="AS134" s="55"/>
      <c r="AT134" s="55"/>
      <c r="AU134" s="30"/>
      <c r="AV134" s="30"/>
      <c r="AW134" s="2"/>
      <c r="AX134" s="2"/>
    </row>
    <row r="135" spans="1:50" x14ac:dyDescent="0.2">
      <c r="A135" s="2"/>
      <c r="B135" s="61">
        <f t="shared" si="36"/>
        <v>41726</v>
      </c>
      <c r="C135" s="62">
        <f t="shared" si="37"/>
        <v>87</v>
      </c>
      <c r="D135" s="63">
        <f t="shared" si="38"/>
        <v>3.3052488978675303</v>
      </c>
      <c r="G135" s="357" t="str">
        <f>IF(MakeSchedule!C102="","",MakeSchedule!C102)</f>
        <v/>
      </c>
      <c r="H135" s="358"/>
      <c r="I135" s="358"/>
      <c r="J135" s="359" t="str">
        <f>IF(MakeSchedule!B102="","",MakeSchedule!B102)</f>
        <v/>
      </c>
      <c r="K135" s="63">
        <f t="shared" si="29"/>
        <v>3.3052488978675303</v>
      </c>
      <c r="L135" s="63">
        <f t="shared" si="39"/>
        <v>3.3052488978675303</v>
      </c>
      <c r="M135" s="63">
        <f t="shared" si="40"/>
        <v>9.4280968656548652</v>
      </c>
      <c r="N135" s="63" t="str">
        <f t="shared" si="30"/>
        <v/>
      </c>
      <c r="O135" s="64">
        <f t="shared" si="41"/>
        <v>0.45500860933902793</v>
      </c>
      <c r="P135" s="63">
        <f t="shared" si="42"/>
        <v>0.69148471615720442</v>
      </c>
      <c r="Q135" s="64">
        <f t="shared" si="31"/>
        <v>0.69148471615720442</v>
      </c>
      <c r="R135" s="63">
        <f t="shared" si="32"/>
        <v>0.69148471615720442</v>
      </c>
      <c r="S135" s="65">
        <f t="shared" si="33"/>
        <v>0.35</v>
      </c>
      <c r="T135" s="65">
        <f t="shared" si="43"/>
        <v>1.0414847161572043</v>
      </c>
      <c r="U135" s="64">
        <f t="shared" si="44"/>
        <v>1.0414847161572043</v>
      </c>
      <c r="V135" s="63">
        <f t="shared" si="34"/>
        <v>3.4423662102244772</v>
      </c>
      <c r="W135" s="63" t="str">
        <f t="shared" si="35"/>
        <v/>
      </c>
      <c r="X135" s="63">
        <f t="shared" si="45"/>
        <v>80.382275644764334</v>
      </c>
      <c r="Y135" s="55"/>
      <c r="Z135" s="55"/>
      <c r="AA135" s="55"/>
      <c r="AB135" s="55">
        <f>PMSplint!N136</f>
        <v>3.3052488978675303</v>
      </c>
      <c r="AC135" s="55">
        <f>PMSplint!N136</f>
        <v>3.3052488978675303</v>
      </c>
      <c r="AD135" s="55">
        <f>IF(RnSplint!N136&lt;0,0,RnSplint!N136)</f>
        <v>9.4280968656548652</v>
      </c>
      <c r="AE135" s="55">
        <f>IF(RnSplint!N136&lt;0,0,RnSplint!N136)</f>
        <v>9.4280968656548652</v>
      </c>
      <c r="AF135" s="30"/>
      <c r="AG135" s="30"/>
      <c r="AH135" s="30"/>
      <c r="AI135" s="55"/>
      <c r="AJ135" s="55"/>
      <c r="AK135" s="55"/>
      <c r="AL135" s="55"/>
      <c r="AM135" s="55"/>
      <c r="AN135" s="55">
        <f t="shared" si="46"/>
        <v>31.162206774194061</v>
      </c>
      <c r="AO135" s="55">
        <f t="shared" si="47"/>
        <v>5.5823119560083763</v>
      </c>
      <c r="AP135" s="55">
        <f t="shared" si="48"/>
        <v>0.45500860933902793</v>
      </c>
      <c r="AQ135" s="55"/>
      <c r="AR135" s="55"/>
      <c r="AS135" s="55"/>
      <c r="AT135" s="55"/>
      <c r="AU135" s="30"/>
      <c r="AV135" s="30"/>
      <c r="AW135" s="2"/>
      <c r="AX135" s="2"/>
    </row>
    <row r="136" spans="1:50" x14ac:dyDescent="0.2">
      <c r="A136" s="2"/>
      <c r="B136" s="61">
        <f t="shared" si="36"/>
        <v>41727</v>
      </c>
      <c r="C136" s="62">
        <f t="shared" si="37"/>
        <v>88</v>
      </c>
      <c r="D136" s="63">
        <f t="shared" si="38"/>
        <v>3.3614316211125357</v>
      </c>
      <c r="G136" s="357" t="str">
        <f>IF(MakeSchedule!C103="","",MakeSchedule!C103)</f>
        <v/>
      </c>
      <c r="H136" s="358"/>
      <c r="I136" s="358"/>
      <c r="J136" s="359" t="str">
        <f>IF(MakeSchedule!B103="","",MakeSchedule!B103)</f>
        <v/>
      </c>
      <c r="K136" s="63">
        <f t="shared" si="29"/>
        <v>3.3614316211125357</v>
      </c>
      <c r="L136" s="63">
        <f t="shared" si="39"/>
        <v>3.3614316211125357</v>
      </c>
      <c r="M136" s="63">
        <f t="shared" si="40"/>
        <v>9.8797558132846621</v>
      </c>
      <c r="N136" s="63" t="str">
        <f t="shared" si="30"/>
        <v/>
      </c>
      <c r="O136" s="64">
        <f t="shared" si="41"/>
        <v>0.44075624113638256</v>
      </c>
      <c r="P136" s="63">
        <f t="shared" si="42"/>
        <v>0.69672489082969347</v>
      </c>
      <c r="Q136" s="64">
        <f t="shared" si="31"/>
        <v>0.69672489082969347</v>
      </c>
      <c r="R136" s="63">
        <f t="shared" si="32"/>
        <v>0.69672489082969347</v>
      </c>
      <c r="S136" s="65">
        <f t="shared" si="33"/>
        <v>0.35</v>
      </c>
      <c r="T136" s="65">
        <f t="shared" si="43"/>
        <v>1.0467248908296933</v>
      </c>
      <c r="U136" s="64">
        <f t="shared" si="44"/>
        <v>1.0467248908296933</v>
      </c>
      <c r="V136" s="63">
        <f t="shared" si="34"/>
        <v>3.518494146640498</v>
      </c>
      <c r="W136" s="63" t="str">
        <f t="shared" si="35"/>
        <v/>
      </c>
      <c r="X136" s="63">
        <f t="shared" si="45"/>
        <v>83.900769791404826</v>
      </c>
      <c r="Y136" s="55"/>
      <c r="Z136" s="55"/>
      <c r="AA136" s="55"/>
      <c r="AB136" s="55">
        <f>PMSplint!N137</f>
        <v>3.3614316211125357</v>
      </c>
      <c r="AC136" s="55">
        <f>PMSplint!N137</f>
        <v>3.3614316211125357</v>
      </c>
      <c r="AD136" s="55">
        <f>IF(RnSplint!N137&lt;0,0,RnSplint!N137)</f>
        <v>9.8797558132846621</v>
      </c>
      <c r="AE136" s="55">
        <f>IF(RnSplint!N137&lt;0,0,RnSplint!N137)</f>
        <v>9.8797558132846621</v>
      </c>
      <c r="AF136" s="30"/>
      <c r="AG136" s="30"/>
      <c r="AH136" s="30"/>
      <c r="AI136" s="55"/>
      <c r="AJ136" s="55"/>
      <c r="AK136" s="55"/>
      <c r="AL136" s="55"/>
      <c r="AM136" s="55"/>
      <c r="AN136" s="55">
        <f t="shared" si="46"/>
        <v>33.210123599645463</v>
      </c>
      <c r="AO136" s="55">
        <f t="shared" si="47"/>
        <v>5.7628225375804751</v>
      </c>
      <c r="AP136" s="55">
        <f t="shared" si="48"/>
        <v>0.44075624113638256</v>
      </c>
      <c r="AQ136" s="55"/>
      <c r="AR136" s="55"/>
      <c r="AS136" s="55"/>
      <c r="AT136" s="55"/>
      <c r="AU136" s="30"/>
      <c r="AV136" s="30"/>
      <c r="AW136" s="2"/>
      <c r="AX136" s="2"/>
    </row>
    <row r="137" spans="1:50" x14ac:dyDescent="0.2">
      <c r="A137" s="2"/>
      <c r="B137" s="61">
        <f t="shared" si="36"/>
        <v>41728</v>
      </c>
      <c r="C137" s="62">
        <f t="shared" si="37"/>
        <v>89</v>
      </c>
      <c r="D137" s="63">
        <f t="shared" si="38"/>
        <v>3.4178812421312639</v>
      </c>
      <c r="G137" s="357" t="str">
        <f>IF(MakeSchedule!C104="","",MakeSchedule!C104)</f>
        <v/>
      </c>
      <c r="H137" s="358"/>
      <c r="I137" s="358"/>
      <c r="J137" s="359" t="str">
        <f>IF(MakeSchedule!B104="","",MakeSchedule!B104)</f>
        <v/>
      </c>
      <c r="K137" s="63">
        <f t="shared" si="29"/>
        <v>3.4178812421312639</v>
      </c>
      <c r="L137" s="63">
        <f t="shared" si="39"/>
        <v>3.4178812421312639</v>
      </c>
      <c r="M137" s="63">
        <f t="shared" si="40"/>
        <v>10.337403417838498</v>
      </c>
      <c r="N137" s="63" t="str">
        <f t="shared" si="30"/>
        <v/>
      </c>
      <c r="O137" s="64">
        <f t="shared" si="41"/>
        <v>0.42731633985086626</v>
      </c>
      <c r="P137" s="63">
        <f t="shared" si="42"/>
        <v>0.70196506550218252</v>
      </c>
      <c r="Q137" s="64">
        <f t="shared" si="31"/>
        <v>0.70196506550218252</v>
      </c>
      <c r="R137" s="63">
        <f t="shared" si="32"/>
        <v>0.70196506550218252</v>
      </c>
      <c r="S137" s="65">
        <f t="shared" si="33"/>
        <v>0.35</v>
      </c>
      <c r="T137" s="65">
        <f t="shared" si="43"/>
        <v>1.0519650655021824</v>
      </c>
      <c r="U137" s="64">
        <f t="shared" si="44"/>
        <v>1.0519650655021824</v>
      </c>
      <c r="V137" s="63">
        <f t="shared" si="34"/>
        <v>3.5954916647572954</v>
      </c>
      <c r="W137" s="63" t="str">
        <f t="shared" si="35"/>
        <v/>
      </c>
      <c r="X137" s="63">
        <f t="shared" si="45"/>
        <v>87.496261456162117</v>
      </c>
      <c r="Y137" s="55"/>
      <c r="Z137" s="55"/>
      <c r="AA137" s="55"/>
      <c r="AB137" s="55">
        <f>PMSplint!N138</f>
        <v>3.4178812421312639</v>
      </c>
      <c r="AC137" s="55">
        <f>PMSplint!N138</f>
        <v>3.4178812421312639</v>
      </c>
      <c r="AD137" s="55">
        <f>IF(RnSplint!N138&lt;0,0,RnSplint!N138)</f>
        <v>10.337403417838498</v>
      </c>
      <c r="AE137" s="55">
        <f>IF(RnSplint!N138&lt;0,0,RnSplint!N138)</f>
        <v>10.337403417838498</v>
      </c>
      <c r="AF137" s="30"/>
      <c r="AG137" s="30"/>
      <c r="AH137" s="30"/>
      <c r="AI137" s="55"/>
      <c r="AJ137" s="55"/>
      <c r="AK137" s="55"/>
      <c r="AL137" s="55"/>
      <c r="AM137" s="55"/>
      <c r="AN137" s="55">
        <f t="shared" si="46"/>
        <v>35.332017234173819</v>
      </c>
      <c r="AO137" s="55">
        <f t="shared" si="47"/>
        <v>5.944074127580663</v>
      </c>
      <c r="AP137" s="55">
        <f t="shared" si="48"/>
        <v>0.42731633985086626</v>
      </c>
      <c r="AQ137" s="55"/>
      <c r="AR137" s="55"/>
      <c r="AS137" s="55"/>
      <c r="AT137" s="55"/>
      <c r="AU137" s="30"/>
      <c r="AV137" s="30"/>
      <c r="AW137" s="2"/>
      <c r="AX137" s="2"/>
    </row>
    <row r="138" spans="1:50" x14ac:dyDescent="0.2">
      <c r="A138" s="2"/>
      <c r="B138" s="61">
        <f t="shared" si="36"/>
        <v>41729</v>
      </c>
      <c r="C138" s="62">
        <f t="shared" si="37"/>
        <v>90</v>
      </c>
      <c r="D138" s="63">
        <f t="shared" si="38"/>
        <v>3.4745165592009837</v>
      </c>
      <c r="G138" s="357" t="str">
        <f>IF(MakeSchedule!C105="","",MakeSchedule!C105)</f>
        <v/>
      </c>
      <c r="H138" s="358"/>
      <c r="I138" s="358"/>
      <c r="J138" s="359" t="str">
        <f>IF(MakeSchedule!B105="","",MakeSchedule!B105)</f>
        <v/>
      </c>
      <c r="K138" s="63">
        <f t="shared" si="29"/>
        <v>3.4745165592009837</v>
      </c>
      <c r="L138" s="63">
        <f t="shared" si="39"/>
        <v>3.4745165592009837</v>
      </c>
      <c r="M138" s="63">
        <f t="shared" si="40"/>
        <v>10.799327344395063</v>
      </c>
      <c r="N138" s="63" t="str">
        <f t="shared" si="30"/>
        <v/>
      </c>
      <c r="O138" s="64">
        <f t="shared" si="41"/>
        <v>0.41465620720815938</v>
      </c>
      <c r="P138" s="63">
        <f t="shared" si="42"/>
        <v>0.70720524017467157</v>
      </c>
      <c r="Q138" s="64">
        <f t="shared" si="31"/>
        <v>0.70720524017467157</v>
      </c>
      <c r="R138" s="63">
        <f t="shared" si="32"/>
        <v>0.70720524017467157</v>
      </c>
      <c r="S138" s="65">
        <f t="shared" si="33"/>
        <v>0.35</v>
      </c>
      <c r="T138" s="65">
        <f t="shared" si="43"/>
        <v>1.0572052401746714</v>
      </c>
      <c r="U138" s="64">
        <f t="shared" si="44"/>
        <v>1.0572052401746714</v>
      </c>
      <c r="V138" s="63">
        <f t="shared" si="34"/>
        <v>3.6732771134609488</v>
      </c>
      <c r="W138" s="63" t="str">
        <f t="shared" si="35"/>
        <v/>
      </c>
      <c r="X138" s="63">
        <f t="shared" si="45"/>
        <v>91.169538569623072</v>
      </c>
      <c r="Y138" s="55"/>
      <c r="Z138" s="55"/>
      <c r="AA138" s="55"/>
      <c r="AB138" s="55">
        <f>PMSplint!N139</f>
        <v>3.4745165592009837</v>
      </c>
      <c r="AC138" s="55">
        <f>PMSplint!N139</f>
        <v>3.4745165592009837</v>
      </c>
      <c r="AD138" s="55">
        <f>IF(RnSplint!N139&lt;0,0,RnSplint!N139)</f>
        <v>10.799327344395063</v>
      </c>
      <c r="AE138" s="55">
        <f>IF(RnSplint!N139&lt;0,0,RnSplint!N139)</f>
        <v>10.799327344395063</v>
      </c>
      <c r="AF138" s="30"/>
      <c r="AG138" s="30"/>
      <c r="AH138" s="30"/>
      <c r="AI138" s="55"/>
      <c r="AJ138" s="55"/>
      <c r="AK138" s="55"/>
      <c r="AL138" s="55"/>
      <c r="AM138" s="55"/>
      <c r="AN138" s="55">
        <f t="shared" si="46"/>
        <v>37.522441686332634</v>
      </c>
      <c r="AO138" s="55">
        <f t="shared" si="47"/>
        <v>6.1255564389149688</v>
      </c>
      <c r="AP138" s="55">
        <f t="shared" si="48"/>
        <v>0.41465620720815938</v>
      </c>
      <c r="AQ138" s="55"/>
      <c r="AR138" s="55"/>
      <c r="AS138" s="55"/>
      <c r="AT138" s="55"/>
      <c r="AU138" s="30"/>
      <c r="AV138" s="30"/>
      <c r="AW138" s="2"/>
      <c r="AX138" s="2"/>
    </row>
    <row r="139" spans="1:50" x14ac:dyDescent="0.2">
      <c r="A139" s="2"/>
      <c r="B139" s="61">
        <f t="shared" si="36"/>
        <v>41730</v>
      </c>
      <c r="C139" s="62">
        <f t="shared" si="37"/>
        <v>91</v>
      </c>
      <c r="D139" s="63">
        <f t="shared" si="38"/>
        <v>3.5312563705989684</v>
      </c>
      <c r="G139" s="357" t="str">
        <f>IF(MakeSchedule!C106="","",MakeSchedule!C106)</f>
        <v/>
      </c>
      <c r="H139" s="358"/>
      <c r="I139" s="358"/>
      <c r="J139" s="359">
        <f>IF(MakeSchedule!B106="","",MakeSchedule!B106)</f>
        <v>45</v>
      </c>
      <c r="K139" s="63">
        <f t="shared" si="29"/>
        <v>3.5312563705989684</v>
      </c>
      <c r="L139" s="63">
        <f t="shared" si="39"/>
        <v>3.5312563705989684</v>
      </c>
      <c r="M139" s="63">
        <f t="shared" si="40"/>
        <v>11.263815258033055</v>
      </c>
      <c r="N139" s="63" t="str">
        <f t="shared" si="30"/>
        <v/>
      </c>
      <c r="O139" s="64">
        <f t="shared" si="41"/>
        <v>0.40274145328325983</v>
      </c>
      <c r="P139" s="63">
        <f t="shared" si="42"/>
        <v>0.71244541484716062</v>
      </c>
      <c r="Q139" s="64">
        <f t="shared" si="31"/>
        <v>0.71244541484716062</v>
      </c>
      <c r="R139" s="63">
        <f t="shared" si="32"/>
        <v>0.71244541484716062</v>
      </c>
      <c r="S139" s="65">
        <f t="shared" si="33"/>
        <v>0.35</v>
      </c>
      <c r="T139" s="65">
        <f t="shared" si="43"/>
        <v>1.0624454148471605</v>
      </c>
      <c r="U139" s="64">
        <f t="shared" si="44"/>
        <v>1.0624454148471605</v>
      </c>
      <c r="V139" s="63">
        <f t="shared" si="34"/>
        <v>3.7517671395926993</v>
      </c>
      <c r="W139" s="63" t="str">
        <f t="shared" si="35"/>
        <v/>
      </c>
      <c r="X139" s="63">
        <f t="shared" si="45"/>
        <v>94.921305709215773</v>
      </c>
      <c r="Y139" s="55"/>
      <c r="Z139" s="55"/>
      <c r="AA139" s="55"/>
      <c r="AB139" s="55">
        <f>PMSplint!N140</f>
        <v>3.5312563705989684</v>
      </c>
      <c r="AC139" s="55">
        <f>PMSplint!N140</f>
        <v>3.5312563705989684</v>
      </c>
      <c r="AD139" s="55">
        <f>IF(RnSplint!N140&lt;0,0,RnSplint!N140)</f>
        <v>11.263815258033055</v>
      </c>
      <c r="AE139" s="55">
        <f>IF(RnSplint!N140&lt;0,0,RnSplint!N140)</f>
        <v>11.263815258033055</v>
      </c>
      <c r="AF139" s="30"/>
      <c r="AG139" s="30"/>
      <c r="AH139" s="30"/>
      <c r="AI139" s="55"/>
      <c r="AJ139" s="55"/>
      <c r="AK139" s="55"/>
      <c r="AL139" s="55"/>
      <c r="AM139" s="55"/>
      <c r="AN139" s="55">
        <f t="shared" si="46"/>
        <v>39.775419387179092</v>
      </c>
      <c r="AO139" s="55">
        <f t="shared" si="47"/>
        <v>6.3067756728124627</v>
      </c>
      <c r="AP139" s="55">
        <f t="shared" si="48"/>
        <v>0.40274145328325983</v>
      </c>
      <c r="AQ139" s="55"/>
      <c r="AR139" s="55"/>
      <c r="AS139" s="55"/>
      <c r="AT139" s="55"/>
      <c r="AU139" s="30"/>
      <c r="AV139" s="30"/>
      <c r="AW139" s="2"/>
      <c r="AX139" s="2"/>
    </row>
    <row r="140" spans="1:50" x14ac:dyDescent="0.2">
      <c r="A140" s="2"/>
      <c r="B140" s="61">
        <f t="shared" si="36"/>
        <v>41731</v>
      </c>
      <c r="C140" s="62">
        <f t="shared" si="37"/>
        <v>92</v>
      </c>
      <c r="D140" s="63">
        <f t="shared" si="38"/>
        <v>3.5880194746024872</v>
      </c>
      <c r="G140" s="357" t="str">
        <f>IF(MakeSchedule!C107="","",MakeSchedule!C107)</f>
        <v/>
      </c>
      <c r="H140" s="358"/>
      <c r="I140" s="358"/>
      <c r="J140" s="359" t="str">
        <f>IF(MakeSchedule!B107="","",MakeSchedule!B107)</f>
        <v/>
      </c>
      <c r="K140" s="63">
        <f t="shared" si="29"/>
        <v>3.5880194746024872</v>
      </c>
      <c r="L140" s="63">
        <f t="shared" si="39"/>
        <v>3.5880194746024872</v>
      </c>
      <c r="M140" s="63">
        <f t="shared" si="40"/>
        <v>11.729154823831168</v>
      </c>
      <c r="N140" s="63" t="str">
        <f t="shared" si="30"/>
        <v/>
      </c>
      <c r="O140" s="64">
        <f t="shared" si="41"/>
        <v>0.39153713744238544</v>
      </c>
      <c r="P140" s="63">
        <f t="shared" si="42"/>
        <v>0.71768558951964967</v>
      </c>
      <c r="Q140" s="64">
        <f t="shared" si="31"/>
        <v>0.71768558951964967</v>
      </c>
      <c r="R140" s="63">
        <f t="shared" si="32"/>
        <v>0.71768558951964967</v>
      </c>
      <c r="S140" s="65">
        <f t="shared" si="33"/>
        <v>0.35</v>
      </c>
      <c r="T140" s="65">
        <f t="shared" si="43"/>
        <v>1.0676855895196495</v>
      </c>
      <c r="U140" s="64">
        <f t="shared" si="44"/>
        <v>1.0676855895196495</v>
      </c>
      <c r="V140" s="63">
        <f t="shared" si="34"/>
        <v>3.8308766879489395</v>
      </c>
      <c r="W140" s="63" t="str">
        <f t="shared" si="35"/>
        <v/>
      </c>
      <c r="X140" s="63">
        <f t="shared" si="45"/>
        <v>98.752182397164717</v>
      </c>
      <c r="Y140" s="55"/>
      <c r="Z140" s="55"/>
      <c r="AA140" s="55"/>
      <c r="AB140" s="55">
        <f>PMSplint!N141</f>
        <v>3.5880194746024872</v>
      </c>
      <c r="AC140" s="55">
        <f>PMSplint!N141</f>
        <v>3.5880194746024872</v>
      </c>
      <c r="AD140" s="55">
        <f>IF(RnSplint!N141&lt;0,0,RnSplint!N141)</f>
        <v>11.729154823831168</v>
      </c>
      <c r="AE140" s="55">
        <f>IF(RnSplint!N141&lt;0,0,RnSplint!N141)</f>
        <v>11.729154823831168</v>
      </c>
      <c r="AF140" s="30"/>
      <c r="AG140" s="30"/>
      <c r="AH140" s="30"/>
      <c r="AI140" s="55"/>
      <c r="AJ140" s="55"/>
      <c r="AK140" s="55"/>
      <c r="AL140" s="55"/>
      <c r="AM140" s="55"/>
      <c r="AN140" s="55">
        <f t="shared" si="46"/>
        <v>42.084435928533935</v>
      </c>
      <c r="AO140" s="55">
        <f t="shared" si="47"/>
        <v>6.487251800919549</v>
      </c>
      <c r="AP140" s="55">
        <f t="shared" si="48"/>
        <v>0.39153713744238544</v>
      </c>
      <c r="AQ140" s="55"/>
      <c r="AR140" s="55"/>
      <c r="AS140" s="55"/>
      <c r="AT140" s="55"/>
      <c r="AU140" s="30"/>
      <c r="AV140" s="30"/>
      <c r="AW140" s="2"/>
      <c r="AX140" s="2"/>
    </row>
    <row r="141" spans="1:50" x14ac:dyDescent="0.2">
      <c r="A141" s="2"/>
      <c r="B141" s="61">
        <f t="shared" si="36"/>
        <v>41732</v>
      </c>
      <c r="C141" s="62">
        <f t="shared" si="37"/>
        <v>93</v>
      </c>
      <c r="D141" s="63">
        <f t="shared" si="38"/>
        <v>3.6447246694888125</v>
      </c>
      <c r="G141" s="357" t="str">
        <f>IF(MakeSchedule!C108="","",MakeSchedule!C108)</f>
        <v/>
      </c>
      <c r="H141" s="358"/>
      <c r="I141" s="358"/>
      <c r="J141" s="359" t="str">
        <f>IF(MakeSchedule!B108="","",MakeSchedule!B108)</f>
        <v/>
      </c>
      <c r="K141" s="63">
        <f t="shared" si="29"/>
        <v>3.6447246694888125</v>
      </c>
      <c r="L141" s="63">
        <f t="shared" si="39"/>
        <v>3.6447246694888125</v>
      </c>
      <c r="M141" s="63">
        <f t="shared" si="40"/>
        <v>12.193633706868091</v>
      </c>
      <c r="N141" s="63" t="str">
        <f t="shared" si="30"/>
        <v/>
      </c>
      <c r="O141" s="64">
        <f t="shared" si="41"/>
        <v>0.38100860220490645</v>
      </c>
      <c r="P141" s="63">
        <f t="shared" si="42"/>
        <v>0.72292576419213872</v>
      </c>
      <c r="Q141" s="64">
        <f t="shared" si="31"/>
        <v>0.72292576419213872</v>
      </c>
      <c r="R141" s="63">
        <f t="shared" si="32"/>
        <v>0.72292576419213872</v>
      </c>
      <c r="S141" s="65">
        <f t="shared" si="33"/>
        <v>0.35</v>
      </c>
      <c r="T141" s="65">
        <f t="shared" si="43"/>
        <v>1.0729257641921386</v>
      </c>
      <c r="U141" s="64">
        <f t="shared" si="44"/>
        <v>1.0729257641921386</v>
      </c>
      <c r="V141" s="63">
        <f t="shared" si="34"/>
        <v>3.9105190012812239</v>
      </c>
      <c r="W141" s="63" t="str">
        <f t="shared" si="35"/>
        <v/>
      </c>
      <c r="X141" s="63">
        <f t="shared" si="45"/>
        <v>102.66270139844595</v>
      </c>
      <c r="Y141" s="55"/>
      <c r="Z141" s="55"/>
      <c r="AA141" s="55"/>
      <c r="AB141" s="55">
        <f>PMSplint!N142</f>
        <v>3.6447246694888125</v>
      </c>
      <c r="AC141" s="55">
        <f>PMSplint!N142</f>
        <v>3.6447246694888125</v>
      </c>
      <c r="AD141" s="55">
        <f>IF(RnSplint!N142&lt;0,0,RnSplint!N142)</f>
        <v>12.193633706868091</v>
      </c>
      <c r="AE141" s="55">
        <f>IF(RnSplint!N142&lt;0,0,RnSplint!N142)</f>
        <v>12.193633706868091</v>
      </c>
      <c r="AF141" s="30"/>
      <c r="AG141" s="30"/>
      <c r="AH141" s="30"/>
      <c r="AI141" s="55"/>
      <c r="AJ141" s="55"/>
      <c r="AK141" s="55"/>
      <c r="AL141" s="55"/>
      <c r="AM141" s="55"/>
      <c r="AN141" s="55">
        <f t="shared" si="46"/>
        <v>44.442437582132449</v>
      </c>
      <c r="AO141" s="55">
        <f t="shared" si="47"/>
        <v>6.6665161502941288</v>
      </c>
      <c r="AP141" s="55">
        <f t="shared" si="48"/>
        <v>0.38100860220490645</v>
      </c>
      <c r="AQ141" s="55"/>
      <c r="AR141" s="55"/>
      <c r="AS141" s="55"/>
      <c r="AT141" s="55"/>
      <c r="AU141" s="30"/>
      <c r="AV141" s="30"/>
      <c r="AW141" s="2"/>
      <c r="AX141" s="2"/>
    </row>
    <row r="142" spans="1:50" x14ac:dyDescent="0.2">
      <c r="A142" s="2"/>
      <c r="B142" s="61">
        <f t="shared" si="36"/>
        <v>41733</v>
      </c>
      <c r="C142" s="62">
        <f t="shared" si="37"/>
        <v>94</v>
      </c>
      <c r="D142" s="63">
        <f t="shared" si="38"/>
        <v>3.7012907535352157</v>
      </c>
      <c r="G142" s="357" t="str">
        <f>IF(MakeSchedule!C109="","",MakeSchedule!C109)</f>
        <v/>
      </c>
      <c r="H142" s="358"/>
      <c r="I142" s="358"/>
      <c r="J142" s="359" t="str">
        <f>IF(MakeSchedule!B109="","",MakeSchedule!B109)</f>
        <v/>
      </c>
      <c r="K142" s="63">
        <f t="shared" si="29"/>
        <v>3.7012907535352157</v>
      </c>
      <c r="L142" s="63">
        <f t="shared" si="39"/>
        <v>3.7012907535352157</v>
      </c>
      <c r="M142" s="63">
        <f t="shared" si="40"/>
        <v>12.655539572222526</v>
      </c>
      <c r="N142" s="63" t="str">
        <f t="shared" si="30"/>
        <v/>
      </c>
      <c r="O142" s="64">
        <f t="shared" si="41"/>
        <v>0.37112207045638901</v>
      </c>
      <c r="P142" s="63">
        <f t="shared" si="42"/>
        <v>0.72816593886462777</v>
      </c>
      <c r="Q142" s="64">
        <f t="shared" si="31"/>
        <v>0.72816593886462777</v>
      </c>
      <c r="R142" s="63">
        <f t="shared" si="32"/>
        <v>0.72816593886462777</v>
      </c>
      <c r="S142" s="65">
        <f t="shared" si="33"/>
        <v>0.35</v>
      </c>
      <c r="T142" s="65">
        <f t="shared" si="43"/>
        <v>1.0781659388646276</v>
      </c>
      <c r="U142" s="64">
        <f t="shared" si="44"/>
        <v>1.0781659388646276</v>
      </c>
      <c r="V142" s="63">
        <f t="shared" si="34"/>
        <v>3.990605620296261</v>
      </c>
      <c r="W142" s="63" t="str">
        <f t="shared" si="35"/>
        <v/>
      </c>
      <c r="X142" s="63">
        <f t="shared" si="45"/>
        <v>106.65330701874221</v>
      </c>
      <c r="Y142" s="55"/>
      <c r="Z142" s="55"/>
      <c r="AA142" s="55"/>
      <c r="AB142" s="55">
        <f>PMSplint!N143</f>
        <v>3.7012907535352157</v>
      </c>
      <c r="AC142" s="55">
        <f>PMSplint!N143</f>
        <v>3.7012907535352157</v>
      </c>
      <c r="AD142" s="55">
        <f>IF(RnSplint!N143&lt;0,0,RnSplint!N143)</f>
        <v>12.655539572222526</v>
      </c>
      <c r="AE142" s="55">
        <f>IF(RnSplint!N143&lt;0,0,RnSplint!N143)</f>
        <v>12.655539572222526</v>
      </c>
      <c r="AF142" s="30"/>
      <c r="AG142" s="30"/>
      <c r="AH142" s="30"/>
      <c r="AI142" s="55"/>
      <c r="AJ142" s="55"/>
      <c r="AK142" s="55"/>
      <c r="AL142" s="55"/>
      <c r="AM142" s="55"/>
      <c r="AN142" s="55">
        <f t="shared" si="46"/>
        <v>46.841831599666257</v>
      </c>
      <c r="AO142" s="55">
        <f t="shared" si="47"/>
        <v>6.8441092626919868</v>
      </c>
      <c r="AP142" s="55">
        <f t="shared" si="48"/>
        <v>0.37112207045638901</v>
      </c>
      <c r="AQ142" s="55"/>
      <c r="AR142" s="55"/>
      <c r="AS142" s="55"/>
      <c r="AT142" s="55"/>
      <c r="AU142" s="30"/>
      <c r="AV142" s="30"/>
      <c r="AW142" s="2"/>
      <c r="AX142" s="2"/>
    </row>
    <row r="143" spans="1:50" x14ac:dyDescent="0.2">
      <c r="A143" s="2"/>
      <c r="B143" s="61">
        <f t="shared" si="36"/>
        <v>41734</v>
      </c>
      <c r="C143" s="62">
        <f t="shared" si="37"/>
        <v>95</v>
      </c>
      <c r="D143" s="63">
        <f t="shared" si="38"/>
        <v>3.7576365250189658</v>
      </c>
      <c r="G143" s="357" t="str">
        <f>IF(MakeSchedule!C110="","",MakeSchedule!C110)</f>
        <v/>
      </c>
      <c r="H143" s="358"/>
      <c r="I143" s="358"/>
      <c r="J143" s="359" t="str">
        <f>IF(MakeSchedule!B110="","",MakeSchedule!B110)</f>
        <v/>
      </c>
      <c r="K143" s="63">
        <f t="shared" si="29"/>
        <v>3.7576365250189658</v>
      </c>
      <c r="L143" s="63">
        <f t="shared" si="39"/>
        <v>3.7576365250189658</v>
      </c>
      <c r="M143" s="63">
        <f t="shared" si="40"/>
        <v>13.113160084973163</v>
      </c>
      <c r="N143" s="63" t="str">
        <f t="shared" si="30"/>
        <v/>
      </c>
      <c r="O143" s="64">
        <f t="shared" si="41"/>
        <v>0.36184506237793085</v>
      </c>
      <c r="P143" s="63">
        <f t="shared" si="42"/>
        <v>0.73340611353711682</v>
      </c>
      <c r="Q143" s="64">
        <f t="shared" si="31"/>
        <v>0.73340611353711682</v>
      </c>
      <c r="R143" s="63">
        <f t="shared" si="32"/>
        <v>0.73340611353711682</v>
      </c>
      <c r="S143" s="65">
        <f t="shared" si="33"/>
        <v>0.35</v>
      </c>
      <c r="T143" s="65">
        <f t="shared" si="43"/>
        <v>1.0834061135371167</v>
      </c>
      <c r="U143" s="64">
        <f t="shared" si="44"/>
        <v>1.0834061135371167</v>
      </c>
      <c r="V143" s="63">
        <f t="shared" si="34"/>
        <v>4.0710463836559141</v>
      </c>
      <c r="W143" s="63" t="str">
        <f t="shared" si="35"/>
        <v/>
      </c>
      <c r="X143" s="63">
        <f t="shared" si="45"/>
        <v>110.72435340239812</v>
      </c>
      <c r="Y143" s="55"/>
      <c r="Z143" s="55"/>
      <c r="AA143" s="55"/>
      <c r="AB143" s="55">
        <f>PMSplint!N144</f>
        <v>3.7576365250189658</v>
      </c>
      <c r="AC143" s="55">
        <f>PMSplint!N144</f>
        <v>3.7576365250189658</v>
      </c>
      <c r="AD143" s="55">
        <f>IF(RnSplint!N144&lt;0,0,RnSplint!N144)</f>
        <v>13.113160084973163</v>
      </c>
      <c r="AE143" s="55">
        <f>IF(RnSplint!N144&lt;0,0,RnSplint!N144)</f>
        <v>13.113160084973163</v>
      </c>
      <c r="AF143" s="30"/>
      <c r="AG143" s="30"/>
      <c r="AH143" s="30"/>
      <c r="AI143" s="55"/>
      <c r="AJ143" s="55"/>
      <c r="AK143" s="55"/>
      <c r="AL143" s="55"/>
      <c r="AM143" s="55"/>
      <c r="AN143" s="55">
        <f t="shared" si="46"/>
        <v>49.274489293715966</v>
      </c>
      <c r="AO143" s="55">
        <f t="shared" si="47"/>
        <v>7.0195789968997406</v>
      </c>
      <c r="AP143" s="55">
        <f t="shared" si="48"/>
        <v>0.36184506237793085</v>
      </c>
      <c r="AQ143" s="55"/>
      <c r="AR143" s="55"/>
      <c r="AS143" s="55"/>
      <c r="AT143" s="55"/>
      <c r="AU143" s="30"/>
      <c r="AV143" s="30"/>
      <c r="AW143" s="2"/>
      <c r="AX143" s="2"/>
    </row>
    <row r="144" spans="1:50" x14ac:dyDescent="0.2">
      <c r="A144" s="2"/>
      <c r="B144" s="61">
        <f t="shared" si="36"/>
        <v>41735</v>
      </c>
      <c r="C144" s="62">
        <f t="shared" si="37"/>
        <v>96</v>
      </c>
      <c r="D144" s="63">
        <f t="shared" si="38"/>
        <v>3.813680782217336</v>
      </c>
      <c r="G144" s="357" t="str">
        <f>IF(MakeSchedule!C111="","",MakeSchedule!C111)</f>
        <v/>
      </c>
      <c r="H144" s="358"/>
      <c r="I144" s="358"/>
      <c r="J144" s="359" t="str">
        <f>IF(MakeSchedule!B111="","",MakeSchedule!B111)</f>
        <v/>
      </c>
      <c r="K144" s="63">
        <f t="shared" si="29"/>
        <v>3.813680782217336</v>
      </c>
      <c r="L144" s="63">
        <f t="shared" si="39"/>
        <v>3.813680782217336</v>
      </c>
      <c r="M144" s="63">
        <f t="shared" si="40"/>
        <v>13.564782910198696</v>
      </c>
      <c r="N144" s="63" t="str">
        <f t="shared" si="30"/>
        <v/>
      </c>
      <c r="O144" s="64">
        <f t="shared" si="41"/>
        <v>0.35314667663629973</v>
      </c>
      <c r="P144" s="63">
        <f t="shared" si="42"/>
        <v>0.73864628820960587</v>
      </c>
      <c r="Q144" s="64">
        <f t="shared" si="31"/>
        <v>0.73864628820960587</v>
      </c>
      <c r="R144" s="63">
        <f t="shared" si="32"/>
        <v>0.73864628820960587</v>
      </c>
      <c r="S144" s="65">
        <f t="shared" si="33"/>
        <v>0.35</v>
      </c>
      <c r="T144" s="65">
        <f t="shared" si="43"/>
        <v>1.0886462882096057</v>
      </c>
      <c r="U144" s="64">
        <f t="shared" si="44"/>
        <v>1.0886462882096057</v>
      </c>
      <c r="V144" s="63">
        <f t="shared" si="34"/>
        <v>4.1517494279772089</v>
      </c>
      <c r="W144" s="63" t="str">
        <f t="shared" si="35"/>
        <v/>
      </c>
      <c r="X144" s="63">
        <f t="shared" si="45"/>
        <v>114.87610283037533</v>
      </c>
      <c r="Y144" s="55"/>
      <c r="Z144" s="55"/>
      <c r="AA144" s="55"/>
      <c r="AB144" s="55">
        <f>PMSplint!N145</f>
        <v>3.813680782217336</v>
      </c>
      <c r="AC144" s="55">
        <f>PMSplint!N145</f>
        <v>3.813680782217336</v>
      </c>
      <c r="AD144" s="55">
        <f>IF(RnSplint!N145&lt;0,0,RnSplint!N145)</f>
        <v>13.564782910198696</v>
      </c>
      <c r="AE144" s="55">
        <f>IF(RnSplint!N145&lt;0,0,RnSplint!N145)</f>
        <v>13.564782910198696</v>
      </c>
      <c r="AF144" s="30"/>
      <c r="AG144" s="30"/>
      <c r="AH144" s="30"/>
      <c r="AI144" s="55"/>
      <c r="AJ144" s="55"/>
      <c r="AK144" s="55"/>
      <c r="AL144" s="55"/>
      <c r="AM144" s="55"/>
      <c r="AN144" s="55">
        <f t="shared" si="46"/>
        <v>51.731751899574917</v>
      </c>
      <c r="AO144" s="55">
        <f t="shared" si="47"/>
        <v>7.1924788424836477</v>
      </c>
      <c r="AP144" s="55">
        <f t="shared" si="48"/>
        <v>0.35314667663629973</v>
      </c>
      <c r="AQ144" s="55"/>
      <c r="AR144" s="55"/>
      <c r="AS144" s="55"/>
      <c r="AT144" s="55"/>
      <c r="AU144" s="30"/>
      <c r="AV144" s="30"/>
      <c r="AW144" s="2"/>
      <c r="AX144" s="2"/>
    </row>
    <row r="145" spans="1:50" x14ac:dyDescent="0.2">
      <c r="A145" s="2"/>
      <c r="B145" s="61">
        <f t="shared" si="36"/>
        <v>41736</v>
      </c>
      <c r="C145" s="62">
        <f t="shared" si="37"/>
        <v>97</v>
      </c>
      <c r="D145" s="63">
        <f t="shared" si="38"/>
        <v>3.8693423234075963</v>
      </c>
      <c r="G145" s="357" t="str">
        <f>IF(MakeSchedule!C112="","",MakeSchedule!C112)</f>
        <v/>
      </c>
      <c r="H145" s="358"/>
      <c r="I145" s="358"/>
      <c r="J145" s="359" t="str">
        <f>IF(MakeSchedule!B112="","",MakeSchedule!B112)</f>
        <v/>
      </c>
      <c r="K145" s="63">
        <f t="shared" si="29"/>
        <v>3.8693423234075963</v>
      </c>
      <c r="L145" s="63">
        <f t="shared" si="39"/>
        <v>3.8693423234075963</v>
      </c>
      <c r="M145" s="63">
        <f t="shared" si="40"/>
        <v>14.008695712977824</v>
      </c>
      <c r="N145" s="63" t="str">
        <f t="shared" si="30"/>
        <v/>
      </c>
      <c r="O145" s="64">
        <f t="shared" si="41"/>
        <v>0.34499777070006349</v>
      </c>
      <c r="P145" s="63">
        <f t="shared" si="42"/>
        <v>0.74388646288209492</v>
      </c>
      <c r="Q145" s="64">
        <f t="shared" si="31"/>
        <v>0.74388646288209492</v>
      </c>
      <c r="R145" s="63">
        <f t="shared" si="32"/>
        <v>0.74388646288209492</v>
      </c>
      <c r="S145" s="65">
        <f t="shared" si="33"/>
        <v>0.35</v>
      </c>
      <c r="T145" s="65">
        <f t="shared" si="43"/>
        <v>1.0938864628820948</v>
      </c>
      <c r="U145" s="64">
        <f t="shared" si="44"/>
        <v>1.0938864628820948</v>
      </c>
      <c r="V145" s="63">
        <f t="shared" si="34"/>
        <v>4.2326211878323221</v>
      </c>
      <c r="W145" s="63" t="str">
        <f t="shared" si="35"/>
        <v/>
      </c>
      <c r="X145" s="63">
        <f t="shared" si="45"/>
        <v>119.10872401820765</v>
      </c>
      <c r="Y145" s="55"/>
      <c r="Z145" s="55"/>
      <c r="AA145" s="55"/>
      <c r="AB145" s="55">
        <f>PMSplint!N146</f>
        <v>3.8693423234075963</v>
      </c>
      <c r="AC145" s="55">
        <f>PMSplint!N146</f>
        <v>3.8693423234075963</v>
      </c>
      <c r="AD145" s="55">
        <f>IF(RnSplint!N146&lt;0,0,RnSplint!N146)</f>
        <v>14.008695712977824</v>
      </c>
      <c r="AE145" s="55">
        <f>IF(RnSplint!N146&lt;0,0,RnSplint!N146)</f>
        <v>14.008695712977824</v>
      </c>
      <c r="AF145" s="30"/>
      <c r="AG145" s="30"/>
      <c r="AH145" s="30"/>
      <c r="AI145" s="55"/>
      <c r="AJ145" s="55"/>
      <c r="AK145" s="55"/>
      <c r="AL145" s="55"/>
      <c r="AM145" s="55"/>
      <c r="AN145" s="55">
        <f t="shared" si="46"/>
        <v>54.204439217963646</v>
      </c>
      <c r="AO145" s="55">
        <f t="shared" si="47"/>
        <v>7.3623664142695073</v>
      </c>
      <c r="AP145" s="55">
        <f t="shared" si="48"/>
        <v>0.34499777070006349</v>
      </c>
      <c r="AQ145" s="55"/>
      <c r="AR145" s="55"/>
      <c r="AS145" s="55"/>
      <c r="AT145" s="55"/>
      <c r="AU145" s="30"/>
      <c r="AV145" s="30"/>
      <c r="AW145" s="2"/>
      <c r="AX145" s="2"/>
    </row>
    <row r="146" spans="1:50" x14ac:dyDescent="0.2">
      <c r="A146" s="2"/>
      <c r="B146" s="61">
        <f t="shared" si="36"/>
        <v>41737</v>
      </c>
      <c r="C146" s="62">
        <f t="shared" si="37"/>
        <v>98</v>
      </c>
      <c r="D146" s="63">
        <f t="shared" si="38"/>
        <v>3.9245399468670183</v>
      </c>
      <c r="G146" s="357" t="str">
        <f>IF(MakeSchedule!C113="","",MakeSchedule!C113)</f>
        <v/>
      </c>
      <c r="H146" s="358"/>
      <c r="I146" s="358"/>
      <c r="J146" s="359" t="str">
        <f>IF(MakeSchedule!B113="","",MakeSchedule!B113)</f>
        <v/>
      </c>
      <c r="K146" s="63">
        <f t="shared" si="29"/>
        <v>3.9245399468670183</v>
      </c>
      <c r="L146" s="63">
        <f t="shared" si="39"/>
        <v>3.9245399468670183</v>
      </c>
      <c r="M146" s="63">
        <f t="shared" si="40"/>
        <v>14.443186158389237</v>
      </c>
      <c r="N146" s="63" t="str">
        <f t="shared" si="30"/>
        <v/>
      </c>
      <c r="O146" s="64">
        <f t="shared" si="41"/>
        <v>0.33737106737076944</v>
      </c>
      <c r="P146" s="63">
        <f t="shared" si="42"/>
        <v>0.74912663755458397</v>
      </c>
      <c r="Q146" s="64">
        <f t="shared" si="31"/>
        <v>0.74912663755458397</v>
      </c>
      <c r="R146" s="63">
        <f t="shared" si="32"/>
        <v>0.74912663755458397</v>
      </c>
      <c r="S146" s="65">
        <f t="shared" si="33"/>
        <v>0.35</v>
      </c>
      <c r="T146" s="65">
        <f t="shared" si="43"/>
        <v>1.0991266375545838</v>
      </c>
      <c r="U146" s="64">
        <f t="shared" si="44"/>
        <v>1.0991266375545838</v>
      </c>
      <c r="V146" s="63">
        <f t="shared" si="34"/>
        <v>4.313566395748591</v>
      </c>
      <c r="W146" s="63" t="str">
        <f t="shared" si="35"/>
        <v/>
      </c>
      <c r="X146" s="63">
        <f t="shared" si="45"/>
        <v>123.42229041395625</v>
      </c>
      <c r="Y146" s="55"/>
      <c r="Z146" s="55"/>
      <c r="AA146" s="55"/>
      <c r="AB146" s="55">
        <f>PMSplint!N147</f>
        <v>3.9245399468670183</v>
      </c>
      <c r="AC146" s="55">
        <f>PMSplint!N147</f>
        <v>3.9245399468670183</v>
      </c>
      <c r="AD146" s="55">
        <f>IF(RnSplint!N147&lt;0,0,RnSplint!N147)</f>
        <v>14.443186158389237</v>
      </c>
      <c r="AE146" s="55">
        <f>IF(RnSplint!N147&lt;0,0,RnSplint!N147)</f>
        <v>14.443186158389237</v>
      </c>
      <c r="AF146" s="30"/>
      <c r="AG146" s="30"/>
      <c r="AH146" s="30"/>
      <c r="AI146" s="55"/>
      <c r="AJ146" s="55"/>
      <c r="AK146" s="55"/>
      <c r="AL146" s="55"/>
      <c r="AM146" s="55"/>
      <c r="AN146" s="55">
        <f t="shared" si="46"/>
        <v>56.682861038635352</v>
      </c>
      <c r="AO146" s="55">
        <f t="shared" si="47"/>
        <v>7.5288020985170911</v>
      </c>
      <c r="AP146" s="55">
        <f t="shared" si="48"/>
        <v>0.33737106737076944</v>
      </c>
      <c r="AQ146" s="55"/>
      <c r="AR146" s="55"/>
      <c r="AS146" s="55"/>
      <c r="AT146" s="55"/>
      <c r="AU146" s="30"/>
      <c r="AV146" s="30"/>
      <c r="AW146" s="2"/>
      <c r="AX146" s="2"/>
    </row>
    <row r="147" spans="1:50" x14ac:dyDescent="0.2">
      <c r="A147" s="2"/>
      <c r="B147" s="61">
        <f t="shared" si="36"/>
        <v>41738</v>
      </c>
      <c r="C147" s="62">
        <f t="shared" si="37"/>
        <v>99</v>
      </c>
      <c r="D147" s="63">
        <f t="shared" si="38"/>
        <v>3.9791924508728735</v>
      </c>
      <c r="G147" s="357" t="str">
        <f>IF(MakeSchedule!C114="","",MakeSchedule!C114)</f>
        <v/>
      </c>
      <c r="H147" s="358"/>
      <c r="I147" s="358"/>
      <c r="J147" s="359" t="str">
        <f>IF(MakeSchedule!B114="","",MakeSchedule!B114)</f>
        <v/>
      </c>
      <c r="K147" s="63">
        <f t="shared" si="29"/>
        <v>3.9791924508728735</v>
      </c>
      <c r="L147" s="63">
        <f t="shared" si="39"/>
        <v>3.9791924508728735</v>
      </c>
      <c r="M147" s="63">
        <f t="shared" si="40"/>
        <v>14.86654191151163</v>
      </c>
      <c r="N147" s="63" t="str">
        <f t="shared" si="30"/>
        <v/>
      </c>
      <c r="O147" s="64">
        <f t="shared" si="41"/>
        <v>0.33024120846269861</v>
      </c>
      <c r="P147" s="63">
        <f t="shared" si="42"/>
        <v>0.75436681222707302</v>
      </c>
      <c r="Q147" s="64">
        <f t="shared" si="31"/>
        <v>0.75436681222707302</v>
      </c>
      <c r="R147" s="63">
        <f t="shared" si="32"/>
        <v>0.75436681222707302</v>
      </c>
      <c r="S147" s="65">
        <f t="shared" si="33"/>
        <v>0.35</v>
      </c>
      <c r="T147" s="65">
        <f t="shared" si="43"/>
        <v>1.1043668122270729</v>
      </c>
      <c r="U147" s="64">
        <f t="shared" si="44"/>
        <v>1.1043668122270729</v>
      </c>
      <c r="V147" s="63">
        <f t="shared" si="34"/>
        <v>4.3944880822085084</v>
      </c>
      <c r="W147" s="63" t="str">
        <f t="shared" si="35"/>
        <v/>
      </c>
      <c r="X147" s="63">
        <f t="shared" si="45"/>
        <v>127.81677849616476</v>
      </c>
      <c r="Y147" s="55"/>
      <c r="Z147" s="55"/>
      <c r="AA147" s="55"/>
      <c r="AB147" s="55">
        <f>PMSplint!N148</f>
        <v>3.9791924508728735</v>
      </c>
      <c r="AC147" s="55">
        <f>PMSplint!N148</f>
        <v>3.9791924508728735</v>
      </c>
      <c r="AD147" s="55">
        <f>IF(RnSplint!N148&lt;0,0,RnSplint!N148)</f>
        <v>14.86654191151163</v>
      </c>
      <c r="AE147" s="55">
        <f>IF(RnSplint!N148&lt;0,0,RnSplint!N148)</f>
        <v>14.86654191151163</v>
      </c>
      <c r="AF147" s="30"/>
      <c r="AG147" s="30"/>
      <c r="AH147" s="30"/>
      <c r="AI147" s="55"/>
      <c r="AJ147" s="55"/>
      <c r="AK147" s="55"/>
      <c r="AL147" s="55"/>
      <c r="AM147" s="55"/>
      <c r="AN147" s="55">
        <f t="shared" si="46"/>
        <v>59.156831344872259</v>
      </c>
      <c r="AO147" s="55">
        <f t="shared" si="47"/>
        <v>7.6913478236829373</v>
      </c>
      <c r="AP147" s="55">
        <f t="shared" si="48"/>
        <v>0.33024120846269861</v>
      </c>
      <c r="AQ147" s="55"/>
      <c r="AR147" s="55"/>
      <c r="AS147" s="55"/>
      <c r="AT147" s="55"/>
      <c r="AU147" s="30"/>
      <c r="AV147" s="30"/>
      <c r="AW147" s="2"/>
      <c r="AX147" s="2"/>
    </row>
    <row r="148" spans="1:50" x14ac:dyDescent="0.2">
      <c r="A148" s="2"/>
      <c r="B148" s="61">
        <f t="shared" si="36"/>
        <v>41739</v>
      </c>
      <c r="C148" s="62">
        <f t="shared" si="37"/>
        <v>100</v>
      </c>
      <c r="D148" s="63">
        <f t="shared" si="38"/>
        <v>4.0332186337024316</v>
      </c>
      <c r="G148" s="357" t="str">
        <f>IF(MakeSchedule!C115="","",MakeSchedule!C115)</f>
        <v/>
      </c>
      <c r="H148" s="358"/>
      <c r="I148" s="358"/>
      <c r="J148" s="359" t="str">
        <f>IF(MakeSchedule!B115="","",MakeSchedule!B115)</f>
        <v/>
      </c>
      <c r="K148" s="63">
        <f t="shared" si="29"/>
        <v>4.0332186337024316</v>
      </c>
      <c r="L148" s="63">
        <f t="shared" si="39"/>
        <v>4.0332186337024316</v>
      </c>
      <c r="M148" s="63">
        <f t="shared" si="40"/>
        <v>15.277050637423697</v>
      </c>
      <c r="N148" s="63" t="str">
        <f t="shared" si="30"/>
        <v/>
      </c>
      <c r="O148" s="64">
        <f t="shared" si="41"/>
        <v>0.3235847717512062</v>
      </c>
      <c r="P148" s="63">
        <f t="shared" si="42"/>
        <v>0.75960698689956208</v>
      </c>
      <c r="Q148" s="64">
        <f t="shared" si="31"/>
        <v>0.75960698689956208</v>
      </c>
      <c r="R148" s="63">
        <f t="shared" si="32"/>
        <v>0.75960698689956208</v>
      </c>
      <c r="S148" s="65">
        <f t="shared" si="33"/>
        <v>0.35</v>
      </c>
      <c r="T148" s="65">
        <f t="shared" si="43"/>
        <v>1.1096069868995619</v>
      </c>
      <c r="U148" s="64">
        <f t="shared" si="44"/>
        <v>1.1096069868995619</v>
      </c>
      <c r="V148" s="63">
        <f t="shared" si="34"/>
        <v>4.4752875756497232</v>
      </c>
      <c r="W148" s="63" t="str">
        <f t="shared" si="35"/>
        <v/>
      </c>
      <c r="X148" s="63">
        <f t="shared" si="45"/>
        <v>132.29206607181447</v>
      </c>
      <c r="Y148" s="55"/>
      <c r="Z148" s="55"/>
      <c r="AA148" s="55"/>
      <c r="AB148" s="55">
        <f>PMSplint!N149</f>
        <v>4.0332186337024316</v>
      </c>
      <c r="AC148" s="55">
        <f>PMSplint!N149</f>
        <v>4.0332186337024316</v>
      </c>
      <c r="AD148" s="55">
        <f>IF(RnSplint!N149&lt;0,0,RnSplint!N149)</f>
        <v>15.277050637423697</v>
      </c>
      <c r="AE148" s="55">
        <f>IF(RnSplint!N149&lt;0,0,RnSplint!N149)</f>
        <v>15.277050637423697</v>
      </c>
      <c r="AF148" s="30"/>
      <c r="AG148" s="30"/>
      <c r="AH148" s="30"/>
      <c r="AI148" s="55"/>
      <c r="AJ148" s="55"/>
      <c r="AK148" s="55"/>
      <c r="AL148" s="55"/>
      <c r="AM148" s="55"/>
      <c r="AN148" s="55">
        <f t="shared" si="46"/>
        <v>61.615685298872862</v>
      </c>
      <c r="AO148" s="55">
        <f t="shared" si="47"/>
        <v>7.8495659306023322</v>
      </c>
      <c r="AP148" s="55">
        <f t="shared" si="48"/>
        <v>0.3235847717512062</v>
      </c>
      <c r="AQ148" s="55"/>
      <c r="AR148" s="55"/>
      <c r="AS148" s="55"/>
      <c r="AT148" s="55"/>
      <c r="AU148" s="30"/>
      <c r="AV148" s="30"/>
      <c r="AW148" s="2"/>
      <c r="AX148" s="2"/>
    </row>
    <row r="149" spans="1:50" x14ac:dyDescent="0.2">
      <c r="A149" s="2"/>
      <c r="B149" s="61">
        <f t="shared" si="36"/>
        <v>41740</v>
      </c>
      <c r="C149" s="62">
        <f t="shared" si="37"/>
        <v>101</v>
      </c>
      <c r="D149" s="63">
        <f t="shared" si="38"/>
        <v>4.0865372936329658</v>
      </c>
      <c r="G149" s="357" t="str">
        <f>IF(MakeSchedule!C116="","",MakeSchedule!C116)</f>
        <v/>
      </c>
      <c r="H149" s="358"/>
      <c r="I149" s="358"/>
      <c r="J149" s="359" t="str">
        <f>IF(MakeSchedule!B116="","",MakeSchedule!B116)</f>
        <v/>
      </c>
      <c r="K149" s="63">
        <f t="shared" si="29"/>
        <v>4.0865372936329658</v>
      </c>
      <c r="L149" s="63">
        <f t="shared" si="39"/>
        <v>4.0865372936329658</v>
      </c>
      <c r="M149" s="63">
        <f t="shared" si="40"/>
        <v>15.673000001204137</v>
      </c>
      <c r="N149" s="63" t="str">
        <f t="shared" si="30"/>
        <v/>
      </c>
      <c r="O149" s="64">
        <f t="shared" si="41"/>
        <v>0.31738026358695332</v>
      </c>
      <c r="P149" s="63">
        <f t="shared" si="42"/>
        <v>0.76484716157205113</v>
      </c>
      <c r="Q149" s="64">
        <f t="shared" si="31"/>
        <v>0.76484716157205113</v>
      </c>
      <c r="R149" s="63">
        <f t="shared" si="32"/>
        <v>0.76484716157205113</v>
      </c>
      <c r="S149" s="65">
        <f t="shared" si="33"/>
        <v>0.35</v>
      </c>
      <c r="T149" s="65">
        <f t="shared" si="43"/>
        <v>1.114847161572051</v>
      </c>
      <c r="U149" s="64">
        <f t="shared" si="44"/>
        <v>1.114847161572051</v>
      </c>
      <c r="V149" s="63">
        <f t="shared" si="34"/>
        <v>4.5558645024650426</v>
      </c>
      <c r="W149" s="63" t="str">
        <f t="shared" si="35"/>
        <v/>
      </c>
      <c r="X149" s="63">
        <f t="shared" si="45"/>
        <v>136.84793057427953</v>
      </c>
      <c r="Y149" s="55"/>
      <c r="Z149" s="55"/>
      <c r="AA149" s="55"/>
      <c r="AB149" s="55">
        <f>PMSplint!N150</f>
        <v>4.0865372936329658</v>
      </c>
      <c r="AC149" s="55">
        <f>PMSplint!N150</f>
        <v>4.0865372936329658</v>
      </c>
      <c r="AD149" s="55">
        <f>IF(RnSplint!N150&lt;0,0,RnSplint!N150)</f>
        <v>15.673000001204137</v>
      </c>
      <c r="AE149" s="55">
        <f>IF(RnSplint!N150&lt;0,0,RnSplint!N150)</f>
        <v>15.673000001204137</v>
      </c>
      <c r="AF149" s="30"/>
      <c r="AG149" s="30"/>
      <c r="AH149" s="30"/>
      <c r="AI149" s="55"/>
      <c r="AJ149" s="55"/>
      <c r="AK149" s="55"/>
      <c r="AL149" s="55"/>
      <c r="AM149" s="55"/>
      <c r="AN149" s="55">
        <f t="shared" si="46"/>
        <v>64.048299008030227</v>
      </c>
      <c r="AO149" s="55">
        <f t="shared" si="47"/>
        <v>8.0030181186868639</v>
      </c>
      <c r="AP149" s="55">
        <f t="shared" si="48"/>
        <v>0.31738026358695332</v>
      </c>
      <c r="AQ149" s="55"/>
      <c r="AR149" s="55"/>
      <c r="AS149" s="55"/>
      <c r="AT149" s="55"/>
      <c r="AU149" s="30"/>
      <c r="AV149" s="30"/>
      <c r="AW149" s="2"/>
      <c r="AX149" s="2"/>
    </row>
    <row r="150" spans="1:50" x14ac:dyDescent="0.2">
      <c r="A150" s="2"/>
      <c r="B150" s="61">
        <f t="shared" si="36"/>
        <v>41741</v>
      </c>
      <c r="C150" s="62">
        <f t="shared" si="37"/>
        <v>102</v>
      </c>
      <c r="D150" s="63">
        <f t="shared" si="38"/>
        <v>4.1390672289417454</v>
      </c>
      <c r="G150" s="357" t="str">
        <f>IF(MakeSchedule!C117="","",MakeSchedule!C117)</f>
        <v/>
      </c>
      <c r="H150" s="358"/>
      <c r="I150" s="358"/>
      <c r="J150" s="359" t="str">
        <f>IF(MakeSchedule!B117="","",MakeSchedule!B117)</f>
        <v/>
      </c>
      <c r="K150" s="63">
        <f t="shared" si="29"/>
        <v>4.1390672289417454</v>
      </c>
      <c r="L150" s="63">
        <f t="shared" si="39"/>
        <v>4.1390672289417454</v>
      </c>
      <c r="M150" s="63">
        <f t="shared" si="40"/>
        <v>16.05267766793164</v>
      </c>
      <c r="N150" s="63" t="str">
        <f t="shared" si="30"/>
        <v/>
      </c>
      <c r="O150" s="64">
        <f t="shared" si="41"/>
        <v>0.31160809672663359</v>
      </c>
      <c r="P150" s="63">
        <f t="shared" si="42"/>
        <v>0.77008733624454018</v>
      </c>
      <c r="Q150" s="64">
        <f t="shared" si="31"/>
        <v>0.77008733624454018</v>
      </c>
      <c r="R150" s="63">
        <f t="shared" si="32"/>
        <v>0.77008733624454018</v>
      </c>
      <c r="S150" s="65">
        <f t="shared" si="33"/>
        <v>0.35</v>
      </c>
      <c r="T150" s="65">
        <f t="shared" si="43"/>
        <v>1.12008733624454</v>
      </c>
      <c r="U150" s="64">
        <f t="shared" si="44"/>
        <v>1.12008733624454</v>
      </c>
      <c r="V150" s="63">
        <f t="shared" si="34"/>
        <v>4.6361167870024298</v>
      </c>
      <c r="W150" s="63" t="str">
        <f t="shared" si="35"/>
        <v/>
      </c>
      <c r="X150" s="63">
        <f t="shared" si="45"/>
        <v>141.48404736128197</v>
      </c>
      <c r="Y150" s="55"/>
      <c r="Z150" s="55"/>
      <c r="AA150" s="55"/>
      <c r="AB150" s="55">
        <f>PMSplint!N151</f>
        <v>4.1390672289417454</v>
      </c>
      <c r="AC150" s="55">
        <f>PMSplint!N151</f>
        <v>4.1390672289417454</v>
      </c>
      <c r="AD150" s="55">
        <f>IF(RnSplint!N151&lt;0,0,RnSplint!N151)</f>
        <v>16.05267766793164</v>
      </c>
      <c r="AE150" s="55">
        <f>IF(RnSplint!N151&lt;0,0,RnSplint!N151)</f>
        <v>16.05267766793164</v>
      </c>
      <c r="AF150" s="30"/>
      <c r="AG150" s="30"/>
      <c r="AH150" s="30"/>
      <c r="AI150" s="55"/>
      <c r="AJ150" s="55"/>
      <c r="AK150" s="55"/>
      <c r="AL150" s="55"/>
      <c r="AM150" s="55"/>
      <c r="AN150" s="55">
        <f t="shared" si="46"/>
        <v>66.443112072100845</v>
      </c>
      <c r="AO150" s="55">
        <f t="shared" si="47"/>
        <v>8.1512644462132897</v>
      </c>
      <c r="AP150" s="55">
        <f t="shared" si="48"/>
        <v>0.31160809672663359</v>
      </c>
      <c r="AQ150" s="55"/>
      <c r="AR150" s="55"/>
      <c r="AS150" s="55"/>
      <c r="AT150" s="55"/>
      <c r="AU150" s="30"/>
      <c r="AV150" s="30"/>
      <c r="AW150" s="2"/>
      <c r="AX150" s="2"/>
    </row>
    <row r="151" spans="1:50" x14ac:dyDescent="0.2">
      <c r="A151" s="2"/>
      <c r="B151" s="61">
        <f t="shared" si="36"/>
        <v>41742</v>
      </c>
      <c r="C151" s="62">
        <f t="shared" si="37"/>
        <v>103</v>
      </c>
      <c r="D151" s="63">
        <f t="shared" si="38"/>
        <v>4.1907272379060423</v>
      </c>
      <c r="G151" s="357" t="str">
        <f>IF(MakeSchedule!C118="","",MakeSchedule!C118)</f>
        <v/>
      </c>
      <c r="H151" s="358"/>
      <c r="I151" s="358"/>
      <c r="J151" s="359" t="str">
        <f>IF(MakeSchedule!B118="","",MakeSchedule!B118)</f>
        <v/>
      </c>
      <c r="K151" s="63">
        <f t="shared" si="29"/>
        <v>4.1907272379060423</v>
      </c>
      <c r="L151" s="63">
        <f t="shared" si="39"/>
        <v>4.1907272379060423</v>
      </c>
      <c r="M151" s="63">
        <f t="shared" si="40"/>
        <v>16.414371302684899</v>
      </c>
      <c r="N151" s="63" t="str">
        <f t="shared" si="30"/>
        <v/>
      </c>
      <c r="O151" s="64">
        <f t="shared" si="41"/>
        <v>0.30625056078294777</v>
      </c>
      <c r="P151" s="63">
        <f t="shared" si="42"/>
        <v>0.77532751091702923</v>
      </c>
      <c r="Q151" s="64">
        <f t="shared" si="31"/>
        <v>0.77532751091702923</v>
      </c>
      <c r="R151" s="63">
        <f t="shared" si="32"/>
        <v>0.77532751091702923</v>
      </c>
      <c r="S151" s="65">
        <f t="shared" si="33"/>
        <v>0.35</v>
      </c>
      <c r="T151" s="65">
        <f t="shared" si="43"/>
        <v>1.1253275109170291</v>
      </c>
      <c r="U151" s="64">
        <f t="shared" si="44"/>
        <v>1.1253275109170291</v>
      </c>
      <c r="V151" s="63">
        <f t="shared" si="34"/>
        <v>4.7159406515650026</v>
      </c>
      <c r="W151" s="63" t="str">
        <f t="shared" si="35"/>
        <v/>
      </c>
      <c r="X151" s="63">
        <f t="shared" si="45"/>
        <v>146.19998801284697</v>
      </c>
      <c r="Y151" s="55"/>
      <c r="Z151" s="55"/>
      <c r="AA151" s="55"/>
      <c r="AB151" s="55">
        <f>PMSplint!N152</f>
        <v>4.1907272379060423</v>
      </c>
      <c r="AC151" s="55">
        <f>PMSplint!N152</f>
        <v>4.1907272379060423</v>
      </c>
      <c r="AD151" s="55">
        <f>IF(RnSplint!N152&lt;0,0,RnSplint!N152)</f>
        <v>16.414371302684899</v>
      </c>
      <c r="AE151" s="55">
        <f>IF(RnSplint!N152&lt;0,0,RnSplint!N152)</f>
        <v>16.414371302684899</v>
      </c>
      <c r="AF151" s="30"/>
      <c r="AG151" s="30"/>
      <c r="AH151" s="30"/>
      <c r="AI151" s="55"/>
      <c r="AJ151" s="55"/>
      <c r="AK151" s="55"/>
      <c r="AL151" s="55"/>
      <c r="AM151" s="55"/>
      <c r="AN151" s="55">
        <f t="shared" si="46"/>
        <v>68.788152911264888</v>
      </c>
      <c r="AO151" s="55">
        <f t="shared" si="47"/>
        <v>8.2938623638968654</v>
      </c>
      <c r="AP151" s="55">
        <f t="shared" si="48"/>
        <v>0.30625056078294777</v>
      </c>
      <c r="AQ151" s="55"/>
      <c r="AR151" s="55"/>
      <c r="AS151" s="55"/>
      <c r="AT151" s="55"/>
      <c r="AU151" s="30"/>
      <c r="AV151" s="30"/>
      <c r="AW151" s="2"/>
      <c r="AX151" s="2"/>
    </row>
    <row r="152" spans="1:50" x14ac:dyDescent="0.2">
      <c r="A152" s="2"/>
      <c r="B152" s="61">
        <f t="shared" si="36"/>
        <v>41743</v>
      </c>
      <c r="C152" s="62">
        <f t="shared" si="37"/>
        <v>104</v>
      </c>
      <c r="D152" s="63">
        <f t="shared" si="38"/>
        <v>4.2414361188031267</v>
      </c>
      <c r="G152" s="357" t="str">
        <f>IF(MakeSchedule!C119="","",MakeSchedule!C119)</f>
        <v/>
      </c>
      <c r="H152" s="358"/>
      <c r="I152" s="358"/>
      <c r="J152" s="359" t="str">
        <f>IF(MakeSchedule!B119="","",MakeSchedule!B119)</f>
        <v/>
      </c>
      <c r="K152" s="63">
        <f t="shared" si="29"/>
        <v>4.2414361188031267</v>
      </c>
      <c r="L152" s="63">
        <f t="shared" si="39"/>
        <v>4.2414361188031267</v>
      </c>
      <c r="M152" s="63">
        <f t="shared" si="40"/>
        <v>16.756368570542609</v>
      </c>
      <c r="N152" s="63" t="str">
        <f t="shared" si="30"/>
        <v/>
      </c>
      <c r="O152" s="64">
        <f t="shared" si="41"/>
        <v>0.30129179110552351</v>
      </c>
      <c r="P152" s="63">
        <f t="shared" si="42"/>
        <v>0.78056768558951828</v>
      </c>
      <c r="Q152" s="64">
        <f t="shared" si="31"/>
        <v>0.78056768558951828</v>
      </c>
      <c r="R152" s="63">
        <f t="shared" si="32"/>
        <v>0.78056768558951828</v>
      </c>
      <c r="S152" s="65">
        <f t="shared" si="33"/>
        <v>0.35</v>
      </c>
      <c r="T152" s="65">
        <f t="shared" si="43"/>
        <v>1.1305676855895181</v>
      </c>
      <c r="U152" s="64">
        <f t="shared" si="44"/>
        <v>1.1305676855895181</v>
      </c>
      <c r="V152" s="63">
        <f t="shared" si="34"/>
        <v>4.7952306164110396</v>
      </c>
      <c r="W152" s="63" t="str">
        <f t="shared" si="35"/>
        <v/>
      </c>
      <c r="X152" s="63">
        <f t="shared" si="45"/>
        <v>150.99521862925801</v>
      </c>
      <c r="Y152" s="55"/>
      <c r="Z152" s="55"/>
      <c r="AA152" s="55"/>
      <c r="AB152" s="55">
        <f>PMSplint!N153</f>
        <v>4.2414361188031267</v>
      </c>
      <c r="AC152" s="55">
        <f>PMSplint!N153</f>
        <v>4.2414361188031267</v>
      </c>
      <c r="AD152" s="55">
        <f>IF(RnSplint!N153&lt;0,0,RnSplint!N153)</f>
        <v>16.756368570542609</v>
      </c>
      <c r="AE152" s="55">
        <f>IF(RnSplint!N153&lt;0,0,RnSplint!N153)</f>
        <v>16.756368570542609</v>
      </c>
      <c r="AF152" s="30"/>
      <c r="AG152" s="30"/>
      <c r="AH152" s="30"/>
      <c r="AI152" s="55"/>
      <c r="AJ152" s="55"/>
      <c r="AK152" s="55"/>
      <c r="AL152" s="55"/>
      <c r="AM152" s="55"/>
      <c r="AN152" s="55">
        <f t="shared" si="46"/>
        <v>71.071066875076937</v>
      </c>
      <c r="AO152" s="55">
        <f t="shared" si="47"/>
        <v>8.4303657616426673</v>
      </c>
      <c r="AP152" s="55">
        <f t="shared" si="48"/>
        <v>0.30129179110552351</v>
      </c>
      <c r="AQ152" s="55"/>
      <c r="AR152" s="55"/>
      <c r="AS152" s="55"/>
      <c r="AT152" s="55"/>
      <c r="AU152" s="30"/>
      <c r="AV152" s="30"/>
      <c r="AW152" s="2"/>
      <c r="AX152" s="2"/>
    </row>
    <row r="153" spans="1:50" x14ac:dyDescent="0.2">
      <c r="A153" s="2"/>
      <c r="B153" s="61">
        <f t="shared" si="36"/>
        <v>41744</v>
      </c>
      <c r="C153" s="62">
        <f t="shared" si="37"/>
        <v>105</v>
      </c>
      <c r="D153" s="63">
        <f t="shared" si="38"/>
        <v>4.2911126699102713</v>
      </c>
      <c r="G153" s="357" t="str">
        <f>IF(MakeSchedule!C120="","",MakeSchedule!C120)</f>
        <v/>
      </c>
      <c r="H153" s="358"/>
      <c r="I153" s="358"/>
      <c r="J153" s="359" t="str">
        <f>IF(MakeSchedule!B120="","",MakeSchedule!B120)</f>
        <v/>
      </c>
      <c r="K153" s="63">
        <f t="shared" si="29"/>
        <v>4.2911126699102713</v>
      </c>
      <c r="L153" s="63">
        <f t="shared" si="39"/>
        <v>4.2911126699102713</v>
      </c>
      <c r="M153" s="63">
        <f t="shared" si="40"/>
        <v>17.076957136583474</v>
      </c>
      <c r="N153" s="63" t="str">
        <f t="shared" si="30"/>
        <v/>
      </c>
      <c r="O153" s="64">
        <f t="shared" si="41"/>
        <v>0.29671774075918056</v>
      </c>
      <c r="P153" s="63">
        <f t="shared" si="42"/>
        <v>0.78580786026200733</v>
      </c>
      <c r="Q153" s="64">
        <f t="shared" si="31"/>
        <v>0.78580786026200733</v>
      </c>
      <c r="R153" s="63">
        <f t="shared" si="32"/>
        <v>0.78580786026200733</v>
      </c>
      <c r="S153" s="65">
        <f t="shared" si="33"/>
        <v>0.35</v>
      </c>
      <c r="T153" s="65">
        <f t="shared" si="43"/>
        <v>1.1358078602620072</v>
      </c>
      <c r="U153" s="64">
        <f t="shared" si="44"/>
        <v>1.1358078602620072</v>
      </c>
      <c r="V153" s="63">
        <f t="shared" si="34"/>
        <v>4.8738794997539738</v>
      </c>
      <c r="W153" s="63" t="str">
        <f t="shared" si="35"/>
        <v/>
      </c>
      <c r="X153" s="63">
        <f t="shared" si="45"/>
        <v>155.86909812901197</v>
      </c>
      <c r="Y153" s="55"/>
      <c r="Z153" s="55"/>
      <c r="AA153" s="55"/>
      <c r="AB153" s="55">
        <f>PMSplint!N154</f>
        <v>4.2911126699102713</v>
      </c>
      <c r="AC153" s="55">
        <f>PMSplint!N154</f>
        <v>4.2911126699102713</v>
      </c>
      <c r="AD153" s="55">
        <f>IF(RnSplint!N154&lt;0,0,RnSplint!N154)</f>
        <v>17.076957136583474</v>
      </c>
      <c r="AE153" s="55">
        <f>IF(RnSplint!N154&lt;0,0,RnSplint!N154)</f>
        <v>17.076957136583474</v>
      </c>
      <c r="AF153" s="30"/>
      <c r="AG153" s="30"/>
      <c r="AH153" s="30"/>
      <c r="AI153" s="55"/>
      <c r="AJ153" s="55"/>
      <c r="AK153" s="55"/>
      <c r="AL153" s="55"/>
      <c r="AM153" s="55"/>
      <c r="AN153" s="55">
        <f t="shared" si="46"/>
        <v>73.279147132307969</v>
      </c>
      <c r="AO153" s="55">
        <f t="shared" si="47"/>
        <v>8.5603240086055141</v>
      </c>
      <c r="AP153" s="55">
        <f t="shared" si="48"/>
        <v>0.29671774075918056</v>
      </c>
      <c r="AQ153" s="55"/>
      <c r="AR153" s="55"/>
      <c r="AS153" s="55"/>
      <c r="AT153" s="55"/>
      <c r="AU153" s="30"/>
      <c r="AV153" s="30"/>
      <c r="AW153" s="2"/>
      <c r="AX153" s="2"/>
    </row>
    <row r="154" spans="1:50" x14ac:dyDescent="0.2">
      <c r="A154" s="2"/>
      <c r="B154" s="61">
        <f t="shared" si="36"/>
        <v>41745</v>
      </c>
      <c r="C154" s="62">
        <f t="shared" si="37"/>
        <v>106</v>
      </c>
      <c r="D154" s="63">
        <f t="shared" si="38"/>
        <v>4.3396756895047464</v>
      </c>
      <c r="G154" s="357" t="str">
        <f>IF(MakeSchedule!C121="","",MakeSchedule!C121)</f>
        <v/>
      </c>
      <c r="H154" s="358"/>
      <c r="I154" s="358"/>
      <c r="J154" s="359" t="str">
        <f>IF(MakeSchedule!B121="","",MakeSchedule!B121)</f>
        <v/>
      </c>
      <c r="K154" s="63">
        <f t="shared" si="29"/>
        <v>4.3396756895047464</v>
      </c>
      <c r="L154" s="63">
        <f t="shared" si="39"/>
        <v>4.3396756895047464</v>
      </c>
      <c r="M154" s="63">
        <f t="shared" si="40"/>
        <v>17.374424665886174</v>
      </c>
      <c r="N154" s="63" t="str">
        <f t="shared" si="30"/>
        <v/>
      </c>
      <c r="O154" s="64">
        <f t="shared" si="41"/>
        <v>0.29251615948218335</v>
      </c>
      <c r="P154" s="63">
        <f t="shared" si="42"/>
        <v>0.79104803493449638</v>
      </c>
      <c r="Q154" s="64">
        <f t="shared" si="31"/>
        <v>0.79104803493449638</v>
      </c>
      <c r="R154" s="63">
        <f t="shared" si="32"/>
        <v>0.79104803493449638</v>
      </c>
      <c r="S154" s="65">
        <f t="shared" si="33"/>
        <v>0.35</v>
      </c>
      <c r="T154" s="65">
        <f t="shared" si="43"/>
        <v>1.1410480349344962</v>
      </c>
      <c r="U154" s="64">
        <f t="shared" si="44"/>
        <v>1.1410480349344962</v>
      </c>
      <c r="V154" s="63">
        <f t="shared" si="34"/>
        <v>4.9517784177623962</v>
      </c>
      <c r="W154" s="63" t="str">
        <f t="shared" si="35"/>
        <v/>
      </c>
      <c r="X154" s="63">
        <f t="shared" si="45"/>
        <v>160.82087654677437</v>
      </c>
      <c r="Y154" s="55"/>
      <c r="Z154" s="55"/>
      <c r="AA154" s="55"/>
      <c r="AB154" s="55">
        <f>PMSplint!N155</f>
        <v>4.3396756895047464</v>
      </c>
      <c r="AC154" s="55">
        <f>PMSplint!N155</f>
        <v>4.3396756895047464</v>
      </c>
      <c r="AD154" s="55">
        <f>IF(RnSplint!N155&lt;0,0,RnSplint!N155)</f>
        <v>17.374424665886174</v>
      </c>
      <c r="AE154" s="55">
        <f>IF(RnSplint!N155&lt;0,0,RnSplint!N155)</f>
        <v>17.374424665886174</v>
      </c>
      <c r="AF154" s="30"/>
      <c r="AG154" s="30"/>
      <c r="AH154" s="30"/>
      <c r="AI154" s="55"/>
      <c r="AJ154" s="55"/>
      <c r="AK154" s="55"/>
      <c r="AL154" s="55"/>
      <c r="AM154" s="55"/>
      <c r="AN154" s="55">
        <f t="shared" si="46"/>
        <v>75.399368341677857</v>
      </c>
      <c r="AO154" s="55">
        <f t="shared" si="47"/>
        <v>8.6832809664134363</v>
      </c>
      <c r="AP154" s="55">
        <f t="shared" si="48"/>
        <v>0.29251615948218335</v>
      </c>
      <c r="AQ154" s="55"/>
      <c r="AR154" s="55"/>
      <c r="AS154" s="55"/>
      <c r="AT154" s="55"/>
      <c r="AU154" s="30"/>
      <c r="AV154" s="30"/>
      <c r="AW154" s="2"/>
      <c r="AX154" s="2"/>
    </row>
    <row r="155" spans="1:50" x14ac:dyDescent="0.2">
      <c r="A155" s="2"/>
      <c r="B155" s="61">
        <f t="shared" si="36"/>
        <v>41746</v>
      </c>
      <c r="C155" s="62">
        <f t="shared" si="37"/>
        <v>107</v>
      </c>
      <c r="D155" s="63">
        <f t="shared" si="38"/>
        <v>4.387043975863822</v>
      </c>
      <c r="G155" s="357" t="str">
        <f>IF(MakeSchedule!C122="","",MakeSchedule!C122)</f>
        <v/>
      </c>
      <c r="H155" s="358"/>
      <c r="I155" s="358"/>
      <c r="J155" s="359" t="str">
        <f>IF(MakeSchedule!B122="","",MakeSchedule!B122)</f>
        <v/>
      </c>
      <c r="K155" s="63">
        <f t="shared" si="29"/>
        <v>4.387043975863822</v>
      </c>
      <c r="L155" s="63">
        <f t="shared" si="39"/>
        <v>4.387043975863822</v>
      </c>
      <c r="M155" s="63">
        <f t="shared" si="40"/>
        <v>17.647058823529413</v>
      </c>
      <c r="N155" s="63" t="str">
        <f t="shared" si="30"/>
        <v/>
      </c>
      <c r="O155" s="64">
        <f t="shared" si="41"/>
        <v>0.28867658302359817</v>
      </c>
      <c r="P155" s="63">
        <f t="shared" si="42"/>
        <v>0.79628820960698543</v>
      </c>
      <c r="Q155" s="64">
        <f t="shared" si="31"/>
        <v>0.79628820960698543</v>
      </c>
      <c r="R155" s="63">
        <f t="shared" si="32"/>
        <v>0.79628820960698543</v>
      </c>
      <c r="S155" s="65">
        <f t="shared" si="33"/>
        <v>0.35</v>
      </c>
      <c r="T155" s="65">
        <f t="shared" si="43"/>
        <v>1.1462882096069853</v>
      </c>
      <c r="U155" s="64">
        <f t="shared" si="44"/>
        <v>1.1462882096069853</v>
      </c>
      <c r="V155" s="63">
        <f t="shared" si="34"/>
        <v>5.0288167845600507</v>
      </c>
      <c r="W155" s="63" t="str">
        <f t="shared" si="35"/>
        <v/>
      </c>
      <c r="X155" s="63">
        <f t="shared" si="45"/>
        <v>165.84969333133444</v>
      </c>
      <c r="Y155" s="55"/>
      <c r="Z155" s="55"/>
      <c r="AA155" s="55"/>
      <c r="AB155" s="55">
        <f>PMSplint!N156</f>
        <v>4.387043975863822</v>
      </c>
      <c r="AC155" s="55">
        <f>PMSplint!N156</f>
        <v>4.387043975863822</v>
      </c>
      <c r="AD155" s="55">
        <f>IF(RnSplint!N156&lt;0,0,RnSplint!N156)</f>
        <v>17.647058823529413</v>
      </c>
      <c r="AE155" s="55">
        <f>IF(RnSplint!N156&lt;0,0,RnSplint!N156)</f>
        <v>17.647058823529413</v>
      </c>
      <c r="AF155" s="30"/>
      <c r="AG155" s="30"/>
      <c r="AH155" s="30"/>
      <c r="AI155" s="55"/>
      <c r="AJ155" s="55"/>
      <c r="AK155" s="55"/>
      <c r="AL155" s="55"/>
      <c r="AM155" s="55"/>
      <c r="AN155" s="55">
        <f t="shared" si="46"/>
        <v>77.418423103479213</v>
      </c>
      <c r="AO155" s="55">
        <f t="shared" si="47"/>
        <v>8.7987739545620336</v>
      </c>
      <c r="AP155" s="55">
        <f t="shared" si="48"/>
        <v>0.28867658302359817</v>
      </c>
      <c r="AQ155" s="55"/>
      <c r="AR155" s="55"/>
      <c r="AS155" s="55"/>
      <c r="AT155" s="55"/>
      <c r="AU155" s="30"/>
      <c r="AV155" s="30"/>
      <c r="AW155" s="2"/>
      <c r="AX155" s="2"/>
    </row>
    <row r="156" spans="1:50" x14ac:dyDescent="0.2">
      <c r="A156" s="2"/>
      <c r="B156" s="61">
        <f t="shared" si="36"/>
        <v>41747</v>
      </c>
      <c r="C156" s="62">
        <f t="shared" si="37"/>
        <v>108</v>
      </c>
      <c r="D156" s="63">
        <f t="shared" si="38"/>
        <v>4.4331614375984358</v>
      </c>
      <c r="G156" s="357" t="str">
        <f>IF(MakeSchedule!C123="","",MakeSchedule!C123)</f>
        <v/>
      </c>
      <c r="H156" s="358"/>
      <c r="I156" s="358"/>
      <c r="J156" s="359" t="str">
        <f>IF(MakeSchedule!B123="","",MakeSchedule!B123)</f>
        <v/>
      </c>
      <c r="K156" s="63">
        <f t="shared" si="29"/>
        <v>4.4331614375984358</v>
      </c>
      <c r="L156" s="63">
        <f t="shared" si="39"/>
        <v>4.4331614375984358</v>
      </c>
      <c r="M156" s="63">
        <f t="shared" si="40"/>
        <v>17.893698433189851</v>
      </c>
      <c r="N156" s="63" t="str">
        <f t="shared" si="30"/>
        <v/>
      </c>
      <c r="O156" s="64">
        <f t="shared" si="41"/>
        <v>0.28518513613189672</v>
      </c>
      <c r="P156" s="63">
        <f t="shared" si="42"/>
        <v>0.80152838427947448</v>
      </c>
      <c r="Q156" s="64">
        <f t="shared" si="31"/>
        <v>0.80152838427947448</v>
      </c>
      <c r="R156" s="63">
        <f t="shared" si="32"/>
        <v>0.80152838427947448</v>
      </c>
      <c r="S156" s="65">
        <f t="shared" si="33"/>
        <v>0.35</v>
      </c>
      <c r="T156" s="65">
        <f t="shared" si="43"/>
        <v>1.1515283842794743</v>
      </c>
      <c r="U156" s="64">
        <f t="shared" si="44"/>
        <v>1.1515283842794743</v>
      </c>
      <c r="V156" s="63">
        <f t="shared" si="34"/>
        <v>5.1049112274877988</v>
      </c>
      <c r="W156" s="63" t="str">
        <f t="shared" si="35"/>
        <v/>
      </c>
      <c r="X156" s="63">
        <f t="shared" si="45"/>
        <v>170.95460455882224</v>
      </c>
      <c r="Y156" s="55"/>
      <c r="Z156" s="55"/>
      <c r="AA156" s="55"/>
      <c r="AB156" s="55">
        <f>PMSplint!N157</f>
        <v>4.4331614375984358</v>
      </c>
      <c r="AC156" s="55">
        <f>PMSplint!N157</f>
        <v>4.4331614375984358</v>
      </c>
      <c r="AD156" s="55">
        <f>IF(RnSplint!N157&lt;0,0,RnSplint!N157)</f>
        <v>17.893698433189851</v>
      </c>
      <c r="AE156" s="55">
        <f>IF(RnSplint!N157&lt;0,0,RnSplint!N157)</f>
        <v>17.893698433189851</v>
      </c>
      <c r="AF156" s="30"/>
      <c r="AG156" s="30"/>
      <c r="AH156" s="30"/>
      <c r="AI156" s="55"/>
      <c r="AJ156" s="55"/>
      <c r="AK156" s="55"/>
      <c r="AL156" s="55"/>
      <c r="AM156" s="55"/>
      <c r="AN156" s="55">
        <f t="shared" si="46"/>
        <v>79.325653870032795</v>
      </c>
      <c r="AO156" s="55">
        <f t="shared" si="47"/>
        <v>8.9064950384555193</v>
      </c>
      <c r="AP156" s="55">
        <f t="shared" si="48"/>
        <v>0.28518513613189672</v>
      </c>
      <c r="AQ156" s="55"/>
      <c r="AR156" s="55"/>
      <c r="AS156" s="55"/>
      <c r="AT156" s="55"/>
      <c r="AU156" s="30"/>
      <c r="AV156" s="30"/>
      <c r="AW156" s="2"/>
      <c r="AX156" s="2"/>
    </row>
    <row r="157" spans="1:50" x14ac:dyDescent="0.2">
      <c r="A157" s="2"/>
      <c r="B157" s="61">
        <f t="shared" si="36"/>
        <v>41748</v>
      </c>
      <c r="C157" s="62">
        <f t="shared" si="37"/>
        <v>109</v>
      </c>
      <c r="D157" s="63">
        <f t="shared" si="38"/>
        <v>4.4780724246541812</v>
      </c>
      <c r="G157" s="357" t="str">
        <f>IF(MakeSchedule!C124="","",MakeSchedule!C124)</f>
        <v/>
      </c>
      <c r="H157" s="358"/>
      <c r="I157" s="358"/>
      <c r="J157" s="359" t="str">
        <f>IF(MakeSchedule!B124="","",MakeSchedule!B124)</f>
        <v/>
      </c>
      <c r="K157" s="63">
        <f t="shared" si="29"/>
        <v>4.4780724246541812</v>
      </c>
      <c r="L157" s="63">
        <f t="shared" si="39"/>
        <v>4.4780724246541812</v>
      </c>
      <c r="M157" s="63">
        <f t="shared" si="40"/>
        <v>18.115386952936028</v>
      </c>
      <c r="N157" s="63" t="str">
        <f t="shared" si="30"/>
        <v/>
      </c>
      <c r="O157" s="64">
        <f t="shared" si="41"/>
        <v>0.28200989860407399</v>
      </c>
      <c r="P157" s="63">
        <f t="shared" si="42"/>
        <v>0.80676855895196353</v>
      </c>
      <c r="Q157" s="64">
        <f t="shared" si="31"/>
        <v>0.80676855895196353</v>
      </c>
      <c r="R157" s="63">
        <f t="shared" si="32"/>
        <v>0.80676855895196353</v>
      </c>
      <c r="S157" s="65">
        <f t="shared" si="33"/>
        <v>0.35</v>
      </c>
      <c r="T157" s="65">
        <f t="shared" si="43"/>
        <v>1.1567685589519634</v>
      </c>
      <c r="U157" s="64">
        <f t="shared" si="44"/>
        <v>1.1567685589519634</v>
      </c>
      <c r="V157" s="63">
        <f t="shared" si="34"/>
        <v>5.1800933855497417</v>
      </c>
      <c r="W157" s="63" t="str">
        <f t="shared" si="35"/>
        <v/>
      </c>
      <c r="X157" s="63">
        <f t="shared" si="45"/>
        <v>176.13469794437199</v>
      </c>
      <c r="Y157" s="55"/>
      <c r="Z157" s="55"/>
      <c r="AA157" s="55"/>
      <c r="AB157" s="55">
        <f>PMSplint!N158</f>
        <v>4.4780724246541812</v>
      </c>
      <c r="AC157" s="55">
        <f>PMSplint!N158</f>
        <v>4.4780724246541812</v>
      </c>
      <c r="AD157" s="55">
        <f>IF(RnSplint!N158&lt;0,0,RnSplint!N158)</f>
        <v>18.115386952936028</v>
      </c>
      <c r="AE157" s="55">
        <f>IF(RnSplint!N158&lt;0,0,RnSplint!N158)</f>
        <v>18.115386952936028</v>
      </c>
      <c r="AF157" s="30"/>
      <c r="AG157" s="30"/>
      <c r="AH157" s="30"/>
      <c r="AI157" s="55"/>
      <c r="AJ157" s="55"/>
      <c r="AK157" s="55"/>
      <c r="AL157" s="55"/>
      <c r="AM157" s="55"/>
      <c r="AN157" s="55">
        <f t="shared" si="46"/>
        <v>81.12201477588296</v>
      </c>
      <c r="AO157" s="55">
        <f t="shared" si="47"/>
        <v>9.0067760478365937</v>
      </c>
      <c r="AP157" s="55">
        <f t="shared" si="48"/>
        <v>0.28200989860407399</v>
      </c>
      <c r="AQ157" s="55"/>
      <c r="AR157" s="55"/>
      <c r="AS157" s="55"/>
      <c r="AT157" s="55"/>
      <c r="AU157" s="30"/>
      <c r="AV157" s="30"/>
      <c r="AW157" s="2"/>
      <c r="AX157" s="2"/>
    </row>
    <row r="158" spans="1:50" x14ac:dyDescent="0.2">
      <c r="A158" s="2"/>
      <c r="B158" s="61">
        <f t="shared" si="36"/>
        <v>41749</v>
      </c>
      <c r="C158" s="62">
        <f t="shared" si="37"/>
        <v>110</v>
      </c>
      <c r="D158" s="63">
        <f t="shared" si="38"/>
        <v>4.5218463973103189</v>
      </c>
      <c r="G158" s="357" t="str">
        <f>IF(MakeSchedule!C125="","",MakeSchedule!C125)</f>
        <v/>
      </c>
      <c r="H158" s="358"/>
      <c r="I158" s="358"/>
      <c r="J158" s="359" t="str">
        <f>IF(MakeSchedule!B125="","",MakeSchedule!B125)</f>
        <v/>
      </c>
      <c r="K158" s="63">
        <f t="shared" si="29"/>
        <v>4.5218463973103189</v>
      </c>
      <c r="L158" s="63">
        <f t="shared" si="39"/>
        <v>4.5218463973103189</v>
      </c>
      <c r="M158" s="63">
        <f t="shared" si="40"/>
        <v>18.313718999434457</v>
      </c>
      <c r="N158" s="63" t="str">
        <f t="shared" si="30"/>
        <v/>
      </c>
      <c r="O158" s="64">
        <f t="shared" si="41"/>
        <v>0.27911780469792091</v>
      </c>
      <c r="P158" s="63">
        <f t="shared" si="42"/>
        <v>0.81200873362445258</v>
      </c>
      <c r="Q158" s="64">
        <f t="shared" si="31"/>
        <v>0.81200873362445258</v>
      </c>
      <c r="R158" s="63">
        <f t="shared" si="32"/>
        <v>0.81200873362445258</v>
      </c>
      <c r="S158" s="65">
        <f t="shared" si="33"/>
        <v>0.35</v>
      </c>
      <c r="T158" s="65">
        <f t="shared" si="43"/>
        <v>1.1620087336244525</v>
      </c>
      <c r="U158" s="64">
        <f t="shared" si="44"/>
        <v>1.1620087336244525</v>
      </c>
      <c r="V158" s="63">
        <f t="shared" si="34"/>
        <v>5.2544250057828563</v>
      </c>
      <c r="W158" s="63" t="str">
        <f t="shared" si="35"/>
        <v/>
      </c>
      <c r="X158" s="63">
        <f t="shared" si="45"/>
        <v>181.38912295015484</v>
      </c>
      <c r="Y158" s="55"/>
      <c r="Z158" s="55"/>
      <c r="AA158" s="55"/>
      <c r="AB158" s="55">
        <f>PMSplint!N159</f>
        <v>4.5218463973103189</v>
      </c>
      <c r="AC158" s="55">
        <f>PMSplint!N159</f>
        <v>4.5218463973103189</v>
      </c>
      <c r="AD158" s="55">
        <f>IF(RnSplint!N159&lt;0,0,RnSplint!N159)</f>
        <v>18.313718999434457</v>
      </c>
      <c r="AE158" s="55">
        <f>IF(RnSplint!N159&lt;0,0,RnSplint!N159)</f>
        <v>18.313718999434457</v>
      </c>
      <c r="AF158" s="30"/>
      <c r="AG158" s="30"/>
      <c r="AH158" s="30"/>
      <c r="AI158" s="55"/>
      <c r="AJ158" s="55"/>
      <c r="AK158" s="55"/>
      <c r="AL158" s="55"/>
      <c r="AM158" s="55"/>
      <c r="AN158" s="55">
        <f t="shared" si="46"/>
        <v>82.811824278946233</v>
      </c>
      <c r="AO158" s="55">
        <f t="shared" si="47"/>
        <v>9.1001002345549047</v>
      </c>
      <c r="AP158" s="55">
        <f t="shared" si="48"/>
        <v>0.27911780469792091</v>
      </c>
      <c r="AQ158" s="55"/>
      <c r="AR158" s="55"/>
      <c r="AS158" s="55"/>
      <c r="AT158" s="55"/>
      <c r="AU158" s="30"/>
      <c r="AV158" s="30"/>
      <c r="AW158" s="2"/>
      <c r="AX158" s="2"/>
    </row>
    <row r="159" spans="1:50" x14ac:dyDescent="0.2">
      <c r="A159" s="2"/>
      <c r="B159" s="61">
        <f t="shared" si="36"/>
        <v>41750</v>
      </c>
      <c r="C159" s="62">
        <f t="shared" si="37"/>
        <v>111</v>
      </c>
      <c r="D159" s="63">
        <f t="shared" si="38"/>
        <v>4.5645528158461053</v>
      </c>
      <c r="G159" s="357" t="str">
        <f>IF(MakeSchedule!C126="","",MakeSchedule!C126)</f>
        <v/>
      </c>
      <c r="H159" s="358"/>
      <c r="I159" s="358"/>
      <c r="J159" s="359" t="str">
        <f>IF(MakeSchedule!B126="","",MakeSchedule!B126)</f>
        <v/>
      </c>
      <c r="K159" s="63">
        <f t="shared" si="29"/>
        <v>4.5645528158461053</v>
      </c>
      <c r="L159" s="63">
        <f t="shared" si="39"/>
        <v>4.5645528158461053</v>
      </c>
      <c r="M159" s="63">
        <f t="shared" si="40"/>
        <v>18.490289189351635</v>
      </c>
      <c r="N159" s="63" t="str">
        <f t="shared" si="30"/>
        <v/>
      </c>
      <c r="O159" s="64">
        <f t="shared" si="41"/>
        <v>0.27647937975186399</v>
      </c>
      <c r="P159" s="63">
        <f t="shared" si="42"/>
        <v>0.81724890829694163</v>
      </c>
      <c r="Q159" s="64">
        <f t="shared" si="31"/>
        <v>0.81724890829694163</v>
      </c>
      <c r="R159" s="63">
        <f t="shared" si="32"/>
        <v>0.81724890829694163</v>
      </c>
      <c r="S159" s="65">
        <f t="shared" si="33"/>
        <v>0.35</v>
      </c>
      <c r="T159" s="65">
        <f t="shared" si="43"/>
        <v>1.1672489082969415</v>
      </c>
      <c r="U159" s="64">
        <f t="shared" si="44"/>
        <v>1.1672489082969415</v>
      </c>
      <c r="V159" s="63">
        <f t="shared" si="34"/>
        <v>5.3279692911600964</v>
      </c>
      <c r="W159" s="63" t="str">
        <f t="shared" si="35"/>
        <v/>
      </c>
      <c r="X159" s="63">
        <f t="shared" si="45"/>
        <v>186.71709224131493</v>
      </c>
      <c r="Y159" s="55"/>
      <c r="Z159" s="55"/>
      <c r="AA159" s="55"/>
      <c r="AB159" s="55">
        <f>PMSplint!N160</f>
        <v>4.5645528158461053</v>
      </c>
      <c r="AC159" s="55">
        <f>PMSplint!N160</f>
        <v>4.5645528158461053</v>
      </c>
      <c r="AD159" s="55">
        <f>IF(RnSplint!N160&lt;0,0,RnSplint!N160)</f>
        <v>18.490289189351635</v>
      </c>
      <c r="AE159" s="55">
        <f>IF(RnSplint!N160&lt;0,0,RnSplint!N160)</f>
        <v>18.490289189351635</v>
      </c>
      <c r="AF159" s="30"/>
      <c r="AG159" s="30"/>
      <c r="AH159" s="30"/>
      <c r="AI159" s="55"/>
      <c r="AJ159" s="55"/>
      <c r="AK159" s="55"/>
      <c r="AL159" s="55"/>
      <c r="AM159" s="55"/>
      <c r="AN159" s="55">
        <f t="shared" si="46"/>
        <v>84.399901585063802</v>
      </c>
      <c r="AO159" s="55">
        <f t="shared" si="47"/>
        <v>9.1869419060459823</v>
      </c>
      <c r="AP159" s="55">
        <f t="shared" si="48"/>
        <v>0.27647937975186399</v>
      </c>
      <c r="AQ159" s="55"/>
      <c r="AR159" s="55"/>
      <c r="AS159" s="55"/>
      <c r="AT159" s="55"/>
      <c r="AU159" s="30"/>
      <c r="AV159" s="30"/>
      <c r="AW159" s="2"/>
      <c r="AX159" s="2"/>
    </row>
    <row r="160" spans="1:50" x14ac:dyDescent="0.2">
      <c r="A160" s="2"/>
      <c r="B160" s="61">
        <f t="shared" si="36"/>
        <v>41751</v>
      </c>
      <c r="C160" s="62">
        <f t="shared" si="37"/>
        <v>112</v>
      </c>
      <c r="D160" s="63">
        <f t="shared" si="38"/>
        <v>4.6062611405408038</v>
      </c>
      <c r="G160" s="357" t="str">
        <f>IF(MakeSchedule!C127="","",MakeSchedule!C127)</f>
        <v/>
      </c>
      <c r="H160" s="358"/>
      <c r="I160" s="358"/>
      <c r="J160" s="359" t="str">
        <f>IF(MakeSchedule!B127="","",MakeSchedule!B127)</f>
        <v/>
      </c>
      <c r="K160" s="63">
        <f t="shared" si="29"/>
        <v>4.6062611405408038</v>
      </c>
      <c r="L160" s="63">
        <f t="shared" si="39"/>
        <v>4.6062611405408038</v>
      </c>
      <c r="M160" s="63">
        <f t="shared" si="40"/>
        <v>18.646692139354091</v>
      </c>
      <c r="N160" s="63" t="str">
        <f t="shared" si="30"/>
        <v/>
      </c>
      <c r="O160" s="64">
        <f t="shared" si="41"/>
        <v>0.27406813124639212</v>
      </c>
      <c r="P160" s="63">
        <f t="shared" si="42"/>
        <v>0.82248908296943068</v>
      </c>
      <c r="Q160" s="64">
        <f t="shared" si="31"/>
        <v>0.82248908296943068</v>
      </c>
      <c r="R160" s="63">
        <f t="shared" si="32"/>
        <v>0.82248908296943068</v>
      </c>
      <c r="S160" s="65">
        <f t="shared" si="33"/>
        <v>0.35</v>
      </c>
      <c r="T160" s="65">
        <f t="shared" si="43"/>
        <v>1.1724890829694306</v>
      </c>
      <c r="U160" s="64">
        <f t="shared" si="44"/>
        <v>1.1724890829694306</v>
      </c>
      <c r="V160" s="63">
        <f t="shared" si="34"/>
        <v>5.40079090059041</v>
      </c>
      <c r="W160" s="63" t="str">
        <f t="shared" si="35"/>
        <v/>
      </c>
      <c r="X160" s="63">
        <f t="shared" si="45"/>
        <v>192.11788314190534</v>
      </c>
      <c r="Y160" s="55"/>
      <c r="Z160" s="55"/>
      <c r="AA160" s="55"/>
      <c r="AB160" s="55">
        <f>PMSplint!N161</f>
        <v>4.6062611405408038</v>
      </c>
      <c r="AC160" s="55">
        <f>PMSplint!N161</f>
        <v>4.6062611405408038</v>
      </c>
      <c r="AD160" s="55">
        <f>IF(RnSplint!N161&lt;0,0,RnSplint!N161)</f>
        <v>18.646692139354091</v>
      </c>
      <c r="AE160" s="55">
        <f>IF(RnSplint!N161&lt;0,0,RnSplint!N161)</f>
        <v>18.646692139354091</v>
      </c>
      <c r="AF160" s="30"/>
      <c r="AG160" s="30"/>
      <c r="AH160" s="30"/>
      <c r="AI160" s="55"/>
      <c r="AJ160" s="55"/>
      <c r="AK160" s="55"/>
      <c r="AL160" s="55"/>
      <c r="AM160" s="55"/>
      <c r="AN160" s="55">
        <f t="shared" si="46"/>
        <v>85.89153340113441</v>
      </c>
      <c r="AO160" s="55">
        <f t="shared" si="47"/>
        <v>9.2677685232818803</v>
      </c>
      <c r="AP160" s="55">
        <f t="shared" si="48"/>
        <v>0.27406813124639212</v>
      </c>
      <c r="AQ160" s="55"/>
      <c r="AR160" s="55"/>
      <c r="AS160" s="55"/>
      <c r="AT160" s="55"/>
      <c r="AU160" s="30"/>
      <c r="AV160" s="30"/>
      <c r="AW160" s="2"/>
      <c r="AX160" s="2"/>
    </row>
    <row r="161" spans="1:50" x14ac:dyDescent="0.2">
      <c r="A161" s="2"/>
      <c r="B161" s="61">
        <f t="shared" si="36"/>
        <v>41752</v>
      </c>
      <c r="C161" s="62">
        <f t="shared" si="37"/>
        <v>113</v>
      </c>
      <c r="D161" s="63">
        <f t="shared" si="38"/>
        <v>4.64704083167367</v>
      </c>
      <c r="G161" s="357" t="str">
        <f>IF(MakeSchedule!C128="","",MakeSchedule!C128)</f>
        <v/>
      </c>
      <c r="H161" s="358"/>
      <c r="I161" s="358"/>
      <c r="J161" s="359" t="str">
        <f>IF(MakeSchedule!B128="","",MakeSchedule!B128)</f>
        <v/>
      </c>
      <c r="K161" s="63">
        <f t="shared" si="29"/>
        <v>4.64704083167367</v>
      </c>
      <c r="L161" s="63">
        <f t="shared" si="39"/>
        <v>4.64704083167367</v>
      </c>
      <c r="M161" s="63">
        <f t="shared" si="40"/>
        <v>18.784522466108317</v>
      </c>
      <c r="N161" s="63" t="str">
        <f t="shared" si="30"/>
        <v/>
      </c>
      <c r="O161" s="64">
        <f t="shared" si="41"/>
        <v>0.27186005026578319</v>
      </c>
      <c r="P161" s="63">
        <f t="shared" si="42"/>
        <v>0.82772925764191974</v>
      </c>
      <c r="Q161" s="64">
        <f t="shared" si="31"/>
        <v>0.82772925764191974</v>
      </c>
      <c r="R161" s="63">
        <f t="shared" si="32"/>
        <v>0.82772925764191974</v>
      </c>
      <c r="S161" s="65">
        <f t="shared" si="33"/>
        <v>0.35</v>
      </c>
      <c r="T161" s="65">
        <f t="shared" si="43"/>
        <v>1.1777292576419196</v>
      </c>
      <c r="U161" s="64">
        <f t="shared" si="44"/>
        <v>1.1777292576419196</v>
      </c>
      <c r="V161" s="63">
        <f t="shared" si="34"/>
        <v>5.4729559489187203</v>
      </c>
      <c r="W161" s="63" t="str">
        <f t="shared" si="35"/>
        <v/>
      </c>
      <c r="X161" s="63">
        <f t="shared" si="45"/>
        <v>197.59083909082406</v>
      </c>
      <c r="Y161" s="55"/>
      <c r="Z161" s="55"/>
      <c r="AA161" s="55"/>
      <c r="AB161" s="55">
        <f>PMSplint!N162</f>
        <v>4.64704083167367</v>
      </c>
      <c r="AC161" s="55">
        <f>PMSplint!N162</f>
        <v>4.64704083167367</v>
      </c>
      <c r="AD161" s="55">
        <f>IF(RnSplint!N162&lt;0,0,RnSplint!N162)</f>
        <v>18.784522466108317</v>
      </c>
      <c r="AE161" s="55">
        <f>IF(RnSplint!N162&lt;0,0,RnSplint!N162)</f>
        <v>18.784522466108317</v>
      </c>
      <c r="AF161" s="30"/>
      <c r="AG161" s="30"/>
      <c r="AH161" s="30"/>
      <c r="AI161" s="55"/>
      <c r="AJ161" s="55"/>
      <c r="AK161" s="55"/>
      <c r="AL161" s="55"/>
      <c r="AM161" s="55"/>
      <c r="AN161" s="55">
        <f t="shared" si="46"/>
        <v>87.292442903496735</v>
      </c>
      <c r="AO161" s="55">
        <f t="shared" si="47"/>
        <v>9.3430424864439487</v>
      </c>
      <c r="AP161" s="55">
        <f t="shared" si="48"/>
        <v>0.27186005026578319</v>
      </c>
      <c r="AQ161" s="55"/>
      <c r="AR161" s="55"/>
      <c r="AS161" s="55"/>
      <c r="AT161" s="55"/>
      <c r="AU161" s="30"/>
      <c r="AV161" s="30"/>
      <c r="AW161" s="2"/>
      <c r="AX161" s="2"/>
    </row>
    <row r="162" spans="1:50" x14ac:dyDescent="0.2">
      <c r="A162" s="2"/>
      <c r="B162" s="61">
        <f t="shared" si="36"/>
        <v>41753</v>
      </c>
      <c r="C162" s="62">
        <f t="shared" si="37"/>
        <v>114</v>
      </c>
      <c r="D162" s="63">
        <f t="shared" si="38"/>
        <v>4.6869613495239664</v>
      </c>
      <c r="G162" s="357" t="str">
        <f>IF(MakeSchedule!C129="","",MakeSchedule!C129)</f>
        <v/>
      </c>
      <c r="H162" s="358"/>
      <c r="I162" s="358"/>
      <c r="J162" s="359" t="str">
        <f>IF(MakeSchedule!B129="","",MakeSchedule!B129)</f>
        <v/>
      </c>
      <c r="K162" s="63">
        <f t="shared" si="29"/>
        <v>4.6869613495239664</v>
      </c>
      <c r="L162" s="63">
        <f t="shared" si="39"/>
        <v>4.6869613495239664</v>
      </c>
      <c r="M162" s="63">
        <f t="shared" si="40"/>
        <v>18.905374786280831</v>
      </c>
      <c r="N162" s="63" t="str">
        <f t="shared" si="30"/>
        <v/>
      </c>
      <c r="O162" s="64">
        <f t="shared" si="41"/>
        <v>0.2698332006657907</v>
      </c>
      <c r="P162" s="63">
        <f t="shared" si="42"/>
        <v>0.83296943231440879</v>
      </c>
      <c r="Q162" s="64">
        <f t="shared" si="31"/>
        <v>0.83296943231440879</v>
      </c>
      <c r="R162" s="63">
        <f t="shared" si="32"/>
        <v>0.83296943231440879</v>
      </c>
      <c r="S162" s="65">
        <f t="shared" si="33"/>
        <v>0.35</v>
      </c>
      <c r="T162" s="65">
        <f t="shared" si="43"/>
        <v>1.1829694323144087</v>
      </c>
      <c r="U162" s="64">
        <f t="shared" si="44"/>
        <v>1.1829694323144087</v>
      </c>
      <c r="V162" s="63">
        <f t="shared" si="34"/>
        <v>5.5445320069259409</v>
      </c>
      <c r="W162" s="63" t="str">
        <f t="shared" si="35"/>
        <v/>
      </c>
      <c r="X162" s="63">
        <f t="shared" si="45"/>
        <v>203.13537109775001</v>
      </c>
      <c r="Y162" s="55"/>
      <c r="Z162" s="55"/>
      <c r="AA162" s="55"/>
      <c r="AB162" s="55">
        <f>PMSplint!N163</f>
        <v>4.6869613495239664</v>
      </c>
      <c r="AC162" s="55">
        <f>PMSplint!N163</f>
        <v>4.6869613495239664</v>
      </c>
      <c r="AD162" s="55">
        <f>IF(RnSplint!N163&lt;0,0,RnSplint!N163)</f>
        <v>18.905374786280831</v>
      </c>
      <c r="AE162" s="55">
        <f>IF(RnSplint!N163&lt;0,0,RnSplint!N163)</f>
        <v>18.905374786280831</v>
      </c>
      <c r="AF162" s="30"/>
      <c r="AG162" s="30"/>
      <c r="AH162" s="30"/>
      <c r="AI162" s="55"/>
      <c r="AJ162" s="55"/>
      <c r="AK162" s="55"/>
      <c r="AL162" s="55"/>
      <c r="AM162" s="55"/>
      <c r="AN162" s="55">
        <f t="shared" si="46"/>
        <v>88.608760921563174</v>
      </c>
      <c r="AO162" s="55">
        <f t="shared" si="47"/>
        <v>9.4132226639744996</v>
      </c>
      <c r="AP162" s="55">
        <f t="shared" si="48"/>
        <v>0.2698332006657907</v>
      </c>
      <c r="AQ162" s="55"/>
      <c r="AR162" s="55"/>
      <c r="AS162" s="55"/>
      <c r="AT162" s="55"/>
      <c r="AU162" s="30"/>
      <c r="AV162" s="30"/>
      <c r="AW162" s="2"/>
      <c r="AX162" s="2"/>
    </row>
    <row r="163" spans="1:50" x14ac:dyDescent="0.2">
      <c r="A163" s="2"/>
      <c r="B163" s="61">
        <f t="shared" si="36"/>
        <v>41754</v>
      </c>
      <c r="C163" s="62">
        <f t="shared" si="37"/>
        <v>115</v>
      </c>
      <c r="D163" s="63">
        <f t="shared" si="38"/>
        <v>4.7260921543709484</v>
      </c>
      <c r="G163" s="357" t="str">
        <f>IF(MakeSchedule!C130="","",MakeSchedule!C130)</f>
        <v/>
      </c>
      <c r="H163" s="358"/>
      <c r="I163" s="358"/>
      <c r="J163" s="359" t="str">
        <f>IF(MakeSchedule!B130="","",MakeSchedule!B130)</f>
        <v/>
      </c>
      <c r="K163" s="63">
        <f t="shared" si="29"/>
        <v>4.7260921543709484</v>
      </c>
      <c r="L163" s="63">
        <f t="shared" si="39"/>
        <v>4.7260921543709484</v>
      </c>
      <c r="M163" s="63">
        <f t="shared" si="40"/>
        <v>19.010843716538137</v>
      </c>
      <c r="N163" s="63" t="str">
        <f t="shared" si="30"/>
        <v/>
      </c>
      <c r="O163" s="64">
        <f t="shared" si="41"/>
        <v>0.26796737870670484</v>
      </c>
      <c r="P163" s="63">
        <f t="shared" si="42"/>
        <v>0.83820960698689784</v>
      </c>
      <c r="Q163" s="64">
        <f t="shared" si="31"/>
        <v>0.83820960698689784</v>
      </c>
      <c r="R163" s="63">
        <f t="shared" si="32"/>
        <v>0.83820960698689784</v>
      </c>
      <c r="S163" s="65">
        <f t="shared" si="33"/>
        <v>0.35</v>
      </c>
      <c r="T163" s="65">
        <f t="shared" si="43"/>
        <v>1.1882096069868977</v>
      </c>
      <c r="U163" s="64">
        <f t="shared" si="44"/>
        <v>1.1882096069868977</v>
      </c>
      <c r="V163" s="63">
        <f t="shared" si="34"/>
        <v>5.6155881013289655</v>
      </c>
      <c r="W163" s="63" t="str">
        <f t="shared" si="35"/>
        <v/>
      </c>
      <c r="X163" s="63">
        <f t="shared" si="45"/>
        <v>208.75095919907898</v>
      </c>
      <c r="Y163" s="55"/>
      <c r="Z163" s="55"/>
      <c r="AA163" s="55"/>
      <c r="AB163" s="55">
        <f>PMSplint!N164</f>
        <v>4.7260921543709484</v>
      </c>
      <c r="AC163" s="55">
        <f>PMSplint!N164</f>
        <v>4.7260921543709484</v>
      </c>
      <c r="AD163" s="55">
        <f>IF(RnSplint!N164&lt;0,0,RnSplint!N164)</f>
        <v>19.010843716538137</v>
      </c>
      <c r="AE163" s="55">
        <f>IF(RnSplint!N164&lt;0,0,RnSplint!N164)</f>
        <v>19.010843716538137</v>
      </c>
      <c r="AF163" s="30"/>
      <c r="AG163" s="30"/>
      <c r="AH163" s="30"/>
      <c r="AI163" s="55"/>
      <c r="AJ163" s="55"/>
      <c r="AK163" s="55"/>
      <c r="AL163" s="55"/>
      <c r="AM163" s="55"/>
      <c r="AN163" s="55">
        <f t="shared" si="46"/>
        <v>89.846999336703135</v>
      </c>
      <c r="AO163" s="55">
        <f t="shared" si="47"/>
        <v>9.4787657074485772</v>
      </c>
      <c r="AP163" s="55">
        <f t="shared" si="48"/>
        <v>0.26796737870670484</v>
      </c>
      <c r="AQ163" s="55"/>
      <c r="AR163" s="55"/>
      <c r="AS163" s="55"/>
      <c r="AT163" s="55"/>
      <c r="AU163" s="30"/>
      <c r="AV163" s="30"/>
      <c r="AW163" s="2"/>
      <c r="AX163" s="2"/>
    </row>
    <row r="164" spans="1:50" x14ac:dyDescent="0.2">
      <c r="A164" s="2"/>
      <c r="B164" s="61">
        <f t="shared" si="36"/>
        <v>41755</v>
      </c>
      <c r="C164" s="62">
        <f t="shared" si="37"/>
        <v>116</v>
      </c>
      <c r="D164" s="63">
        <f t="shared" si="38"/>
        <v>4.7645027064938796</v>
      </c>
      <c r="G164" s="357" t="str">
        <f>IF(MakeSchedule!C131="","",MakeSchedule!C131)</f>
        <v/>
      </c>
      <c r="H164" s="358"/>
      <c r="I164" s="358"/>
      <c r="J164" s="359" t="str">
        <f>IF(MakeSchedule!B131="","",MakeSchedule!B131)</f>
        <v/>
      </c>
      <c r="K164" s="63">
        <f t="shared" si="29"/>
        <v>4.7645027064938796</v>
      </c>
      <c r="L164" s="63">
        <f t="shared" si="39"/>
        <v>4.7645027064938796</v>
      </c>
      <c r="M164" s="63">
        <f t="shared" si="40"/>
        <v>19.102523873546751</v>
      </c>
      <c r="N164" s="63" t="str">
        <f t="shared" si="30"/>
        <v/>
      </c>
      <c r="O164" s="64">
        <f t="shared" si="41"/>
        <v>0.26624382996985563</v>
      </c>
      <c r="P164" s="63">
        <f t="shared" si="42"/>
        <v>0.84344978165938689</v>
      </c>
      <c r="Q164" s="64">
        <f t="shared" si="31"/>
        <v>0.84344978165938689</v>
      </c>
      <c r="R164" s="63">
        <f t="shared" si="32"/>
        <v>0.84344978165938689</v>
      </c>
      <c r="S164" s="65">
        <f t="shared" si="33"/>
        <v>0.35</v>
      </c>
      <c r="T164" s="65">
        <f t="shared" si="43"/>
        <v>1.1934497816593868</v>
      </c>
      <c r="U164" s="64">
        <f t="shared" si="44"/>
        <v>1.1934497816593868</v>
      </c>
      <c r="V164" s="63">
        <f t="shared" si="34"/>
        <v>5.6861947147806777</v>
      </c>
      <c r="W164" s="63" t="str">
        <f t="shared" si="35"/>
        <v/>
      </c>
      <c r="X164" s="63">
        <f t="shared" si="45"/>
        <v>214.43715391385965</v>
      </c>
      <c r="Y164" s="55"/>
      <c r="Z164" s="55"/>
      <c r="AA164" s="55"/>
      <c r="AB164" s="55">
        <f>PMSplint!N165</f>
        <v>4.7645027064938796</v>
      </c>
      <c r="AC164" s="55">
        <f>PMSplint!N165</f>
        <v>4.7645027064938796</v>
      </c>
      <c r="AD164" s="55">
        <f>IF(RnSplint!N165&lt;0,0,RnSplint!N165)</f>
        <v>19.102523873546751</v>
      </c>
      <c r="AE164" s="55">
        <f>IF(RnSplint!N165&lt;0,0,RnSplint!N165)</f>
        <v>19.102523873546751</v>
      </c>
      <c r="AF164" s="30"/>
      <c r="AG164" s="30"/>
      <c r="AH164" s="30"/>
      <c r="AI164" s="55"/>
      <c r="AJ164" s="55"/>
      <c r="AK164" s="55"/>
      <c r="AL164" s="55"/>
      <c r="AM164" s="55"/>
      <c r="AN164" s="55">
        <f t="shared" si="46"/>
        <v>91.014026696377442</v>
      </c>
      <c r="AO164" s="55">
        <f t="shared" si="47"/>
        <v>9.5401271844969369</v>
      </c>
      <c r="AP164" s="55">
        <f t="shared" si="48"/>
        <v>0.26624382996985563</v>
      </c>
      <c r="AQ164" s="55"/>
      <c r="AR164" s="55"/>
      <c r="AS164" s="55"/>
      <c r="AT164" s="55"/>
      <c r="AU164" s="30"/>
      <c r="AV164" s="30"/>
      <c r="AW164" s="2"/>
      <c r="AX164" s="2"/>
    </row>
    <row r="165" spans="1:50" x14ac:dyDescent="0.2">
      <c r="A165" s="2"/>
      <c r="B165" s="61">
        <f t="shared" si="36"/>
        <v>41756</v>
      </c>
      <c r="C165" s="62">
        <f t="shared" si="37"/>
        <v>117</v>
      </c>
      <c r="D165" s="63">
        <f t="shared" si="38"/>
        <v>4.8022624661720164</v>
      </c>
      <c r="G165" s="357" t="str">
        <f>IF(MakeSchedule!C132="","",MakeSchedule!C132)</f>
        <v/>
      </c>
      <c r="H165" s="358"/>
      <c r="I165" s="358"/>
      <c r="J165" s="359" t="str">
        <f>IF(MakeSchedule!B132="","",MakeSchedule!B132)</f>
        <v/>
      </c>
      <c r="K165" s="63">
        <f t="shared" si="29"/>
        <v>4.8022624661720164</v>
      </c>
      <c r="L165" s="63">
        <f t="shared" si="39"/>
        <v>4.8022624661720164</v>
      </c>
      <c r="M165" s="63">
        <f t="shared" si="40"/>
        <v>19.182009873973179</v>
      </c>
      <c r="N165" s="63" t="str">
        <f t="shared" si="30"/>
        <v/>
      </c>
      <c r="O165" s="64">
        <f t="shared" si="41"/>
        <v>0.26464501342906527</v>
      </c>
      <c r="P165" s="63">
        <f t="shared" si="42"/>
        <v>0.84868995633187594</v>
      </c>
      <c r="Q165" s="64">
        <f t="shared" si="31"/>
        <v>0.84868995633187594</v>
      </c>
      <c r="R165" s="63">
        <f t="shared" si="32"/>
        <v>0.84868995633187594</v>
      </c>
      <c r="S165" s="65">
        <f t="shared" si="33"/>
        <v>0.35</v>
      </c>
      <c r="T165" s="65">
        <f t="shared" si="43"/>
        <v>1.1986899563318758</v>
      </c>
      <c r="U165" s="64">
        <f t="shared" si="44"/>
        <v>1.1986899563318758</v>
      </c>
      <c r="V165" s="63">
        <f t="shared" si="34"/>
        <v>5.7564237858699405</v>
      </c>
      <c r="W165" s="63" t="str">
        <f t="shared" si="35"/>
        <v/>
      </c>
      <c r="X165" s="63">
        <f t="shared" si="45"/>
        <v>220.19357769972959</v>
      </c>
      <c r="Y165" s="55"/>
      <c r="Z165" s="55"/>
      <c r="AA165" s="55"/>
      <c r="AB165" s="55">
        <f>PMSplint!N166</f>
        <v>4.8022624661720164</v>
      </c>
      <c r="AC165" s="55">
        <f>PMSplint!N166</f>
        <v>4.8022624661720164</v>
      </c>
      <c r="AD165" s="55">
        <f>IF(RnSplint!N166&lt;0,0,RnSplint!N166)</f>
        <v>19.182009873973179</v>
      </c>
      <c r="AE165" s="55">
        <f>IF(RnSplint!N166&lt;0,0,RnSplint!N166)</f>
        <v>19.182009873973179</v>
      </c>
      <c r="AF165" s="30"/>
      <c r="AG165" s="30"/>
      <c r="AH165" s="30"/>
      <c r="AI165" s="55"/>
      <c r="AJ165" s="55"/>
      <c r="AK165" s="55"/>
      <c r="AL165" s="55"/>
      <c r="AM165" s="55"/>
      <c r="AN165" s="55">
        <f t="shared" si="46"/>
        <v>92.117046043522407</v>
      </c>
      <c r="AO165" s="55">
        <f t="shared" si="47"/>
        <v>9.5977625540290585</v>
      </c>
      <c r="AP165" s="55">
        <f t="shared" si="48"/>
        <v>0.26464501342906527</v>
      </c>
      <c r="AQ165" s="55"/>
      <c r="AR165" s="55"/>
      <c r="AS165" s="55"/>
      <c r="AT165" s="55"/>
      <c r="AU165" s="30"/>
      <c r="AV165" s="30"/>
      <c r="AW165" s="2"/>
      <c r="AX165" s="2"/>
    </row>
    <row r="166" spans="1:50" x14ac:dyDescent="0.2">
      <c r="A166" s="2"/>
      <c r="B166" s="61">
        <f t="shared" si="36"/>
        <v>41757</v>
      </c>
      <c r="C166" s="62">
        <f t="shared" si="37"/>
        <v>118</v>
      </c>
      <c r="D166" s="63">
        <f t="shared" si="38"/>
        <v>4.8394408936846185</v>
      </c>
      <c r="G166" s="357" t="str">
        <f>IF(MakeSchedule!C133="","",MakeSchedule!C133)</f>
        <v/>
      </c>
      <c r="H166" s="358"/>
      <c r="I166" s="358"/>
      <c r="J166" s="359" t="str">
        <f>IF(MakeSchedule!B133="","",MakeSchedule!B133)</f>
        <v/>
      </c>
      <c r="K166" s="63">
        <f t="shared" si="29"/>
        <v>4.8394408936846185</v>
      </c>
      <c r="L166" s="63">
        <f t="shared" si="39"/>
        <v>4.8394408936846185</v>
      </c>
      <c r="M166" s="63">
        <f t="shared" si="40"/>
        <v>19.250896334483926</v>
      </c>
      <c r="N166" s="63" t="str">
        <f t="shared" si="30"/>
        <v/>
      </c>
      <c r="O166" s="64">
        <f t="shared" si="41"/>
        <v>0.26315440486832137</v>
      </c>
      <c r="P166" s="63">
        <f t="shared" si="42"/>
        <v>0.85393013100436499</v>
      </c>
      <c r="Q166" s="64">
        <f t="shared" si="31"/>
        <v>0.85393013100436499</v>
      </c>
      <c r="R166" s="63">
        <f t="shared" si="32"/>
        <v>0.85393013100436499</v>
      </c>
      <c r="S166" s="65">
        <f t="shared" si="33"/>
        <v>0.35</v>
      </c>
      <c r="T166" s="65">
        <f t="shared" si="43"/>
        <v>1.2</v>
      </c>
      <c r="U166" s="64">
        <f t="shared" si="44"/>
        <v>1.2</v>
      </c>
      <c r="V166" s="63">
        <f t="shared" si="34"/>
        <v>5.8073290724215418</v>
      </c>
      <c r="W166" s="63" t="str">
        <f t="shared" si="35"/>
        <v/>
      </c>
      <c r="X166" s="63">
        <f t="shared" si="45"/>
        <v>226.00090677215113</v>
      </c>
      <c r="Y166" s="55"/>
      <c r="Z166" s="55"/>
      <c r="AA166" s="55"/>
      <c r="AB166" s="55">
        <f>PMSplint!N167</f>
        <v>4.8394408936846185</v>
      </c>
      <c r="AC166" s="55">
        <f>PMSplint!N167</f>
        <v>4.8394408936846185</v>
      </c>
      <c r="AD166" s="55">
        <f>IF(RnSplint!N167&lt;0,0,RnSplint!N167)</f>
        <v>19.250896334483926</v>
      </c>
      <c r="AE166" s="55">
        <f>IF(RnSplint!N167&lt;0,0,RnSplint!N167)</f>
        <v>19.250896334483926</v>
      </c>
      <c r="AF166" s="30"/>
      <c r="AG166" s="30"/>
      <c r="AH166" s="30"/>
      <c r="AI166" s="55"/>
      <c r="AJ166" s="55"/>
      <c r="AK166" s="55"/>
      <c r="AL166" s="55"/>
      <c r="AM166" s="55"/>
      <c r="AN166" s="55">
        <f t="shared" si="46"/>
        <v>93.163574961184835</v>
      </c>
      <c r="AO166" s="55">
        <f t="shared" si="47"/>
        <v>9.6521280016991504</v>
      </c>
      <c r="AP166" s="55">
        <f t="shared" si="48"/>
        <v>0.26315440486832137</v>
      </c>
      <c r="AQ166" s="55"/>
      <c r="AR166" s="55"/>
      <c r="AS166" s="55"/>
      <c r="AT166" s="55"/>
      <c r="AU166" s="30"/>
      <c r="AV166" s="30"/>
      <c r="AW166" s="2"/>
      <c r="AX166" s="2"/>
    </row>
    <row r="167" spans="1:50" x14ac:dyDescent="0.2">
      <c r="A167" s="2"/>
      <c r="B167" s="61">
        <f t="shared" si="36"/>
        <v>41758</v>
      </c>
      <c r="C167" s="62">
        <f t="shared" si="37"/>
        <v>119</v>
      </c>
      <c r="D167" s="63">
        <f t="shared" si="38"/>
        <v>4.8761074493109486</v>
      </c>
      <c r="G167" s="357" t="str">
        <f>IF(MakeSchedule!C134="","",MakeSchedule!C134)</f>
        <v/>
      </c>
      <c r="H167" s="358"/>
      <c r="I167" s="358"/>
      <c r="J167" s="359" t="str">
        <f>IF(MakeSchedule!B134="","",MakeSchedule!B134)</f>
        <v/>
      </c>
      <c r="K167" s="63">
        <f t="shared" si="29"/>
        <v>4.8761074493109486</v>
      </c>
      <c r="L167" s="63">
        <f t="shared" si="39"/>
        <v>4.8761074493109486</v>
      </c>
      <c r="M167" s="63">
        <f t="shared" si="40"/>
        <v>19.310777871745504</v>
      </c>
      <c r="N167" s="63" t="str">
        <f t="shared" si="30"/>
        <v/>
      </c>
      <c r="O167" s="64">
        <f t="shared" si="41"/>
        <v>0.26175633361405604</v>
      </c>
      <c r="P167" s="63">
        <f t="shared" si="42"/>
        <v>0.85917030567685404</v>
      </c>
      <c r="Q167" s="64">
        <f t="shared" si="31"/>
        <v>0.85917030567685404</v>
      </c>
      <c r="R167" s="63">
        <f t="shared" si="32"/>
        <v>0.85917030567685404</v>
      </c>
      <c r="S167" s="65">
        <f t="shared" si="33"/>
        <v>0.35</v>
      </c>
      <c r="T167" s="65">
        <f t="shared" si="43"/>
        <v>1.2</v>
      </c>
      <c r="U167" s="64">
        <f t="shared" si="44"/>
        <v>1.2</v>
      </c>
      <c r="V167" s="63">
        <f t="shared" si="34"/>
        <v>5.851328939173138</v>
      </c>
      <c r="W167" s="63" t="str">
        <f t="shared" si="35"/>
        <v/>
      </c>
      <c r="X167" s="63">
        <f t="shared" si="45"/>
        <v>231.85223571132425</v>
      </c>
      <c r="Y167" s="55"/>
      <c r="Z167" s="55"/>
      <c r="AA167" s="55"/>
      <c r="AB167" s="55">
        <f>PMSplint!N168</f>
        <v>4.8761074493109486</v>
      </c>
      <c r="AC167" s="55">
        <f>PMSplint!N168</f>
        <v>4.8761074493109486</v>
      </c>
      <c r="AD167" s="55">
        <f>IF(RnSplint!N168&lt;0,0,RnSplint!N168)</f>
        <v>19.310777871745504</v>
      </c>
      <c r="AE167" s="55">
        <f>IF(RnSplint!N168&lt;0,0,RnSplint!N168)</f>
        <v>19.310777871745504</v>
      </c>
      <c r="AF167" s="30"/>
      <c r="AG167" s="30"/>
      <c r="AH167" s="30"/>
      <c r="AI167" s="55"/>
      <c r="AJ167" s="55"/>
      <c r="AK167" s="55"/>
      <c r="AL167" s="55"/>
      <c r="AM167" s="55"/>
      <c r="AN167" s="55">
        <f t="shared" si="46"/>
        <v>94.161427832407284</v>
      </c>
      <c r="AO167" s="55">
        <f t="shared" si="47"/>
        <v>9.7036811485336472</v>
      </c>
      <c r="AP167" s="55">
        <f t="shared" si="48"/>
        <v>0.26175633361405604</v>
      </c>
      <c r="AQ167" s="55"/>
      <c r="AR167" s="55"/>
      <c r="AS167" s="55"/>
      <c r="AT167" s="55"/>
      <c r="AU167" s="30"/>
      <c r="AV167" s="30"/>
      <c r="AW167" s="2"/>
      <c r="AX167" s="2"/>
    </row>
    <row r="168" spans="1:50" x14ac:dyDescent="0.2">
      <c r="A168" s="2"/>
      <c r="B168" s="61">
        <f t="shared" si="36"/>
        <v>41759</v>
      </c>
      <c r="C168" s="62">
        <f t="shared" si="37"/>
        <v>120</v>
      </c>
      <c r="D168" s="63">
        <f t="shared" si="38"/>
        <v>4.9123315933302614</v>
      </c>
      <c r="G168" s="357" t="str">
        <f>IF(MakeSchedule!C135="","",MakeSchedule!C135)</f>
        <v/>
      </c>
      <c r="H168" s="358"/>
      <c r="I168" s="358"/>
      <c r="J168" s="359" t="str">
        <f>IF(MakeSchedule!B135="","",MakeSchedule!B135)</f>
        <v/>
      </c>
      <c r="K168" s="63">
        <f t="shared" si="29"/>
        <v>4.9123315933302614</v>
      </c>
      <c r="L168" s="63">
        <f t="shared" si="39"/>
        <v>4.9123315933302614</v>
      </c>
      <c r="M168" s="63">
        <f t="shared" si="40"/>
        <v>19.363249102424426</v>
      </c>
      <c r="N168" s="63" t="str">
        <f t="shared" si="30"/>
        <v/>
      </c>
      <c r="O168" s="64">
        <f t="shared" si="41"/>
        <v>0.26043584792024915</v>
      </c>
      <c r="P168" s="63">
        <f t="shared" si="42"/>
        <v>0.86441048034934309</v>
      </c>
      <c r="Q168" s="64">
        <f t="shared" si="31"/>
        <v>0.86441048034934309</v>
      </c>
      <c r="R168" s="63">
        <f t="shared" si="32"/>
        <v>0.86441048034934309</v>
      </c>
      <c r="S168" s="65">
        <f t="shared" si="33"/>
        <v>0.35</v>
      </c>
      <c r="T168" s="65">
        <f t="shared" si="43"/>
        <v>1.2</v>
      </c>
      <c r="U168" s="64">
        <f t="shared" si="44"/>
        <v>1.2</v>
      </c>
      <c r="V168" s="63">
        <f t="shared" si="34"/>
        <v>5.8947979119963136</v>
      </c>
      <c r="W168" s="63" t="str">
        <f t="shared" si="35"/>
        <v/>
      </c>
      <c r="X168" s="63">
        <f t="shared" si="45"/>
        <v>237.74703362332056</v>
      </c>
      <c r="Y168" s="55"/>
      <c r="Z168" s="55"/>
      <c r="AA168" s="55"/>
      <c r="AB168" s="55">
        <f>PMSplint!N169</f>
        <v>4.9123315933302614</v>
      </c>
      <c r="AC168" s="55">
        <f>PMSplint!N169</f>
        <v>4.9123315933302614</v>
      </c>
      <c r="AD168" s="55">
        <f>IF(RnSplint!N169&lt;0,0,RnSplint!N169)</f>
        <v>19.363249102424426</v>
      </c>
      <c r="AE168" s="55">
        <f>IF(RnSplint!N169&lt;0,0,RnSplint!N169)</f>
        <v>19.363249102424426</v>
      </c>
      <c r="AF168" s="30"/>
      <c r="AG168" s="30"/>
      <c r="AH168" s="30"/>
      <c r="AI168" s="55"/>
      <c r="AJ168" s="55"/>
      <c r="AK168" s="55"/>
      <c r="AL168" s="55"/>
      <c r="AM168" s="55"/>
      <c r="AN168" s="55">
        <f t="shared" si="46"/>
        <v>95.118700315363327</v>
      </c>
      <c r="AO168" s="55">
        <f t="shared" si="47"/>
        <v>9.7528816416156374</v>
      </c>
      <c r="AP168" s="55">
        <f t="shared" si="48"/>
        <v>0.26043584792024915</v>
      </c>
      <c r="AQ168" s="55"/>
      <c r="AR168" s="55"/>
      <c r="AS168" s="55"/>
      <c r="AT168" s="55"/>
      <c r="AU168" s="30"/>
      <c r="AV168" s="30"/>
      <c r="AW168" s="2"/>
      <c r="AX168" s="2"/>
    </row>
    <row r="169" spans="1:50" x14ac:dyDescent="0.2">
      <c r="A169" s="2"/>
      <c r="B169" s="61">
        <f t="shared" si="36"/>
        <v>41760</v>
      </c>
      <c r="C169" s="62">
        <f t="shared" si="37"/>
        <v>121</v>
      </c>
      <c r="D169" s="63">
        <f t="shared" si="38"/>
        <v>4.9481827860218184</v>
      </c>
      <c r="G169" s="357" t="str">
        <f>IF(MakeSchedule!C136="","",MakeSchedule!C136)</f>
        <v/>
      </c>
      <c r="H169" s="358"/>
      <c r="I169" s="358"/>
      <c r="J169" s="359" t="str">
        <f>IF(MakeSchedule!B136="","",MakeSchedule!B136)</f>
        <v/>
      </c>
      <c r="K169" s="63">
        <f t="shared" si="29"/>
        <v>4.9481827860218184</v>
      </c>
      <c r="L169" s="63">
        <f t="shared" si="39"/>
        <v>4.9481827860218184</v>
      </c>
      <c r="M169" s="63">
        <f t="shared" si="40"/>
        <v>19.4099046431872</v>
      </c>
      <c r="N169" s="63" t="str">
        <f t="shared" si="30"/>
        <v/>
      </c>
      <c r="O169" s="64">
        <f t="shared" si="41"/>
        <v>0.25917860540363513</v>
      </c>
      <c r="P169" s="63">
        <f t="shared" si="42"/>
        <v>0.86965065502183214</v>
      </c>
      <c r="Q169" s="64">
        <f t="shared" si="31"/>
        <v>0.86965065502183214</v>
      </c>
      <c r="R169" s="63">
        <f t="shared" si="32"/>
        <v>0.86965065502183214</v>
      </c>
      <c r="S169" s="65">
        <f t="shared" si="33"/>
        <v>0.35</v>
      </c>
      <c r="T169" s="65">
        <f t="shared" si="43"/>
        <v>1.2</v>
      </c>
      <c r="U169" s="64">
        <f t="shared" si="44"/>
        <v>1.2</v>
      </c>
      <c r="V169" s="63">
        <f t="shared" si="34"/>
        <v>5.9378193432261819</v>
      </c>
      <c r="W169" s="63" t="str">
        <f t="shared" si="35"/>
        <v/>
      </c>
      <c r="X169" s="63">
        <f t="shared" si="45"/>
        <v>243.68485296654674</v>
      </c>
      <c r="Y169" s="55"/>
      <c r="Z169" s="55"/>
      <c r="AA169" s="55"/>
      <c r="AB169" s="55">
        <f>PMSplint!N170</f>
        <v>4.9481827860218184</v>
      </c>
      <c r="AC169" s="55">
        <f>PMSplint!N170</f>
        <v>4.9481827860218184</v>
      </c>
      <c r="AD169" s="55">
        <f>IF(RnSplint!N170&lt;0,0,RnSplint!N170)</f>
        <v>19.4099046431872</v>
      </c>
      <c r="AE169" s="55">
        <f>IF(RnSplint!N170&lt;0,0,RnSplint!N170)</f>
        <v>19.4099046431872</v>
      </c>
      <c r="AF169" s="30"/>
      <c r="AG169" s="30"/>
      <c r="AH169" s="30"/>
      <c r="AI169" s="55"/>
      <c r="AJ169" s="55"/>
      <c r="AK169" s="55"/>
      <c r="AL169" s="55"/>
      <c r="AM169" s="55"/>
      <c r="AN169" s="55">
        <f t="shared" si="46"/>
        <v>96.043756033743875</v>
      </c>
      <c r="AO169" s="55">
        <f t="shared" si="47"/>
        <v>9.8001916325010647</v>
      </c>
      <c r="AP169" s="55">
        <f t="shared" si="48"/>
        <v>0.25917860540363513</v>
      </c>
      <c r="AQ169" s="55"/>
      <c r="AR169" s="55"/>
      <c r="AS169" s="55"/>
      <c r="AT169" s="55"/>
      <c r="AU169" s="30"/>
      <c r="AV169" s="30"/>
      <c r="AW169" s="2"/>
      <c r="AX169" s="2"/>
    </row>
    <row r="170" spans="1:50" x14ac:dyDescent="0.2">
      <c r="A170" s="2"/>
      <c r="B170" s="61">
        <f t="shared" si="36"/>
        <v>41761</v>
      </c>
      <c r="C170" s="62">
        <f t="shared" si="37"/>
        <v>122</v>
      </c>
      <c r="D170" s="63">
        <f t="shared" si="38"/>
        <v>4.9837304876648787</v>
      </c>
      <c r="G170" s="357" t="str">
        <f>IF(MakeSchedule!C137="","",MakeSchedule!C137)</f>
        <v/>
      </c>
      <c r="H170" s="358"/>
      <c r="I170" s="358"/>
      <c r="J170" s="359" t="str">
        <f>IF(MakeSchedule!B137="","",MakeSchedule!B137)</f>
        <v/>
      </c>
      <c r="K170" s="63">
        <f t="shared" si="29"/>
        <v>4.9837304876648787</v>
      </c>
      <c r="L170" s="63">
        <f t="shared" si="39"/>
        <v>4.9837304876648787</v>
      </c>
      <c r="M170" s="63">
        <f t="shared" si="40"/>
        <v>19.452339110700326</v>
      </c>
      <c r="N170" s="63" t="str">
        <f t="shared" si="30"/>
        <v/>
      </c>
      <c r="O170" s="64">
        <f t="shared" si="41"/>
        <v>0.2579707857435784</v>
      </c>
      <c r="P170" s="63">
        <f t="shared" si="42"/>
        <v>0.87489082969432119</v>
      </c>
      <c r="Q170" s="64">
        <f t="shared" si="31"/>
        <v>0.87489082969432119</v>
      </c>
      <c r="R170" s="63">
        <f t="shared" si="32"/>
        <v>0.87489082969432119</v>
      </c>
      <c r="S170" s="65">
        <f t="shared" si="33"/>
        <v>0.35</v>
      </c>
      <c r="T170" s="65">
        <f t="shared" si="43"/>
        <v>1.2</v>
      </c>
      <c r="U170" s="64">
        <f t="shared" si="44"/>
        <v>1.2</v>
      </c>
      <c r="V170" s="63">
        <f t="shared" si="34"/>
        <v>5.9804765851978541</v>
      </c>
      <c r="W170" s="63" t="str">
        <f t="shared" si="35"/>
        <v/>
      </c>
      <c r="X170" s="63">
        <f t="shared" si="45"/>
        <v>249.66532955174461</v>
      </c>
      <c r="Y170" s="55"/>
      <c r="Z170" s="55"/>
      <c r="AA170" s="55"/>
      <c r="AB170" s="55">
        <f>PMSplint!N171</f>
        <v>4.9837304876648787</v>
      </c>
      <c r="AC170" s="55">
        <f>PMSplint!N171</f>
        <v>4.9837304876648787</v>
      </c>
      <c r="AD170" s="55">
        <f>IF(RnSplint!N171&lt;0,0,RnSplint!N171)</f>
        <v>19.452339110700326</v>
      </c>
      <c r="AE170" s="55">
        <f>IF(RnSplint!N171&lt;0,0,RnSplint!N171)</f>
        <v>19.452339110700326</v>
      </c>
      <c r="AF170" s="30"/>
      <c r="AG170" s="30"/>
      <c r="AH170" s="30"/>
      <c r="AI170" s="55"/>
      <c r="AJ170" s="55"/>
      <c r="AK170" s="55"/>
      <c r="AL170" s="55"/>
      <c r="AM170" s="55"/>
      <c r="AN170" s="55">
        <f t="shared" si="46"/>
        <v>96.945215482393124</v>
      </c>
      <c r="AO170" s="55">
        <f t="shared" si="47"/>
        <v>9.8460761464856201</v>
      </c>
      <c r="AP170" s="55">
        <f t="shared" si="48"/>
        <v>0.2579707857435784</v>
      </c>
      <c r="AQ170" s="55"/>
      <c r="AR170" s="55"/>
      <c r="AS170" s="55"/>
      <c r="AT170" s="55"/>
      <c r="AU170" s="30"/>
      <c r="AV170" s="30"/>
      <c r="AW170" s="2"/>
      <c r="AX170" s="2"/>
    </row>
    <row r="171" spans="1:50" x14ac:dyDescent="0.2">
      <c r="A171" s="2"/>
      <c r="B171" s="61">
        <f t="shared" si="36"/>
        <v>41762</v>
      </c>
      <c r="C171" s="62">
        <f t="shared" si="37"/>
        <v>123</v>
      </c>
      <c r="D171" s="63">
        <f t="shared" si="38"/>
        <v>5.0190441585387022</v>
      </c>
      <c r="G171" s="357" t="str">
        <f>IF(MakeSchedule!C138="","",MakeSchedule!C138)</f>
        <v/>
      </c>
      <c r="H171" s="358"/>
      <c r="I171" s="358"/>
      <c r="J171" s="359" t="str">
        <f>IF(MakeSchedule!B138="","",MakeSchedule!B138)</f>
        <v/>
      </c>
      <c r="K171" s="63">
        <f t="shared" si="29"/>
        <v>5.0190441585387022</v>
      </c>
      <c r="L171" s="63">
        <f t="shared" si="39"/>
        <v>5.0190441585387022</v>
      </c>
      <c r="M171" s="63">
        <f t="shared" si="40"/>
        <v>19.492147121630328</v>
      </c>
      <c r="N171" s="63" t="str">
        <f t="shared" si="30"/>
        <v/>
      </c>
      <c r="O171" s="64">
        <f t="shared" si="41"/>
        <v>0.25679902348607003</v>
      </c>
      <c r="P171" s="63">
        <f t="shared" si="42"/>
        <v>0.88013100436681024</v>
      </c>
      <c r="Q171" s="64">
        <f t="shared" si="31"/>
        <v>0.88013100436681024</v>
      </c>
      <c r="R171" s="63">
        <f t="shared" si="32"/>
        <v>0.88013100436681024</v>
      </c>
      <c r="S171" s="65">
        <f t="shared" si="33"/>
        <v>0.35</v>
      </c>
      <c r="T171" s="65">
        <f t="shared" si="43"/>
        <v>1.2</v>
      </c>
      <c r="U171" s="64">
        <f t="shared" si="44"/>
        <v>1.2</v>
      </c>
      <c r="V171" s="63">
        <f t="shared" si="34"/>
        <v>6.0228529902464425</v>
      </c>
      <c r="W171" s="63" t="str">
        <f t="shared" si="35"/>
        <v/>
      </c>
      <c r="X171" s="63">
        <f t="shared" si="45"/>
        <v>255.68818254199104</v>
      </c>
      <c r="Y171" s="55"/>
      <c r="Z171" s="55"/>
      <c r="AA171" s="55"/>
      <c r="AB171" s="55">
        <f>PMSplint!N172</f>
        <v>5.0190441585387022</v>
      </c>
      <c r="AC171" s="55">
        <f>PMSplint!N172</f>
        <v>5.0190441585387022</v>
      </c>
      <c r="AD171" s="55">
        <f>IF(RnSplint!N172&lt;0,0,RnSplint!N172)</f>
        <v>19.492147121630328</v>
      </c>
      <c r="AE171" s="55">
        <f>IF(RnSplint!N172&lt;0,0,RnSplint!N172)</f>
        <v>19.492147121630328</v>
      </c>
      <c r="AF171" s="30"/>
      <c r="AG171" s="30"/>
      <c r="AH171" s="30"/>
      <c r="AI171" s="55"/>
      <c r="AJ171" s="55"/>
      <c r="AK171" s="55"/>
      <c r="AL171" s="55"/>
      <c r="AM171" s="55"/>
      <c r="AN171" s="55">
        <f t="shared" si="46"/>
        <v>97.831947148195681</v>
      </c>
      <c r="AO171" s="55">
        <f t="shared" si="47"/>
        <v>9.8910033438572693</v>
      </c>
      <c r="AP171" s="55">
        <f t="shared" si="48"/>
        <v>0.25679902348607003</v>
      </c>
      <c r="AQ171" s="55"/>
      <c r="AR171" s="55"/>
      <c r="AS171" s="55"/>
      <c r="AT171" s="55"/>
      <c r="AU171" s="30"/>
      <c r="AV171" s="30"/>
      <c r="AW171" s="2"/>
      <c r="AX171" s="2"/>
    </row>
    <row r="172" spans="1:50" x14ac:dyDescent="0.2">
      <c r="A172" s="2"/>
      <c r="B172" s="61">
        <f t="shared" si="36"/>
        <v>41763</v>
      </c>
      <c r="C172" s="62">
        <f t="shared" si="37"/>
        <v>124</v>
      </c>
      <c r="D172" s="63">
        <f t="shared" si="38"/>
        <v>5.0541932589225471</v>
      </c>
      <c r="G172" s="357" t="str">
        <f>IF(MakeSchedule!C139="","",MakeSchedule!C139)</f>
        <v/>
      </c>
      <c r="H172" s="358"/>
      <c r="I172" s="358"/>
      <c r="J172" s="359" t="str">
        <f>IF(MakeSchedule!B139="","",MakeSchedule!B139)</f>
        <v/>
      </c>
      <c r="K172" s="63">
        <f t="shared" si="29"/>
        <v>5.0541932589225471</v>
      </c>
      <c r="L172" s="63">
        <f t="shared" si="39"/>
        <v>5.0541932589225471</v>
      </c>
      <c r="M172" s="63">
        <f t="shared" si="40"/>
        <v>19.530923292643706</v>
      </c>
      <c r="N172" s="63" t="str">
        <f t="shared" si="30"/>
        <v/>
      </c>
      <c r="O172" s="64">
        <f t="shared" si="41"/>
        <v>0.25565035925915014</v>
      </c>
      <c r="P172" s="63">
        <f t="shared" si="42"/>
        <v>0.88537117903929929</v>
      </c>
      <c r="Q172" s="64">
        <f t="shared" si="31"/>
        <v>0.88537117903929929</v>
      </c>
      <c r="R172" s="63">
        <f t="shared" si="32"/>
        <v>0.88537117903929929</v>
      </c>
      <c r="S172" s="65">
        <f t="shared" si="33"/>
        <v>0.35</v>
      </c>
      <c r="T172" s="65">
        <f t="shared" si="43"/>
        <v>1.2</v>
      </c>
      <c r="U172" s="64">
        <f t="shared" si="44"/>
        <v>1.2</v>
      </c>
      <c r="V172" s="63">
        <f t="shared" si="34"/>
        <v>6.0650319107070567</v>
      </c>
      <c r="W172" s="63" t="str">
        <f t="shared" si="35"/>
        <v/>
      </c>
      <c r="X172" s="63">
        <f t="shared" si="45"/>
        <v>261.7532144526981</v>
      </c>
      <c r="Y172" s="55"/>
      <c r="Z172" s="55"/>
      <c r="AA172" s="55"/>
      <c r="AB172" s="55">
        <f>PMSplint!N173</f>
        <v>5.0541932589225471</v>
      </c>
      <c r="AC172" s="55">
        <f>PMSplint!N173</f>
        <v>5.0541932589225471</v>
      </c>
      <c r="AD172" s="55">
        <f>IF(RnSplint!N173&lt;0,0,RnSplint!N173)</f>
        <v>19.530923292643706</v>
      </c>
      <c r="AE172" s="55">
        <f>IF(RnSplint!N173&lt;0,0,RnSplint!N173)</f>
        <v>19.530923292643706</v>
      </c>
      <c r="AF172" s="30"/>
      <c r="AG172" s="30"/>
      <c r="AH172" s="30"/>
      <c r="AI172" s="55"/>
      <c r="AJ172" s="55"/>
      <c r="AK172" s="55"/>
      <c r="AL172" s="55"/>
      <c r="AM172" s="55"/>
      <c r="AN172" s="55">
        <f t="shared" si="46"/>
        <v>98.713060846213182</v>
      </c>
      <c r="AO172" s="55">
        <f t="shared" si="47"/>
        <v>9.9354446727971464</v>
      </c>
      <c r="AP172" s="55">
        <f t="shared" si="48"/>
        <v>0.25565035925915014</v>
      </c>
      <c r="AQ172" s="55"/>
      <c r="AR172" s="55"/>
      <c r="AS172" s="55"/>
      <c r="AT172" s="55"/>
      <c r="AU172" s="30"/>
      <c r="AV172" s="30"/>
      <c r="AW172" s="2"/>
      <c r="AX172" s="2"/>
    </row>
    <row r="173" spans="1:50" x14ac:dyDescent="0.2">
      <c r="A173" s="2"/>
      <c r="B173" s="61">
        <f t="shared" si="36"/>
        <v>41764</v>
      </c>
      <c r="C173" s="62">
        <f t="shared" si="37"/>
        <v>125</v>
      </c>
      <c r="D173" s="63">
        <f t="shared" si="38"/>
        <v>5.0892472490956724</v>
      </c>
      <c r="G173" s="357" t="str">
        <f>IF(MakeSchedule!C140="","",MakeSchedule!C140)</f>
        <v/>
      </c>
      <c r="H173" s="358"/>
      <c r="I173" s="358"/>
      <c r="J173" s="359" t="str">
        <f>IF(MakeSchedule!B140="","",MakeSchedule!B140)</f>
        <v/>
      </c>
      <c r="K173" s="63">
        <f t="shared" si="29"/>
        <v>5.0892472490956724</v>
      </c>
      <c r="L173" s="63">
        <f t="shared" si="39"/>
        <v>5.0892472490956724</v>
      </c>
      <c r="M173" s="63">
        <f t="shared" si="40"/>
        <v>19.570262240406969</v>
      </c>
      <c r="N173" s="63" t="str">
        <f t="shared" si="30"/>
        <v/>
      </c>
      <c r="O173" s="64">
        <f t="shared" si="41"/>
        <v>0.25451220804321389</v>
      </c>
      <c r="P173" s="63">
        <f t="shared" si="42"/>
        <v>0.89061135371178834</v>
      </c>
      <c r="Q173" s="64">
        <f t="shared" si="31"/>
        <v>0.89061135371178834</v>
      </c>
      <c r="R173" s="63">
        <f t="shared" si="32"/>
        <v>0.89061135371178834</v>
      </c>
      <c r="S173" s="65">
        <f t="shared" si="33"/>
        <v>0.35</v>
      </c>
      <c r="T173" s="65">
        <f t="shared" si="43"/>
        <v>1.2</v>
      </c>
      <c r="U173" s="64">
        <f t="shared" si="44"/>
        <v>1.2</v>
      </c>
      <c r="V173" s="63">
        <f t="shared" si="34"/>
        <v>6.1070966989148063</v>
      </c>
      <c r="W173" s="63" t="str">
        <f t="shared" si="35"/>
        <v/>
      </c>
      <c r="X173" s="63">
        <f t="shared" si="45"/>
        <v>267.8603111516129</v>
      </c>
      <c r="Y173" s="55"/>
      <c r="Z173" s="55"/>
      <c r="AA173" s="55"/>
      <c r="AB173" s="55">
        <f>PMSplint!N174</f>
        <v>5.0892472490956724</v>
      </c>
      <c r="AC173" s="55">
        <f>PMSplint!N174</f>
        <v>5.0892472490956724</v>
      </c>
      <c r="AD173" s="55">
        <f>IF(RnSplint!N174&lt;0,0,RnSplint!N174)</f>
        <v>19.570262240406969</v>
      </c>
      <c r="AE173" s="55">
        <f>IF(RnSplint!N174&lt;0,0,RnSplint!N174)</f>
        <v>19.570262240406969</v>
      </c>
      <c r="AF173" s="30"/>
      <c r="AG173" s="30"/>
      <c r="AH173" s="30"/>
      <c r="AI173" s="55"/>
      <c r="AJ173" s="55"/>
      <c r="AK173" s="55"/>
      <c r="AL173" s="55"/>
      <c r="AM173" s="55"/>
      <c r="AN173" s="55">
        <f t="shared" si="46"/>
        <v>99.59790327107207</v>
      </c>
      <c r="AO173" s="55">
        <f t="shared" si="47"/>
        <v>9.9798749125964541</v>
      </c>
      <c r="AP173" s="55">
        <f t="shared" si="48"/>
        <v>0.25451220804321389</v>
      </c>
      <c r="AQ173" s="55"/>
      <c r="AR173" s="55"/>
      <c r="AS173" s="55"/>
      <c r="AT173" s="55"/>
      <c r="AU173" s="30"/>
      <c r="AV173" s="30"/>
      <c r="AW173" s="2"/>
      <c r="AX173" s="2"/>
    </row>
    <row r="174" spans="1:50" x14ac:dyDescent="0.2">
      <c r="A174" s="2"/>
      <c r="B174" s="61">
        <f t="shared" si="36"/>
        <v>41765</v>
      </c>
      <c r="C174" s="62">
        <f t="shared" si="37"/>
        <v>126</v>
      </c>
      <c r="D174" s="63">
        <f t="shared" si="38"/>
        <v>5.1242755893373388</v>
      </c>
      <c r="G174" s="357" t="str">
        <f>IF(MakeSchedule!C141="","",MakeSchedule!C141)</f>
        <v/>
      </c>
      <c r="H174" s="358"/>
      <c r="I174" s="358"/>
      <c r="J174" s="359" t="str">
        <f>IF(MakeSchedule!B141="","",MakeSchedule!B141)</f>
        <v/>
      </c>
      <c r="K174" s="63">
        <f t="shared" si="29"/>
        <v>5.1242755893373388</v>
      </c>
      <c r="L174" s="63">
        <f t="shared" si="39"/>
        <v>5.1242755893373388</v>
      </c>
      <c r="M174" s="63">
        <f t="shared" si="40"/>
        <v>19.611758581586624</v>
      </c>
      <c r="N174" s="63" t="str">
        <f t="shared" si="30"/>
        <v/>
      </c>
      <c r="O174" s="64">
        <f t="shared" si="41"/>
        <v>0.25337234336250558</v>
      </c>
      <c r="P174" s="63">
        <f t="shared" si="42"/>
        <v>0.8958515283842774</v>
      </c>
      <c r="Q174" s="64">
        <f t="shared" si="31"/>
        <v>0.8958515283842774</v>
      </c>
      <c r="R174" s="63">
        <f t="shared" si="32"/>
        <v>0.8958515283842774</v>
      </c>
      <c r="S174" s="65">
        <f t="shared" si="33"/>
        <v>0.35</v>
      </c>
      <c r="T174" s="65">
        <f t="shared" si="43"/>
        <v>1.2</v>
      </c>
      <c r="U174" s="64">
        <f t="shared" si="44"/>
        <v>1.2</v>
      </c>
      <c r="V174" s="63">
        <f t="shared" si="34"/>
        <v>6.1491307072048063</v>
      </c>
      <c r="W174" s="63" t="str">
        <f t="shared" si="35"/>
        <v/>
      </c>
      <c r="X174" s="63">
        <f t="shared" si="45"/>
        <v>274.00944185881769</v>
      </c>
      <c r="Y174" s="55"/>
      <c r="Z174" s="55"/>
      <c r="AA174" s="55"/>
      <c r="AB174" s="55">
        <f>PMSplint!N175</f>
        <v>5.1242755893373388</v>
      </c>
      <c r="AC174" s="55">
        <f>PMSplint!N175</f>
        <v>5.1242755893373388</v>
      </c>
      <c r="AD174" s="55">
        <f>IF(RnSplint!N175&lt;0,0,RnSplint!N175)</f>
        <v>19.611758581586624</v>
      </c>
      <c r="AE174" s="55">
        <f>IF(RnSplint!N175&lt;0,0,RnSplint!N175)</f>
        <v>19.611758581586624</v>
      </c>
      <c r="AF174" s="30"/>
      <c r="AG174" s="30"/>
      <c r="AH174" s="30"/>
      <c r="AI174" s="55"/>
      <c r="AJ174" s="55"/>
      <c r="AK174" s="55"/>
      <c r="AL174" s="55"/>
      <c r="AM174" s="55"/>
      <c r="AN174" s="55">
        <f t="shared" si="46"/>
        <v>100.4960557636014</v>
      </c>
      <c r="AO174" s="55">
        <f t="shared" si="47"/>
        <v>10.024772105319972</v>
      </c>
      <c r="AP174" s="55">
        <f t="shared" si="48"/>
        <v>0.25337234336250558</v>
      </c>
      <c r="AQ174" s="55"/>
      <c r="AR174" s="55"/>
      <c r="AS174" s="55"/>
      <c r="AT174" s="55"/>
      <c r="AU174" s="30"/>
      <c r="AV174" s="30"/>
      <c r="AW174" s="2"/>
      <c r="AX174" s="2"/>
    </row>
    <row r="175" spans="1:50" x14ac:dyDescent="0.2">
      <c r="A175" s="2"/>
      <c r="B175" s="61">
        <f t="shared" si="36"/>
        <v>41766</v>
      </c>
      <c r="C175" s="62">
        <f t="shared" si="37"/>
        <v>127</v>
      </c>
      <c r="D175" s="63">
        <f t="shared" si="38"/>
        <v>5.1593477399268064</v>
      </c>
      <c r="G175" s="357" t="str">
        <f>IF(MakeSchedule!C142="","",MakeSchedule!C142)</f>
        <v/>
      </c>
      <c r="H175" s="358"/>
      <c r="I175" s="358"/>
      <c r="J175" s="359" t="str">
        <f>IF(MakeSchedule!B142="","",MakeSchedule!B142)</f>
        <v/>
      </c>
      <c r="K175" s="63">
        <f t="shared" si="29"/>
        <v>5.1593477399268064</v>
      </c>
      <c r="L175" s="63">
        <f t="shared" si="39"/>
        <v>5.1593477399268064</v>
      </c>
      <c r="M175" s="63">
        <f t="shared" si="40"/>
        <v>19.657006932849193</v>
      </c>
      <c r="N175" s="63" t="str">
        <f t="shared" si="30"/>
        <v/>
      </c>
      <c r="O175" s="64">
        <f t="shared" si="41"/>
        <v>0.25221889638738326</v>
      </c>
      <c r="P175" s="63">
        <f t="shared" si="42"/>
        <v>0.90109170305676645</v>
      </c>
      <c r="Q175" s="64">
        <f t="shared" si="31"/>
        <v>0.90109170305676645</v>
      </c>
      <c r="R175" s="63">
        <f t="shared" si="32"/>
        <v>0.90109170305676645</v>
      </c>
      <c r="S175" s="65">
        <f t="shared" si="33"/>
        <v>0.35</v>
      </c>
      <c r="T175" s="65">
        <f t="shared" si="43"/>
        <v>1.2</v>
      </c>
      <c r="U175" s="64">
        <f t="shared" si="44"/>
        <v>1.2</v>
      </c>
      <c r="V175" s="63">
        <f t="shared" si="34"/>
        <v>6.1912172879121679</v>
      </c>
      <c r="W175" s="63" t="str">
        <f t="shared" si="35"/>
        <v/>
      </c>
      <c r="X175" s="63">
        <f t="shared" si="45"/>
        <v>280.20065914672989</v>
      </c>
      <c r="Y175" s="55"/>
      <c r="Z175" s="55"/>
      <c r="AA175" s="55"/>
      <c r="AB175" s="55">
        <f>PMSplint!N176</f>
        <v>5.1593477399268064</v>
      </c>
      <c r="AC175" s="55">
        <f>PMSplint!N176</f>
        <v>5.1593477399268064</v>
      </c>
      <c r="AD175" s="55">
        <f>IF(RnSplint!N176&lt;0,0,RnSplint!N176)</f>
        <v>19.657006932849193</v>
      </c>
      <c r="AE175" s="55">
        <f>IF(RnSplint!N176&lt;0,0,RnSplint!N176)</f>
        <v>19.657006932849193</v>
      </c>
      <c r="AF175" s="30"/>
      <c r="AG175" s="30"/>
      <c r="AH175" s="30"/>
      <c r="AI175" s="55"/>
      <c r="AJ175" s="55"/>
      <c r="AK175" s="55"/>
      <c r="AL175" s="55"/>
      <c r="AM175" s="55"/>
      <c r="AN175" s="55">
        <f t="shared" si="46"/>
        <v>101.41733429272105</v>
      </c>
      <c r="AO175" s="55">
        <f t="shared" si="47"/>
        <v>10.070617373960797</v>
      </c>
      <c r="AP175" s="55">
        <f t="shared" si="48"/>
        <v>0.25221889638738326</v>
      </c>
      <c r="AQ175" s="55"/>
      <c r="AR175" s="55"/>
      <c r="AS175" s="55"/>
      <c r="AT175" s="55"/>
      <c r="AU175" s="30"/>
      <c r="AV175" s="30"/>
      <c r="AW175" s="2"/>
      <c r="AX175" s="2"/>
    </row>
    <row r="176" spans="1:50" x14ac:dyDescent="0.2">
      <c r="A176" s="2"/>
      <c r="B176" s="61">
        <f t="shared" si="36"/>
        <v>41767</v>
      </c>
      <c r="C176" s="62">
        <f t="shared" si="37"/>
        <v>128</v>
      </c>
      <c r="D176" s="63">
        <f t="shared" si="38"/>
        <v>5.1945331611433323</v>
      </c>
      <c r="G176" s="357" t="str">
        <f>IF(MakeSchedule!C143="","",MakeSchedule!C143)</f>
        <v/>
      </c>
      <c r="H176" s="358"/>
      <c r="I176" s="358"/>
      <c r="J176" s="359" t="str">
        <f>IF(MakeSchedule!B143="","",MakeSchedule!B143)</f>
        <v/>
      </c>
      <c r="K176" s="63">
        <f t="shared" si="29"/>
        <v>5.1945331611433323</v>
      </c>
      <c r="L176" s="63">
        <f t="shared" si="39"/>
        <v>5.1945331611433323</v>
      </c>
      <c r="M176" s="63">
        <f t="shared" si="40"/>
        <v>19.707601910861172</v>
      </c>
      <c r="N176" s="63" t="str">
        <f t="shared" si="30"/>
        <v/>
      </c>
      <c r="O176" s="64">
        <f t="shared" si="41"/>
        <v>0.25104036897164644</v>
      </c>
      <c r="P176" s="63">
        <f t="shared" si="42"/>
        <v>0.9063318777292555</v>
      </c>
      <c r="Q176" s="64">
        <f t="shared" si="31"/>
        <v>0.9063318777292555</v>
      </c>
      <c r="R176" s="63">
        <f t="shared" si="32"/>
        <v>0.9063318777292555</v>
      </c>
      <c r="S176" s="65">
        <f t="shared" si="33"/>
        <v>0.35</v>
      </c>
      <c r="T176" s="65">
        <f t="shared" si="43"/>
        <v>1.2</v>
      </c>
      <c r="U176" s="64">
        <f t="shared" si="44"/>
        <v>1.2</v>
      </c>
      <c r="V176" s="63">
        <f t="shared" si="34"/>
        <v>6.2334397933719989</v>
      </c>
      <c r="W176" s="63" t="str">
        <f t="shared" si="35"/>
        <v/>
      </c>
      <c r="X176" s="63">
        <f t="shared" si="45"/>
        <v>286.43409894010188</v>
      </c>
      <c r="Y176" s="55"/>
      <c r="Z176" s="55"/>
      <c r="AA176" s="55"/>
      <c r="AB176" s="55">
        <f>PMSplint!N177</f>
        <v>5.1945331611433323</v>
      </c>
      <c r="AC176" s="55">
        <f>PMSplint!N177</f>
        <v>5.1945331611433323</v>
      </c>
      <c r="AD176" s="55">
        <f>IF(RnSplint!N177&lt;0,0,RnSplint!N177)</f>
        <v>19.707601910861172</v>
      </c>
      <c r="AE176" s="55">
        <f>IF(RnSplint!N177&lt;0,0,RnSplint!N177)</f>
        <v>19.707601910861172</v>
      </c>
      <c r="AF176" s="30"/>
      <c r="AG176" s="30"/>
      <c r="AH176" s="30"/>
      <c r="AI176" s="55"/>
      <c r="AJ176" s="55"/>
      <c r="AK176" s="55"/>
      <c r="AL176" s="55"/>
      <c r="AM176" s="55"/>
      <c r="AN176" s="55">
        <f t="shared" si="46"/>
        <v>102.37179165258006</v>
      </c>
      <c r="AO176" s="55">
        <f t="shared" si="47"/>
        <v>10.117894625492996</v>
      </c>
      <c r="AP176" s="55">
        <f t="shared" si="48"/>
        <v>0.25104036897164644</v>
      </c>
      <c r="AQ176" s="55"/>
      <c r="AR176" s="55"/>
      <c r="AS176" s="55"/>
      <c r="AT176" s="55"/>
      <c r="AU176" s="30"/>
      <c r="AV176" s="30"/>
      <c r="AW176" s="2"/>
      <c r="AX176" s="2"/>
    </row>
    <row r="177" spans="1:50" x14ac:dyDescent="0.2">
      <c r="A177" s="2"/>
      <c r="B177" s="61">
        <f t="shared" si="36"/>
        <v>41768</v>
      </c>
      <c r="C177" s="62">
        <f t="shared" si="37"/>
        <v>129</v>
      </c>
      <c r="D177" s="63">
        <f t="shared" si="38"/>
        <v>5.2299013132661765</v>
      </c>
      <c r="G177" s="357" t="str">
        <f>IF(MakeSchedule!C144="","",MakeSchedule!C144)</f>
        <v/>
      </c>
      <c r="H177" s="358"/>
      <c r="I177" s="358"/>
      <c r="J177" s="359" t="str">
        <f>IF(MakeSchedule!B144="","",MakeSchedule!B144)</f>
        <v/>
      </c>
      <c r="K177" s="63">
        <f t="shared" ref="K177:K240" si="49">IF(G177&lt;&gt;"",G177,IF(D177="","",D177))</f>
        <v>5.2299013132661765</v>
      </c>
      <c r="L177" s="63">
        <f t="shared" si="39"/>
        <v>5.2299013132661765</v>
      </c>
      <c r="M177" s="63">
        <f t="shared" si="40"/>
        <v>19.765138132289078</v>
      </c>
      <c r="N177" s="63" t="str">
        <f t="shared" ref="N177:N240" si="50">IF(C177=$E$7,O177,"")</f>
        <v/>
      </c>
      <c r="O177" s="64">
        <f t="shared" si="41"/>
        <v>0.24982565960516734</v>
      </c>
      <c r="P177" s="63">
        <f t="shared" si="42"/>
        <v>0.91157205240174455</v>
      </c>
      <c r="Q177" s="64">
        <f t="shared" ref="Q177:Q240" si="51">IF(AND(C$49:C$625&lt;F$7,$U$44&gt;2),#N/A,IF(P177="",#N/A,P177))</f>
        <v>0.91157205240174455</v>
      </c>
      <c r="R177" s="63">
        <f t="shared" ref="R177:R240" si="52">IF(OR(P177="",O177&gt;P177),O177,P177)</f>
        <v>0.91157205240174455</v>
      </c>
      <c r="S177" s="65">
        <f t="shared" ref="S177:S240" si="53">IF(OR(AND(C$49:C$625&gt;=U$6,C$49:C$625&lt;=U$7),AND(C$49:C$625&gt;=U$9,C$49:C$625&lt;=U$10)),0.35,0)</f>
        <v>0.35</v>
      </c>
      <c r="T177" s="65">
        <f t="shared" si="43"/>
        <v>1.2</v>
      </c>
      <c r="U177" s="64">
        <f t="shared" si="44"/>
        <v>1.2</v>
      </c>
      <c r="V177" s="63">
        <f t="shared" ref="V177:V240" si="54">IF(L177="","",L177*T177)</f>
        <v>6.2758815759194118</v>
      </c>
      <c r="W177" s="63" t="str">
        <f t="shared" ref="W177:W240" si="55">IF(AND(B$49:B$625&gt;=E$6,B$49:B$625&lt;=E$7),L177,"")</f>
        <v/>
      </c>
      <c r="X177" s="63">
        <f t="shared" si="45"/>
        <v>292.70998051602129</v>
      </c>
      <c r="Y177" s="55"/>
      <c r="Z177" s="55"/>
      <c r="AA177" s="55"/>
      <c r="AB177" s="55">
        <f>PMSplint!N178</f>
        <v>5.2299013132661765</v>
      </c>
      <c r="AC177" s="55">
        <f>PMSplint!N178</f>
        <v>5.2299013132661765</v>
      </c>
      <c r="AD177" s="55">
        <f>IF(RnSplint!N178&lt;0,0,RnSplint!N178)</f>
        <v>19.765138132289078</v>
      </c>
      <c r="AE177" s="55">
        <f>IF(RnSplint!N178&lt;0,0,RnSplint!N178)</f>
        <v>19.765138132289078</v>
      </c>
      <c r="AF177" s="30"/>
      <c r="AG177" s="30"/>
      <c r="AH177" s="30"/>
      <c r="AI177" s="55"/>
      <c r="AJ177" s="55"/>
      <c r="AK177" s="55"/>
      <c r="AL177" s="55"/>
      <c r="AM177" s="55"/>
      <c r="AN177" s="55">
        <f t="shared" si="46"/>
        <v>103.36972187494602</v>
      </c>
      <c r="AO177" s="55">
        <f t="shared" si="47"/>
        <v>10.167090138035858</v>
      </c>
      <c r="AP177" s="55">
        <f t="shared" si="48"/>
        <v>0.24982565960516734</v>
      </c>
      <c r="AQ177" s="55"/>
      <c r="AR177" s="55"/>
      <c r="AS177" s="55"/>
      <c r="AT177" s="55"/>
      <c r="AU177" s="30"/>
      <c r="AV177" s="30"/>
      <c r="AW177" s="2"/>
      <c r="AX177" s="2"/>
    </row>
    <row r="178" spans="1:50" x14ac:dyDescent="0.2">
      <c r="A178" s="2"/>
      <c r="B178" s="61">
        <f t="shared" ref="B178:B241" si="56">B177+1</f>
        <v>41769</v>
      </c>
      <c r="C178" s="62">
        <f t="shared" ref="C178:C241" si="57">IF(B177=DATE(D$4,12,31),1,C177+1)</f>
        <v>130</v>
      </c>
      <c r="D178" s="63">
        <f t="shared" ref="D178:D241" si="58">IF($B$46=0,IF(ISERROR($AB178),"",$AB178),IF(ISERROR($AC178),"",$AC178))</f>
        <v>5.2655216565746006</v>
      </c>
      <c r="G178" s="357" t="str">
        <f>IF(MakeSchedule!C145="","",MakeSchedule!C145)</f>
        <v/>
      </c>
      <c r="H178" s="358"/>
      <c r="I178" s="358"/>
      <c r="J178" s="359" t="str">
        <f>IF(MakeSchedule!B145="","",MakeSchedule!B145)</f>
        <v/>
      </c>
      <c r="K178" s="63">
        <f t="shared" si="49"/>
        <v>5.2655216565746006</v>
      </c>
      <c r="L178" s="63">
        <f t="shared" ref="L178:L241" si="59">IF($G178&lt;&gt;"",$G178,IF($D178="","",$D178))</f>
        <v>5.2655216565746006</v>
      </c>
      <c r="M178" s="63">
        <f t="shared" ref="M178:M241" si="60">IF(F$3=365,AD178,AE178)</f>
        <v>19.831210213799416</v>
      </c>
      <c r="N178" s="63" t="str">
        <f t="shared" si="50"/>
        <v/>
      </c>
      <c r="O178" s="64">
        <f t="shared" ref="O178:O241" si="61">AP178</f>
        <v>0.24856410114916835</v>
      </c>
      <c r="P178" s="63">
        <f t="shared" ref="P178:P241" si="62">IF(B$49:B$625&lt;E$6,"",IF(AND(B$49:B$625&lt;=E$7,B$49:B$625&gt;=E$6),G$7,IF(AND(B$49:B$625&lt;=E$8,B$49:B$625&gt;E$7),P177+H$8,IF(AND(B$49:B$625&lt;=E$9,B$49:B$625&gt;E$8),P177+H$9,IF(AND(B$49:B$625&lt;=E$10,B$49:B$625&gt;E$9),P177+H$10,"")))))</f>
        <v>0.9168122270742336</v>
      </c>
      <c r="Q178" s="64">
        <f t="shared" si="51"/>
        <v>0.9168122270742336</v>
      </c>
      <c r="R178" s="63">
        <f t="shared" si="52"/>
        <v>0.9168122270742336</v>
      </c>
      <c r="S178" s="65">
        <f t="shared" si="53"/>
        <v>0.35</v>
      </c>
      <c r="T178" s="65">
        <f t="shared" ref="T178:T241" si="63">IF($J$5&lt;3,R178,IF(R178+S178&gt;1.2,1.2,IF(AND(R178+S178&lt;0.9,S178=0.35),0.9,R178+S178)))</f>
        <v>1.2</v>
      </c>
      <c r="U178" s="64">
        <f t="shared" ref="U178:U241" si="64">IF(P178="",#N/A,IF($J$5&lt;3,R178,IF(R178+S178&gt;1.2,1.2,IF(AND(R178+S178&lt;0.9,S178=0.35),0.9,R178+S178))))</f>
        <v>1.2</v>
      </c>
      <c r="V178" s="63">
        <f t="shared" si="54"/>
        <v>6.3186259878895203</v>
      </c>
      <c r="W178" s="63" t="str">
        <f t="shared" si="55"/>
        <v/>
      </c>
      <c r="X178" s="63">
        <f t="shared" ref="X178:X241" si="65">IF(B178=$E$6,V178,IF(OR(B178&lt;$E$6,B178&gt;$E$10),0,X177+V178))</f>
        <v>299.02860650391079</v>
      </c>
      <c r="Y178" s="55"/>
      <c r="Z178" s="55"/>
      <c r="AA178" s="55"/>
      <c r="AB178" s="55">
        <f>PMSplint!N179</f>
        <v>5.2655216565746006</v>
      </c>
      <c r="AC178" s="55">
        <f>PMSplint!N179</f>
        <v>5.2655216565746006</v>
      </c>
      <c r="AD178" s="55">
        <f>IF(RnSplint!N179&lt;0,0,RnSplint!N179)</f>
        <v>19.831210213799416</v>
      </c>
      <c r="AE178" s="55">
        <f>IF(RnSplint!N179&lt;0,0,RnSplint!N179)</f>
        <v>19.831210213799416</v>
      </c>
      <c r="AF178" s="30"/>
      <c r="AG178" s="30"/>
      <c r="AH178" s="30"/>
      <c r="AI178" s="55"/>
      <c r="AJ178" s="55"/>
      <c r="AK178" s="55"/>
      <c r="AL178" s="55"/>
      <c r="AM178" s="55"/>
      <c r="AN178" s="55">
        <f t="shared" si="46"/>
        <v>104.42166685684424</v>
      </c>
      <c r="AO178" s="55">
        <f t="shared" si="47"/>
        <v>10.218692032586373</v>
      </c>
      <c r="AP178" s="55">
        <f t="shared" si="48"/>
        <v>0.24856410114916835</v>
      </c>
      <c r="AQ178" s="55"/>
      <c r="AR178" s="55"/>
      <c r="AS178" s="55"/>
      <c r="AT178" s="55"/>
      <c r="AU178" s="30"/>
      <c r="AV178" s="30"/>
      <c r="AW178" s="2"/>
      <c r="AX178" s="2"/>
    </row>
    <row r="179" spans="1:50" x14ac:dyDescent="0.2">
      <c r="A179" s="2"/>
      <c r="B179" s="61">
        <f t="shared" si="56"/>
        <v>41770</v>
      </c>
      <c r="C179" s="62">
        <f t="shared" si="57"/>
        <v>131</v>
      </c>
      <c r="D179" s="63">
        <f t="shared" si="58"/>
        <v>5.3014636513478592</v>
      </c>
      <c r="G179" s="357" t="str">
        <f>IF(MakeSchedule!C146="","",MakeSchedule!C146)</f>
        <v/>
      </c>
      <c r="H179" s="358"/>
      <c r="I179" s="358"/>
      <c r="J179" s="359" t="str">
        <f>IF(MakeSchedule!B146="","",MakeSchedule!B146)</f>
        <v/>
      </c>
      <c r="K179" s="63">
        <f t="shared" si="49"/>
        <v>5.3014636513478592</v>
      </c>
      <c r="L179" s="63">
        <f t="shared" si="59"/>
        <v>5.3014636513478592</v>
      </c>
      <c r="M179" s="63">
        <f t="shared" si="60"/>
        <v>19.907412772058695</v>
      </c>
      <c r="N179" s="63" t="str">
        <f t="shared" si="50"/>
        <v/>
      </c>
      <c r="O179" s="64">
        <f t="shared" si="61"/>
        <v>0.24724550905081633</v>
      </c>
      <c r="P179" s="63">
        <f t="shared" si="62"/>
        <v>0.92205240174672265</v>
      </c>
      <c r="Q179" s="64">
        <f t="shared" si="51"/>
        <v>0.92205240174672265</v>
      </c>
      <c r="R179" s="63">
        <f t="shared" si="52"/>
        <v>0.92205240174672265</v>
      </c>
      <c r="S179" s="65">
        <f t="shared" si="53"/>
        <v>0.35</v>
      </c>
      <c r="T179" s="65">
        <f t="shared" si="63"/>
        <v>1.2</v>
      </c>
      <c r="U179" s="64">
        <f t="shared" si="64"/>
        <v>1.2</v>
      </c>
      <c r="V179" s="63">
        <f t="shared" si="54"/>
        <v>6.3617563816174307</v>
      </c>
      <c r="W179" s="63" t="str">
        <f t="shared" si="55"/>
        <v/>
      </c>
      <c r="X179" s="63">
        <f t="shared" si="65"/>
        <v>305.39036288552825</v>
      </c>
      <c r="Y179" s="55"/>
      <c r="Z179" s="55"/>
      <c r="AA179" s="55"/>
      <c r="AB179" s="55">
        <f>PMSplint!N180</f>
        <v>5.3014636513478592</v>
      </c>
      <c r="AC179" s="55">
        <f>PMSplint!N180</f>
        <v>5.3014636513478592</v>
      </c>
      <c r="AD179" s="55">
        <f>IF(RnSplint!N180&lt;0,0,RnSplint!N180)</f>
        <v>19.907412772058695</v>
      </c>
      <c r="AE179" s="55">
        <f>IF(RnSplint!N180&lt;0,0,RnSplint!N180)</f>
        <v>19.907412772058695</v>
      </c>
      <c r="AF179" s="30"/>
      <c r="AG179" s="30"/>
      <c r="AH179" s="30"/>
      <c r="AI179" s="55"/>
      <c r="AJ179" s="55"/>
      <c r="AK179" s="55"/>
      <c r="AL179" s="55"/>
      <c r="AM179" s="55"/>
      <c r="AN179" s="55">
        <f t="shared" si="46"/>
        <v>105.5384252034473</v>
      </c>
      <c r="AO179" s="55">
        <f t="shared" si="47"/>
        <v>10.273189631436153</v>
      </c>
      <c r="AP179" s="55">
        <f t="shared" si="48"/>
        <v>0.24724550905081633</v>
      </c>
      <c r="AQ179" s="55"/>
      <c r="AR179" s="55"/>
      <c r="AS179" s="55"/>
      <c r="AT179" s="55"/>
      <c r="AU179" s="30"/>
      <c r="AV179" s="30"/>
      <c r="AW179" s="2"/>
      <c r="AX179" s="2"/>
    </row>
    <row r="180" spans="1:50" x14ac:dyDescent="0.2">
      <c r="A180" s="2"/>
      <c r="B180" s="61">
        <f t="shared" si="56"/>
        <v>41771</v>
      </c>
      <c r="C180" s="62">
        <f t="shared" si="57"/>
        <v>132</v>
      </c>
      <c r="D180" s="63">
        <f t="shared" si="58"/>
        <v>5.337796757865215</v>
      </c>
      <c r="G180" s="357" t="str">
        <f>IF(MakeSchedule!C147="","",MakeSchedule!C147)</f>
        <v/>
      </c>
      <c r="H180" s="358"/>
      <c r="I180" s="358"/>
      <c r="J180" s="359" t="str">
        <f>IF(MakeSchedule!B147="","",MakeSchedule!B147)</f>
        <v/>
      </c>
      <c r="K180" s="63">
        <f t="shared" si="49"/>
        <v>5.337796757865215</v>
      </c>
      <c r="L180" s="63">
        <f t="shared" si="59"/>
        <v>5.337796757865215</v>
      </c>
      <c r="M180" s="63">
        <f t="shared" si="60"/>
        <v>19.995340423733424</v>
      </c>
      <c r="N180" s="63" t="str">
        <f t="shared" si="50"/>
        <v/>
      </c>
      <c r="O180" s="64">
        <f t="shared" si="61"/>
        <v>0.24586023851841959</v>
      </c>
      <c r="P180" s="63">
        <f t="shared" si="62"/>
        <v>0.9272925764192117</v>
      </c>
      <c r="Q180" s="64">
        <f t="shared" si="51"/>
        <v>0.9272925764192117</v>
      </c>
      <c r="R180" s="63">
        <f t="shared" si="52"/>
        <v>0.9272925764192117</v>
      </c>
      <c r="S180" s="65">
        <f t="shared" si="53"/>
        <v>0.35</v>
      </c>
      <c r="T180" s="65">
        <f t="shared" si="63"/>
        <v>1.2</v>
      </c>
      <c r="U180" s="64">
        <f t="shared" si="64"/>
        <v>1.2</v>
      </c>
      <c r="V180" s="63">
        <f t="shared" si="54"/>
        <v>6.4053561094382578</v>
      </c>
      <c r="W180" s="63" t="str">
        <f t="shared" si="55"/>
        <v/>
      </c>
      <c r="X180" s="63">
        <f t="shared" si="65"/>
        <v>311.79571899496648</v>
      </c>
      <c r="Y180" s="55"/>
      <c r="Z180" s="55"/>
      <c r="AA180" s="55"/>
      <c r="AB180" s="55">
        <f>PMSplint!N181</f>
        <v>5.337796757865215</v>
      </c>
      <c r="AC180" s="55">
        <f>PMSplint!N181</f>
        <v>5.337796757865215</v>
      </c>
      <c r="AD180" s="55">
        <f>IF(RnSplint!N181&lt;0,0,RnSplint!N181)</f>
        <v>19.995340423733424</v>
      </c>
      <c r="AE180" s="55">
        <f>IF(RnSplint!N181&lt;0,0,RnSplint!N181)</f>
        <v>19.995340423733424</v>
      </c>
      <c r="AF180" s="30"/>
      <c r="AG180" s="30"/>
      <c r="AH180" s="30"/>
      <c r="AI180" s="55"/>
      <c r="AJ180" s="55"/>
      <c r="AK180" s="55"/>
      <c r="AL180" s="55"/>
      <c r="AM180" s="55"/>
      <c r="AN180" s="55">
        <f t="shared" si="46"/>
        <v>106.73106328621554</v>
      </c>
      <c r="AO180" s="55">
        <f t="shared" si="47"/>
        <v>10.33107270743051</v>
      </c>
      <c r="AP180" s="55">
        <f t="shared" si="48"/>
        <v>0.24586023851841959</v>
      </c>
      <c r="AQ180" s="55"/>
      <c r="AR180" s="55"/>
      <c r="AS180" s="55"/>
      <c r="AT180" s="55"/>
      <c r="AU180" s="30"/>
      <c r="AV180" s="30"/>
      <c r="AW180" s="2"/>
      <c r="AX180" s="2"/>
    </row>
    <row r="181" spans="1:50" x14ac:dyDescent="0.2">
      <c r="A181" s="2"/>
      <c r="B181" s="61">
        <f t="shared" si="56"/>
        <v>41772</v>
      </c>
      <c r="C181" s="62">
        <f t="shared" si="57"/>
        <v>133</v>
      </c>
      <c r="D181" s="63">
        <f t="shared" si="58"/>
        <v>5.3745904364059269</v>
      </c>
      <c r="G181" s="357" t="str">
        <f>IF(MakeSchedule!C148="","",MakeSchedule!C148)</f>
        <v/>
      </c>
      <c r="H181" s="358"/>
      <c r="I181" s="358"/>
      <c r="J181" s="359" t="str">
        <f>IF(MakeSchedule!B148="","",MakeSchedule!B148)</f>
        <v/>
      </c>
      <c r="K181" s="63">
        <f t="shared" si="49"/>
        <v>5.3745904364059269</v>
      </c>
      <c r="L181" s="63">
        <f t="shared" si="59"/>
        <v>5.3745904364059269</v>
      </c>
      <c r="M181" s="63">
        <f t="shared" si="60"/>
        <v>20.096587785490112</v>
      </c>
      <c r="N181" s="63" t="str">
        <f t="shared" si="50"/>
        <v/>
      </c>
      <c r="O181" s="64">
        <f t="shared" si="61"/>
        <v>0.24439924889394177</v>
      </c>
      <c r="P181" s="63">
        <f t="shared" si="62"/>
        <v>0.93253275109170075</v>
      </c>
      <c r="Q181" s="64">
        <f t="shared" si="51"/>
        <v>0.93253275109170075</v>
      </c>
      <c r="R181" s="63">
        <f t="shared" si="52"/>
        <v>0.93253275109170075</v>
      </c>
      <c r="S181" s="65">
        <f t="shared" si="53"/>
        <v>0.35</v>
      </c>
      <c r="T181" s="65">
        <f t="shared" si="63"/>
        <v>1.2</v>
      </c>
      <c r="U181" s="64">
        <f t="shared" si="64"/>
        <v>1.2</v>
      </c>
      <c r="V181" s="63">
        <f t="shared" si="54"/>
        <v>6.4495085236871121</v>
      </c>
      <c r="W181" s="63" t="str">
        <f t="shared" si="55"/>
        <v/>
      </c>
      <c r="X181" s="63">
        <f t="shared" si="65"/>
        <v>318.24522751865356</v>
      </c>
      <c r="Y181" s="55"/>
      <c r="Z181" s="55"/>
      <c r="AA181" s="55"/>
      <c r="AB181" s="55">
        <f>PMSplint!N182</f>
        <v>5.3745904364059269</v>
      </c>
      <c r="AC181" s="55">
        <f>PMSplint!N182</f>
        <v>5.3745904364059269</v>
      </c>
      <c r="AD181" s="55">
        <f>IF(RnSplint!N182&lt;0,0,RnSplint!N182)</f>
        <v>20.096587785490112</v>
      </c>
      <c r="AE181" s="55">
        <f>IF(RnSplint!N182&lt;0,0,RnSplint!N182)</f>
        <v>20.096587785490112</v>
      </c>
      <c r="AF181" s="30"/>
      <c r="AG181" s="30"/>
      <c r="AH181" s="30"/>
      <c r="AI181" s="55"/>
      <c r="AJ181" s="55"/>
      <c r="AK181" s="55"/>
      <c r="AL181" s="55"/>
      <c r="AM181" s="55"/>
      <c r="AN181" s="55">
        <f t="shared" si="46"/>
        <v>108.01092851628732</v>
      </c>
      <c r="AO181" s="55">
        <f t="shared" si="47"/>
        <v>10.392830630597581</v>
      </c>
      <c r="AP181" s="55">
        <f t="shared" si="48"/>
        <v>0.24439924889394177</v>
      </c>
      <c r="AQ181" s="55"/>
      <c r="AR181" s="55"/>
      <c r="AS181" s="55"/>
      <c r="AT181" s="55"/>
      <c r="AU181" s="30"/>
      <c r="AV181" s="30"/>
      <c r="AW181" s="2"/>
      <c r="AX181" s="2"/>
    </row>
    <row r="182" spans="1:50" x14ac:dyDescent="0.2">
      <c r="A182" s="2"/>
      <c r="B182" s="61">
        <f t="shared" si="56"/>
        <v>41773</v>
      </c>
      <c r="C182" s="62">
        <f t="shared" si="57"/>
        <v>134</v>
      </c>
      <c r="D182" s="63">
        <f t="shared" si="58"/>
        <v>5.4119141472492549</v>
      </c>
      <c r="G182" s="357" t="str">
        <f>IF(MakeSchedule!C149="","",MakeSchedule!C149)</f>
        <v/>
      </c>
      <c r="H182" s="358"/>
      <c r="I182" s="358"/>
      <c r="J182" s="359" t="str">
        <f>IF(MakeSchedule!B149="","",MakeSchedule!B149)</f>
        <v/>
      </c>
      <c r="K182" s="63">
        <f t="shared" si="49"/>
        <v>5.4119141472492549</v>
      </c>
      <c r="L182" s="63">
        <f t="shared" si="59"/>
        <v>5.4119141472492549</v>
      </c>
      <c r="M182" s="63">
        <f t="shared" si="60"/>
        <v>20.212749473995277</v>
      </c>
      <c r="N182" s="63" t="str">
        <f t="shared" si="50"/>
        <v/>
      </c>
      <c r="O182" s="64">
        <f t="shared" si="61"/>
        <v>0.24285417320393404</v>
      </c>
      <c r="P182" s="63">
        <f t="shared" si="62"/>
        <v>0.9377729257641898</v>
      </c>
      <c r="Q182" s="64">
        <f t="shared" si="51"/>
        <v>0.9377729257641898</v>
      </c>
      <c r="R182" s="63">
        <f t="shared" si="52"/>
        <v>0.9377729257641898</v>
      </c>
      <c r="S182" s="65">
        <f t="shared" si="53"/>
        <v>0.35</v>
      </c>
      <c r="T182" s="65">
        <f t="shared" si="63"/>
        <v>1.2</v>
      </c>
      <c r="U182" s="64">
        <f t="shared" si="64"/>
        <v>1.2</v>
      </c>
      <c r="V182" s="63">
        <f t="shared" si="54"/>
        <v>6.4942969766991059</v>
      </c>
      <c r="W182" s="63" t="str">
        <f t="shared" si="55"/>
        <v/>
      </c>
      <c r="X182" s="63">
        <f t="shared" si="65"/>
        <v>324.73952449535267</v>
      </c>
      <c r="Y182" s="55"/>
      <c r="Z182" s="55"/>
      <c r="AA182" s="55"/>
      <c r="AB182" s="55">
        <f>PMSplint!N183</f>
        <v>5.4119141472492549</v>
      </c>
      <c r="AC182" s="55">
        <f>PMSplint!N183</f>
        <v>5.4119141472492549</v>
      </c>
      <c r="AD182" s="55">
        <f>IF(RnSplint!N183&lt;0,0,RnSplint!N183)</f>
        <v>20.212749473995277</v>
      </c>
      <c r="AE182" s="55">
        <f>IF(RnSplint!N183&lt;0,0,RnSplint!N183)</f>
        <v>20.212749473995277</v>
      </c>
      <c r="AF182" s="30"/>
      <c r="AG182" s="30"/>
      <c r="AH182" s="30"/>
      <c r="AI182" s="55"/>
      <c r="AJ182" s="55"/>
      <c r="AK182" s="55"/>
      <c r="AL182" s="55"/>
      <c r="AM182" s="55"/>
      <c r="AN182" s="55">
        <f t="shared" si="46"/>
        <v>109.38966483311998</v>
      </c>
      <c r="AO182" s="55">
        <f t="shared" si="47"/>
        <v>10.45895142130032</v>
      </c>
      <c r="AP182" s="55">
        <f t="shared" si="48"/>
        <v>0.24285417320393404</v>
      </c>
      <c r="AQ182" s="55"/>
      <c r="AR182" s="55"/>
      <c r="AS182" s="55"/>
      <c r="AT182" s="55"/>
      <c r="AU182" s="30"/>
      <c r="AV182" s="30"/>
      <c r="AW182" s="2"/>
      <c r="AX182" s="2"/>
    </row>
    <row r="183" spans="1:50" x14ac:dyDescent="0.2">
      <c r="A183" s="2"/>
      <c r="B183" s="61">
        <f t="shared" si="56"/>
        <v>41774</v>
      </c>
      <c r="C183" s="62">
        <f t="shared" si="57"/>
        <v>135</v>
      </c>
      <c r="D183" s="63">
        <f t="shared" si="58"/>
        <v>5.4498373506744562</v>
      </c>
      <c r="G183" s="357" t="str">
        <f>IF(MakeSchedule!C150="","",MakeSchedule!C150)</f>
        <v/>
      </c>
      <c r="H183" s="358"/>
      <c r="I183" s="358"/>
      <c r="J183" s="359" t="str">
        <f>IF(MakeSchedule!B150="","",MakeSchedule!B150)</f>
        <v/>
      </c>
      <c r="K183" s="63">
        <f t="shared" si="49"/>
        <v>5.4498373506744562</v>
      </c>
      <c r="L183" s="63">
        <f t="shared" si="59"/>
        <v>5.4498373506744562</v>
      </c>
      <c r="M183" s="63">
        <f t="shared" si="60"/>
        <v>20.345420105915416</v>
      </c>
      <c r="N183" s="63" t="str">
        <f t="shared" si="50"/>
        <v/>
      </c>
      <c r="O183" s="64">
        <f t="shared" si="61"/>
        <v>0.2412173906238578</v>
      </c>
      <c r="P183" s="63">
        <f t="shared" si="62"/>
        <v>0.94301310043667885</v>
      </c>
      <c r="Q183" s="64">
        <f t="shared" si="51"/>
        <v>0.94301310043667885</v>
      </c>
      <c r="R183" s="63">
        <f t="shared" si="52"/>
        <v>0.94301310043667885</v>
      </c>
      <c r="S183" s="65">
        <f t="shared" si="53"/>
        <v>0.35</v>
      </c>
      <c r="T183" s="65">
        <f t="shared" si="63"/>
        <v>1.2</v>
      </c>
      <c r="U183" s="64">
        <f t="shared" si="64"/>
        <v>1.2</v>
      </c>
      <c r="V183" s="63">
        <f t="shared" si="54"/>
        <v>6.5398048208093469</v>
      </c>
      <c r="W183" s="63" t="str">
        <f t="shared" si="55"/>
        <v/>
      </c>
      <c r="X183" s="63">
        <f t="shared" si="65"/>
        <v>331.27932931616203</v>
      </c>
      <c r="Y183" s="55"/>
      <c r="Z183" s="55"/>
      <c r="AA183" s="55"/>
      <c r="AB183" s="55">
        <f>PMSplint!N184</f>
        <v>5.4498373506744562</v>
      </c>
      <c r="AC183" s="55">
        <f>PMSplint!N184</f>
        <v>5.4498373506744562</v>
      </c>
      <c r="AD183" s="55">
        <f>IF(RnSplint!N184&lt;0,0,RnSplint!N184)</f>
        <v>20.345420105915416</v>
      </c>
      <c r="AE183" s="55">
        <f>IF(RnSplint!N184&lt;0,0,RnSplint!N184)</f>
        <v>20.345420105915416</v>
      </c>
      <c r="AF183" s="30"/>
      <c r="AG183" s="30"/>
      <c r="AH183" s="30"/>
      <c r="AI183" s="55"/>
      <c r="AJ183" s="55"/>
      <c r="AK183" s="55"/>
      <c r="AL183" s="55"/>
      <c r="AM183" s="55"/>
      <c r="AN183" s="55">
        <f t="shared" si="46"/>
        <v>110.87923040838088</v>
      </c>
      <c r="AO183" s="55">
        <f t="shared" si="47"/>
        <v>10.529920721846906</v>
      </c>
      <c r="AP183" s="55">
        <f t="shared" si="48"/>
        <v>0.2412173906238578</v>
      </c>
      <c r="AQ183" s="55"/>
      <c r="AR183" s="55"/>
      <c r="AS183" s="55"/>
      <c r="AT183" s="55"/>
      <c r="AU183" s="30"/>
      <c r="AV183" s="30"/>
      <c r="AW183" s="2"/>
      <c r="AX183" s="2"/>
    </row>
    <row r="184" spans="1:50" x14ac:dyDescent="0.2">
      <c r="A184" s="2"/>
      <c r="B184" s="61">
        <f t="shared" si="56"/>
        <v>41775</v>
      </c>
      <c r="C184" s="62">
        <f t="shared" si="57"/>
        <v>136</v>
      </c>
      <c r="D184" s="63">
        <f t="shared" si="58"/>
        <v>5.4884295069607925</v>
      </c>
      <c r="G184" s="357" t="str">
        <f>IF(MakeSchedule!C151="","",MakeSchedule!C151)</f>
        <v/>
      </c>
      <c r="H184" s="358"/>
      <c r="I184" s="358"/>
      <c r="J184" s="359" t="str">
        <f>IF(MakeSchedule!B151="","",MakeSchedule!B151)</f>
        <v/>
      </c>
      <c r="K184" s="63">
        <f t="shared" si="49"/>
        <v>5.4884295069607925</v>
      </c>
      <c r="L184" s="63">
        <f t="shared" si="59"/>
        <v>5.4884295069607925</v>
      </c>
      <c r="M184" s="63">
        <f t="shared" si="60"/>
        <v>20.496194297917043</v>
      </c>
      <c r="N184" s="63" t="str">
        <f t="shared" si="50"/>
        <v/>
      </c>
      <c r="O184" s="64">
        <f t="shared" si="61"/>
        <v>0.23948209937627488</v>
      </c>
      <c r="P184" s="63">
        <f t="shared" si="62"/>
        <v>0.9482532751091679</v>
      </c>
      <c r="Q184" s="64">
        <f t="shared" si="51"/>
        <v>0.9482532751091679</v>
      </c>
      <c r="R184" s="63">
        <f t="shared" si="52"/>
        <v>0.9482532751091679</v>
      </c>
      <c r="S184" s="65">
        <f t="shared" si="53"/>
        <v>0.35</v>
      </c>
      <c r="T184" s="65">
        <f t="shared" si="63"/>
        <v>1.2</v>
      </c>
      <c r="U184" s="64">
        <f t="shared" si="64"/>
        <v>1.2</v>
      </c>
      <c r="V184" s="63">
        <f t="shared" si="54"/>
        <v>6.586115408352951</v>
      </c>
      <c r="W184" s="63" t="str">
        <f t="shared" si="55"/>
        <v/>
      </c>
      <c r="X184" s="63">
        <f t="shared" si="65"/>
        <v>337.86544472451499</v>
      </c>
      <c r="Y184" s="55"/>
      <c r="Z184" s="55"/>
      <c r="AA184" s="55"/>
      <c r="AB184" s="55">
        <f>PMSplint!N185</f>
        <v>5.4884295069607925</v>
      </c>
      <c r="AC184" s="55">
        <f>PMSplint!N185</f>
        <v>5.4884295069607925</v>
      </c>
      <c r="AD184" s="55">
        <f>IF(RnSplint!N185&lt;0,0,RnSplint!N185)</f>
        <v>20.496194297917043</v>
      </c>
      <c r="AE184" s="55">
        <f>IF(RnSplint!N185&lt;0,0,RnSplint!N185)</f>
        <v>20.496194297917043</v>
      </c>
      <c r="AF184" s="30"/>
      <c r="AG184" s="30"/>
      <c r="AH184" s="30"/>
      <c r="AI184" s="55"/>
      <c r="AJ184" s="55"/>
      <c r="AK184" s="55"/>
      <c r="AL184" s="55"/>
      <c r="AM184" s="55"/>
      <c r="AN184" s="55">
        <f t="shared" si="46"/>
        <v>112.49191756508944</v>
      </c>
      <c r="AO184" s="55">
        <f t="shared" si="47"/>
        <v>10.606220701319081</v>
      </c>
      <c r="AP184" s="55">
        <f t="shared" si="48"/>
        <v>0.23948209937627488</v>
      </c>
      <c r="AQ184" s="55"/>
      <c r="AR184" s="55"/>
      <c r="AS184" s="55"/>
      <c r="AT184" s="55"/>
      <c r="AU184" s="30"/>
      <c r="AV184" s="30"/>
      <c r="AW184" s="2"/>
      <c r="AX184" s="2"/>
    </row>
    <row r="185" spans="1:50" x14ac:dyDescent="0.2">
      <c r="A185" s="2"/>
      <c r="B185" s="61">
        <f t="shared" si="56"/>
        <v>41776</v>
      </c>
      <c r="C185" s="62">
        <f t="shared" si="57"/>
        <v>137</v>
      </c>
      <c r="D185" s="63">
        <f t="shared" si="58"/>
        <v>5.527760076387521</v>
      </c>
      <c r="G185" s="357" t="str">
        <f>IF(MakeSchedule!C152="","",MakeSchedule!C152)</f>
        <v/>
      </c>
      <c r="H185" s="358"/>
      <c r="I185" s="358"/>
      <c r="J185" s="359" t="str">
        <f>IF(MakeSchedule!B152="","",MakeSchedule!B152)</f>
        <v/>
      </c>
      <c r="K185" s="63">
        <f t="shared" si="49"/>
        <v>5.527760076387521</v>
      </c>
      <c r="L185" s="63">
        <f t="shared" si="59"/>
        <v>5.527760076387521</v>
      </c>
      <c r="M185" s="63">
        <f t="shared" si="60"/>
        <v>20.666666666666668</v>
      </c>
      <c r="N185" s="63" t="str">
        <f t="shared" si="50"/>
        <v/>
      </c>
      <c r="O185" s="64">
        <f t="shared" si="61"/>
        <v>0.23764238742320815</v>
      </c>
      <c r="P185" s="63">
        <f t="shared" si="62"/>
        <v>0.95349344978165695</v>
      </c>
      <c r="Q185" s="64">
        <f t="shared" si="51"/>
        <v>0.95349344978165695</v>
      </c>
      <c r="R185" s="63">
        <f t="shared" si="52"/>
        <v>0.95349344978165695</v>
      </c>
      <c r="S185" s="65">
        <f t="shared" si="53"/>
        <v>0.35</v>
      </c>
      <c r="T185" s="65">
        <f t="shared" si="63"/>
        <v>1.2</v>
      </c>
      <c r="U185" s="64">
        <f t="shared" si="64"/>
        <v>1.2</v>
      </c>
      <c r="V185" s="63">
        <f t="shared" si="54"/>
        <v>6.633312091665025</v>
      </c>
      <c r="W185" s="63" t="str">
        <f t="shared" si="55"/>
        <v/>
      </c>
      <c r="X185" s="63">
        <f t="shared" si="65"/>
        <v>344.49875681617999</v>
      </c>
      <c r="Y185" s="55"/>
      <c r="Z185" s="55"/>
      <c r="AA185" s="55"/>
      <c r="AB185" s="55">
        <f>PMSplint!N186</f>
        <v>5.527760076387521</v>
      </c>
      <c r="AC185" s="55">
        <f>PMSplint!N186</f>
        <v>5.527760076387521</v>
      </c>
      <c r="AD185" s="55">
        <f>IF(RnSplint!N186&lt;0,0,RnSplint!N186)</f>
        <v>20.666666666666668</v>
      </c>
      <c r="AE185" s="55">
        <f>IF(RnSplint!N186&lt;0,0,RnSplint!N186)</f>
        <v>20.666666666666668</v>
      </c>
      <c r="AF185" s="30"/>
      <c r="AG185" s="30"/>
      <c r="AH185" s="30"/>
      <c r="AI185" s="55"/>
      <c r="AJ185" s="55"/>
      <c r="AK185" s="55"/>
      <c r="AL185" s="55"/>
      <c r="AM185" s="55"/>
      <c r="AN185" s="55">
        <f t="shared" si="46"/>
        <v>114.24037491200878</v>
      </c>
      <c r="AO185" s="55">
        <f t="shared" si="47"/>
        <v>10.688328911107142</v>
      </c>
      <c r="AP185" s="55">
        <f t="shared" si="48"/>
        <v>0.23764238742320815</v>
      </c>
      <c r="AQ185" s="55"/>
      <c r="AR185" s="55"/>
      <c r="AS185" s="55"/>
      <c r="AT185" s="55"/>
      <c r="AU185" s="30"/>
      <c r="AV185" s="30"/>
      <c r="AW185" s="2"/>
      <c r="AX185" s="2"/>
    </row>
    <row r="186" spans="1:50" x14ac:dyDescent="0.2">
      <c r="A186" s="2"/>
      <c r="B186" s="61">
        <f t="shared" si="56"/>
        <v>41777</v>
      </c>
      <c r="C186" s="62">
        <f t="shared" si="57"/>
        <v>138</v>
      </c>
      <c r="D186" s="63">
        <f t="shared" si="58"/>
        <v>5.5678747829203816</v>
      </c>
      <c r="G186" s="357" t="str">
        <f>IF(MakeSchedule!C153="","",MakeSchedule!C153)</f>
        <v/>
      </c>
      <c r="H186" s="358"/>
      <c r="I186" s="358"/>
      <c r="J186" s="359" t="str">
        <f>IF(MakeSchedule!B153="","",MakeSchedule!B153)</f>
        <v/>
      </c>
      <c r="K186" s="63">
        <f t="shared" si="49"/>
        <v>5.5678747829203816</v>
      </c>
      <c r="L186" s="63">
        <f t="shared" si="59"/>
        <v>5.5678747829203816</v>
      </c>
      <c r="M186" s="63">
        <f t="shared" si="60"/>
        <v>20.857947728454935</v>
      </c>
      <c r="N186" s="63" t="str">
        <f t="shared" si="50"/>
        <v/>
      </c>
      <c r="O186" s="64">
        <f t="shared" si="61"/>
        <v>0.23569653575782767</v>
      </c>
      <c r="P186" s="63">
        <f t="shared" si="62"/>
        <v>0.95873362445414601</v>
      </c>
      <c r="Q186" s="64">
        <f t="shared" si="51"/>
        <v>0.95873362445414601</v>
      </c>
      <c r="R186" s="63">
        <f t="shared" si="52"/>
        <v>0.95873362445414601</v>
      </c>
      <c r="S186" s="65">
        <f t="shared" si="53"/>
        <v>0.35</v>
      </c>
      <c r="T186" s="65">
        <f t="shared" si="63"/>
        <v>1.2</v>
      </c>
      <c r="U186" s="64">
        <f t="shared" si="64"/>
        <v>1.2</v>
      </c>
      <c r="V186" s="63">
        <f t="shared" si="54"/>
        <v>6.6814497395044574</v>
      </c>
      <c r="W186" s="63" t="str">
        <f t="shared" si="55"/>
        <v/>
      </c>
      <c r="X186" s="63">
        <f t="shared" si="65"/>
        <v>351.18020655568444</v>
      </c>
      <c r="Y186" s="55"/>
      <c r="Z186" s="55"/>
      <c r="AA186" s="55"/>
      <c r="AB186" s="55">
        <f>PMSplint!N187</f>
        <v>5.5678747829203816</v>
      </c>
      <c r="AC186" s="55">
        <f>PMSplint!N187</f>
        <v>5.5678747829203816</v>
      </c>
      <c r="AD186" s="55">
        <f>IF(RnSplint!N187&lt;0,0,RnSplint!N187)</f>
        <v>20.857947728454935</v>
      </c>
      <c r="AE186" s="55">
        <f>IF(RnSplint!N187&lt;0,0,RnSplint!N187)</f>
        <v>20.857947728454935</v>
      </c>
      <c r="AF186" s="30"/>
      <c r="AG186" s="30"/>
      <c r="AH186" s="30"/>
      <c r="AI186" s="55"/>
      <c r="AJ186" s="55"/>
      <c r="AK186" s="55"/>
      <c r="AL186" s="55"/>
      <c r="AM186" s="55"/>
      <c r="AN186" s="55">
        <f t="shared" si="46"/>
        <v>116.13444118073569</v>
      </c>
      <c r="AO186" s="55">
        <f t="shared" si="47"/>
        <v>10.77656908207504</v>
      </c>
      <c r="AP186" s="55">
        <f t="shared" si="48"/>
        <v>0.23569653575782767</v>
      </c>
      <c r="AQ186" s="55"/>
      <c r="AR186" s="55"/>
      <c r="AS186" s="55"/>
      <c r="AT186" s="55"/>
      <c r="AU186" s="30"/>
      <c r="AV186" s="30"/>
      <c r="AW186" s="2"/>
      <c r="AX186" s="2"/>
    </row>
    <row r="187" spans="1:50" x14ac:dyDescent="0.2">
      <c r="A187" s="2"/>
      <c r="B187" s="61">
        <f t="shared" si="56"/>
        <v>41778</v>
      </c>
      <c r="C187" s="62">
        <f t="shared" si="57"/>
        <v>139</v>
      </c>
      <c r="D187" s="63">
        <f t="shared" si="58"/>
        <v>5.6087244052710208</v>
      </c>
      <c r="G187" s="357" t="str">
        <f>IF(MakeSchedule!C154="","",MakeSchedule!C154)</f>
        <v/>
      </c>
      <c r="H187" s="358"/>
      <c r="I187" s="358"/>
      <c r="J187" s="359" t="str">
        <f>IF(MakeSchedule!B154="","",MakeSchedule!B154)</f>
        <v/>
      </c>
      <c r="K187" s="63">
        <f t="shared" si="49"/>
        <v>5.6087244052710208</v>
      </c>
      <c r="L187" s="63">
        <f t="shared" si="59"/>
        <v>5.6087244052710208</v>
      </c>
      <c r="M187" s="63">
        <f t="shared" si="60"/>
        <v>21.069211598069025</v>
      </c>
      <c r="N187" s="63" t="str">
        <f t="shared" si="50"/>
        <v/>
      </c>
      <c r="O187" s="64">
        <f t="shared" si="61"/>
        <v>0.23365631539921181</v>
      </c>
      <c r="P187" s="63">
        <f t="shared" si="62"/>
        <v>0.96397379912663506</v>
      </c>
      <c r="Q187" s="64">
        <f t="shared" si="51"/>
        <v>0.96397379912663506</v>
      </c>
      <c r="R187" s="63">
        <f t="shared" si="52"/>
        <v>0.96397379912663506</v>
      </c>
      <c r="S187" s="65">
        <f t="shared" si="53"/>
        <v>0.35</v>
      </c>
      <c r="T187" s="65">
        <f t="shared" si="63"/>
        <v>1.2</v>
      </c>
      <c r="U187" s="64">
        <f t="shared" si="64"/>
        <v>1.2</v>
      </c>
      <c r="V187" s="63">
        <f t="shared" si="54"/>
        <v>6.7304692863252251</v>
      </c>
      <c r="W187" s="63" t="str">
        <f t="shared" si="55"/>
        <v/>
      </c>
      <c r="X187" s="63">
        <f t="shared" si="65"/>
        <v>357.91067584200965</v>
      </c>
      <c r="Y187" s="55"/>
      <c r="Z187" s="55"/>
      <c r="AA187" s="55"/>
      <c r="AB187" s="55">
        <f>PMSplint!N188</f>
        <v>5.6087244052710208</v>
      </c>
      <c r="AC187" s="55">
        <f>PMSplint!N188</f>
        <v>5.6087244052710208</v>
      </c>
      <c r="AD187" s="55">
        <f>IF(RnSplint!N188&lt;0,0,RnSplint!N188)</f>
        <v>21.069211598069025</v>
      </c>
      <c r="AE187" s="55">
        <f>IF(RnSplint!N188&lt;0,0,RnSplint!N188)</f>
        <v>21.069211598069025</v>
      </c>
      <c r="AF187" s="30"/>
      <c r="AG187" s="30"/>
      <c r="AH187" s="30"/>
      <c r="AI187" s="55"/>
      <c r="AJ187" s="55"/>
      <c r="AK187" s="55"/>
      <c r="AL187" s="55"/>
      <c r="AM187" s="55"/>
      <c r="AN187" s="55">
        <f t="shared" ref="AN187:AN250" si="66">K187*M187</f>
        <v>118.17140128990899</v>
      </c>
      <c r="AO187" s="55">
        <f t="shared" ref="AO187:AO250" si="67">SQRT(AN187)</f>
        <v>10.870667012189683</v>
      </c>
      <c r="AP187" s="55">
        <f t="shared" ref="AP187:AP250" si="68">IF(2.54/AO187&gt;1.22,1.22,2.54/AO187)</f>
        <v>0.23365631539921181</v>
      </c>
      <c r="AQ187" s="55"/>
      <c r="AR187" s="55"/>
      <c r="AS187" s="55"/>
      <c r="AT187" s="55"/>
      <c r="AU187" s="30"/>
      <c r="AV187" s="30"/>
      <c r="AW187" s="2"/>
      <c r="AX187" s="2"/>
    </row>
    <row r="188" spans="1:50" x14ac:dyDescent="0.2">
      <c r="A188" s="2"/>
      <c r="B188" s="61">
        <f t="shared" si="56"/>
        <v>41779</v>
      </c>
      <c r="C188" s="62">
        <f t="shared" si="57"/>
        <v>140</v>
      </c>
      <c r="D188" s="63">
        <f t="shared" si="58"/>
        <v>5.6502359858375657</v>
      </c>
      <c r="G188" s="357" t="str">
        <f>IF(MakeSchedule!C155="","",MakeSchedule!C155)</f>
        <v/>
      </c>
      <c r="H188" s="358"/>
      <c r="I188" s="358"/>
      <c r="J188" s="359" t="str">
        <f>IF(MakeSchedule!B155="","",MakeSchedule!B155)</f>
        <v/>
      </c>
      <c r="K188" s="63">
        <f t="shared" si="49"/>
        <v>5.6502359858375657</v>
      </c>
      <c r="L188" s="63">
        <f t="shared" si="59"/>
        <v>5.6502359858375657</v>
      </c>
      <c r="M188" s="63">
        <f t="shared" si="60"/>
        <v>21.299148289920272</v>
      </c>
      <c r="N188" s="63" t="str">
        <f t="shared" si="50"/>
        <v/>
      </c>
      <c r="O188" s="64">
        <f t="shared" si="61"/>
        <v>0.23153641500731745</v>
      </c>
      <c r="P188" s="63">
        <f t="shared" si="62"/>
        <v>0.96921397379912411</v>
      </c>
      <c r="Q188" s="64">
        <f t="shared" si="51"/>
        <v>0.96921397379912411</v>
      </c>
      <c r="R188" s="63">
        <f t="shared" si="52"/>
        <v>0.96921397379912411</v>
      </c>
      <c r="S188" s="65">
        <f t="shared" si="53"/>
        <v>0.35</v>
      </c>
      <c r="T188" s="65">
        <f t="shared" si="63"/>
        <v>1.2</v>
      </c>
      <c r="U188" s="64">
        <f t="shared" si="64"/>
        <v>1.2</v>
      </c>
      <c r="V188" s="63">
        <f t="shared" si="54"/>
        <v>6.7802831830050785</v>
      </c>
      <c r="W188" s="63" t="str">
        <f t="shared" si="55"/>
        <v/>
      </c>
      <c r="X188" s="63">
        <f t="shared" si="65"/>
        <v>364.69095902501471</v>
      </c>
      <c r="Y188" s="55"/>
      <c r="Z188" s="55"/>
      <c r="AA188" s="55"/>
      <c r="AB188" s="55">
        <f>PMSplint!N189</f>
        <v>5.6502359858375657</v>
      </c>
      <c r="AC188" s="55">
        <f>PMSplint!N189</f>
        <v>5.6502359858375657</v>
      </c>
      <c r="AD188" s="55">
        <f>IF(RnSplint!N189&lt;0,0,RnSplint!N189)</f>
        <v>21.299148289920272</v>
      </c>
      <c r="AE188" s="55">
        <f>IF(RnSplint!N189&lt;0,0,RnSplint!N189)</f>
        <v>21.299148289920272</v>
      </c>
      <c r="AF188" s="30"/>
      <c r="AG188" s="30"/>
      <c r="AH188" s="30"/>
      <c r="AI188" s="55"/>
      <c r="AJ188" s="55"/>
      <c r="AK188" s="55"/>
      <c r="AL188" s="55"/>
      <c r="AM188" s="55"/>
      <c r="AN188" s="55">
        <f t="shared" si="66"/>
        <v>120.34521413539817</v>
      </c>
      <c r="AO188" s="55">
        <f t="shared" si="67"/>
        <v>10.970196631574028</v>
      </c>
      <c r="AP188" s="55">
        <f t="shared" si="68"/>
        <v>0.23153641500731745</v>
      </c>
      <c r="AQ188" s="55"/>
      <c r="AR188" s="55"/>
      <c r="AS188" s="55"/>
      <c r="AT188" s="55"/>
      <c r="AU188" s="30"/>
      <c r="AV188" s="30"/>
      <c r="AW188" s="2"/>
      <c r="AX188" s="2"/>
    </row>
    <row r="189" spans="1:50" x14ac:dyDescent="0.2">
      <c r="A189" s="2"/>
      <c r="B189" s="61">
        <f t="shared" si="56"/>
        <v>41780</v>
      </c>
      <c r="C189" s="62">
        <f t="shared" si="57"/>
        <v>141</v>
      </c>
      <c r="D189" s="63">
        <f t="shared" si="58"/>
        <v>5.6923365670181481</v>
      </c>
      <c r="G189" s="357" t="str">
        <f>IF(MakeSchedule!C156="","",MakeSchedule!C156)</f>
        <v/>
      </c>
      <c r="H189" s="358"/>
      <c r="I189" s="358"/>
      <c r="J189" s="359" t="str">
        <f>IF(MakeSchedule!B156="","",MakeSchedule!B156)</f>
        <v/>
      </c>
      <c r="K189" s="63">
        <f t="shared" si="49"/>
        <v>5.6923365670181481</v>
      </c>
      <c r="L189" s="63">
        <f t="shared" si="59"/>
        <v>5.6923365670181481</v>
      </c>
      <c r="M189" s="63">
        <f t="shared" si="60"/>
        <v>21.546447818419985</v>
      </c>
      <c r="N189" s="63" t="str">
        <f t="shared" si="50"/>
        <v/>
      </c>
      <c r="O189" s="64">
        <f t="shared" si="61"/>
        <v>0.2293509748627052</v>
      </c>
      <c r="P189" s="63">
        <f t="shared" si="62"/>
        <v>0.97445414847161316</v>
      </c>
      <c r="Q189" s="64">
        <f t="shared" si="51"/>
        <v>0.97445414847161316</v>
      </c>
      <c r="R189" s="63">
        <f t="shared" si="52"/>
        <v>0.97445414847161316</v>
      </c>
      <c r="S189" s="65">
        <f t="shared" si="53"/>
        <v>0.35</v>
      </c>
      <c r="T189" s="65">
        <f t="shared" si="63"/>
        <v>1.2</v>
      </c>
      <c r="U189" s="64">
        <f t="shared" si="64"/>
        <v>1.2</v>
      </c>
      <c r="V189" s="63">
        <f t="shared" si="54"/>
        <v>6.8308038804217777</v>
      </c>
      <c r="W189" s="63" t="str">
        <f t="shared" si="55"/>
        <v/>
      </c>
      <c r="X189" s="63">
        <f t="shared" si="65"/>
        <v>371.5217629054365</v>
      </c>
      <c r="Y189" s="55"/>
      <c r="Z189" s="55"/>
      <c r="AA189" s="55"/>
      <c r="AB189" s="55">
        <f>PMSplint!N190</f>
        <v>5.6923365670181481</v>
      </c>
      <c r="AC189" s="55">
        <f>PMSplint!N190</f>
        <v>5.6923365670181481</v>
      </c>
      <c r="AD189" s="55">
        <f>IF(RnSplint!N190&lt;0,0,RnSplint!N190)</f>
        <v>21.546447818419985</v>
      </c>
      <c r="AE189" s="55">
        <f>IF(RnSplint!N190&lt;0,0,RnSplint!N190)</f>
        <v>21.546447818419985</v>
      </c>
      <c r="AF189" s="30"/>
      <c r="AG189" s="30"/>
      <c r="AH189" s="30"/>
      <c r="AI189" s="55"/>
      <c r="AJ189" s="55"/>
      <c r="AK189" s="55"/>
      <c r="AL189" s="55"/>
      <c r="AM189" s="55"/>
      <c r="AN189" s="55">
        <f t="shared" si="66"/>
        <v>122.64963280614049</v>
      </c>
      <c r="AO189" s="55">
        <f t="shared" si="67"/>
        <v>11.074729468756358</v>
      </c>
      <c r="AP189" s="55">
        <f t="shared" si="68"/>
        <v>0.2293509748627052</v>
      </c>
      <c r="AQ189" s="55"/>
      <c r="AR189" s="55"/>
      <c r="AS189" s="55"/>
      <c r="AT189" s="55"/>
      <c r="AU189" s="30"/>
      <c r="AV189" s="30"/>
      <c r="AW189" s="2"/>
      <c r="AX189" s="2"/>
    </row>
    <row r="190" spans="1:50" x14ac:dyDescent="0.2">
      <c r="A190" s="2"/>
      <c r="B190" s="61">
        <f t="shared" si="56"/>
        <v>41781</v>
      </c>
      <c r="C190" s="62">
        <f t="shared" si="57"/>
        <v>142</v>
      </c>
      <c r="D190" s="63">
        <f t="shared" si="58"/>
        <v>5.7349531912108906</v>
      </c>
      <c r="G190" s="357" t="str">
        <f>IF(MakeSchedule!C157="","",MakeSchedule!C157)</f>
        <v/>
      </c>
      <c r="H190" s="358"/>
      <c r="I190" s="358"/>
      <c r="J190" s="359" t="str">
        <f>IF(MakeSchedule!B157="","",MakeSchedule!B157)</f>
        <v/>
      </c>
      <c r="K190" s="63">
        <f t="shared" si="49"/>
        <v>5.7349531912108906</v>
      </c>
      <c r="L190" s="63">
        <f t="shared" si="59"/>
        <v>5.7349531912108906</v>
      </c>
      <c r="M190" s="63">
        <f t="shared" si="60"/>
        <v>21.809800197979492</v>
      </c>
      <c r="N190" s="63" t="str">
        <f t="shared" si="50"/>
        <v/>
      </c>
      <c r="O190" s="64">
        <f t="shared" si="61"/>
        <v>0.22711349173743736</v>
      </c>
      <c r="P190" s="63">
        <f t="shared" si="62"/>
        <v>0.97969432314410221</v>
      </c>
      <c r="Q190" s="64">
        <f t="shared" si="51"/>
        <v>0.97969432314410221</v>
      </c>
      <c r="R190" s="63">
        <f t="shared" si="52"/>
        <v>0.97969432314410221</v>
      </c>
      <c r="S190" s="65">
        <f t="shared" si="53"/>
        <v>0.35</v>
      </c>
      <c r="T190" s="65">
        <f t="shared" si="63"/>
        <v>1.2</v>
      </c>
      <c r="U190" s="64">
        <f t="shared" si="64"/>
        <v>1.2</v>
      </c>
      <c r="V190" s="63">
        <f t="shared" si="54"/>
        <v>6.8819438294530686</v>
      </c>
      <c r="W190" s="63" t="str">
        <f t="shared" si="55"/>
        <v/>
      </c>
      <c r="X190" s="63">
        <f t="shared" si="65"/>
        <v>378.40370673488957</v>
      </c>
      <c r="Y190" s="55"/>
      <c r="Z190" s="55"/>
      <c r="AA190" s="55"/>
      <c r="AB190" s="55">
        <f>PMSplint!N191</f>
        <v>5.7349531912108906</v>
      </c>
      <c r="AC190" s="55">
        <f>PMSplint!N191</f>
        <v>5.7349531912108906</v>
      </c>
      <c r="AD190" s="55">
        <f>IF(RnSplint!N191&lt;0,0,RnSplint!N191)</f>
        <v>21.809800197979492</v>
      </c>
      <c r="AE190" s="55">
        <f>IF(RnSplint!N191&lt;0,0,RnSplint!N191)</f>
        <v>21.809800197979492</v>
      </c>
      <c r="AF190" s="30"/>
      <c r="AG190" s="30"/>
      <c r="AH190" s="30"/>
      <c r="AI190" s="55"/>
      <c r="AJ190" s="55"/>
      <c r="AK190" s="55"/>
      <c r="AL190" s="55"/>
      <c r="AM190" s="55"/>
      <c r="AN190" s="55">
        <f t="shared" si="66"/>
        <v>125.0781832450744</v>
      </c>
      <c r="AO190" s="55">
        <f t="shared" si="67"/>
        <v>11.183835801954283</v>
      </c>
      <c r="AP190" s="55">
        <f t="shared" si="68"/>
        <v>0.22711349173743736</v>
      </c>
      <c r="AQ190" s="55"/>
      <c r="AR190" s="55"/>
      <c r="AS190" s="55"/>
      <c r="AT190" s="55"/>
      <c r="AU190" s="30"/>
      <c r="AV190" s="30"/>
      <c r="AW190" s="2"/>
      <c r="AX190" s="2"/>
    </row>
    <row r="191" spans="1:50" x14ac:dyDescent="0.2">
      <c r="A191" s="2"/>
      <c r="B191" s="61">
        <f t="shared" si="56"/>
        <v>41782</v>
      </c>
      <c r="C191" s="62">
        <f t="shared" si="57"/>
        <v>143</v>
      </c>
      <c r="D191" s="63">
        <f t="shared" si="58"/>
        <v>5.7780129008139216</v>
      </c>
      <c r="G191" s="357" t="str">
        <f>IF(MakeSchedule!C158="","",MakeSchedule!C158)</f>
        <v/>
      </c>
      <c r="H191" s="358"/>
      <c r="I191" s="358"/>
      <c r="J191" s="359" t="str">
        <f>IF(MakeSchedule!B158="","",MakeSchedule!B158)</f>
        <v/>
      </c>
      <c r="K191" s="63">
        <f t="shared" si="49"/>
        <v>5.7780129008139216</v>
      </c>
      <c r="L191" s="63">
        <f t="shared" si="59"/>
        <v>5.7780129008139216</v>
      </c>
      <c r="M191" s="63">
        <f t="shared" si="60"/>
        <v>22.087895443010105</v>
      </c>
      <c r="N191" s="63" t="str">
        <f t="shared" si="50"/>
        <v/>
      </c>
      <c r="O191" s="64">
        <f t="shared" si="61"/>
        <v>0.22483674748895538</v>
      </c>
      <c r="P191" s="63">
        <f t="shared" si="62"/>
        <v>0.98493449781659126</v>
      </c>
      <c r="Q191" s="64">
        <f t="shared" si="51"/>
        <v>0.98493449781659126</v>
      </c>
      <c r="R191" s="63">
        <f t="shared" si="52"/>
        <v>0.98493449781659126</v>
      </c>
      <c r="S191" s="65">
        <f t="shared" si="53"/>
        <v>0.35</v>
      </c>
      <c r="T191" s="65">
        <f t="shared" si="63"/>
        <v>1.2</v>
      </c>
      <c r="U191" s="64">
        <f t="shared" si="64"/>
        <v>1.2</v>
      </c>
      <c r="V191" s="63">
        <f t="shared" si="54"/>
        <v>6.9336154809767061</v>
      </c>
      <c r="W191" s="63" t="str">
        <f t="shared" si="55"/>
        <v/>
      </c>
      <c r="X191" s="63">
        <f t="shared" si="65"/>
        <v>385.33732221586627</v>
      </c>
      <c r="Y191" s="55"/>
      <c r="Z191" s="55"/>
      <c r="AA191" s="55"/>
      <c r="AB191" s="55">
        <f>PMSplint!N192</f>
        <v>5.7780129008139216</v>
      </c>
      <c r="AC191" s="55">
        <f>PMSplint!N192</f>
        <v>5.7780129008139216</v>
      </c>
      <c r="AD191" s="55">
        <f>IF(RnSplint!N192&lt;0,0,RnSplint!N192)</f>
        <v>22.087895443010105</v>
      </c>
      <c r="AE191" s="55">
        <f>IF(RnSplint!N192&lt;0,0,RnSplint!N192)</f>
        <v>22.087895443010105</v>
      </c>
      <c r="AF191" s="30"/>
      <c r="AG191" s="30"/>
      <c r="AH191" s="30"/>
      <c r="AI191" s="55"/>
      <c r="AJ191" s="55"/>
      <c r="AK191" s="55"/>
      <c r="AL191" s="55"/>
      <c r="AM191" s="55"/>
      <c r="AN191" s="55">
        <f t="shared" si="66"/>
        <v>127.62414482154142</v>
      </c>
      <c r="AO191" s="55">
        <f t="shared" si="67"/>
        <v>11.297085678242041</v>
      </c>
      <c r="AP191" s="55">
        <f t="shared" si="68"/>
        <v>0.22483674748895538</v>
      </c>
      <c r="AQ191" s="55"/>
      <c r="AR191" s="55"/>
      <c r="AS191" s="55"/>
      <c r="AT191" s="55"/>
      <c r="AU191" s="30"/>
      <c r="AV191" s="30"/>
      <c r="AW191" s="2"/>
      <c r="AX191" s="2"/>
    </row>
    <row r="192" spans="1:50" x14ac:dyDescent="0.2">
      <c r="A192" s="2"/>
      <c r="B192" s="61">
        <f t="shared" si="56"/>
        <v>41783</v>
      </c>
      <c r="C192" s="62">
        <f t="shared" si="57"/>
        <v>144</v>
      </c>
      <c r="D192" s="63">
        <f t="shared" si="58"/>
        <v>5.82144273822537</v>
      </c>
      <c r="G192" s="357" t="str">
        <f>IF(MakeSchedule!C159="","",MakeSchedule!C159)</f>
        <v/>
      </c>
      <c r="H192" s="358"/>
      <c r="I192" s="358"/>
      <c r="J192" s="359" t="str">
        <f>IF(MakeSchedule!B159="","",MakeSchedule!B159)</f>
        <v/>
      </c>
      <c r="K192" s="63">
        <f t="shared" si="49"/>
        <v>5.82144273822537</v>
      </c>
      <c r="L192" s="63">
        <f t="shared" si="59"/>
        <v>5.82144273822537</v>
      </c>
      <c r="M192" s="63">
        <f t="shared" si="60"/>
        <v>22.379423567923144</v>
      </c>
      <c r="N192" s="63" t="str">
        <f t="shared" si="50"/>
        <v/>
      </c>
      <c r="O192" s="64">
        <f t="shared" si="61"/>
        <v>0.22253275960052071</v>
      </c>
      <c r="P192" s="63">
        <f t="shared" si="62"/>
        <v>0.99017467248908031</v>
      </c>
      <c r="Q192" s="64">
        <f t="shared" si="51"/>
        <v>0.99017467248908031</v>
      </c>
      <c r="R192" s="63">
        <f t="shared" si="52"/>
        <v>0.99017467248908031</v>
      </c>
      <c r="S192" s="65">
        <f t="shared" si="53"/>
        <v>0.35</v>
      </c>
      <c r="T192" s="65">
        <f t="shared" si="63"/>
        <v>1.2</v>
      </c>
      <c r="U192" s="64">
        <f t="shared" si="64"/>
        <v>1.2</v>
      </c>
      <c r="V192" s="63">
        <f t="shared" si="54"/>
        <v>6.9857312858704441</v>
      </c>
      <c r="W192" s="63" t="str">
        <f t="shared" si="55"/>
        <v/>
      </c>
      <c r="X192" s="63">
        <f t="shared" si="65"/>
        <v>392.32305350173669</v>
      </c>
      <c r="Y192" s="55"/>
      <c r="Z192" s="55"/>
      <c r="AA192" s="55"/>
      <c r="AB192" s="55">
        <f>PMSplint!N193</f>
        <v>5.82144273822537</v>
      </c>
      <c r="AC192" s="55">
        <f>PMSplint!N193</f>
        <v>5.82144273822537</v>
      </c>
      <c r="AD192" s="55">
        <f>IF(RnSplint!N193&lt;0,0,RnSplint!N193)</f>
        <v>22.379423567923144</v>
      </c>
      <c r="AE192" s="55">
        <f>IF(RnSplint!N193&lt;0,0,RnSplint!N193)</f>
        <v>22.379423567923144</v>
      </c>
      <c r="AF192" s="30"/>
      <c r="AG192" s="30"/>
      <c r="AH192" s="30"/>
      <c r="AI192" s="55"/>
      <c r="AJ192" s="55"/>
      <c r="AK192" s="55"/>
      <c r="AL192" s="55"/>
      <c r="AM192" s="55"/>
      <c r="AN192" s="55">
        <f t="shared" si="66"/>
        <v>130.28053281515588</v>
      </c>
      <c r="AO192" s="55">
        <f t="shared" si="67"/>
        <v>11.414049799048358</v>
      </c>
      <c r="AP192" s="55">
        <f t="shared" si="68"/>
        <v>0.22253275960052071</v>
      </c>
      <c r="AQ192" s="55"/>
      <c r="AR192" s="55"/>
      <c r="AS192" s="55"/>
      <c r="AT192" s="55"/>
      <c r="AU192" s="30"/>
      <c r="AV192" s="30"/>
      <c r="AW192" s="2"/>
      <c r="AX192" s="2"/>
    </row>
    <row r="193" spans="1:50" x14ac:dyDescent="0.2">
      <c r="A193" s="2"/>
      <c r="B193" s="61">
        <f t="shared" si="56"/>
        <v>41784</v>
      </c>
      <c r="C193" s="62">
        <f t="shared" si="57"/>
        <v>145</v>
      </c>
      <c r="D193" s="63">
        <f t="shared" si="58"/>
        <v>5.865169745843362</v>
      </c>
      <c r="G193" s="357" t="str">
        <f>IF(MakeSchedule!C160="","",MakeSchedule!C160)</f>
        <v/>
      </c>
      <c r="H193" s="358"/>
      <c r="I193" s="358"/>
      <c r="J193" s="359" t="str">
        <f>IF(MakeSchedule!B160="","",MakeSchedule!B160)</f>
        <v/>
      </c>
      <c r="K193" s="63">
        <f t="shared" si="49"/>
        <v>5.865169745843362</v>
      </c>
      <c r="L193" s="63">
        <f t="shared" si="59"/>
        <v>5.865169745843362</v>
      </c>
      <c r="M193" s="63">
        <f t="shared" si="60"/>
        <v>22.683074587129948</v>
      </c>
      <c r="N193" s="63" t="str">
        <f t="shared" si="50"/>
        <v/>
      </c>
      <c r="O193" s="64">
        <f t="shared" si="61"/>
        <v>0.22021275150276987</v>
      </c>
      <c r="P193" s="63">
        <f t="shared" si="62"/>
        <v>0.99541484716156936</v>
      </c>
      <c r="Q193" s="64">
        <f t="shared" si="51"/>
        <v>0.99541484716156936</v>
      </c>
      <c r="R193" s="63">
        <f t="shared" si="52"/>
        <v>0.99541484716156936</v>
      </c>
      <c r="S193" s="65">
        <f t="shared" si="53"/>
        <v>0.35</v>
      </c>
      <c r="T193" s="65">
        <f t="shared" si="63"/>
        <v>1.2</v>
      </c>
      <c r="U193" s="64">
        <f t="shared" si="64"/>
        <v>1.2</v>
      </c>
      <c r="V193" s="63">
        <f t="shared" si="54"/>
        <v>7.0382036950120339</v>
      </c>
      <c r="W193" s="63" t="str">
        <f t="shared" si="55"/>
        <v/>
      </c>
      <c r="X193" s="63">
        <f t="shared" si="65"/>
        <v>399.36125719674874</v>
      </c>
      <c r="Y193" s="55"/>
      <c r="Z193" s="55"/>
      <c r="AA193" s="55"/>
      <c r="AB193" s="55">
        <f>PMSplint!N194</f>
        <v>5.865169745843362</v>
      </c>
      <c r="AC193" s="55">
        <f>PMSplint!N194</f>
        <v>5.865169745843362</v>
      </c>
      <c r="AD193" s="55">
        <f>IF(RnSplint!N194&lt;0,0,RnSplint!N194)</f>
        <v>22.683074587129948</v>
      </c>
      <c r="AE193" s="55">
        <f>IF(RnSplint!N194&lt;0,0,RnSplint!N194)</f>
        <v>22.683074587129948</v>
      </c>
      <c r="AF193" s="30"/>
      <c r="AG193" s="30"/>
      <c r="AH193" s="30"/>
      <c r="AI193" s="55"/>
      <c r="AJ193" s="55"/>
      <c r="AK193" s="55"/>
      <c r="AL193" s="55"/>
      <c r="AM193" s="55"/>
      <c r="AN193" s="55">
        <f t="shared" si="66"/>
        <v>133.04008281114298</v>
      </c>
      <c r="AO193" s="55">
        <f t="shared" si="67"/>
        <v>11.53430027401502</v>
      </c>
      <c r="AP193" s="55">
        <f t="shared" si="68"/>
        <v>0.22021275150276987</v>
      </c>
      <c r="AQ193" s="55"/>
      <c r="AR193" s="55"/>
      <c r="AS193" s="55"/>
      <c r="AT193" s="55"/>
      <c r="AU193" s="30"/>
      <c r="AV193" s="30"/>
      <c r="AW193" s="2"/>
      <c r="AX193" s="2"/>
    </row>
    <row r="194" spans="1:50" x14ac:dyDescent="0.2">
      <c r="A194" s="2"/>
      <c r="B194" s="61">
        <f t="shared" si="56"/>
        <v>41785</v>
      </c>
      <c r="C194" s="62">
        <f t="shared" si="57"/>
        <v>146</v>
      </c>
      <c r="D194" s="63">
        <f t="shared" si="58"/>
        <v>5.909120966066026</v>
      </c>
      <c r="G194" s="357" t="str">
        <f>IF(MakeSchedule!C161="","",MakeSchedule!C161)</f>
        <v/>
      </c>
      <c r="H194" s="358"/>
      <c r="I194" s="358"/>
      <c r="J194" s="359" t="str">
        <f>IF(MakeSchedule!B161="","",MakeSchedule!B161)</f>
        <v/>
      </c>
      <c r="K194" s="63">
        <f t="shared" si="49"/>
        <v>5.909120966066026</v>
      </c>
      <c r="L194" s="63">
        <f t="shared" si="59"/>
        <v>5.909120966066026</v>
      </c>
      <c r="M194" s="63">
        <f t="shared" si="60"/>
        <v>22.997538515041818</v>
      </c>
      <c r="N194" s="63" t="str">
        <f t="shared" si="50"/>
        <v/>
      </c>
      <c r="O194" s="64">
        <f t="shared" si="61"/>
        <v>0.21788714028731757</v>
      </c>
      <c r="P194" s="63">
        <f t="shared" si="62"/>
        <v>1.0006550218340584</v>
      </c>
      <c r="Q194" s="64">
        <f t="shared" si="51"/>
        <v>1.0006550218340584</v>
      </c>
      <c r="R194" s="63">
        <f t="shared" si="52"/>
        <v>1.0006550218340584</v>
      </c>
      <c r="S194" s="65">
        <f t="shared" si="53"/>
        <v>0.35</v>
      </c>
      <c r="T194" s="65">
        <f t="shared" si="63"/>
        <v>1.2</v>
      </c>
      <c r="U194" s="64">
        <f t="shared" si="64"/>
        <v>1.2</v>
      </c>
      <c r="V194" s="63">
        <f t="shared" si="54"/>
        <v>7.0909451592792312</v>
      </c>
      <c r="W194" s="63" t="str">
        <f t="shared" si="55"/>
        <v/>
      </c>
      <c r="X194" s="63">
        <f t="shared" si="65"/>
        <v>406.45220235602795</v>
      </c>
      <c r="Y194" s="55"/>
      <c r="Z194" s="55"/>
      <c r="AA194" s="55"/>
      <c r="AB194" s="55">
        <f>PMSplint!N195</f>
        <v>5.909120966066026</v>
      </c>
      <c r="AC194" s="55">
        <f>PMSplint!N195</f>
        <v>5.909120966066026</v>
      </c>
      <c r="AD194" s="55">
        <f>IF(RnSplint!N195&lt;0,0,RnSplint!N195)</f>
        <v>22.997538515041818</v>
      </c>
      <c r="AE194" s="55">
        <f>IF(RnSplint!N195&lt;0,0,RnSplint!N195)</f>
        <v>22.997538515041818</v>
      </c>
      <c r="AF194" s="30"/>
      <c r="AG194" s="30"/>
      <c r="AH194" s="30"/>
      <c r="AI194" s="55"/>
      <c r="AJ194" s="55"/>
      <c r="AK194" s="55"/>
      <c r="AL194" s="55"/>
      <c r="AM194" s="55"/>
      <c r="AN194" s="55">
        <f t="shared" si="66"/>
        <v>135.89523700714454</v>
      </c>
      <c r="AO194" s="55">
        <f t="shared" si="67"/>
        <v>11.657411248092114</v>
      </c>
      <c r="AP194" s="55">
        <f t="shared" si="68"/>
        <v>0.21788714028731757</v>
      </c>
      <c r="AQ194" s="55"/>
      <c r="AR194" s="55"/>
      <c r="AS194" s="55"/>
      <c r="AT194" s="55"/>
      <c r="AU194" s="30"/>
      <c r="AV194" s="30"/>
      <c r="AW194" s="2"/>
      <c r="AX194" s="2"/>
    </row>
    <row r="195" spans="1:50" x14ac:dyDescent="0.2">
      <c r="A195" s="2"/>
      <c r="B195" s="61">
        <f t="shared" si="56"/>
        <v>41786</v>
      </c>
      <c r="C195" s="62">
        <f t="shared" si="57"/>
        <v>147</v>
      </c>
      <c r="D195" s="63">
        <f t="shared" si="58"/>
        <v>5.9532234412914873</v>
      </c>
      <c r="G195" s="357" t="str">
        <f>IF(MakeSchedule!C162="","",MakeSchedule!C162)</f>
        <v/>
      </c>
      <c r="H195" s="358"/>
      <c r="I195" s="358"/>
      <c r="J195" s="359" t="str">
        <f>IF(MakeSchedule!B162="","",MakeSchedule!B162)</f>
        <v/>
      </c>
      <c r="K195" s="63">
        <f t="shared" si="49"/>
        <v>5.9532234412914873</v>
      </c>
      <c r="L195" s="63">
        <f t="shared" si="59"/>
        <v>5.9532234412914873</v>
      </c>
      <c r="M195" s="63">
        <f t="shared" si="60"/>
        <v>23.321505366070085</v>
      </c>
      <c r="N195" s="63" t="str">
        <f t="shared" si="50"/>
        <v/>
      </c>
      <c r="O195" s="64">
        <f t="shared" si="61"/>
        <v>0.21556553934015357</v>
      </c>
      <c r="P195" s="63">
        <f t="shared" si="62"/>
        <v>1.0058951965065475</v>
      </c>
      <c r="Q195" s="64">
        <f t="shared" si="51"/>
        <v>1.0058951965065475</v>
      </c>
      <c r="R195" s="63">
        <f t="shared" si="52"/>
        <v>1.0058951965065475</v>
      </c>
      <c r="S195" s="65">
        <f t="shared" si="53"/>
        <v>0.35</v>
      </c>
      <c r="T195" s="65">
        <f t="shared" si="63"/>
        <v>1.2</v>
      </c>
      <c r="U195" s="64">
        <f t="shared" si="64"/>
        <v>1.2</v>
      </c>
      <c r="V195" s="63">
        <f t="shared" si="54"/>
        <v>7.1438681295497846</v>
      </c>
      <c r="W195" s="63" t="str">
        <f t="shared" si="55"/>
        <v/>
      </c>
      <c r="X195" s="63">
        <f t="shared" si="65"/>
        <v>413.59607048557774</v>
      </c>
      <c r="Y195" s="55"/>
      <c r="Z195" s="55"/>
      <c r="AA195" s="55"/>
      <c r="AB195" s="55">
        <f>PMSplint!N196</f>
        <v>5.9532234412914873</v>
      </c>
      <c r="AC195" s="55">
        <f>PMSplint!N196</f>
        <v>5.9532234412914873</v>
      </c>
      <c r="AD195" s="55">
        <f>IF(RnSplint!N196&lt;0,0,RnSplint!N196)</f>
        <v>23.321505366070085</v>
      </c>
      <c r="AE195" s="55">
        <f>IF(RnSplint!N196&lt;0,0,RnSplint!N196)</f>
        <v>23.321505366070085</v>
      </c>
      <c r="AF195" s="30"/>
      <c r="AG195" s="30"/>
      <c r="AH195" s="30"/>
      <c r="AI195" s="55"/>
      <c r="AJ195" s="55"/>
      <c r="AK195" s="55"/>
      <c r="AL195" s="55"/>
      <c r="AM195" s="55"/>
      <c r="AN195" s="55">
        <f t="shared" si="66"/>
        <v>138.83813243149365</v>
      </c>
      <c r="AO195" s="55">
        <f t="shared" si="67"/>
        <v>11.782959408887635</v>
      </c>
      <c r="AP195" s="55">
        <f t="shared" si="68"/>
        <v>0.21556553934015357</v>
      </c>
      <c r="AQ195" s="55"/>
      <c r="AR195" s="55"/>
      <c r="AS195" s="55"/>
      <c r="AT195" s="55"/>
      <c r="AU195" s="30"/>
      <c r="AV195" s="30"/>
      <c r="AW195" s="2"/>
      <c r="AX195" s="2"/>
    </row>
    <row r="196" spans="1:50" x14ac:dyDescent="0.2">
      <c r="A196" s="2"/>
      <c r="B196" s="61">
        <f t="shared" si="56"/>
        <v>41787</v>
      </c>
      <c r="C196" s="62">
        <f t="shared" si="57"/>
        <v>148</v>
      </c>
      <c r="D196" s="63">
        <f t="shared" si="58"/>
        <v>5.997404213917874</v>
      </c>
      <c r="G196" s="357" t="str">
        <f>IF(MakeSchedule!C163="","",MakeSchedule!C163)</f>
        <v/>
      </c>
      <c r="H196" s="358"/>
      <c r="I196" s="358"/>
      <c r="J196" s="359" t="str">
        <f>IF(MakeSchedule!B163="","",MakeSchedule!B163)</f>
        <v/>
      </c>
      <c r="K196" s="63">
        <f t="shared" si="49"/>
        <v>5.997404213917874</v>
      </c>
      <c r="L196" s="63">
        <f t="shared" si="59"/>
        <v>5.997404213917874</v>
      </c>
      <c r="M196" s="63">
        <f t="shared" si="60"/>
        <v>23.653665154626065</v>
      </c>
      <c r="N196" s="63" t="str">
        <f t="shared" si="50"/>
        <v/>
      </c>
      <c r="O196" s="64">
        <f t="shared" si="61"/>
        <v>0.21325677345246452</v>
      </c>
      <c r="P196" s="63">
        <f t="shared" si="62"/>
        <v>1.0111353711790365</v>
      </c>
      <c r="Q196" s="64">
        <f t="shared" si="51"/>
        <v>1.0111353711790365</v>
      </c>
      <c r="R196" s="63">
        <f t="shared" si="52"/>
        <v>1.0111353711790365</v>
      </c>
      <c r="S196" s="65">
        <f t="shared" si="53"/>
        <v>0.35</v>
      </c>
      <c r="T196" s="65">
        <f t="shared" si="63"/>
        <v>1.2</v>
      </c>
      <c r="U196" s="64">
        <f t="shared" si="64"/>
        <v>1.2</v>
      </c>
      <c r="V196" s="63">
        <f t="shared" si="54"/>
        <v>7.1968850567014488</v>
      </c>
      <c r="W196" s="63" t="str">
        <f t="shared" si="55"/>
        <v/>
      </c>
      <c r="X196" s="63">
        <f t="shared" si="65"/>
        <v>420.79295554227917</v>
      </c>
      <c r="Y196" s="55"/>
      <c r="Z196" s="55"/>
      <c r="AA196" s="55"/>
      <c r="AB196" s="55">
        <f>PMSplint!N197</f>
        <v>5.997404213917874</v>
      </c>
      <c r="AC196" s="55">
        <f>PMSplint!N197</f>
        <v>5.997404213917874</v>
      </c>
      <c r="AD196" s="55">
        <f>IF(RnSplint!N197&lt;0,0,RnSplint!N197)</f>
        <v>23.653665154626065</v>
      </c>
      <c r="AE196" s="55">
        <f>IF(RnSplint!N197&lt;0,0,RnSplint!N197)</f>
        <v>23.653665154626065</v>
      </c>
      <c r="AF196" s="30"/>
      <c r="AG196" s="30"/>
      <c r="AH196" s="30"/>
      <c r="AI196" s="55"/>
      <c r="AJ196" s="55"/>
      <c r="AK196" s="55"/>
      <c r="AL196" s="55"/>
      <c r="AM196" s="55"/>
      <c r="AN196" s="55">
        <f t="shared" si="66"/>
        <v>141.86059107295674</v>
      </c>
      <c r="AO196" s="55">
        <f t="shared" si="67"/>
        <v>11.91052438278671</v>
      </c>
      <c r="AP196" s="55">
        <f t="shared" si="68"/>
        <v>0.21325677345246452</v>
      </c>
      <c r="AQ196" s="55"/>
      <c r="AR196" s="55"/>
      <c r="AS196" s="55"/>
      <c r="AT196" s="55"/>
      <c r="AU196" s="30"/>
      <c r="AV196" s="30"/>
      <c r="AW196" s="2"/>
      <c r="AX196" s="2"/>
    </row>
    <row r="197" spans="1:50" x14ac:dyDescent="0.2">
      <c r="A197" s="2"/>
      <c r="B197" s="61">
        <f t="shared" si="56"/>
        <v>41788</v>
      </c>
      <c r="C197" s="62">
        <f t="shared" si="57"/>
        <v>149</v>
      </c>
      <c r="D197" s="63">
        <f t="shared" si="58"/>
        <v>6.0415903263433135</v>
      </c>
      <c r="G197" s="357" t="str">
        <f>IF(MakeSchedule!C164="","",MakeSchedule!C164)</f>
        <v/>
      </c>
      <c r="H197" s="358"/>
      <c r="I197" s="358"/>
      <c r="J197" s="359" t="str">
        <f>IF(MakeSchedule!B164="","",MakeSchedule!B164)</f>
        <v/>
      </c>
      <c r="K197" s="63">
        <f t="shared" si="49"/>
        <v>6.0415903263433135</v>
      </c>
      <c r="L197" s="63">
        <f t="shared" si="59"/>
        <v>6.0415903263433135</v>
      </c>
      <c r="M197" s="63">
        <f t="shared" si="60"/>
        <v>23.992707895121082</v>
      </c>
      <c r="N197" s="63" t="str">
        <f t="shared" si="50"/>
        <v/>
      </c>
      <c r="O197" s="64">
        <f t="shared" si="61"/>
        <v>0.21096890408226163</v>
      </c>
      <c r="P197" s="63">
        <f t="shared" si="62"/>
        <v>1.0163755458515256</v>
      </c>
      <c r="Q197" s="64">
        <f t="shared" si="51"/>
        <v>1.0163755458515256</v>
      </c>
      <c r="R197" s="63">
        <f t="shared" si="52"/>
        <v>1.0163755458515256</v>
      </c>
      <c r="S197" s="65">
        <f t="shared" si="53"/>
        <v>0.35</v>
      </c>
      <c r="T197" s="65">
        <f t="shared" si="63"/>
        <v>1.2</v>
      </c>
      <c r="U197" s="64">
        <f t="shared" si="64"/>
        <v>1.2</v>
      </c>
      <c r="V197" s="63">
        <f t="shared" si="54"/>
        <v>7.2499083916119762</v>
      </c>
      <c r="W197" s="63" t="str">
        <f t="shared" si="55"/>
        <v/>
      </c>
      <c r="X197" s="63">
        <f t="shared" si="65"/>
        <v>428.04286393389117</v>
      </c>
      <c r="Y197" s="55"/>
      <c r="Z197" s="55"/>
      <c r="AA197" s="55"/>
      <c r="AB197" s="55">
        <f>PMSplint!N198</f>
        <v>6.0415903263433135</v>
      </c>
      <c r="AC197" s="55">
        <f>PMSplint!N198</f>
        <v>6.0415903263433135</v>
      </c>
      <c r="AD197" s="55">
        <f>IF(RnSplint!N198&lt;0,0,RnSplint!N198)</f>
        <v>23.992707895121082</v>
      </c>
      <c r="AE197" s="55">
        <f>IF(RnSplint!N198&lt;0,0,RnSplint!N198)</f>
        <v>23.992707895121082</v>
      </c>
      <c r="AF197" s="30"/>
      <c r="AG197" s="30"/>
      <c r="AH197" s="30"/>
      <c r="AI197" s="55"/>
      <c r="AJ197" s="55"/>
      <c r="AK197" s="55"/>
      <c r="AL197" s="55"/>
      <c r="AM197" s="55"/>
      <c r="AN197" s="55">
        <f t="shared" si="66"/>
        <v>144.95411192194439</v>
      </c>
      <c r="AO197" s="55">
        <f t="shared" si="67"/>
        <v>12.039689029287443</v>
      </c>
      <c r="AP197" s="55">
        <f t="shared" si="68"/>
        <v>0.21096890408226163</v>
      </c>
      <c r="AQ197" s="55"/>
      <c r="AR197" s="55"/>
      <c r="AS197" s="55"/>
      <c r="AT197" s="55"/>
      <c r="AU197" s="30"/>
      <c r="AV197" s="30"/>
      <c r="AW197" s="2"/>
      <c r="AX197" s="2"/>
    </row>
    <row r="198" spans="1:50" x14ac:dyDescent="0.2">
      <c r="A198" s="2"/>
      <c r="B198" s="61">
        <f t="shared" si="56"/>
        <v>41789</v>
      </c>
      <c r="C198" s="62">
        <f t="shared" si="57"/>
        <v>150</v>
      </c>
      <c r="D198" s="63">
        <f t="shared" si="58"/>
        <v>6.0857088209659347</v>
      </c>
      <c r="G198" s="357" t="str">
        <f>IF(MakeSchedule!C165="","",MakeSchedule!C165)</f>
        <v/>
      </c>
      <c r="H198" s="358"/>
      <c r="I198" s="358"/>
      <c r="J198" s="359" t="str">
        <f>IF(MakeSchedule!B165="","",MakeSchedule!B165)</f>
        <v/>
      </c>
      <c r="K198" s="63">
        <f t="shared" si="49"/>
        <v>6.0857088209659347</v>
      </c>
      <c r="L198" s="63">
        <f t="shared" si="59"/>
        <v>6.0857088209659347</v>
      </c>
      <c r="M198" s="63">
        <f t="shared" si="60"/>
        <v>24.33732360196646</v>
      </c>
      <c r="N198" s="63" t="str">
        <f t="shared" si="50"/>
        <v/>
      </c>
      <c r="O198" s="64">
        <f t="shared" si="61"/>
        <v>0.20870926261663075</v>
      </c>
      <c r="P198" s="63">
        <f t="shared" si="62"/>
        <v>1.0216157205240146</v>
      </c>
      <c r="Q198" s="64">
        <f t="shared" si="51"/>
        <v>1.0216157205240146</v>
      </c>
      <c r="R198" s="63">
        <f t="shared" si="52"/>
        <v>1.0216157205240146</v>
      </c>
      <c r="S198" s="65">
        <f t="shared" si="53"/>
        <v>0.35</v>
      </c>
      <c r="T198" s="65">
        <f t="shared" si="63"/>
        <v>1.2</v>
      </c>
      <c r="U198" s="64">
        <f t="shared" si="64"/>
        <v>1.2</v>
      </c>
      <c r="V198" s="63">
        <f t="shared" si="54"/>
        <v>7.3028505851591214</v>
      </c>
      <c r="W198" s="63" t="str">
        <f t="shared" si="55"/>
        <v/>
      </c>
      <c r="X198" s="63">
        <f t="shared" si="65"/>
        <v>435.34571451905032</v>
      </c>
      <c r="Y198" s="55"/>
      <c r="Z198" s="55"/>
      <c r="AA198" s="55"/>
      <c r="AB198" s="55">
        <f>PMSplint!N199</f>
        <v>6.0857088209659347</v>
      </c>
      <c r="AC198" s="55">
        <f>PMSplint!N199</f>
        <v>6.0857088209659347</v>
      </c>
      <c r="AD198" s="55">
        <f>IF(RnSplint!N199&lt;0,0,RnSplint!N199)</f>
        <v>24.33732360196646</v>
      </c>
      <c r="AE198" s="55">
        <f>IF(RnSplint!N199&lt;0,0,RnSplint!N199)</f>
        <v>24.33732360196646</v>
      </c>
      <c r="AF198" s="30"/>
      <c r="AG198" s="30"/>
      <c r="AH198" s="30"/>
      <c r="AI198" s="55"/>
      <c r="AJ198" s="55"/>
      <c r="AK198" s="55"/>
      <c r="AL198" s="55"/>
      <c r="AM198" s="55"/>
      <c r="AN198" s="55">
        <f t="shared" si="66"/>
        <v>148.10986492318972</v>
      </c>
      <c r="AO198" s="55">
        <f t="shared" si="67"/>
        <v>12.170039643451853</v>
      </c>
      <c r="AP198" s="55">
        <f t="shared" si="68"/>
        <v>0.20870926261663075</v>
      </c>
      <c r="AQ198" s="55"/>
      <c r="AR198" s="55"/>
      <c r="AS198" s="55"/>
      <c r="AT198" s="55"/>
      <c r="AU198" s="30"/>
      <c r="AV198" s="30"/>
      <c r="AW198" s="2"/>
      <c r="AX198" s="2"/>
    </row>
    <row r="199" spans="1:50" x14ac:dyDescent="0.2">
      <c r="A199" s="2"/>
      <c r="B199" s="61">
        <f t="shared" si="56"/>
        <v>41790</v>
      </c>
      <c r="C199" s="62">
        <f t="shared" si="57"/>
        <v>151</v>
      </c>
      <c r="D199" s="63">
        <f t="shared" si="58"/>
        <v>6.1296867401838613</v>
      </c>
      <c r="G199" s="357" t="str">
        <f>IF(MakeSchedule!C166="","",MakeSchedule!C166)</f>
        <v/>
      </c>
      <c r="H199" s="358"/>
      <c r="I199" s="358"/>
      <c r="J199" s="359" t="str">
        <f>IF(MakeSchedule!B166="","",MakeSchedule!B166)</f>
        <v/>
      </c>
      <c r="K199" s="63">
        <f t="shared" si="49"/>
        <v>6.1296867401838613</v>
      </c>
      <c r="L199" s="63">
        <f t="shared" si="59"/>
        <v>6.1296867401838613</v>
      </c>
      <c r="M199" s="63">
        <f t="shared" si="60"/>
        <v>24.686202289573508</v>
      </c>
      <c r="N199" s="63" t="str">
        <f t="shared" si="50"/>
        <v/>
      </c>
      <c r="O199" s="64">
        <f t="shared" si="61"/>
        <v>0.20648448969947511</v>
      </c>
      <c r="P199" s="63">
        <f t="shared" si="62"/>
        <v>1.0268558951965037</v>
      </c>
      <c r="Q199" s="64">
        <f t="shared" si="51"/>
        <v>1.0268558951965037</v>
      </c>
      <c r="R199" s="63">
        <f t="shared" si="52"/>
        <v>1.0268558951965037</v>
      </c>
      <c r="S199" s="65">
        <f t="shared" si="53"/>
        <v>0.35</v>
      </c>
      <c r="T199" s="65">
        <f t="shared" si="63"/>
        <v>1.2</v>
      </c>
      <c r="U199" s="64">
        <f t="shared" si="64"/>
        <v>1.2</v>
      </c>
      <c r="V199" s="63">
        <f t="shared" si="54"/>
        <v>7.3556240882206332</v>
      </c>
      <c r="W199" s="63" t="str">
        <f t="shared" si="55"/>
        <v/>
      </c>
      <c r="X199" s="63">
        <f t="shared" si="65"/>
        <v>442.70133860727094</v>
      </c>
      <c r="Y199" s="55"/>
      <c r="Z199" s="55"/>
      <c r="AA199" s="55"/>
      <c r="AB199" s="55">
        <f>PMSplint!N200</f>
        <v>6.1296867401838613</v>
      </c>
      <c r="AC199" s="55">
        <f>PMSplint!N200</f>
        <v>6.1296867401838613</v>
      </c>
      <c r="AD199" s="55">
        <f>IF(RnSplint!N200&lt;0,0,RnSplint!N200)</f>
        <v>24.686202289573508</v>
      </c>
      <c r="AE199" s="55">
        <f>IF(RnSplint!N200&lt;0,0,RnSplint!N200)</f>
        <v>24.686202289573508</v>
      </c>
      <c r="AF199" s="30"/>
      <c r="AG199" s="30"/>
      <c r="AH199" s="30"/>
      <c r="AI199" s="55"/>
      <c r="AJ199" s="55"/>
      <c r="AK199" s="55"/>
      <c r="AL199" s="55"/>
      <c r="AM199" s="55"/>
      <c r="AN199" s="55">
        <f t="shared" si="66"/>
        <v>151.31868683989521</v>
      </c>
      <c r="AO199" s="55">
        <f t="shared" si="67"/>
        <v>12.301166076429308</v>
      </c>
      <c r="AP199" s="55">
        <f t="shared" si="68"/>
        <v>0.20648448969947511</v>
      </c>
      <c r="AQ199" s="55"/>
      <c r="AR199" s="55"/>
      <c r="AS199" s="55"/>
      <c r="AT199" s="55"/>
      <c r="AU199" s="30"/>
      <c r="AV199" s="30"/>
      <c r="AW199" s="2"/>
      <c r="AX199" s="2"/>
    </row>
    <row r="200" spans="1:50" x14ac:dyDescent="0.2">
      <c r="A200" s="2"/>
      <c r="B200" s="61">
        <f t="shared" si="56"/>
        <v>41791</v>
      </c>
      <c r="C200" s="62">
        <f t="shared" si="57"/>
        <v>152</v>
      </c>
      <c r="D200" s="63">
        <f t="shared" si="58"/>
        <v>6.1734511263952241</v>
      </c>
      <c r="G200" s="357" t="str">
        <f>IF(MakeSchedule!C167="","",MakeSchedule!C167)</f>
        <v/>
      </c>
      <c r="H200" s="358"/>
      <c r="I200" s="358"/>
      <c r="J200" s="359" t="str">
        <f>IF(MakeSchedule!B167="","",MakeSchedule!B167)</f>
        <v/>
      </c>
      <c r="K200" s="63">
        <f t="shared" si="49"/>
        <v>6.1734511263952241</v>
      </c>
      <c r="L200" s="63">
        <f t="shared" si="59"/>
        <v>6.1734511263952241</v>
      </c>
      <c r="M200" s="63">
        <f t="shared" si="60"/>
        <v>25.038033972353556</v>
      </c>
      <c r="N200" s="63" t="str">
        <f t="shared" si="50"/>
        <v/>
      </c>
      <c r="O200" s="64">
        <f t="shared" si="61"/>
        <v>0.20430057892494052</v>
      </c>
      <c r="P200" s="63">
        <f t="shared" si="62"/>
        <v>1.0320960698689927</v>
      </c>
      <c r="Q200" s="64">
        <f t="shared" si="51"/>
        <v>1.0320960698689927</v>
      </c>
      <c r="R200" s="63">
        <f t="shared" si="52"/>
        <v>1.0320960698689927</v>
      </c>
      <c r="S200" s="65">
        <f t="shared" si="53"/>
        <v>0.35</v>
      </c>
      <c r="T200" s="65">
        <f t="shared" si="63"/>
        <v>1.2</v>
      </c>
      <c r="U200" s="64">
        <f t="shared" si="64"/>
        <v>1.2</v>
      </c>
      <c r="V200" s="63">
        <f t="shared" si="54"/>
        <v>7.4081413516742689</v>
      </c>
      <c r="W200" s="63" t="str">
        <f t="shared" si="55"/>
        <v/>
      </c>
      <c r="X200" s="63">
        <f t="shared" si="65"/>
        <v>450.1094799589452</v>
      </c>
      <c r="Y200" s="55"/>
      <c r="Z200" s="55"/>
      <c r="AA200" s="55"/>
      <c r="AB200" s="55">
        <f>PMSplint!N201</f>
        <v>6.1734511263952241</v>
      </c>
      <c r="AC200" s="55">
        <f>PMSplint!N201</f>
        <v>6.1734511263952241</v>
      </c>
      <c r="AD200" s="55">
        <f>IF(RnSplint!N201&lt;0,0,RnSplint!N201)</f>
        <v>25.038033972353556</v>
      </c>
      <c r="AE200" s="55">
        <f>IF(RnSplint!N201&lt;0,0,RnSplint!N201)</f>
        <v>25.038033972353556</v>
      </c>
      <c r="AF200" s="30"/>
      <c r="AG200" s="30"/>
      <c r="AH200" s="30"/>
      <c r="AI200" s="55"/>
      <c r="AJ200" s="55"/>
      <c r="AK200" s="55"/>
      <c r="AL200" s="55"/>
      <c r="AM200" s="55"/>
      <c r="AN200" s="55">
        <f t="shared" si="66"/>
        <v>154.57107902934794</v>
      </c>
      <c r="AO200" s="55">
        <f t="shared" si="67"/>
        <v>12.432661783759258</v>
      </c>
      <c r="AP200" s="55">
        <f t="shared" si="68"/>
        <v>0.20430057892494052</v>
      </c>
      <c r="AQ200" s="55"/>
      <c r="AR200" s="55"/>
      <c r="AS200" s="55"/>
      <c r="AT200" s="55"/>
      <c r="AU200" s="30"/>
      <c r="AV200" s="30"/>
      <c r="AW200" s="2"/>
      <c r="AX200" s="2"/>
    </row>
    <row r="201" spans="1:50" x14ac:dyDescent="0.2">
      <c r="A201" s="2"/>
      <c r="B201" s="61">
        <f t="shared" si="56"/>
        <v>41792</v>
      </c>
      <c r="C201" s="62">
        <f t="shared" si="57"/>
        <v>153</v>
      </c>
      <c r="D201" s="63">
        <f t="shared" si="58"/>
        <v>6.2169290219981495</v>
      </c>
      <c r="G201" s="357" t="str">
        <f>IF(MakeSchedule!C168="","",MakeSchedule!C168)</f>
        <v/>
      </c>
      <c r="H201" s="358"/>
      <c r="I201" s="358"/>
      <c r="J201" s="359" t="str">
        <f>IF(MakeSchedule!B168="","",MakeSchedule!B168)</f>
        <v/>
      </c>
      <c r="K201" s="63">
        <f t="shared" si="49"/>
        <v>6.2169290219981495</v>
      </c>
      <c r="L201" s="63">
        <f t="shared" si="59"/>
        <v>6.2169290219981495</v>
      </c>
      <c r="M201" s="63">
        <f t="shared" si="60"/>
        <v>25.391508664717929</v>
      </c>
      <c r="N201" s="63" t="str">
        <f t="shared" si="50"/>
        <v/>
      </c>
      <c r="O201" s="64">
        <f t="shared" si="61"/>
        <v>0.2021629234377374</v>
      </c>
      <c r="P201" s="63">
        <f t="shared" si="62"/>
        <v>1.0373362445414818</v>
      </c>
      <c r="Q201" s="64">
        <f t="shared" si="51"/>
        <v>1.0373362445414818</v>
      </c>
      <c r="R201" s="63">
        <f t="shared" si="52"/>
        <v>1.0373362445414818</v>
      </c>
      <c r="S201" s="65">
        <f t="shared" si="53"/>
        <v>0.35</v>
      </c>
      <c r="T201" s="65">
        <f t="shared" si="63"/>
        <v>1.2</v>
      </c>
      <c r="U201" s="64">
        <f t="shared" si="64"/>
        <v>1.2</v>
      </c>
      <c r="V201" s="63">
        <f t="shared" si="54"/>
        <v>7.460314826397779</v>
      </c>
      <c r="W201" s="63" t="str">
        <f t="shared" si="55"/>
        <v/>
      </c>
      <c r="X201" s="63">
        <f t="shared" si="65"/>
        <v>457.56979478534299</v>
      </c>
      <c r="Y201" s="55"/>
      <c r="Z201" s="55"/>
      <c r="AA201" s="55"/>
      <c r="AB201" s="55">
        <f>PMSplint!N202</f>
        <v>6.2169290219981495</v>
      </c>
      <c r="AC201" s="55">
        <f>PMSplint!N202</f>
        <v>6.2169290219981495</v>
      </c>
      <c r="AD201" s="55">
        <f>IF(RnSplint!N202&lt;0,0,RnSplint!N202)</f>
        <v>25.391508664717929</v>
      </c>
      <c r="AE201" s="55">
        <f>IF(RnSplint!N202&lt;0,0,RnSplint!N202)</f>
        <v>25.391508664717929</v>
      </c>
      <c r="AF201" s="30"/>
      <c r="AG201" s="30"/>
      <c r="AH201" s="30"/>
      <c r="AI201" s="55"/>
      <c r="AJ201" s="55"/>
      <c r="AK201" s="55"/>
      <c r="AL201" s="55"/>
      <c r="AM201" s="55"/>
      <c r="AN201" s="55">
        <f t="shared" si="66"/>
        <v>157.85720713000237</v>
      </c>
      <c r="AO201" s="55">
        <f t="shared" si="67"/>
        <v>12.56412381067627</v>
      </c>
      <c r="AP201" s="55">
        <f t="shared" si="68"/>
        <v>0.2021629234377374</v>
      </c>
      <c r="AQ201" s="55"/>
      <c r="AR201" s="55"/>
      <c r="AS201" s="55"/>
      <c r="AT201" s="55"/>
      <c r="AU201" s="30"/>
      <c r="AV201" s="30"/>
      <c r="AW201" s="2"/>
      <c r="AX201" s="2"/>
    </row>
    <row r="202" spans="1:50" x14ac:dyDescent="0.2">
      <c r="A202" s="2"/>
      <c r="B202" s="61">
        <f t="shared" si="56"/>
        <v>41793</v>
      </c>
      <c r="C202" s="62">
        <f t="shared" si="57"/>
        <v>154</v>
      </c>
      <c r="D202" s="63">
        <f t="shared" si="58"/>
        <v>6.2600474693907628</v>
      </c>
      <c r="G202" s="357" t="str">
        <f>IF(MakeSchedule!C169="","",MakeSchedule!C169)</f>
        <v/>
      </c>
      <c r="H202" s="358"/>
      <c r="I202" s="358"/>
      <c r="J202" s="359" t="str">
        <f>IF(MakeSchedule!B169="","",MakeSchedule!B169)</f>
        <v/>
      </c>
      <c r="K202" s="63">
        <f t="shared" si="49"/>
        <v>6.2600474693907628</v>
      </c>
      <c r="L202" s="63">
        <f t="shared" si="59"/>
        <v>6.2600474693907628</v>
      </c>
      <c r="M202" s="63">
        <f t="shared" si="60"/>
        <v>25.745316381077934</v>
      </c>
      <c r="N202" s="63" t="str">
        <f t="shared" si="50"/>
        <v/>
      </c>
      <c r="O202" s="64">
        <f t="shared" si="61"/>
        <v>0.20007636421736896</v>
      </c>
      <c r="P202" s="63">
        <f t="shared" si="62"/>
        <v>1.0425764192139708</v>
      </c>
      <c r="Q202" s="64">
        <f t="shared" si="51"/>
        <v>1.0425764192139708</v>
      </c>
      <c r="R202" s="63">
        <f t="shared" si="52"/>
        <v>1.0425764192139708</v>
      </c>
      <c r="S202" s="65">
        <f t="shared" si="53"/>
        <v>0.35</v>
      </c>
      <c r="T202" s="65">
        <f t="shared" si="63"/>
        <v>1.2</v>
      </c>
      <c r="U202" s="64">
        <f t="shared" si="64"/>
        <v>1.2</v>
      </c>
      <c r="V202" s="63">
        <f t="shared" si="54"/>
        <v>7.5120569632689147</v>
      </c>
      <c r="W202" s="63" t="str">
        <f t="shared" si="55"/>
        <v/>
      </c>
      <c r="X202" s="63">
        <f t="shared" si="65"/>
        <v>465.08185174861188</v>
      </c>
      <c r="Y202" s="55"/>
      <c r="Z202" s="55"/>
      <c r="AA202" s="55"/>
      <c r="AB202" s="55">
        <f>PMSplint!N203</f>
        <v>6.2600474693907628</v>
      </c>
      <c r="AC202" s="55">
        <f>PMSplint!N203</f>
        <v>6.2600474693907628</v>
      </c>
      <c r="AD202" s="55">
        <f>IF(RnSplint!N203&lt;0,0,RnSplint!N203)</f>
        <v>25.745316381077934</v>
      </c>
      <c r="AE202" s="55">
        <f>IF(RnSplint!N203&lt;0,0,RnSplint!N203)</f>
        <v>25.745316381077934</v>
      </c>
      <c r="AF202" s="30"/>
      <c r="AG202" s="30"/>
      <c r="AH202" s="30"/>
      <c r="AI202" s="55"/>
      <c r="AJ202" s="55"/>
      <c r="AK202" s="55"/>
      <c r="AL202" s="55"/>
      <c r="AM202" s="55"/>
      <c r="AN202" s="55">
        <f t="shared" si="66"/>
        <v>161.16690266003147</v>
      </c>
      <c r="AO202" s="55">
        <f t="shared" si="67"/>
        <v>12.695152722989647</v>
      </c>
      <c r="AP202" s="55">
        <f t="shared" si="68"/>
        <v>0.20007636421736896</v>
      </c>
      <c r="AQ202" s="55"/>
      <c r="AR202" s="55"/>
      <c r="AS202" s="55"/>
      <c r="AT202" s="55"/>
      <c r="AU202" s="30"/>
      <c r="AV202" s="30"/>
      <c r="AW202" s="2"/>
      <c r="AX202" s="2"/>
    </row>
    <row r="203" spans="1:50" x14ac:dyDescent="0.2">
      <c r="A203" s="2"/>
      <c r="B203" s="61">
        <f t="shared" si="56"/>
        <v>41794</v>
      </c>
      <c r="C203" s="62">
        <f t="shared" si="57"/>
        <v>155</v>
      </c>
      <c r="D203" s="63">
        <f t="shared" si="58"/>
        <v>6.3027335109711942</v>
      </c>
      <c r="G203" s="357" t="str">
        <f>IF(MakeSchedule!C170="","",MakeSchedule!C170)</f>
        <v/>
      </c>
      <c r="H203" s="358"/>
      <c r="I203" s="358"/>
      <c r="J203" s="359" t="str">
        <f>IF(MakeSchedule!B170="","",MakeSchedule!B170)</f>
        <v/>
      </c>
      <c r="K203" s="63">
        <f t="shared" si="49"/>
        <v>6.3027335109711942</v>
      </c>
      <c r="L203" s="63">
        <f t="shared" si="59"/>
        <v>6.3027335109711942</v>
      </c>
      <c r="M203" s="63">
        <f t="shared" si="60"/>
        <v>26.098147135844911</v>
      </c>
      <c r="N203" s="63" t="str">
        <f t="shared" si="50"/>
        <v/>
      </c>
      <c r="O203" s="64">
        <f t="shared" si="61"/>
        <v>0.19804523904612611</v>
      </c>
      <c r="P203" s="63">
        <f t="shared" si="62"/>
        <v>1.0478165938864599</v>
      </c>
      <c r="Q203" s="64">
        <f t="shared" si="51"/>
        <v>1.0478165938864599</v>
      </c>
      <c r="R203" s="63">
        <f t="shared" si="52"/>
        <v>1.0478165938864599</v>
      </c>
      <c r="S203" s="65">
        <f t="shared" si="53"/>
        <v>0.35</v>
      </c>
      <c r="T203" s="65">
        <f t="shared" si="63"/>
        <v>1.2</v>
      </c>
      <c r="U203" s="64">
        <f t="shared" si="64"/>
        <v>1.2</v>
      </c>
      <c r="V203" s="63">
        <f t="shared" si="54"/>
        <v>7.5632802131654326</v>
      </c>
      <c r="W203" s="63" t="str">
        <f t="shared" si="55"/>
        <v/>
      </c>
      <c r="X203" s="63">
        <f t="shared" si="65"/>
        <v>472.64513196177734</v>
      </c>
      <c r="Y203" s="55"/>
      <c r="Z203" s="55"/>
      <c r="AA203" s="55"/>
      <c r="AB203" s="55">
        <f>PMSplint!N204</f>
        <v>6.3027335109711942</v>
      </c>
      <c r="AC203" s="55">
        <f>PMSplint!N204</f>
        <v>6.3027335109711942</v>
      </c>
      <c r="AD203" s="55">
        <f>IF(RnSplint!N204&lt;0,0,RnSplint!N204)</f>
        <v>26.098147135844911</v>
      </c>
      <c r="AE203" s="55">
        <f>IF(RnSplint!N204&lt;0,0,RnSplint!N204)</f>
        <v>26.098147135844911</v>
      </c>
      <c r="AF203" s="30"/>
      <c r="AG203" s="30"/>
      <c r="AH203" s="30"/>
      <c r="AI203" s="55"/>
      <c r="AJ203" s="55"/>
      <c r="AK203" s="55"/>
      <c r="AL203" s="55"/>
      <c r="AM203" s="55"/>
      <c r="AN203" s="55">
        <f t="shared" si="66"/>
        <v>164.4896665273466</v>
      </c>
      <c r="AO203" s="55">
        <f t="shared" si="67"/>
        <v>12.82535249134879</v>
      </c>
      <c r="AP203" s="55">
        <f t="shared" si="68"/>
        <v>0.19804523904612611</v>
      </c>
      <c r="AQ203" s="55"/>
      <c r="AR203" s="55"/>
      <c r="AS203" s="55"/>
      <c r="AT203" s="55"/>
      <c r="AU203" s="30"/>
      <c r="AV203" s="30"/>
      <c r="AW203" s="2"/>
      <c r="AX203" s="2"/>
    </row>
    <row r="204" spans="1:50" x14ac:dyDescent="0.2">
      <c r="A204" s="2"/>
      <c r="B204" s="61">
        <f t="shared" si="56"/>
        <v>41795</v>
      </c>
      <c r="C204" s="62">
        <f t="shared" si="57"/>
        <v>156</v>
      </c>
      <c r="D204" s="63">
        <f t="shared" si="58"/>
        <v>6.3449141891375689</v>
      </c>
      <c r="G204" s="357" t="str">
        <f>IF(MakeSchedule!C171="","",MakeSchedule!C171)</f>
        <v/>
      </c>
      <c r="H204" s="358"/>
      <c r="I204" s="358"/>
      <c r="J204" s="359" t="str">
        <f>IF(MakeSchedule!B171="","",MakeSchedule!B171)</f>
        <v/>
      </c>
      <c r="K204" s="63">
        <f t="shared" si="49"/>
        <v>6.3449141891375689</v>
      </c>
      <c r="L204" s="63">
        <f t="shared" si="59"/>
        <v>6.3449141891375689</v>
      </c>
      <c r="M204" s="63">
        <f t="shared" si="60"/>
        <v>26.448690943430162</v>
      </c>
      <c r="N204" s="63" t="str">
        <f t="shared" si="50"/>
        <v/>
      </c>
      <c r="O204" s="64">
        <f t="shared" si="61"/>
        <v>0.19607343136564997</v>
      </c>
      <c r="P204" s="63">
        <f t="shared" si="62"/>
        <v>1.0530567685589489</v>
      </c>
      <c r="Q204" s="64">
        <f t="shared" si="51"/>
        <v>1.0530567685589489</v>
      </c>
      <c r="R204" s="63">
        <f t="shared" si="52"/>
        <v>1.0530567685589489</v>
      </c>
      <c r="S204" s="65">
        <f t="shared" si="53"/>
        <v>0.35</v>
      </c>
      <c r="T204" s="65">
        <f t="shared" si="63"/>
        <v>1.2</v>
      </c>
      <c r="U204" s="64">
        <f t="shared" si="64"/>
        <v>1.2</v>
      </c>
      <c r="V204" s="63">
        <f t="shared" si="54"/>
        <v>7.6138970269650823</v>
      </c>
      <c r="W204" s="63" t="str">
        <f t="shared" si="55"/>
        <v/>
      </c>
      <c r="X204" s="63">
        <f t="shared" si="65"/>
        <v>480.25902898874244</v>
      </c>
      <c r="Y204" s="55"/>
      <c r="Z204" s="55"/>
      <c r="AA204" s="55"/>
      <c r="AB204" s="55">
        <f>PMSplint!N205</f>
        <v>6.3449141891375689</v>
      </c>
      <c r="AC204" s="55">
        <f>PMSplint!N205</f>
        <v>6.3449141891375689</v>
      </c>
      <c r="AD204" s="55">
        <f>IF(RnSplint!N205&lt;0,0,RnSplint!N205)</f>
        <v>26.448690943430162</v>
      </c>
      <c r="AE204" s="55">
        <f>IF(RnSplint!N205&lt;0,0,RnSplint!N205)</f>
        <v>26.448690943430162</v>
      </c>
      <c r="AF204" s="30"/>
      <c r="AG204" s="30"/>
      <c r="AH204" s="30"/>
      <c r="AI204" s="55"/>
      <c r="AJ204" s="55"/>
      <c r="AK204" s="55"/>
      <c r="AL204" s="55"/>
      <c r="AM204" s="55"/>
      <c r="AN204" s="55">
        <f t="shared" si="66"/>
        <v>167.81467445108436</v>
      </c>
      <c r="AO204" s="55">
        <f t="shared" si="67"/>
        <v>12.954330335879364</v>
      </c>
      <c r="AP204" s="55">
        <f t="shared" si="68"/>
        <v>0.19607343136564997</v>
      </c>
      <c r="AQ204" s="55"/>
      <c r="AR204" s="55"/>
      <c r="AS204" s="55"/>
      <c r="AT204" s="55"/>
      <c r="AU204" s="30"/>
      <c r="AV204" s="30"/>
      <c r="AW204" s="2"/>
      <c r="AX204" s="2"/>
    </row>
    <row r="205" spans="1:50" x14ac:dyDescent="0.2">
      <c r="A205" s="2"/>
      <c r="B205" s="61">
        <f t="shared" si="56"/>
        <v>41796</v>
      </c>
      <c r="C205" s="62">
        <f t="shared" si="57"/>
        <v>157</v>
      </c>
      <c r="D205" s="63">
        <f t="shared" si="58"/>
        <v>6.3865165462880151</v>
      </c>
      <c r="G205" s="357" t="str">
        <f>IF(MakeSchedule!C172="","",MakeSchedule!C172)</f>
        <v/>
      </c>
      <c r="H205" s="358"/>
      <c r="I205" s="358"/>
      <c r="J205" s="359" t="str">
        <f>IF(MakeSchedule!B172="","",MakeSchedule!B172)</f>
        <v/>
      </c>
      <c r="K205" s="63">
        <f t="shared" si="49"/>
        <v>6.3865165462880151</v>
      </c>
      <c r="L205" s="63">
        <f t="shared" si="59"/>
        <v>6.3865165462880151</v>
      </c>
      <c r="M205" s="63">
        <f t="shared" si="60"/>
        <v>26.795637818245019</v>
      </c>
      <c r="N205" s="63" t="str">
        <f t="shared" si="50"/>
        <v/>
      </c>
      <c r="O205" s="64">
        <f t="shared" si="61"/>
        <v>0.19416441841113968</v>
      </c>
      <c r="P205" s="63">
        <f t="shared" si="62"/>
        <v>1.058296943231438</v>
      </c>
      <c r="Q205" s="64">
        <f t="shared" si="51"/>
        <v>1.058296943231438</v>
      </c>
      <c r="R205" s="63">
        <f t="shared" si="52"/>
        <v>1.058296943231438</v>
      </c>
      <c r="S205" s="65">
        <f t="shared" si="53"/>
        <v>0.35</v>
      </c>
      <c r="T205" s="65">
        <f t="shared" si="63"/>
        <v>1.2</v>
      </c>
      <c r="U205" s="64">
        <f t="shared" si="64"/>
        <v>1.2</v>
      </c>
      <c r="V205" s="63">
        <f t="shared" si="54"/>
        <v>7.6638198555456176</v>
      </c>
      <c r="W205" s="63" t="str">
        <f t="shared" si="55"/>
        <v/>
      </c>
      <c r="X205" s="63">
        <f t="shared" si="65"/>
        <v>487.92284884428807</v>
      </c>
      <c r="Y205" s="55"/>
      <c r="Z205" s="55"/>
      <c r="AA205" s="55"/>
      <c r="AB205" s="55">
        <f>PMSplint!N206</f>
        <v>6.3865165462880151</v>
      </c>
      <c r="AC205" s="55">
        <f>PMSplint!N206</f>
        <v>6.3865165462880151</v>
      </c>
      <c r="AD205" s="55">
        <f>IF(RnSplint!N206&lt;0,0,RnSplint!N206)</f>
        <v>26.795637818245019</v>
      </c>
      <c r="AE205" s="55">
        <f>IF(RnSplint!N206&lt;0,0,RnSplint!N206)</f>
        <v>26.795637818245019</v>
      </c>
      <c r="AF205" s="30"/>
      <c r="AG205" s="30"/>
      <c r="AH205" s="30"/>
      <c r="AI205" s="55"/>
      <c r="AJ205" s="55"/>
      <c r="AK205" s="55"/>
      <c r="AL205" s="55"/>
      <c r="AM205" s="55"/>
      <c r="AN205" s="55">
        <f t="shared" si="66"/>
        <v>171.13078429456272</v>
      </c>
      <c r="AO205" s="55">
        <f t="shared" si="67"/>
        <v>13.081696537321248</v>
      </c>
      <c r="AP205" s="55">
        <f t="shared" si="68"/>
        <v>0.19416441841113968</v>
      </c>
      <c r="AQ205" s="55"/>
      <c r="AR205" s="55"/>
      <c r="AS205" s="55"/>
      <c r="AT205" s="55"/>
      <c r="AU205" s="30"/>
      <c r="AV205" s="30"/>
      <c r="AW205" s="2"/>
      <c r="AX205" s="2"/>
    </row>
    <row r="206" spans="1:50" x14ac:dyDescent="0.2">
      <c r="A206" s="2"/>
      <c r="B206" s="61">
        <f t="shared" si="56"/>
        <v>41797</v>
      </c>
      <c r="C206" s="62">
        <f t="shared" si="57"/>
        <v>158</v>
      </c>
      <c r="D206" s="63">
        <f t="shared" si="58"/>
        <v>6.4274676248206601</v>
      </c>
      <c r="G206" s="357" t="str">
        <f>IF(MakeSchedule!C173="","",MakeSchedule!C173)</f>
        <v/>
      </c>
      <c r="H206" s="358"/>
      <c r="I206" s="358"/>
      <c r="J206" s="359" t="str">
        <f>IF(MakeSchedule!B173="","",MakeSchedule!B173)</f>
        <v/>
      </c>
      <c r="K206" s="63">
        <f t="shared" si="49"/>
        <v>6.4274676248206601</v>
      </c>
      <c r="L206" s="63">
        <f t="shared" si="59"/>
        <v>6.4274676248206601</v>
      </c>
      <c r="M206" s="63">
        <f t="shared" si="60"/>
        <v>27.137677774700798</v>
      </c>
      <c r="N206" s="63" t="str">
        <f t="shared" si="50"/>
        <v/>
      </c>
      <c r="O206" s="64">
        <f t="shared" si="61"/>
        <v>0.19232131817489709</v>
      </c>
      <c r="P206" s="63">
        <f t="shared" si="62"/>
        <v>1.063537117903927</v>
      </c>
      <c r="Q206" s="64">
        <f t="shared" si="51"/>
        <v>1.063537117903927</v>
      </c>
      <c r="R206" s="63">
        <f t="shared" si="52"/>
        <v>1.063537117903927</v>
      </c>
      <c r="S206" s="65">
        <f t="shared" si="53"/>
        <v>0.35</v>
      </c>
      <c r="T206" s="65">
        <f t="shared" si="63"/>
        <v>1.2</v>
      </c>
      <c r="U206" s="64">
        <f t="shared" si="64"/>
        <v>1.2</v>
      </c>
      <c r="V206" s="63">
        <f t="shared" si="54"/>
        <v>7.7129611497847916</v>
      </c>
      <c r="W206" s="63" t="str">
        <f t="shared" si="55"/>
        <v/>
      </c>
      <c r="X206" s="63">
        <f t="shared" si="65"/>
        <v>495.63580999407287</v>
      </c>
      <c r="Y206" s="55"/>
      <c r="Z206" s="55"/>
      <c r="AA206" s="55"/>
      <c r="AB206" s="55">
        <f>PMSplint!N207</f>
        <v>6.4274676248206601</v>
      </c>
      <c r="AC206" s="55">
        <f>PMSplint!N207</f>
        <v>6.4274676248206601</v>
      </c>
      <c r="AD206" s="55">
        <f>IF(RnSplint!N207&lt;0,0,RnSplint!N207)</f>
        <v>27.137677774700798</v>
      </c>
      <c r="AE206" s="55">
        <f>IF(RnSplint!N207&lt;0,0,RnSplint!N207)</f>
        <v>27.137677774700798</v>
      </c>
      <c r="AF206" s="30"/>
      <c r="AG206" s="30"/>
      <c r="AH206" s="30"/>
      <c r="AI206" s="55"/>
      <c r="AJ206" s="55"/>
      <c r="AK206" s="55"/>
      <c r="AL206" s="55"/>
      <c r="AM206" s="55"/>
      <c r="AN206" s="55">
        <f t="shared" si="66"/>
        <v>174.42654530970455</v>
      </c>
      <c r="AO206" s="55">
        <f t="shared" si="67"/>
        <v>13.207064219943225</v>
      </c>
      <c r="AP206" s="55">
        <f t="shared" si="68"/>
        <v>0.19232131817489709</v>
      </c>
      <c r="AQ206" s="55"/>
      <c r="AR206" s="55"/>
      <c r="AS206" s="55"/>
      <c r="AT206" s="55"/>
      <c r="AU206" s="30"/>
      <c r="AV206" s="30"/>
      <c r="AW206" s="2"/>
      <c r="AX206" s="2"/>
    </row>
    <row r="207" spans="1:50" x14ac:dyDescent="0.2">
      <c r="A207" s="2"/>
      <c r="B207" s="61">
        <f t="shared" si="56"/>
        <v>41798</v>
      </c>
      <c r="C207" s="62">
        <f t="shared" si="57"/>
        <v>159</v>
      </c>
      <c r="D207" s="63">
        <f t="shared" si="58"/>
        <v>6.4676944671336312</v>
      </c>
      <c r="G207" s="357" t="str">
        <f>IF(MakeSchedule!C174="","",MakeSchedule!C174)</f>
        <v/>
      </c>
      <c r="H207" s="358"/>
      <c r="I207" s="358"/>
      <c r="J207" s="359" t="str">
        <f>IF(MakeSchedule!B174="","",MakeSchedule!B174)</f>
        <v/>
      </c>
      <c r="K207" s="63">
        <f t="shared" si="49"/>
        <v>6.4676944671336312</v>
      </c>
      <c r="L207" s="63">
        <f t="shared" si="59"/>
        <v>6.4676944671336312</v>
      </c>
      <c r="M207" s="63">
        <f t="shared" si="60"/>
        <v>27.473500827208827</v>
      </c>
      <c r="N207" s="63" t="str">
        <f t="shared" si="50"/>
        <v/>
      </c>
      <c r="O207" s="64">
        <f t="shared" si="61"/>
        <v>0.19054693489212024</v>
      </c>
      <c r="P207" s="63">
        <f t="shared" si="62"/>
        <v>1.0687772925764161</v>
      </c>
      <c r="Q207" s="64">
        <f t="shared" si="51"/>
        <v>1.0687772925764161</v>
      </c>
      <c r="R207" s="63">
        <f t="shared" si="52"/>
        <v>1.0687772925764161</v>
      </c>
      <c r="S207" s="65">
        <f t="shared" si="53"/>
        <v>0.35</v>
      </c>
      <c r="T207" s="65">
        <f t="shared" si="63"/>
        <v>1.2</v>
      </c>
      <c r="U207" s="64">
        <f t="shared" si="64"/>
        <v>1.2</v>
      </c>
      <c r="V207" s="63">
        <f t="shared" si="54"/>
        <v>7.7612333605603574</v>
      </c>
      <c r="W207" s="63" t="str">
        <f t="shared" si="55"/>
        <v/>
      </c>
      <c r="X207" s="63">
        <f t="shared" si="65"/>
        <v>503.39704335463324</v>
      </c>
      <c r="Y207" s="55"/>
      <c r="Z207" s="55"/>
      <c r="AA207" s="55"/>
      <c r="AB207" s="55">
        <f>PMSplint!N208</f>
        <v>6.4676944671336312</v>
      </c>
      <c r="AC207" s="55">
        <f>PMSplint!N208</f>
        <v>6.4676944671336312</v>
      </c>
      <c r="AD207" s="55">
        <f>IF(RnSplint!N208&lt;0,0,RnSplint!N208)</f>
        <v>27.473500827208827</v>
      </c>
      <c r="AE207" s="55">
        <f>IF(RnSplint!N208&lt;0,0,RnSplint!N208)</f>
        <v>27.473500827208827</v>
      </c>
      <c r="AF207" s="30"/>
      <c r="AG207" s="30"/>
      <c r="AH207" s="30"/>
      <c r="AI207" s="55"/>
      <c r="AJ207" s="55"/>
      <c r="AK207" s="55"/>
      <c r="AL207" s="55"/>
      <c r="AM207" s="55"/>
      <c r="AN207" s="55">
        <f t="shared" si="66"/>
        <v>177.69020929292978</v>
      </c>
      <c r="AO207" s="55">
        <f t="shared" si="67"/>
        <v>13.330049110672091</v>
      </c>
      <c r="AP207" s="55">
        <f t="shared" si="68"/>
        <v>0.19054693489212024</v>
      </c>
      <c r="AQ207" s="55"/>
      <c r="AR207" s="55"/>
      <c r="AS207" s="55"/>
      <c r="AT207" s="55"/>
      <c r="AU207" s="30"/>
      <c r="AV207" s="30"/>
      <c r="AW207" s="2"/>
      <c r="AX207" s="2"/>
    </row>
    <row r="208" spans="1:50" x14ac:dyDescent="0.2">
      <c r="A208" s="2"/>
      <c r="B208" s="61">
        <f t="shared" si="56"/>
        <v>41799</v>
      </c>
      <c r="C208" s="62">
        <f t="shared" si="57"/>
        <v>160</v>
      </c>
      <c r="D208" s="63">
        <f t="shared" si="58"/>
        <v>6.5071241156250563</v>
      </c>
      <c r="G208" s="357" t="str">
        <f>IF(MakeSchedule!C175="","",MakeSchedule!C175)</f>
        <v/>
      </c>
      <c r="H208" s="358"/>
      <c r="I208" s="358"/>
      <c r="J208" s="359" t="str">
        <f>IF(MakeSchedule!B175="","",MakeSchedule!B175)</f>
        <v/>
      </c>
      <c r="K208" s="63">
        <f t="shared" si="49"/>
        <v>6.5071241156250563</v>
      </c>
      <c r="L208" s="63">
        <f t="shared" si="59"/>
        <v>6.5071241156250563</v>
      </c>
      <c r="M208" s="63">
        <f t="shared" si="60"/>
        <v>27.801796990180417</v>
      </c>
      <c r="N208" s="63" t="str">
        <f t="shared" si="50"/>
        <v/>
      </c>
      <c r="O208" s="64">
        <f t="shared" si="61"/>
        <v>0.18884380286288366</v>
      </c>
      <c r="P208" s="63">
        <f t="shared" si="62"/>
        <v>1.0740174672489051</v>
      </c>
      <c r="Q208" s="64">
        <f t="shared" si="51"/>
        <v>1.0740174672489051</v>
      </c>
      <c r="R208" s="63">
        <f t="shared" si="52"/>
        <v>1.0740174672489051</v>
      </c>
      <c r="S208" s="65">
        <f t="shared" si="53"/>
        <v>0.35</v>
      </c>
      <c r="T208" s="65">
        <f t="shared" si="63"/>
        <v>1.2</v>
      </c>
      <c r="U208" s="64">
        <f t="shared" si="64"/>
        <v>1.2</v>
      </c>
      <c r="V208" s="63">
        <f t="shared" si="54"/>
        <v>7.8085489387500671</v>
      </c>
      <c r="W208" s="63" t="str">
        <f t="shared" si="55"/>
        <v/>
      </c>
      <c r="X208" s="63">
        <f t="shared" si="65"/>
        <v>511.20559229338329</v>
      </c>
      <c r="Y208" s="55"/>
      <c r="Z208" s="55"/>
      <c r="AA208" s="55"/>
      <c r="AB208" s="55">
        <f>PMSplint!N209</f>
        <v>6.5071241156250563</v>
      </c>
      <c r="AC208" s="55">
        <f>PMSplint!N209</f>
        <v>6.5071241156250563</v>
      </c>
      <c r="AD208" s="55">
        <f>IF(RnSplint!N209&lt;0,0,RnSplint!N209)</f>
        <v>27.801796990180417</v>
      </c>
      <c r="AE208" s="55">
        <f>IF(RnSplint!N209&lt;0,0,RnSplint!N209)</f>
        <v>27.801796990180417</v>
      </c>
      <c r="AF208" s="30"/>
      <c r="AG208" s="30"/>
      <c r="AH208" s="30"/>
      <c r="AI208" s="55"/>
      <c r="AJ208" s="55"/>
      <c r="AK208" s="55"/>
      <c r="AL208" s="55"/>
      <c r="AM208" s="55"/>
      <c r="AN208" s="55">
        <f t="shared" si="66"/>
        <v>180.90974365251509</v>
      </c>
      <c r="AO208" s="55">
        <f t="shared" si="67"/>
        <v>13.450269278067079</v>
      </c>
      <c r="AP208" s="55">
        <f t="shared" si="68"/>
        <v>0.18884380286288366</v>
      </c>
      <c r="AQ208" s="55"/>
      <c r="AR208" s="55"/>
      <c r="AS208" s="55"/>
      <c r="AT208" s="55"/>
      <c r="AU208" s="30"/>
      <c r="AV208" s="30"/>
      <c r="AW208" s="2"/>
      <c r="AX208" s="2"/>
    </row>
    <row r="209" spans="1:50" x14ac:dyDescent="0.2">
      <c r="A209" s="2"/>
      <c r="B209" s="61">
        <f t="shared" si="56"/>
        <v>41800</v>
      </c>
      <c r="C209" s="62">
        <f t="shared" si="57"/>
        <v>161</v>
      </c>
      <c r="D209" s="63">
        <f t="shared" si="58"/>
        <v>6.5456836126930602</v>
      </c>
      <c r="G209" s="357" t="str">
        <f>IF(MakeSchedule!C176="","",MakeSchedule!C176)</f>
        <v/>
      </c>
      <c r="H209" s="358"/>
      <c r="I209" s="358"/>
      <c r="J209" s="359" t="str">
        <f>IF(MakeSchedule!B176="","",MakeSchedule!B176)</f>
        <v/>
      </c>
      <c r="K209" s="63">
        <f t="shared" si="49"/>
        <v>6.5456836126930602</v>
      </c>
      <c r="L209" s="63">
        <f t="shared" si="59"/>
        <v>6.5456836126930602</v>
      </c>
      <c r="M209" s="63">
        <f t="shared" si="60"/>
        <v>28.121256278026895</v>
      </c>
      <c r="N209" s="63" t="str">
        <f t="shared" si="50"/>
        <v/>
      </c>
      <c r="O209" s="64">
        <f t="shared" si="61"/>
        <v>0.18721422852686712</v>
      </c>
      <c r="P209" s="63">
        <f t="shared" si="62"/>
        <v>1.0792576419213942</v>
      </c>
      <c r="Q209" s="64">
        <f t="shared" si="51"/>
        <v>1.0792576419213942</v>
      </c>
      <c r="R209" s="63">
        <f t="shared" si="52"/>
        <v>1.0792576419213942</v>
      </c>
      <c r="S209" s="65">
        <f t="shared" si="53"/>
        <v>0.35</v>
      </c>
      <c r="T209" s="65">
        <f t="shared" si="63"/>
        <v>1.2</v>
      </c>
      <c r="U209" s="64">
        <f t="shared" si="64"/>
        <v>1.2</v>
      </c>
      <c r="V209" s="63">
        <f t="shared" si="54"/>
        <v>7.8548203352316719</v>
      </c>
      <c r="W209" s="63" t="str">
        <f t="shared" si="55"/>
        <v/>
      </c>
      <c r="X209" s="63">
        <f t="shared" si="65"/>
        <v>519.06041262861493</v>
      </c>
      <c r="Y209" s="55"/>
      <c r="Z209" s="55"/>
      <c r="AA209" s="55"/>
      <c r="AB209" s="55">
        <f>PMSplint!N210</f>
        <v>6.5456836126930602</v>
      </c>
      <c r="AC209" s="55">
        <f>PMSplint!N210</f>
        <v>6.5456836126930602</v>
      </c>
      <c r="AD209" s="55">
        <f>IF(RnSplint!N210&lt;0,0,RnSplint!N210)</f>
        <v>28.121256278026895</v>
      </c>
      <c r="AE209" s="55">
        <f>IF(RnSplint!N210&lt;0,0,RnSplint!N210)</f>
        <v>28.121256278026895</v>
      </c>
      <c r="AF209" s="30"/>
      <c r="AG209" s="30"/>
      <c r="AH209" s="30"/>
      <c r="AI209" s="55"/>
      <c r="AJ209" s="55"/>
      <c r="AK209" s="55"/>
      <c r="AL209" s="55"/>
      <c r="AM209" s="55"/>
      <c r="AN209" s="55">
        <f t="shared" si="66"/>
        <v>184.07284638742249</v>
      </c>
      <c r="AO209" s="55">
        <f t="shared" si="67"/>
        <v>13.567344854002293</v>
      </c>
      <c r="AP209" s="55">
        <f t="shared" si="68"/>
        <v>0.18721422852686712</v>
      </c>
      <c r="AQ209" s="55"/>
      <c r="AR209" s="55"/>
      <c r="AS209" s="55"/>
      <c r="AT209" s="55"/>
      <c r="AU209" s="30"/>
      <c r="AV209" s="30"/>
      <c r="AW209" s="2"/>
      <c r="AX209" s="2"/>
    </row>
    <row r="210" spans="1:50" x14ac:dyDescent="0.2">
      <c r="A210" s="2"/>
      <c r="B210" s="61">
        <f t="shared" si="56"/>
        <v>41801</v>
      </c>
      <c r="C210" s="62">
        <f t="shared" si="57"/>
        <v>162</v>
      </c>
      <c r="D210" s="63">
        <f t="shared" si="58"/>
        <v>6.5833000007357736</v>
      </c>
      <c r="G210" s="357" t="str">
        <f>IF(MakeSchedule!C177="","",MakeSchedule!C177)</f>
        <v/>
      </c>
      <c r="H210" s="358"/>
      <c r="I210" s="358"/>
      <c r="J210" s="359" t="str">
        <f>IF(MakeSchedule!B177="","",MakeSchedule!B177)</f>
        <v/>
      </c>
      <c r="K210" s="63">
        <f t="shared" si="49"/>
        <v>6.5833000007357736</v>
      </c>
      <c r="L210" s="63">
        <f t="shared" si="59"/>
        <v>6.5833000007357736</v>
      </c>
      <c r="M210" s="63">
        <f t="shared" si="60"/>
        <v>28.430568705159576</v>
      </c>
      <c r="N210" s="63" t="str">
        <f t="shared" si="50"/>
        <v/>
      </c>
      <c r="O210" s="64">
        <f t="shared" si="61"/>
        <v>0.18566033079378313</v>
      </c>
      <c r="P210" s="63">
        <f t="shared" si="62"/>
        <v>1.0844978165938832</v>
      </c>
      <c r="Q210" s="64">
        <f t="shared" si="51"/>
        <v>1.0844978165938832</v>
      </c>
      <c r="R210" s="63">
        <f t="shared" si="52"/>
        <v>1.0844978165938832</v>
      </c>
      <c r="S210" s="65">
        <f t="shared" si="53"/>
        <v>0.35</v>
      </c>
      <c r="T210" s="65">
        <f t="shared" si="63"/>
        <v>1.2</v>
      </c>
      <c r="U210" s="64">
        <f t="shared" si="64"/>
        <v>1.2</v>
      </c>
      <c r="V210" s="63">
        <f t="shared" si="54"/>
        <v>7.8999600008829276</v>
      </c>
      <c r="W210" s="63" t="str">
        <f t="shared" si="55"/>
        <v/>
      </c>
      <c r="X210" s="63">
        <f t="shared" si="65"/>
        <v>526.9603726294979</v>
      </c>
      <c r="Y210" s="55"/>
      <c r="Z210" s="55"/>
      <c r="AA210" s="55"/>
      <c r="AB210" s="55">
        <f>PMSplint!N211</f>
        <v>6.5833000007357736</v>
      </c>
      <c r="AC210" s="55">
        <f>PMSplint!N211</f>
        <v>6.5833000007357736</v>
      </c>
      <c r="AD210" s="55">
        <f>IF(RnSplint!N211&lt;0,0,RnSplint!N211)</f>
        <v>28.430568705159576</v>
      </c>
      <c r="AE210" s="55">
        <f>IF(RnSplint!N211&lt;0,0,RnSplint!N211)</f>
        <v>28.430568705159576</v>
      </c>
      <c r="AF210" s="30"/>
      <c r="AG210" s="30"/>
      <c r="AH210" s="30"/>
      <c r="AI210" s="55"/>
      <c r="AJ210" s="55"/>
      <c r="AK210" s="55"/>
      <c r="AL210" s="55"/>
      <c r="AM210" s="55"/>
      <c r="AN210" s="55">
        <f t="shared" si="66"/>
        <v>187.16696297759549</v>
      </c>
      <c r="AO210" s="55">
        <f t="shared" si="67"/>
        <v>13.680897740192179</v>
      </c>
      <c r="AP210" s="55">
        <f t="shared" si="68"/>
        <v>0.18566033079378313</v>
      </c>
      <c r="AQ210" s="55"/>
      <c r="AR210" s="55"/>
      <c r="AS210" s="55"/>
      <c r="AT210" s="55"/>
      <c r="AU210" s="30"/>
      <c r="AV210" s="30"/>
      <c r="AW210" s="2"/>
      <c r="AX210" s="2"/>
    </row>
    <row r="211" spans="1:50" x14ac:dyDescent="0.2">
      <c r="A211" s="2"/>
      <c r="B211" s="61">
        <f t="shared" si="56"/>
        <v>41802</v>
      </c>
      <c r="C211" s="62">
        <f t="shared" si="57"/>
        <v>163</v>
      </c>
      <c r="D211" s="63">
        <f t="shared" si="58"/>
        <v>6.619900322151322</v>
      </c>
      <c r="G211" s="357" t="str">
        <f>IF(MakeSchedule!C178="","",MakeSchedule!C178)</f>
        <v/>
      </c>
      <c r="H211" s="358"/>
      <c r="I211" s="358"/>
      <c r="J211" s="359" t="str">
        <f>IF(MakeSchedule!B178="","",MakeSchedule!B178)</f>
        <v/>
      </c>
      <c r="K211" s="63">
        <f t="shared" si="49"/>
        <v>6.619900322151322</v>
      </c>
      <c r="L211" s="63">
        <f t="shared" si="59"/>
        <v>6.619900322151322</v>
      </c>
      <c r="M211" s="63">
        <f t="shared" si="60"/>
        <v>28.728424285989789</v>
      </c>
      <c r="N211" s="63" t="str">
        <f t="shared" si="50"/>
        <v/>
      </c>
      <c r="O211" s="64">
        <f t="shared" si="61"/>
        <v>0.18418407970495043</v>
      </c>
      <c r="P211" s="63">
        <f t="shared" si="62"/>
        <v>1.0897379912663723</v>
      </c>
      <c r="Q211" s="64">
        <f t="shared" si="51"/>
        <v>1.0897379912663723</v>
      </c>
      <c r="R211" s="63">
        <f t="shared" si="52"/>
        <v>1.0897379912663723</v>
      </c>
      <c r="S211" s="65">
        <f t="shared" si="53"/>
        <v>0.35</v>
      </c>
      <c r="T211" s="65">
        <f t="shared" si="63"/>
        <v>1.2</v>
      </c>
      <c r="U211" s="64">
        <f t="shared" si="64"/>
        <v>1.2</v>
      </c>
      <c r="V211" s="63">
        <f t="shared" si="54"/>
        <v>7.9438803865815864</v>
      </c>
      <c r="W211" s="63" t="str">
        <f t="shared" si="55"/>
        <v/>
      </c>
      <c r="X211" s="63">
        <f t="shared" si="65"/>
        <v>534.90425301607945</v>
      </c>
      <c r="Y211" s="55"/>
      <c r="Z211" s="55"/>
      <c r="AA211" s="55"/>
      <c r="AB211" s="55">
        <f>PMSplint!N212</f>
        <v>6.619900322151322</v>
      </c>
      <c r="AC211" s="55">
        <f>PMSplint!N212</f>
        <v>6.619900322151322</v>
      </c>
      <c r="AD211" s="55">
        <f>IF(RnSplint!N212&lt;0,0,RnSplint!N212)</f>
        <v>28.728424285989789</v>
      </c>
      <c r="AE211" s="55">
        <f>IF(RnSplint!N212&lt;0,0,RnSplint!N212)</f>
        <v>28.728424285989789</v>
      </c>
      <c r="AF211" s="30"/>
      <c r="AG211" s="30"/>
      <c r="AH211" s="30"/>
      <c r="AI211" s="55"/>
      <c r="AJ211" s="55"/>
      <c r="AK211" s="55"/>
      <c r="AL211" s="55"/>
      <c r="AM211" s="55"/>
      <c r="AN211" s="55">
        <f t="shared" si="66"/>
        <v>190.17930518572368</v>
      </c>
      <c r="AO211" s="55">
        <f t="shared" si="67"/>
        <v>13.790551301007646</v>
      </c>
      <c r="AP211" s="55">
        <f t="shared" si="68"/>
        <v>0.18418407970495043</v>
      </c>
      <c r="AQ211" s="55"/>
      <c r="AR211" s="55"/>
      <c r="AS211" s="55"/>
      <c r="AT211" s="55"/>
      <c r="AU211" s="30"/>
      <c r="AV211" s="30"/>
      <c r="AW211" s="2"/>
      <c r="AX211" s="2"/>
    </row>
    <row r="212" spans="1:50" x14ac:dyDescent="0.2">
      <c r="A212" s="2"/>
      <c r="B212" s="61">
        <f t="shared" si="56"/>
        <v>41803</v>
      </c>
      <c r="C212" s="62">
        <f t="shared" si="57"/>
        <v>164</v>
      </c>
      <c r="D212" s="63">
        <f t="shared" si="58"/>
        <v>6.6554116193378325</v>
      </c>
      <c r="G212" s="357" t="str">
        <f>IF(MakeSchedule!C179="","",MakeSchedule!C179)</f>
        <v/>
      </c>
      <c r="H212" s="358"/>
      <c r="I212" s="358"/>
      <c r="J212" s="359" t="str">
        <f>IF(MakeSchedule!B179="","",MakeSchedule!B179)</f>
        <v/>
      </c>
      <c r="K212" s="63">
        <f t="shared" si="49"/>
        <v>6.6554116193378325</v>
      </c>
      <c r="L212" s="63">
        <f t="shared" si="59"/>
        <v>6.6554116193378325</v>
      </c>
      <c r="M212" s="63">
        <f t="shared" si="60"/>
        <v>29.013513034928852</v>
      </c>
      <c r="N212" s="63" t="str">
        <f t="shared" si="50"/>
        <v/>
      </c>
      <c r="O212" s="64">
        <f t="shared" si="61"/>
        <v>0.18278733356248344</v>
      </c>
      <c r="P212" s="63">
        <f t="shared" si="62"/>
        <v>1.0949781659388613</v>
      </c>
      <c r="Q212" s="64">
        <f t="shared" si="51"/>
        <v>1.0949781659388613</v>
      </c>
      <c r="R212" s="63">
        <f t="shared" si="52"/>
        <v>1.0949781659388613</v>
      </c>
      <c r="S212" s="65">
        <f t="shared" si="53"/>
        <v>0.35</v>
      </c>
      <c r="T212" s="65">
        <f t="shared" si="63"/>
        <v>1.2</v>
      </c>
      <c r="U212" s="64">
        <f t="shared" si="64"/>
        <v>1.2</v>
      </c>
      <c r="V212" s="63">
        <f t="shared" si="54"/>
        <v>7.9864939432053985</v>
      </c>
      <c r="W212" s="63" t="str">
        <f t="shared" si="55"/>
        <v/>
      </c>
      <c r="X212" s="63">
        <f t="shared" si="65"/>
        <v>542.8907469592848</v>
      </c>
      <c r="Y212" s="55"/>
      <c r="Z212" s="55"/>
      <c r="AA212" s="55"/>
      <c r="AB212" s="55">
        <f>PMSplint!N213</f>
        <v>6.6554116193378325</v>
      </c>
      <c r="AC212" s="55">
        <f>PMSplint!N213</f>
        <v>6.6554116193378325</v>
      </c>
      <c r="AD212" s="55">
        <f>IF(RnSplint!N213&lt;0,0,RnSplint!N213)</f>
        <v>29.013513034928852</v>
      </c>
      <c r="AE212" s="55">
        <f>IF(RnSplint!N213&lt;0,0,RnSplint!N213)</f>
        <v>29.013513034928852</v>
      </c>
      <c r="AF212" s="30"/>
      <c r="AG212" s="30"/>
      <c r="AH212" s="30"/>
      <c r="AI212" s="55"/>
      <c r="AJ212" s="55"/>
      <c r="AK212" s="55"/>
      <c r="AL212" s="55"/>
      <c r="AM212" s="55"/>
      <c r="AN212" s="55">
        <f t="shared" si="66"/>
        <v>193.09687177047513</v>
      </c>
      <c r="AO212" s="55">
        <f t="shared" si="67"/>
        <v>13.895930043378714</v>
      </c>
      <c r="AP212" s="55">
        <f t="shared" si="68"/>
        <v>0.18278733356248344</v>
      </c>
      <c r="AQ212" s="55"/>
      <c r="AR212" s="55"/>
      <c r="AS212" s="55"/>
      <c r="AT212" s="55"/>
      <c r="AU212" s="30"/>
      <c r="AV212" s="30"/>
      <c r="AW212" s="2"/>
      <c r="AX212" s="2"/>
    </row>
    <row r="213" spans="1:50" x14ac:dyDescent="0.2">
      <c r="A213" s="2"/>
      <c r="B213" s="61">
        <f t="shared" si="56"/>
        <v>41804</v>
      </c>
      <c r="C213" s="62">
        <f t="shared" si="57"/>
        <v>165</v>
      </c>
      <c r="D213" s="63">
        <f t="shared" si="58"/>
        <v>6.6897609346934326</v>
      </c>
      <c r="G213" s="357" t="str">
        <f>IF(MakeSchedule!C180="","",MakeSchedule!C180)</f>
        <v/>
      </c>
      <c r="H213" s="358"/>
      <c r="I213" s="358"/>
      <c r="J213" s="359" t="str">
        <f>IF(MakeSchedule!B180="","",MakeSchedule!B180)</f>
        <v/>
      </c>
      <c r="K213" s="63">
        <f t="shared" si="49"/>
        <v>6.6897609346934326</v>
      </c>
      <c r="L213" s="63">
        <f t="shared" si="59"/>
        <v>6.6897609346934326</v>
      </c>
      <c r="M213" s="63">
        <f t="shared" si="60"/>
        <v>29.28452496638808</v>
      </c>
      <c r="N213" s="63" t="str">
        <f t="shared" si="50"/>
        <v/>
      </c>
      <c r="O213" s="64">
        <f t="shared" si="61"/>
        <v>0.1814718747145069</v>
      </c>
      <c r="P213" s="63">
        <f t="shared" si="62"/>
        <v>1.1002183406113504</v>
      </c>
      <c r="Q213" s="64">
        <f t="shared" si="51"/>
        <v>1.1002183406113504</v>
      </c>
      <c r="R213" s="63">
        <f t="shared" si="52"/>
        <v>1.1002183406113504</v>
      </c>
      <c r="S213" s="65">
        <f t="shared" si="53"/>
        <v>0.35</v>
      </c>
      <c r="T213" s="65">
        <f t="shared" si="63"/>
        <v>1.2</v>
      </c>
      <c r="U213" s="64">
        <f t="shared" si="64"/>
        <v>1.2</v>
      </c>
      <c r="V213" s="63">
        <f t="shared" si="54"/>
        <v>8.027713121632118</v>
      </c>
      <c r="W213" s="63" t="str">
        <f t="shared" si="55"/>
        <v/>
      </c>
      <c r="X213" s="63">
        <f t="shared" si="65"/>
        <v>550.91846008091693</v>
      </c>
      <c r="Y213" s="55"/>
      <c r="Z213" s="55"/>
      <c r="AA213" s="55"/>
      <c r="AB213" s="55">
        <f>PMSplint!N214</f>
        <v>6.6897609346934326</v>
      </c>
      <c r="AC213" s="55">
        <f>PMSplint!N214</f>
        <v>6.6897609346934326</v>
      </c>
      <c r="AD213" s="55">
        <f>IF(RnSplint!N214&lt;0,0,RnSplint!N214)</f>
        <v>29.28452496638808</v>
      </c>
      <c r="AE213" s="55">
        <f>IF(RnSplint!N214&lt;0,0,RnSplint!N214)</f>
        <v>29.28452496638808</v>
      </c>
      <c r="AF213" s="30"/>
      <c r="AG213" s="30"/>
      <c r="AH213" s="30"/>
      <c r="AI213" s="55"/>
      <c r="AJ213" s="55"/>
      <c r="AK213" s="55"/>
      <c r="AL213" s="55"/>
      <c r="AM213" s="55"/>
      <c r="AN213" s="55">
        <f t="shared" si="66"/>
        <v>195.90647111119748</v>
      </c>
      <c r="AO213" s="55">
        <f t="shared" si="67"/>
        <v>13.996659283957635</v>
      </c>
      <c r="AP213" s="55">
        <f t="shared" si="68"/>
        <v>0.1814718747145069</v>
      </c>
      <c r="AQ213" s="55"/>
      <c r="AR213" s="55"/>
      <c r="AS213" s="55"/>
      <c r="AT213" s="55"/>
      <c r="AU213" s="30"/>
      <c r="AV213" s="30"/>
      <c r="AW213" s="2"/>
      <c r="AX213" s="2"/>
    </row>
    <row r="214" spans="1:50" x14ac:dyDescent="0.2">
      <c r="A214" s="2"/>
      <c r="B214" s="61">
        <f t="shared" si="56"/>
        <v>41805</v>
      </c>
      <c r="C214" s="62">
        <f t="shared" si="57"/>
        <v>166</v>
      </c>
      <c r="D214" s="63">
        <f t="shared" si="58"/>
        <v>6.7228753106162502</v>
      </c>
      <c r="G214" s="357" t="str">
        <f>IF(MakeSchedule!C181="","",MakeSchedule!C181)</f>
        <v/>
      </c>
      <c r="H214" s="358"/>
      <c r="I214" s="358"/>
      <c r="J214" s="359" t="str">
        <f>IF(MakeSchedule!B181="","",MakeSchedule!B181)</f>
        <v/>
      </c>
      <c r="K214" s="63">
        <f t="shared" si="49"/>
        <v>6.7228753106162502</v>
      </c>
      <c r="L214" s="63">
        <f t="shared" si="59"/>
        <v>6.7228753106162502</v>
      </c>
      <c r="M214" s="63">
        <f t="shared" si="60"/>
        <v>29.540150094778799</v>
      </c>
      <c r="N214" s="63" t="str">
        <f t="shared" si="50"/>
        <v/>
      </c>
      <c r="O214" s="64">
        <f t="shared" si="61"/>
        <v>0.18023944423000432</v>
      </c>
      <c r="P214" s="63">
        <f t="shared" si="62"/>
        <v>1.1054585152838394</v>
      </c>
      <c r="Q214" s="64">
        <f t="shared" si="51"/>
        <v>1.1054585152838394</v>
      </c>
      <c r="R214" s="63">
        <f t="shared" si="52"/>
        <v>1.1054585152838394</v>
      </c>
      <c r="S214" s="65">
        <f t="shared" si="53"/>
        <v>0.35</v>
      </c>
      <c r="T214" s="65">
        <f t="shared" si="63"/>
        <v>1.2</v>
      </c>
      <c r="U214" s="64">
        <f t="shared" si="64"/>
        <v>1.2</v>
      </c>
      <c r="V214" s="63">
        <f t="shared" si="54"/>
        <v>8.0674503727395006</v>
      </c>
      <c r="W214" s="63" t="str">
        <f t="shared" si="55"/>
        <v/>
      </c>
      <c r="X214" s="63">
        <f t="shared" si="65"/>
        <v>558.9859104536564</v>
      </c>
      <c r="Y214" s="55"/>
      <c r="Z214" s="55"/>
      <c r="AA214" s="55"/>
      <c r="AB214" s="55">
        <f>PMSplint!N215</f>
        <v>6.7228753106162502</v>
      </c>
      <c r="AC214" s="55">
        <f>PMSplint!N215</f>
        <v>6.7228753106162502</v>
      </c>
      <c r="AD214" s="55">
        <f>IF(RnSplint!N215&lt;0,0,RnSplint!N215)</f>
        <v>29.540150094778799</v>
      </c>
      <c r="AE214" s="55">
        <f>IF(RnSplint!N215&lt;0,0,RnSplint!N215)</f>
        <v>29.540150094778799</v>
      </c>
      <c r="AF214" s="30"/>
      <c r="AG214" s="30"/>
      <c r="AH214" s="30"/>
      <c r="AI214" s="55"/>
      <c r="AJ214" s="55"/>
      <c r="AK214" s="55"/>
      <c r="AL214" s="55"/>
      <c r="AM214" s="55"/>
      <c r="AN214" s="55">
        <f t="shared" si="66"/>
        <v>198.59474574408668</v>
      </c>
      <c r="AO214" s="55">
        <f t="shared" si="67"/>
        <v>14.092364803115434</v>
      </c>
      <c r="AP214" s="55">
        <f t="shared" si="68"/>
        <v>0.18023944423000432</v>
      </c>
      <c r="AQ214" s="55"/>
      <c r="AR214" s="55"/>
      <c r="AS214" s="55"/>
      <c r="AT214" s="55"/>
      <c r="AU214" s="30"/>
      <c r="AV214" s="30"/>
      <c r="AW214" s="2"/>
      <c r="AX214" s="2"/>
    </row>
    <row r="215" spans="1:50" x14ac:dyDescent="0.2">
      <c r="A215" s="2"/>
      <c r="B215" s="61">
        <f t="shared" si="56"/>
        <v>41806</v>
      </c>
      <c r="C215" s="62">
        <f t="shared" si="57"/>
        <v>167</v>
      </c>
      <c r="D215" s="63">
        <f t="shared" si="58"/>
        <v>6.7546817895044136</v>
      </c>
      <c r="G215" s="357" t="str">
        <f>IF(MakeSchedule!C182="","",MakeSchedule!C182)</f>
        <v/>
      </c>
      <c r="H215" s="358"/>
      <c r="I215" s="358"/>
      <c r="J215" s="359" t="str">
        <f>IF(MakeSchedule!B182="","",MakeSchedule!B182)</f>
        <v/>
      </c>
      <c r="K215" s="63">
        <f t="shared" si="49"/>
        <v>6.7546817895044136</v>
      </c>
      <c r="L215" s="63">
        <f t="shared" si="59"/>
        <v>6.7546817895044136</v>
      </c>
      <c r="M215" s="63">
        <f t="shared" si="60"/>
        <v>29.779078434512336</v>
      </c>
      <c r="N215" s="63" t="str">
        <f t="shared" si="50"/>
        <v/>
      </c>
      <c r="O215" s="64">
        <f t="shared" si="61"/>
        <v>0.17909177573763124</v>
      </c>
      <c r="P215" s="63">
        <f t="shared" si="62"/>
        <v>1.1106986899563285</v>
      </c>
      <c r="Q215" s="64">
        <f t="shared" si="51"/>
        <v>1.1106986899563285</v>
      </c>
      <c r="R215" s="63">
        <f t="shared" si="52"/>
        <v>1.1106986899563285</v>
      </c>
      <c r="S215" s="65">
        <f t="shared" si="53"/>
        <v>0.35</v>
      </c>
      <c r="T215" s="65">
        <f t="shared" si="63"/>
        <v>1.2</v>
      </c>
      <c r="U215" s="64">
        <f t="shared" si="64"/>
        <v>1.2</v>
      </c>
      <c r="V215" s="63">
        <f t="shared" si="54"/>
        <v>8.1056181474052966</v>
      </c>
      <c r="W215" s="63" t="str">
        <f t="shared" si="55"/>
        <v/>
      </c>
      <c r="X215" s="63">
        <f t="shared" si="65"/>
        <v>567.09152860106167</v>
      </c>
      <c r="Y215" s="55"/>
      <c r="Z215" s="55"/>
      <c r="AA215" s="55"/>
      <c r="AB215" s="55">
        <f>PMSplint!N216</f>
        <v>6.7546817895044136</v>
      </c>
      <c r="AC215" s="55">
        <f>PMSplint!N216</f>
        <v>6.7546817895044136</v>
      </c>
      <c r="AD215" s="55">
        <f>IF(RnSplint!N216&lt;0,0,RnSplint!N216)</f>
        <v>29.779078434512336</v>
      </c>
      <c r="AE215" s="55">
        <f>IF(RnSplint!N216&lt;0,0,RnSplint!N216)</f>
        <v>29.779078434512336</v>
      </c>
      <c r="AF215" s="30"/>
      <c r="AG215" s="30"/>
      <c r="AH215" s="30"/>
      <c r="AI215" s="55"/>
      <c r="AJ215" s="55"/>
      <c r="AK215" s="55"/>
      <c r="AL215" s="55"/>
      <c r="AM215" s="55"/>
      <c r="AN215" s="55">
        <f t="shared" si="66"/>
        <v>201.14819880982407</v>
      </c>
      <c r="AO215" s="55">
        <f t="shared" si="67"/>
        <v>14.182672484754912</v>
      </c>
      <c r="AP215" s="55">
        <f t="shared" si="68"/>
        <v>0.17909177573763124</v>
      </c>
      <c r="AQ215" s="55"/>
      <c r="AR215" s="55"/>
      <c r="AS215" s="55"/>
      <c r="AT215" s="55"/>
      <c r="AU215" s="30"/>
      <c r="AV215" s="30"/>
      <c r="AW215" s="2"/>
      <c r="AX215" s="2"/>
    </row>
    <row r="216" spans="1:50" x14ac:dyDescent="0.2">
      <c r="A216" s="2"/>
      <c r="B216" s="61">
        <f t="shared" si="56"/>
        <v>41807</v>
      </c>
      <c r="C216" s="62">
        <f t="shared" si="57"/>
        <v>168</v>
      </c>
      <c r="D216" s="63">
        <f t="shared" si="58"/>
        <v>6.7851074137560472</v>
      </c>
      <c r="G216" s="357" t="str">
        <f>IF(MakeSchedule!C183="","",MakeSchedule!C183)</f>
        <v/>
      </c>
      <c r="H216" s="358"/>
      <c r="I216" s="358"/>
      <c r="J216" s="359" t="str">
        <f>IF(MakeSchedule!B183="","",MakeSchedule!B183)</f>
        <v/>
      </c>
      <c r="K216" s="63">
        <f t="shared" si="49"/>
        <v>6.7851074137560472</v>
      </c>
      <c r="L216" s="63">
        <f t="shared" si="59"/>
        <v>6.7851074137560472</v>
      </c>
      <c r="M216" s="63">
        <f t="shared" si="60"/>
        <v>30</v>
      </c>
      <c r="N216" s="63" t="str">
        <f t="shared" si="50"/>
        <v/>
      </c>
      <c r="O216" s="64">
        <f t="shared" si="61"/>
        <v>0.17803062874128392</v>
      </c>
      <c r="P216" s="63">
        <f t="shared" si="62"/>
        <v>1.1159388646288175</v>
      </c>
      <c r="Q216" s="64">
        <f t="shared" si="51"/>
        <v>1.1159388646288175</v>
      </c>
      <c r="R216" s="63">
        <f t="shared" si="52"/>
        <v>1.1159388646288175</v>
      </c>
      <c r="S216" s="65">
        <f t="shared" si="53"/>
        <v>0.35</v>
      </c>
      <c r="T216" s="65">
        <f t="shared" si="63"/>
        <v>1.2</v>
      </c>
      <c r="U216" s="64">
        <f t="shared" si="64"/>
        <v>1.2</v>
      </c>
      <c r="V216" s="63">
        <f t="shared" si="54"/>
        <v>8.1421288965072556</v>
      </c>
      <c r="W216" s="63" t="str">
        <f t="shared" si="55"/>
        <v/>
      </c>
      <c r="X216" s="63">
        <f t="shared" si="65"/>
        <v>575.23365749756897</v>
      </c>
      <c r="Y216" s="55"/>
      <c r="Z216" s="55"/>
      <c r="AA216" s="55"/>
      <c r="AB216" s="55">
        <f>PMSplint!N217</f>
        <v>6.7851074137560472</v>
      </c>
      <c r="AC216" s="55">
        <f>PMSplint!N217</f>
        <v>6.7851074137560472</v>
      </c>
      <c r="AD216" s="55">
        <f>IF(RnSplint!N217&lt;0,0,RnSplint!N217)</f>
        <v>30</v>
      </c>
      <c r="AE216" s="55">
        <f>IF(RnSplint!N217&lt;0,0,RnSplint!N217)</f>
        <v>30</v>
      </c>
      <c r="AF216" s="30"/>
      <c r="AG216" s="30"/>
      <c r="AH216" s="30"/>
      <c r="AI216" s="55"/>
      <c r="AJ216" s="55"/>
      <c r="AK216" s="55"/>
      <c r="AL216" s="55"/>
      <c r="AM216" s="55"/>
      <c r="AN216" s="55">
        <f t="shared" si="66"/>
        <v>203.55322241268141</v>
      </c>
      <c r="AO216" s="55">
        <f t="shared" si="67"/>
        <v>14.267207940332312</v>
      </c>
      <c r="AP216" s="55">
        <f t="shared" si="68"/>
        <v>0.17803062874128392</v>
      </c>
      <c r="AQ216" s="55"/>
      <c r="AR216" s="55"/>
      <c r="AS216" s="55"/>
      <c r="AT216" s="55"/>
      <c r="AU216" s="30"/>
      <c r="AV216" s="30"/>
      <c r="AW216" s="2"/>
      <c r="AX216" s="2"/>
    </row>
    <row r="217" spans="1:50" x14ac:dyDescent="0.2">
      <c r="A217" s="2"/>
      <c r="B217" s="61">
        <f t="shared" si="56"/>
        <v>41808</v>
      </c>
      <c r="C217" s="62">
        <f t="shared" si="57"/>
        <v>169</v>
      </c>
      <c r="D217" s="63">
        <f t="shared" si="58"/>
        <v>6.8140941815019502</v>
      </c>
      <c r="G217" s="357" t="str">
        <f>IF(MakeSchedule!C184="","",MakeSchedule!C184)</f>
        <v/>
      </c>
      <c r="H217" s="358"/>
      <c r="I217" s="358"/>
      <c r="J217" s="359" t="str">
        <f>IF(MakeSchedule!B184="","",MakeSchedule!B184)</f>
        <v/>
      </c>
      <c r="K217" s="63">
        <f t="shared" si="49"/>
        <v>6.8140941815019502</v>
      </c>
      <c r="L217" s="63">
        <f t="shared" si="59"/>
        <v>6.8140941815019502</v>
      </c>
      <c r="M217" s="63">
        <f t="shared" si="60"/>
        <v>30.201947140156062</v>
      </c>
      <c r="N217" s="63" t="str">
        <f t="shared" si="50"/>
        <v/>
      </c>
      <c r="O217" s="64">
        <f t="shared" si="61"/>
        <v>0.17705662399461997</v>
      </c>
      <c r="P217" s="63">
        <f t="shared" si="62"/>
        <v>1.1211790393013066</v>
      </c>
      <c r="Q217" s="64">
        <f t="shared" si="51"/>
        <v>1.1211790393013066</v>
      </c>
      <c r="R217" s="63">
        <f t="shared" si="52"/>
        <v>1.1211790393013066</v>
      </c>
      <c r="S217" s="65">
        <f t="shared" si="53"/>
        <v>0.35</v>
      </c>
      <c r="T217" s="65">
        <f t="shared" si="63"/>
        <v>1.2</v>
      </c>
      <c r="U217" s="64">
        <f t="shared" si="64"/>
        <v>1.2</v>
      </c>
      <c r="V217" s="63">
        <f t="shared" si="54"/>
        <v>8.1769130178023399</v>
      </c>
      <c r="W217" s="63" t="str">
        <f t="shared" si="55"/>
        <v/>
      </c>
      <c r="X217" s="63">
        <f t="shared" si="65"/>
        <v>583.41057051537132</v>
      </c>
      <c r="Y217" s="55"/>
      <c r="Z217" s="55"/>
      <c r="AA217" s="55"/>
      <c r="AB217" s="55">
        <f>PMSplint!N218</f>
        <v>6.8140941815019502</v>
      </c>
      <c r="AC217" s="55">
        <f>PMSplint!N218</f>
        <v>6.8140941815019502</v>
      </c>
      <c r="AD217" s="55">
        <f>IF(RnSplint!N218&lt;0,0,RnSplint!N218)</f>
        <v>30.201947140156062</v>
      </c>
      <c r="AE217" s="55">
        <f>IF(RnSplint!N218&lt;0,0,RnSplint!N218)</f>
        <v>30.201947140156062</v>
      </c>
      <c r="AF217" s="30"/>
      <c r="AG217" s="30"/>
      <c r="AH217" s="30"/>
      <c r="AI217" s="55"/>
      <c r="AJ217" s="55"/>
      <c r="AK217" s="55"/>
      <c r="AL217" s="55"/>
      <c r="AM217" s="55"/>
      <c r="AN217" s="55">
        <f t="shared" si="66"/>
        <v>205.79891227776687</v>
      </c>
      <c r="AO217" s="55">
        <f t="shared" si="67"/>
        <v>14.345693161285965</v>
      </c>
      <c r="AP217" s="55">
        <f t="shared" si="68"/>
        <v>0.17705662399461997</v>
      </c>
      <c r="AQ217" s="55"/>
      <c r="AR217" s="55"/>
      <c r="AS217" s="55"/>
      <c r="AT217" s="55"/>
      <c r="AU217" s="30"/>
      <c r="AV217" s="30"/>
      <c r="AW217" s="2"/>
      <c r="AX217" s="2"/>
    </row>
    <row r="218" spans="1:50" x14ac:dyDescent="0.2">
      <c r="A218" s="2"/>
      <c r="B218" s="61">
        <f t="shared" si="56"/>
        <v>41809</v>
      </c>
      <c r="C218" s="62">
        <f t="shared" si="57"/>
        <v>170</v>
      </c>
      <c r="D218" s="63">
        <f t="shared" si="58"/>
        <v>6.8416439138036091</v>
      </c>
      <c r="G218" s="357" t="str">
        <f>IF(MakeSchedule!C185="","",MakeSchedule!C185)</f>
        <v/>
      </c>
      <c r="H218" s="358"/>
      <c r="I218" s="358"/>
      <c r="J218" s="359" t="str">
        <f>IF(MakeSchedule!B185="","",MakeSchedule!B185)</f>
        <v/>
      </c>
      <c r="K218" s="63">
        <f t="shared" si="49"/>
        <v>6.8416439138036091</v>
      </c>
      <c r="L218" s="63">
        <f t="shared" si="59"/>
        <v>6.8416439138036091</v>
      </c>
      <c r="M218" s="63">
        <f t="shared" si="60"/>
        <v>30.385321541906581</v>
      </c>
      <c r="N218" s="63" t="str">
        <f t="shared" si="50"/>
        <v/>
      </c>
      <c r="O218" s="64">
        <f t="shared" si="61"/>
        <v>0.17616578565217669</v>
      </c>
      <c r="P218" s="63">
        <f t="shared" si="62"/>
        <v>1.1264192139737956</v>
      </c>
      <c r="Q218" s="64">
        <f t="shared" si="51"/>
        <v>1.1264192139737956</v>
      </c>
      <c r="R218" s="63">
        <f t="shared" si="52"/>
        <v>1.1264192139737956</v>
      </c>
      <c r="S218" s="65">
        <f t="shared" si="53"/>
        <v>0.35</v>
      </c>
      <c r="T218" s="65">
        <f t="shared" si="63"/>
        <v>1.2</v>
      </c>
      <c r="U218" s="64">
        <f t="shared" si="64"/>
        <v>1.2</v>
      </c>
      <c r="V218" s="63">
        <f t="shared" si="54"/>
        <v>8.2099726965643303</v>
      </c>
      <c r="W218" s="63" t="str">
        <f t="shared" si="55"/>
        <v/>
      </c>
      <c r="X218" s="63">
        <f t="shared" si="65"/>
        <v>591.62054321193568</v>
      </c>
      <c r="Y218" s="55"/>
      <c r="Z218" s="55"/>
      <c r="AA218" s="55"/>
      <c r="AB218" s="55">
        <f>PMSplint!N219</f>
        <v>6.8416439138036091</v>
      </c>
      <c r="AC218" s="55">
        <f>PMSplint!N219</f>
        <v>6.8416439138036091</v>
      </c>
      <c r="AD218" s="55">
        <f>IF(RnSplint!N219&lt;0,0,RnSplint!N219)</f>
        <v>30.385321541906581</v>
      </c>
      <c r="AE218" s="55">
        <f>IF(RnSplint!N219&lt;0,0,RnSplint!N219)</f>
        <v>30.385321541906581</v>
      </c>
      <c r="AF218" s="30"/>
      <c r="AG218" s="30"/>
      <c r="AH218" s="30"/>
      <c r="AI218" s="55"/>
      <c r="AJ218" s="55"/>
      <c r="AK218" s="55"/>
      <c r="AL218" s="55"/>
      <c r="AM218" s="55"/>
      <c r="AN218" s="55">
        <f t="shared" si="66"/>
        <v>207.88555019615086</v>
      </c>
      <c r="AO218" s="55">
        <f t="shared" si="67"/>
        <v>14.418236722850367</v>
      </c>
      <c r="AP218" s="55">
        <f t="shared" si="68"/>
        <v>0.17616578565217669</v>
      </c>
      <c r="AQ218" s="55"/>
      <c r="AR218" s="55"/>
      <c r="AS218" s="55"/>
      <c r="AT218" s="55"/>
      <c r="AU218" s="30"/>
      <c r="AV218" s="30"/>
      <c r="AW218" s="2"/>
      <c r="AX218" s="2"/>
    </row>
    <row r="219" spans="1:50" x14ac:dyDescent="0.2">
      <c r="A219" s="2"/>
      <c r="B219" s="61">
        <f t="shared" si="56"/>
        <v>41810</v>
      </c>
      <c r="C219" s="62">
        <f t="shared" si="57"/>
        <v>171</v>
      </c>
      <c r="D219" s="63">
        <f t="shared" si="58"/>
        <v>6.8677733874551725</v>
      </c>
      <c r="G219" s="357" t="str">
        <f>IF(MakeSchedule!C186="","",MakeSchedule!C186)</f>
        <v/>
      </c>
      <c r="H219" s="358"/>
      <c r="I219" s="358"/>
      <c r="J219" s="359" t="str">
        <f>IF(MakeSchedule!B186="","",MakeSchedule!B186)</f>
        <v/>
      </c>
      <c r="K219" s="63">
        <f t="shared" si="49"/>
        <v>6.8677733874551725</v>
      </c>
      <c r="L219" s="63">
        <f t="shared" si="59"/>
        <v>6.8677733874551725</v>
      </c>
      <c r="M219" s="63">
        <f t="shared" si="60"/>
        <v>30.550867226680545</v>
      </c>
      <c r="N219" s="63" t="str">
        <f t="shared" si="50"/>
        <v/>
      </c>
      <c r="O219" s="64">
        <f t="shared" si="61"/>
        <v>0.17535330953819814</v>
      </c>
      <c r="P219" s="63">
        <f t="shared" si="62"/>
        <v>1.1316593886462847</v>
      </c>
      <c r="Q219" s="64">
        <f t="shared" si="51"/>
        <v>1.1316593886462847</v>
      </c>
      <c r="R219" s="63">
        <f t="shared" si="52"/>
        <v>1.1316593886462847</v>
      </c>
      <c r="S219" s="65">
        <f t="shared" si="53"/>
        <v>0.35</v>
      </c>
      <c r="T219" s="65">
        <f t="shared" si="63"/>
        <v>1.2</v>
      </c>
      <c r="U219" s="64">
        <f t="shared" si="64"/>
        <v>1.2</v>
      </c>
      <c r="V219" s="63">
        <f t="shared" si="54"/>
        <v>8.241328064946206</v>
      </c>
      <c r="W219" s="63" t="str">
        <f t="shared" si="55"/>
        <v/>
      </c>
      <c r="X219" s="63">
        <f t="shared" si="65"/>
        <v>599.86187127688186</v>
      </c>
      <c r="Y219" s="55"/>
      <c r="Z219" s="55"/>
      <c r="AA219" s="55"/>
      <c r="AB219" s="55">
        <f>PMSplint!N220</f>
        <v>6.8677733874551725</v>
      </c>
      <c r="AC219" s="55">
        <f>PMSplint!N220</f>
        <v>6.8677733874551725</v>
      </c>
      <c r="AD219" s="55">
        <f>IF(RnSplint!N220&lt;0,0,RnSplint!N220)</f>
        <v>30.550867226680545</v>
      </c>
      <c r="AE219" s="55">
        <f>IF(RnSplint!N220&lt;0,0,RnSplint!N220)</f>
        <v>30.550867226680545</v>
      </c>
      <c r="AF219" s="30"/>
      <c r="AG219" s="30"/>
      <c r="AH219" s="30"/>
      <c r="AI219" s="55"/>
      <c r="AJ219" s="55"/>
      <c r="AK219" s="55"/>
      <c r="AL219" s="55"/>
      <c r="AM219" s="55"/>
      <c r="AN219" s="55">
        <f t="shared" si="66"/>
        <v>209.81643290307306</v>
      </c>
      <c r="AO219" s="55">
        <f t="shared" si="67"/>
        <v>14.485041694902817</v>
      </c>
      <c r="AP219" s="55">
        <f t="shared" si="68"/>
        <v>0.17535330953819814</v>
      </c>
      <c r="AQ219" s="55"/>
      <c r="AR219" s="55"/>
      <c r="AS219" s="55"/>
      <c r="AT219" s="55"/>
      <c r="AU219" s="30"/>
      <c r="AV219" s="30"/>
      <c r="AW219" s="2"/>
      <c r="AX219" s="2"/>
    </row>
    <row r="220" spans="1:50" x14ac:dyDescent="0.2">
      <c r="A220" s="2"/>
      <c r="B220" s="61">
        <f t="shared" si="56"/>
        <v>41811</v>
      </c>
      <c r="C220" s="62">
        <f t="shared" si="57"/>
        <v>172</v>
      </c>
      <c r="D220" s="63">
        <f t="shared" si="58"/>
        <v>6.8924993792507969</v>
      </c>
      <c r="G220" s="357" t="str">
        <f>IF(MakeSchedule!C187="","",MakeSchedule!C187)</f>
        <v/>
      </c>
      <c r="H220" s="358"/>
      <c r="I220" s="358"/>
      <c r="J220" s="359" t="str">
        <f>IF(MakeSchedule!B187="","",MakeSchedule!B187)</f>
        <v/>
      </c>
      <c r="K220" s="63">
        <f t="shared" si="49"/>
        <v>6.8924993792507969</v>
      </c>
      <c r="L220" s="63">
        <f t="shared" si="59"/>
        <v>6.8924993792507969</v>
      </c>
      <c r="M220" s="63">
        <f t="shared" si="60"/>
        <v>30.699328215906956</v>
      </c>
      <c r="N220" s="63" t="str">
        <f t="shared" si="50"/>
        <v/>
      </c>
      <c r="O220" s="64">
        <f t="shared" si="61"/>
        <v>0.17461474447720043</v>
      </c>
      <c r="P220" s="63">
        <f t="shared" si="62"/>
        <v>1.1368995633187737</v>
      </c>
      <c r="Q220" s="64">
        <f t="shared" si="51"/>
        <v>1.1368995633187737</v>
      </c>
      <c r="R220" s="63">
        <f t="shared" si="52"/>
        <v>1.1368995633187737</v>
      </c>
      <c r="S220" s="65">
        <f t="shared" si="53"/>
        <v>0.35</v>
      </c>
      <c r="T220" s="65">
        <f t="shared" si="63"/>
        <v>1.2</v>
      </c>
      <c r="U220" s="64">
        <f t="shared" si="64"/>
        <v>1.2</v>
      </c>
      <c r="V220" s="63">
        <f t="shared" si="54"/>
        <v>8.2709992551009552</v>
      </c>
      <c r="W220" s="63" t="str">
        <f t="shared" si="55"/>
        <v/>
      </c>
      <c r="X220" s="63">
        <f t="shared" si="65"/>
        <v>608.1328705319828</v>
      </c>
      <c r="Y220" s="55"/>
      <c r="Z220" s="55"/>
      <c r="AA220" s="55"/>
      <c r="AB220" s="55">
        <f>PMSplint!N221</f>
        <v>6.8924993792507969</v>
      </c>
      <c r="AC220" s="55">
        <f>PMSplint!N221</f>
        <v>6.8924993792507969</v>
      </c>
      <c r="AD220" s="55">
        <f>IF(RnSplint!N221&lt;0,0,RnSplint!N221)</f>
        <v>30.699328215906956</v>
      </c>
      <c r="AE220" s="55">
        <f>IF(RnSplint!N221&lt;0,0,RnSplint!N221)</f>
        <v>30.699328215906956</v>
      </c>
      <c r="AF220" s="30"/>
      <c r="AG220" s="30"/>
      <c r="AH220" s="30"/>
      <c r="AI220" s="55"/>
      <c r="AJ220" s="55"/>
      <c r="AK220" s="55"/>
      <c r="AL220" s="55"/>
      <c r="AM220" s="55"/>
      <c r="AN220" s="55">
        <f t="shared" si="66"/>
        <v>211.59510067155517</v>
      </c>
      <c r="AO220" s="55">
        <f t="shared" si="67"/>
        <v>14.546308833224845</v>
      </c>
      <c r="AP220" s="55">
        <f t="shared" si="68"/>
        <v>0.17461474447720043</v>
      </c>
      <c r="AQ220" s="55"/>
      <c r="AR220" s="55"/>
      <c r="AS220" s="55"/>
      <c r="AT220" s="55"/>
      <c r="AU220" s="30"/>
      <c r="AV220" s="30"/>
      <c r="AW220" s="2"/>
      <c r="AX220" s="2"/>
    </row>
    <row r="221" spans="1:50" x14ac:dyDescent="0.2">
      <c r="A221" s="2"/>
      <c r="B221" s="61">
        <f t="shared" si="56"/>
        <v>41812</v>
      </c>
      <c r="C221" s="62">
        <f t="shared" si="57"/>
        <v>173</v>
      </c>
      <c r="D221" s="63">
        <f t="shared" si="58"/>
        <v>6.9158386659846371</v>
      </c>
      <c r="G221" s="357" t="str">
        <f>IF(MakeSchedule!C188="","",MakeSchedule!C188)</f>
        <v/>
      </c>
      <c r="H221" s="358"/>
      <c r="I221" s="358"/>
      <c r="J221" s="359" t="str">
        <f>IF(MakeSchedule!B188="","",MakeSchedule!B188)</f>
        <v/>
      </c>
      <c r="K221" s="63">
        <f t="shared" si="49"/>
        <v>6.9158386659846371</v>
      </c>
      <c r="L221" s="63">
        <f t="shared" si="59"/>
        <v>6.9158386659846371</v>
      </c>
      <c r="M221" s="63">
        <f t="shared" si="60"/>
        <v>30.831448531014811</v>
      </c>
      <c r="N221" s="63" t="str">
        <f t="shared" si="50"/>
        <v/>
      </c>
      <c r="O221" s="64">
        <f t="shared" si="61"/>
        <v>0.17394595150616174</v>
      </c>
      <c r="P221" s="63">
        <f t="shared" si="62"/>
        <v>1.1421397379912628</v>
      </c>
      <c r="Q221" s="64">
        <f t="shared" si="51"/>
        <v>1.1421397379912628</v>
      </c>
      <c r="R221" s="63">
        <f t="shared" si="52"/>
        <v>1.1421397379912628</v>
      </c>
      <c r="S221" s="65">
        <f t="shared" si="53"/>
        <v>0.35</v>
      </c>
      <c r="T221" s="65">
        <f t="shared" si="63"/>
        <v>1.2</v>
      </c>
      <c r="U221" s="64">
        <f t="shared" si="64"/>
        <v>1.2</v>
      </c>
      <c r="V221" s="63">
        <f t="shared" si="54"/>
        <v>8.2990063991815646</v>
      </c>
      <c r="W221" s="63" t="str">
        <f t="shared" si="55"/>
        <v/>
      </c>
      <c r="X221" s="63">
        <f t="shared" si="65"/>
        <v>616.43187693116442</v>
      </c>
      <c r="Y221" s="55"/>
      <c r="Z221" s="55"/>
      <c r="AA221" s="55"/>
      <c r="AB221" s="55">
        <f>PMSplint!N222</f>
        <v>6.9158386659846371</v>
      </c>
      <c r="AC221" s="55">
        <f>PMSplint!N222</f>
        <v>6.9158386659846371</v>
      </c>
      <c r="AD221" s="55">
        <f>IF(RnSplint!N222&lt;0,0,RnSplint!N222)</f>
        <v>30.831448531014811</v>
      </c>
      <c r="AE221" s="55">
        <f>IF(RnSplint!N222&lt;0,0,RnSplint!N222)</f>
        <v>30.831448531014811</v>
      </c>
      <c r="AF221" s="30"/>
      <c r="AG221" s="30"/>
      <c r="AH221" s="30"/>
      <c r="AI221" s="55"/>
      <c r="AJ221" s="55"/>
      <c r="AK221" s="55"/>
      <c r="AL221" s="55"/>
      <c r="AM221" s="55"/>
      <c r="AN221" s="55">
        <f t="shared" si="66"/>
        <v>213.22532387910746</v>
      </c>
      <c r="AO221" s="55">
        <f t="shared" si="67"/>
        <v>14.602236947779867</v>
      </c>
      <c r="AP221" s="55">
        <f t="shared" si="68"/>
        <v>0.17394595150616174</v>
      </c>
      <c r="AQ221" s="55"/>
      <c r="AR221" s="55"/>
      <c r="AS221" s="55"/>
      <c r="AT221" s="55"/>
      <c r="AU221" s="30"/>
      <c r="AV221" s="30"/>
      <c r="AW221" s="2"/>
      <c r="AX221" s="2"/>
    </row>
    <row r="222" spans="1:50" x14ac:dyDescent="0.2">
      <c r="A222" s="2"/>
      <c r="B222" s="61">
        <f t="shared" si="56"/>
        <v>41813</v>
      </c>
      <c r="C222" s="62">
        <f t="shared" si="57"/>
        <v>174</v>
      </c>
      <c r="D222" s="63">
        <f t="shared" si="58"/>
        <v>6.9378080244508462</v>
      </c>
      <c r="G222" s="357" t="str">
        <f>IF(MakeSchedule!C189="","",MakeSchedule!C189)</f>
        <v/>
      </c>
      <c r="H222" s="358"/>
      <c r="I222" s="358"/>
      <c r="J222" s="359" t="str">
        <f>IF(MakeSchedule!B189="","",MakeSchedule!B189)</f>
        <v/>
      </c>
      <c r="K222" s="63">
        <f t="shared" si="49"/>
        <v>6.9378080244508462</v>
      </c>
      <c r="L222" s="63">
        <f t="shared" si="59"/>
        <v>6.9378080244508462</v>
      </c>
      <c r="M222" s="63">
        <f t="shared" si="60"/>
        <v>30.947972193433113</v>
      </c>
      <c r="N222" s="63" t="str">
        <f t="shared" si="50"/>
        <v/>
      </c>
      <c r="O222" s="64">
        <f t="shared" si="61"/>
        <v>0.1733430678341229</v>
      </c>
      <c r="P222" s="63">
        <f t="shared" si="62"/>
        <v>1.1473799126637518</v>
      </c>
      <c r="Q222" s="64">
        <f t="shared" si="51"/>
        <v>1.1473799126637518</v>
      </c>
      <c r="R222" s="63">
        <f t="shared" si="52"/>
        <v>1.1473799126637518</v>
      </c>
      <c r="S222" s="65">
        <f t="shared" si="53"/>
        <v>0.35</v>
      </c>
      <c r="T222" s="65">
        <f t="shared" si="63"/>
        <v>1.2</v>
      </c>
      <c r="U222" s="64">
        <f t="shared" si="64"/>
        <v>1.2</v>
      </c>
      <c r="V222" s="63">
        <f t="shared" si="54"/>
        <v>8.3253696293410151</v>
      </c>
      <c r="W222" s="63" t="str">
        <f t="shared" si="55"/>
        <v/>
      </c>
      <c r="X222" s="63">
        <f t="shared" si="65"/>
        <v>624.75724656050545</v>
      </c>
      <c r="Y222" s="55"/>
      <c r="Z222" s="55"/>
      <c r="AA222" s="55"/>
      <c r="AB222" s="55">
        <f>PMSplint!N223</f>
        <v>6.9378080244508462</v>
      </c>
      <c r="AC222" s="55">
        <f>PMSplint!N223</f>
        <v>6.9378080244508462</v>
      </c>
      <c r="AD222" s="55">
        <f>IF(RnSplint!N223&lt;0,0,RnSplint!N223)</f>
        <v>30.947972193433113</v>
      </c>
      <c r="AE222" s="55">
        <f>IF(RnSplint!N223&lt;0,0,RnSplint!N223)</f>
        <v>30.947972193433113</v>
      </c>
      <c r="AF222" s="30"/>
      <c r="AG222" s="30"/>
      <c r="AH222" s="30"/>
      <c r="AI222" s="55"/>
      <c r="AJ222" s="55"/>
      <c r="AK222" s="55"/>
      <c r="AL222" s="55"/>
      <c r="AM222" s="55"/>
      <c r="AN222" s="55">
        <f t="shared" si="66"/>
        <v>214.71108982408191</v>
      </c>
      <c r="AO222" s="55">
        <f t="shared" si="67"/>
        <v>14.653023231541056</v>
      </c>
      <c r="AP222" s="55">
        <f t="shared" si="68"/>
        <v>0.1733430678341229</v>
      </c>
      <c r="AQ222" s="55"/>
      <c r="AR222" s="55"/>
      <c r="AS222" s="55"/>
      <c r="AT222" s="55"/>
      <c r="AU222" s="30"/>
      <c r="AV222" s="30"/>
      <c r="AW222" s="2"/>
      <c r="AX222" s="2"/>
    </row>
    <row r="223" spans="1:50" x14ac:dyDescent="0.2">
      <c r="A223" s="2"/>
      <c r="B223" s="61">
        <f t="shared" si="56"/>
        <v>41814</v>
      </c>
      <c r="C223" s="62">
        <f t="shared" si="57"/>
        <v>175</v>
      </c>
      <c r="D223" s="63">
        <f t="shared" si="58"/>
        <v>6.9584242314435771</v>
      </c>
      <c r="G223" s="357" t="str">
        <f>IF(MakeSchedule!C190="","",MakeSchedule!C190)</f>
        <v/>
      </c>
      <c r="H223" s="358"/>
      <c r="I223" s="358"/>
      <c r="J223" s="359" t="str">
        <f>IF(MakeSchedule!B190="","",MakeSchedule!B190)</f>
        <v/>
      </c>
      <c r="K223" s="63">
        <f t="shared" si="49"/>
        <v>6.9584242314435771</v>
      </c>
      <c r="L223" s="63">
        <f t="shared" si="59"/>
        <v>6.9584242314435771</v>
      </c>
      <c r="M223" s="63">
        <f t="shared" si="60"/>
        <v>31.049643224590856</v>
      </c>
      <c r="N223" s="63" t="str">
        <f t="shared" si="50"/>
        <v/>
      </c>
      <c r="O223" s="64">
        <f t="shared" si="61"/>
        <v>0.17280247487125991</v>
      </c>
      <c r="P223" s="63">
        <f t="shared" si="62"/>
        <v>1.1473799126637518</v>
      </c>
      <c r="Q223" s="64">
        <f t="shared" si="51"/>
        <v>1.1473799126637518</v>
      </c>
      <c r="R223" s="63">
        <f t="shared" si="52"/>
        <v>1.1473799126637518</v>
      </c>
      <c r="S223" s="65">
        <f t="shared" si="53"/>
        <v>0.35</v>
      </c>
      <c r="T223" s="65">
        <f t="shared" si="63"/>
        <v>1.2</v>
      </c>
      <c r="U223" s="64">
        <f t="shared" si="64"/>
        <v>1.2</v>
      </c>
      <c r="V223" s="63">
        <f t="shared" si="54"/>
        <v>8.3501090777322915</v>
      </c>
      <c r="W223" s="63" t="str">
        <f t="shared" si="55"/>
        <v/>
      </c>
      <c r="X223" s="63">
        <f t="shared" si="65"/>
        <v>633.10735563823778</v>
      </c>
      <c r="Y223" s="55"/>
      <c r="Z223" s="55"/>
      <c r="AA223" s="55"/>
      <c r="AB223" s="55">
        <f>PMSplint!N224</f>
        <v>6.9584242314435771</v>
      </c>
      <c r="AC223" s="55">
        <f>PMSplint!N224</f>
        <v>6.9584242314435771</v>
      </c>
      <c r="AD223" s="55">
        <f>IF(RnSplint!N224&lt;0,0,RnSplint!N224)</f>
        <v>31.049643224590856</v>
      </c>
      <c r="AE223" s="55">
        <f>IF(RnSplint!N224&lt;0,0,RnSplint!N224)</f>
        <v>31.049643224590856</v>
      </c>
      <c r="AF223" s="30"/>
      <c r="AG223" s="30"/>
      <c r="AH223" s="30"/>
      <c r="AI223" s="55"/>
      <c r="AJ223" s="55"/>
      <c r="AK223" s="55"/>
      <c r="AL223" s="55"/>
      <c r="AM223" s="55"/>
      <c r="AN223" s="55">
        <f t="shared" si="66"/>
        <v>216.05658979167089</v>
      </c>
      <c r="AO223" s="55">
        <f t="shared" si="67"/>
        <v>14.698863554427291</v>
      </c>
      <c r="AP223" s="55">
        <f t="shared" si="68"/>
        <v>0.17280247487125991</v>
      </c>
      <c r="AQ223" s="55"/>
      <c r="AR223" s="55"/>
      <c r="AS223" s="55"/>
      <c r="AT223" s="55"/>
      <c r="AU223" s="30"/>
      <c r="AV223" s="30"/>
      <c r="AW223" s="2"/>
      <c r="AX223" s="2"/>
    </row>
    <row r="224" spans="1:50" x14ac:dyDescent="0.2">
      <c r="A224" s="2"/>
      <c r="B224" s="61">
        <f t="shared" si="56"/>
        <v>41815</v>
      </c>
      <c r="C224" s="62">
        <f t="shared" si="57"/>
        <v>176</v>
      </c>
      <c r="D224" s="63">
        <f t="shared" si="58"/>
        <v>6.9777040637569847</v>
      </c>
      <c r="G224" s="357" t="str">
        <f>IF(MakeSchedule!C191="","",MakeSchedule!C191)</f>
        <v/>
      </c>
      <c r="H224" s="358"/>
      <c r="I224" s="358"/>
      <c r="J224" s="359" t="str">
        <f>IF(MakeSchedule!B191="","",MakeSchedule!B191)</f>
        <v/>
      </c>
      <c r="K224" s="63">
        <f t="shared" si="49"/>
        <v>6.9777040637569847</v>
      </c>
      <c r="L224" s="63">
        <f t="shared" si="59"/>
        <v>6.9777040637569847</v>
      </c>
      <c r="M224" s="63">
        <f t="shared" si="60"/>
        <v>31.137205645917035</v>
      </c>
      <c r="N224" s="63" t="str">
        <f t="shared" si="50"/>
        <v/>
      </c>
      <c r="O224" s="64">
        <f t="shared" si="61"/>
        <v>0.17232076976009453</v>
      </c>
      <c r="P224" s="63">
        <f t="shared" si="62"/>
        <v>1.1473799126637518</v>
      </c>
      <c r="Q224" s="64">
        <f t="shared" si="51"/>
        <v>1.1473799126637518</v>
      </c>
      <c r="R224" s="63">
        <f t="shared" si="52"/>
        <v>1.1473799126637518</v>
      </c>
      <c r="S224" s="65">
        <f t="shared" si="53"/>
        <v>0.35</v>
      </c>
      <c r="T224" s="65">
        <f t="shared" si="63"/>
        <v>1.2</v>
      </c>
      <c r="U224" s="64">
        <f t="shared" si="64"/>
        <v>1.2</v>
      </c>
      <c r="V224" s="63">
        <f t="shared" si="54"/>
        <v>8.373244876508382</v>
      </c>
      <c r="W224" s="63" t="str">
        <f t="shared" si="55"/>
        <v/>
      </c>
      <c r="X224" s="63">
        <f t="shared" si="65"/>
        <v>641.48060051474613</v>
      </c>
      <c r="Y224" s="55"/>
      <c r="Z224" s="55"/>
      <c r="AA224" s="55"/>
      <c r="AB224" s="55">
        <f>PMSplint!N225</f>
        <v>6.9777040637569847</v>
      </c>
      <c r="AC224" s="55">
        <f>PMSplint!N225</f>
        <v>6.9777040637569847</v>
      </c>
      <c r="AD224" s="55">
        <f>IF(RnSplint!N225&lt;0,0,RnSplint!N225)</f>
        <v>31.137205645917035</v>
      </c>
      <c r="AE224" s="55">
        <f>IF(RnSplint!N225&lt;0,0,RnSplint!N225)</f>
        <v>31.137205645917035</v>
      </c>
      <c r="AF224" s="30"/>
      <c r="AG224" s="30"/>
      <c r="AH224" s="30"/>
      <c r="AI224" s="55"/>
      <c r="AJ224" s="55"/>
      <c r="AK224" s="55"/>
      <c r="AL224" s="55"/>
      <c r="AM224" s="55"/>
      <c r="AN224" s="55">
        <f t="shared" si="66"/>
        <v>217.26620636955224</v>
      </c>
      <c r="AO224" s="55">
        <f t="shared" si="67"/>
        <v>14.739952726164091</v>
      </c>
      <c r="AP224" s="55">
        <f t="shared" si="68"/>
        <v>0.17232076976009453</v>
      </c>
      <c r="AQ224" s="55"/>
      <c r="AR224" s="55"/>
      <c r="AS224" s="55"/>
      <c r="AT224" s="55"/>
      <c r="AU224" s="30"/>
      <c r="AV224" s="30"/>
      <c r="AW224" s="2"/>
      <c r="AX224" s="2"/>
    </row>
    <row r="225" spans="1:50" x14ac:dyDescent="0.2">
      <c r="A225" s="2"/>
      <c r="B225" s="61">
        <f t="shared" si="56"/>
        <v>41816</v>
      </c>
      <c r="C225" s="62">
        <f t="shared" si="57"/>
        <v>177</v>
      </c>
      <c r="D225" s="63">
        <f t="shared" si="58"/>
        <v>6.995664298185222</v>
      </c>
      <c r="G225" s="357" t="str">
        <f>IF(MakeSchedule!C192="","",MakeSchedule!C192)</f>
        <v/>
      </c>
      <c r="H225" s="358"/>
      <c r="I225" s="358"/>
      <c r="J225" s="359" t="str">
        <f>IF(MakeSchedule!B192="","",MakeSchedule!B192)</f>
        <v/>
      </c>
      <c r="K225" s="63">
        <f t="shared" si="49"/>
        <v>6.995664298185222</v>
      </c>
      <c r="L225" s="63">
        <f t="shared" si="59"/>
        <v>6.995664298185222</v>
      </c>
      <c r="M225" s="63">
        <f t="shared" si="60"/>
        <v>31.211403478840651</v>
      </c>
      <c r="N225" s="63" t="str">
        <f t="shared" si="50"/>
        <v/>
      </c>
      <c r="O225" s="64">
        <f t="shared" si="61"/>
        <v>0.17189473993272947</v>
      </c>
      <c r="P225" s="63">
        <f t="shared" si="62"/>
        <v>1.1473799126637518</v>
      </c>
      <c r="Q225" s="64">
        <f t="shared" si="51"/>
        <v>1.1473799126637518</v>
      </c>
      <c r="R225" s="63">
        <f t="shared" si="52"/>
        <v>1.1473799126637518</v>
      </c>
      <c r="S225" s="65">
        <f t="shared" si="53"/>
        <v>0.35</v>
      </c>
      <c r="T225" s="65">
        <f t="shared" si="63"/>
        <v>1.2</v>
      </c>
      <c r="U225" s="64">
        <f t="shared" si="64"/>
        <v>1.2</v>
      </c>
      <c r="V225" s="63">
        <f t="shared" si="54"/>
        <v>8.394797157822266</v>
      </c>
      <c r="W225" s="63" t="str">
        <f t="shared" si="55"/>
        <v/>
      </c>
      <c r="X225" s="63">
        <f t="shared" si="65"/>
        <v>649.8753976725684</v>
      </c>
      <c r="Y225" s="55"/>
      <c r="Z225" s="55"/>
      <c r="AA225" s="55"/>
      <c r="AB225" s="55">
        <f>PMSplint!N226</f>
        <v>6.995664298185222</v>
      </c>
      <c r="AC225" s="55">
        <f>PMSplint!N226</f>
        <v>6.995664298185222</v>
      </c>
      <c r="AD225" s="55">
        <f>IF(RnSplint!N226&lt;0,0,RnSplint!N226)</f>
        <v>31.211403478840651</v>
      </c>
      <c r="AE225" s="55">
        <f>IF(RnSplint!N226&lt;0,0,RnSplint!N226)</f>
        <v>31.211403478840651</v>
      </c>
      <c r="AF225" s="30"/>
      <c r="AG225" s="30"/>
      <c r="AH225" s="30"/>
      <c r="AI225" s="55"/>
      <c r="AJ225" s="55"/>
      <c r="AK225" s="55"/>
      <c r="AL225" s="55"/>
      <c r="AM225" s="55"/>
      <c r="AN225" s="55">
        <f t="shared" si="66"/>
        <v>218.34450101317958</v>
      </c>
      <c r="AO225" s="55">
        <f t="shared" si="67"/>
        <v>14.776484731260666</v>
      </c>
      <c r="AP225" s="55">
        <f t="shared" si="68"/>
        <v>0.17189473993272947</v>
      </c>
      <c r="AQ225" s="55"/>
      <c r="AR225" s="55"/>
      <c r="AS225" s="55"/>
      <c r="AT225" s="55"/>
      <c r="AU225" s="30"/>
      <c r="AV225" s="30"/>
      <c r="AW225" s="2"/>
      <c r="AX225" s="2"/>
    </row>
    <row r="226" spans="1:50" x14ac:dyDescent="0.2">
      <c r="A226" s="2"/>
      <c r="B226" s="61">
        <f t="shared" si="56"/>
        <v>41817</v>
      </c>
      <c r="C226" s="62">
        <f t="shared" si="57"/>
        <v>178</v>
      </c>
      <c r="D226" s="63">
        <f t="shared" si="58"/>
        <v>7.0123217115224463</v>
      </c>
      <c r="G226" s="357" t="str">
        <f>IF(MakeSchedule!C193="","",MakeSchedule!C193)</f>
        <v/>
      </c>
      <c r="H226" s="358"/>
      <c r="I226" s="358"/>
      <c r="J226" s="359" t="str">
        <f>IF(MakeSchedule!B193="","",MakeSchedule!B193)</f>
        <v/>
      </c>
      <c r="K226" s="63">
        <f t="shared" si="49"/>
        <v>7.0123217115224463</v>
      </c>
      <c r="L226" s="63">
        <f t="shared" si="59"/>
        <v>7.0123217115224463</v>
      </c>
      <c r="M226" s="63">
        <f t="shared" si="60"/>
        <v>31.272980744790704</v>
      </c>
      <c r="N226" s="63" t="str">
        <f t="shared" si="50"/>
        <v/>
      </c>
      <c r="O226" s="64">
        <f t="shared" si="61"/>
        <v>0.1715213402936471</v>
      </c>
      <c r="P226" s="63">
        <f t="shared" si="62"/>
        <v>1.1473799126637518</v>
      </c>
      <c r="Q226" s="64">
        <f t="shared" si="51"/>
        <v>1.1473799126637518</v>
      </c>
      <c r="R226" s="63">
        <f t="shared" si="52"/>
        <v>1.1473799126637518</v>
      </c>
      <c r="S226" s="65">
        <f t="shared" si="53"/>
        <v>0.35</v>
      </c>
      <c r="T226" s="65">
        <f t="shared" si="63"/>
        <v>1.2</v>
      </c>
      <c r="U226" s="64">
        <f t="shared" si="64"/>
        <v>1.2</v>
      </c>
      <c r="V226" s="63">
        <f t="shared" si="54"/>
        <v>8.4147860538269352</v>
      </c>
      <c r="W226" s="63" t="str">
        <f t="shared" si="55"/>
        <v/>
      </c>
      <c r="X226" s="63">
        <f t="shared" si="65"/>
        <v>658.2901837263953</v>
      </c>
      <c r="Y226" s="55"/>
      <c r="Z226" s="55"/>
      <c r="AA226" s="55"/>
      <c r="AB226" s="55">
        <f>PMSplint!N227</f>
        <v>7.0123217115224463</v>
      </c>
      <c r="AC226" s="55">
        <f>PMSplint!N227</f>
        <v>7.0123217115224463</v>
      </c>
      <c r="AD226" s="55">
        <f>IF(RnSplint!N227&lt;0,0,RnSplint!N227)</f>
        <v>31.272980744790704</v>
      </c>
      <c r="AE226" s="55">
        <f>IF(RnSplint!N227&lt;0,0,RnSplint!N227)</f>
        <v>31.272980744790704</v>
      </c>
      <c r="AF226" s="30"/>
      <c r="AG226" s="30"/>
      <c r="AH226" s="30"/>
      <c r="AI226" s="55"/>
      <c r="AJ226" s="55"/>
      <c r="AK226" s="55"/>
      <c r="AL226" s="55"/>
      <c r="AM226" s="55"/>
      <c r="AN226" s="55">
        <f t="shared" si="66"/>
        <v>219.29620186071926</v>
      </c>
      <c r="AO226" s="55">
        <f t="shared" si="67"/>
        <v>14.808652938762501</v>
      </c>
      <c r="AP226" s="55">
        <f t="shared" si="68"/>
        <v>0.1715213402936471</v>
      </c>
      <c r="AQ226" s="55"/>
      <c r="AR226" s="55"/>
      <c r="AS226" s="55"/>
      <c r="AT226" s="55"/>
      <c r="AU226" s="30"/>
      <c r="AV226" s="30"/>
      <c r="AW226" s="2"/>
      <c r="AX226" s="2"/>
    </row>
    <row r="227" spans="1:50" x14ac:dyDescent="0.2">
      <c r="A227" s="2"/>
      <c r="B227" s="61">
        <f t="shared" si="56"/>
        <v>41818</v>
      </c>
      <c r="C227" s="62">
        <f t="shared" si="57"/>
        <v>179</v>
      </c>
      <c r="D227" s="63">
        <f t="shared" si="58"/>
        <v>7.0276930805628064</v>
      </c>
      <c r="G227" s="357" t="str">
        <f>IF(MakeSchedule!C194="","",MakeSchedule!C194)</f>
        <v/>
      </c>
      <c r="H227" s="358"/>
      <c r="I227" s="358"/>
      <c r="J227" s="359" t="str">
        <f>IF(MakeSchedule!B194="","",MakeSchedule!B194)</f>
        <v/>
      </c>
      <c r="K227" s="63">
        <f t="shared" si="49"/>
        <v>7.0276930805628064</v>
      </c>
      <c r="L227" s="63">
        <f t="shared" si="59"/>
        <v>7.0276930805628064</v>
      </c>
      <c r="M227" s="63">
        <f t="shared" si="60"/>
        <v>31.322681465196194</v>
      </c>
      <c r="N227" s="63" t="str">
        <f t="shared" si="50"/>
        <v/>
      </c>
      <c r="O227" s="64">
        <f t="shared" si="61"/>
        <v>0.17119767269070027</v>
      </c>
      <c r="P227" s="63">
        <f t="shared" si="62"/>
        <v>1.1473799126637518</v>
      </c>
      <c r="Q227" s="64">
        <f t="shared" si="51"/>
        <v>1.1473799126637518</v>
      </c>
      <c r="R227" s="63">
        <f t="shared" si="52"/>
        <v>1.1473799126637518</v>
      </c>
      <c r="S227" s="65">
        <f t="shared" si="53"/>
        <v>0.35</v>
      </c>
      <c r="T227" s="65">
        <f t="shared" si="63"/>
        <v>1.2</v>
      </c>
      <c r="U227" s="64">
        <f t="shared" si="64"/>
        <v>1.2</v>
      </c>
      <c r="V227" s="63">
        <f t="shared" si="54"/>
        <v>8.4332316966753673</v>
      </c>
      <c r="W227" s="63" t="str">
        <f t="shared" si="55"/>
        <v/>
      </c>
      <c r="X227" s="63">
        <f t="shared" si="65"/>
        <v>666.72341542307072</v>
      </c>
      <c r="Y227" s="55"/>
      <c r="Z227" s="55"/>
      <c r="AA227" s="55"/>
      <c r="AB227" s="55">
        <f>PMSplint!N228</f>
        <v>7.0276930805628064</v>
      </c>
      <c r="AC227" s="55">
        <f>PMSplint!N228</f>
        <v>7.0276930805628064</v>
      </c>
      <c r="AD227" s="55">
        <f>IF(RnSplint!N228&lt;0,0,RnSplint!N228)</f>
        <v>31.322681465196194</v>
      </c>
      <c r="AE227" s="55">
        <f>IF(RnSplint!N228&lt;0,0,RnSplint!N228)</f>
        <v>31.322681465196194</v>
      </c>
      <c r="AF227" s="30"/>
      <c r="AG227" s="30"/>
      <c r="AH227" s="30"/>
      <c r="AI227" s="55"/>
      <c r="AJ227" s="55"/>
      <c r="AK227" s="55"/>
      <c r="AL227" s="55"/>
      <c r="AM227" s="55"/>
      <c r="AN227" s="55">
        <f t="shared" si="66"/>
        <v>220.12619179763215</v>
      </c>
      <c r="AO227" s="55">
        <f t="shared" si="67"/>
        <v>14.83665028898478</v>
      </c>
      <c r="AP227" s="55">
        <f t="shared" si="68"/>
        <v>0.17119767269070027</v>
      </c>
      <c r="AQ227" s="55"/>
      <c r="AR227" s="55"/>
      <c r="AS227" s="55"/>
      <c r="AT227" s="55"/>
      <c r="AU227" s="30"/>
      <c r="AV227" s="30"/>
      <c r="AW227" s="2"/>
      <c r="AX227" s="2"/>
    </row>
    <row r="228" spans="1:50" x14ac:dyDescent="0.2">
      <c r="A228" s="2"/>
      <c r="B228" s="61">
        <f t="shared" si="56"/>
        <v>41819</v>
      </c>
      <c r="C228" s="62">
        <f t="shared" si="57"/>
        <v>180</v>
      </c>
      <c r="D228" s="63">
        <f t="shared" si="58"/>
        <v>7.0417951821004605</v>
      </c>
      <c r="G228" s="357" t="str">
        <f>IF(MakeSchedule!C195="","",MakeSchedule!C195)</f>
        <v/>
      </c>
      <c r="H228" s="358"/>
      <c r="I228" s="358"/>
      <c r="J228" s="359" t="str">
        <f>IF(MakeSchedule!B195="","",MakeSchedule!B195)</f>
        <v/>
      </c>
      <c r="K228" s="63">
        <f t="shared" si="49"/>
        <v>7.0417951821004605</v>
      </c>
      <c r="L228" s="63">
        <f t="shared" si="59"/>
        <v>7.0417951821004605</v>
      </c>
      <c r="M228" s="63">
        <f t="shared" si="60"/>
        <v>31.361249661486106</v>
      </c>
      <c r="N228" s="63" t="str">
        <f t="shared" si="50"/>
        <v/>
      </c>
      <c r="O228" s="64">
        <f t="shared" si="61"/>
        <v>0.17092096738983309</v>
      </c>
      <c r="P228" s="63">
        <f t="shared" si="62"/>
        <v>1.1473799126637518</v>
      </c>
      <c r="Q228" s="64">
        <f t="shared" si="51"/>
        <v>1.1473799126637518</v>
      </c>
      <c r="R228" s="63">
        <f t="shared" si="52"/>
        <v>1.1473799126637518</v>
      </c>
      <c r="S228" s="65">
        <f t="shared" si="53"/>
        <v>0.35</v>
      </c>
      <c r="T228" s="65">
        <f t="shared" si="63"/>
        <v>1.2</v>
      </c>
      <c r="U228" s="64">
        <f t="shared" si="64"/>
        <v>1.2</v>
      </c>
      <c r="V228" s="63">
        <f t="shared" si="54"/>
        <v>8.4501542185205523</v>
      </c>
      <c r="W228" s="63" t="str">
        <f t="shared" si="55"/>
        <v/>
      </c>
      <c r="X228" s="63">
        <f t="shared" si="65"/>
        <v>675.17356964159126</v>
      </c>
      <c r="Y228" s="55"/>
      <c r="Z228" s="55"/>
      <c r="AA228" s="55"/>
      <c r="AB228" s="55">
        <f>PMSplint!N229</f>
        <v>7.0417951821004605</v>
      </c>
      <c r="AC228" s="55">
        <f>PMSplint!N229</f>
        <v>7.0417951821004605</v>
      </c>
      <c r="AD228" s="55">
        <f>IF(RnSplint!N229&lt;0,0,RnSplint!N229)</f>
        <v>31.361249661486106</v>
      </c>
      <c r="AE228" s="55">
        <f>IF(RnSplint!N229&lt;0,0,RnSplint!N229)</f>
        <v>31.361249661486106</v>
      </c>
      <c r="AF228" s="30"/>
      <c r="AG228" s="30"/>
      <c r="AH228" s="30"/>
      <c r="AI228" s="55"/>
      <c r="AJ228" s="55"/>
      <c r="AK228" s="55"/>
      <c r="AL228" s="55"/>
      <c r="AM228" s="55"/>
      <c r="AN228" s="55">
        <f t="shared" si="66"/>
        <v>220.83949677090257</v>
      </c>
      <c r="AO228" s="55">
        <f t="shared" si="67"/>
        <v>14.860669459041963</v>
      </c>
      <c r="AP228" s="55">
        <f t="shared" si="68"/>
        <v>0.17092096738983309</v>
      </c>
      <c r="AQ228" s="55"/>
      <c r="AR228" s="55"/>
      <c r="AS228" s="55"/>
      <c r="AT228" s="55"/>
      <c r="AU228" s="30"/>
      <c r="AV228" s="30"/>
      <c r="AW228" s="2"/>
      <c r="AX228" s="2"/>
    </row>
    <row r="229" spans="1:50" x14ac:dyDescent="0.2">
      <c r="A229" s="2"/>
      <c r="B229" s="61">
        <f t="shared" si="56"/>
        <v>41820</v>
      </c>
      <c r="C229" s="62">
        <f t="shared" si="57"/>
        <v>181</v>
      </c>
      <c r="D229" s="63">
        <f t="shared" si="58"/>
        <v>7.0546447929295608</v>
      </c>
      <c r="G229" s="357" t="str">
        <f>IF(MakeSchedule!C196="","",MakeSchedule!C196)</f>
        <v/>
      </c>
      <c r="H229" s="358"/>
      <c r="I229" s="358"/>
      <c r="J229" s="359" t="str">
        <f>IF(MakeSchedule!B196="","",MakeSchedule!B196)</f>
        <v/>
      </c>
      <c r="K229" s="63">
        <f t="shared" si="49"/>
        <v>7.0546447929295608</v>
      </c>
      <c r="L229" s="63">
        <f t="shared" si="59"/>
        <v>7.0546447929295608</v>
      </c>
      <c r="M229" s="63">
        <f t="shared" si="60"/>
        <v>31.389429355089455</v>
      </c>
      <c r="N229" s="63" t="str">
        <f t="shared" si="50"/>
        <v/>
      </c>
      <c r="O229" s="64">
        <f t="shared" si="61"/>
        <v>0.17068856631369614</v>
      </c>
      <c r="P229" s="63">
        <f t="shared" si="62"/>
        <v>1.1473799126637518</v>
      </c>
      <c r="Q229" s="64">
        <f t="shared" si="51"/>
        <v>1.1473799126637518</v>
      </c>
      <c r="R229" s="63">
        <f t="shared" si="52"/>
        <v>1.1473799126637518</v>
      </c>
      <c r="S229" s="65">
        <f t="shared" si="53"/>
        <v>0.35</v>
      </c>
      <c r="T229" s="65">
        <f t="shared" si="63"/>
        <v>1.2</v>
      </c>
      <c r="U229" s="64">
        <f t="shared" si="64"/>
        <v>1.2</v>
      </c>
      <c r="V229" s="63">
        <f t="shared" si="54"/>
        <v>8.465573751515473</v>
      </c>
      <c r="W229" s="63" t="str">
        <f t="shared" si="55"/>
        <v/>
      </c>
      <c r="X229" s="63">
        <f t="shared" si="65"/>
        <v>683.63914339310668</v>
      </c>
      <c r="Y229" s="55"/>
      <c r="Z229" s="55"/>
      <c r="AA229" s="55"/>
      <c r="AB229" s="55">
        <f>PMSplint!N230</f>
        <v>7.0546447929295608</v>
      </c>
      <c r="AC229" s="55">
        <f>PMSplint!N230</f>
        <v>7.0546447929295608</v>
      </c>
      <c r="AD229" s="55">
        <f>IF(RnSplint!N230&lt;0,0,RnSplint!N230)</f>
        <v>31.389429355089455</v>
      </c>
      <c r="AE229" s="55">
        <f>IF(RnSplint!N230&lt;0,0,RnSplint!N230)</f>
        <v>31.389429355089455</v>
      </c>
      <c r="AF229" s="30"/>
      <c r="AG229" s="30"/>
      <c r="AH229" s="30"/>
      <c r="AI229" s="55"/>
      <c r="AJ229" s="55"/>
      <c r="AK229" s="55"/>
      <c r="AL229" s="55"/>
      <c r="AM229" s="55"/>
      <c r="AN229" s="55">
        <f t="shared" si="66"/>
        <v>221.44127435291213</v>
      </c>
      <c r="AO229" s="55">
        <f t="shared" si="67"/>
        <v>14.880903008652133</v>
      </c>
      <c r="AP229" s="55">
        <f t="shared" si="68"/>
        <v>0.17068856631369614</v>
      </c>
      <c r="AQ229" s="55"/>
      <c r="AR229" s="55"/>
      <c r="AS229" s="55"/>
      <c r="AT229" s="55"/>
      <c r="AU229" s="30"/>
      <c r="AV229" s="30"/>
      <c r="AW229" s="2"/>
      <c r="AX229" s="2"/>
    </row>
    <row r="230" spans="1:50" x14ac:dyDescent="0.2">
      <c r="A230" s="2"/>
      <c r="B230" s="61">
        <f t="shared" si="56"/>
        <v>41821</v>
      </c>
      <c r="C230" s="62">
        <f t="shared" si="57"/>
        <v>182</v>
      </c>
      <c r="D230" s="63">
        <f t="shared" si="58"/>
        <v>7.0662586898442612</v>
      </c>
      <c r="G230" s="357" t="str">
        <f>IF(MakeSchedule!C197="","",MakeSchedule!C197)</f>
        <v/>
      </c>
      <c r="H230" s="358"/>
      <c r="I230" s="358"/>
      <c r="J230" s="359" t="str">
        <f>IF(MakeSchedule!B197="","",MakeSchedule!B197)</f>
        <v/>
      </c>
      <c r="K230" s="63">
        <f t="shared" si="49"/>
        <v>7.0662586898442612</v>
      </c>
      <c r="L230" s="63">
        <f t="shared" si="59"/>
        <v>7.0662586898442612</v>
      </c>
      <c r="M230" s="63">
        <f t="shared" si="60"/>
        <v>31.407964567435229</v>
      </c>
      <c r="N230" s="63" t="str">
        <f t="shared" si="50"/>
        <v/>
      </c>
      <c r="O230" s="64">
        <f t="shared" si="61"/>
        <v>0.17049790784217783</v>
      </c>
      <c r="P230" s="63">
        <f t="shared" si="62"/>
        <v>1.1473799126637518</v>
      </c>
      <c r="Q230" s="64">
        <f t="shared" si="51"/>
        <v>1.1473799126637518</v>
      </c>
      <c r="R230" s="63">
        <f t="shared" si="52"/>
        <v>1.1473799126637518</v>
      </c>
      <c r="S230" s="65">
        <f t="shared" si="53"/>
        <v>0.35</v>
      </c>
      <c r="T230" s="65">
        <f t="shared" si="63"/>
        <v>1.2</v>
      </c>
      <c r="U230" s="64">
        <f t="shared" si="64"/>
        <v>1.2</v>
      </c>
      <c r="V230" s="63">
        <f t="shared" si="54"/>
        <v>8.4795104278131124</v>
      </c>
      <c r="W230" s="63" t="str">
        <f t="shared" si="55"/>
        <v/>
      </c>
      <c r="X230" s="63">
        <f t="shared" si="65"/>
        <v>692.1186538209198</v>
      </c>
      <c r="Y230" s="55"/>
      <c r="Z230" s="55"/>
      <c r="AA230" s="55"/>
      <c r="AB230" s="55">
        <f>PMSplint!N231</f>
        <v>7.0662586898442612</v>
      </c>
      <c r="AC230" s="55">
        <f>PMSplint!N231</f>
        <v>7.0662586898442612</v>
      </c>
      <c r="AD230" s="55">
        <f>IF(RnSplint!N231&lt;0,0,RnSplint!N231)</f>
        <v>31.407964567435229</v>
      </c>
      <c r="AE230" s="55">
        <f>IF(RnSplint!N231&lt;0,0,RnSplint!N231)</f>
        <v>31.407964567435229</v>
      </c>
      <c r="AF230" s="30"/>
      <c r="AG230" s="30"/>
      <c r="AH230" s="30"/>
      <c r="AI230" s="55"/>
      <c r="AJ230" s="55"/>
      <c r="AK230" s="55"/>
      <c r="AL230" s="55"/>
      <c r="AM230" s="55"/>
      <c r="AN230" s="55">
        <f t="shared" si="66"/>
        <v>221.93680255495985</v>
      </c>
      <c r="AO230" s="55">
        <f t="shared" si="67"/>
        <v>14.897543507402817</v>
      </c>
      <c r="AP230" s="55">
        <f t="shared" si="68"/>
        <v>0.17049790784217783</v>
      </c>
      <c r="AQ230" s="55"/>
      <c r="AR230" s="55"/>
      <c r="AS230" s="55"/>
      <c r="AT230" s="55"/>
      <c r="AU230" s="30"/>
      <c r="AV230" s="30"/>
      <c r="AW230" s="2"/>
      <c r="AX230" s="2"/>
    </row>
    <row r="231" spans="1:50" x14ac:dyDescent="0.2">
      <c r="A231" s="2"/>
      <c r="B231" s="61">
        <f t="shared" si="56"/>
        <v>41822</v>
      </c>
      <c r="C231" s="62">
        <f t="shared" si="57"/>
        <v>183</v>
      </c>
      <c r="D231" s="63">
        <f t="shared" si="58"/>
        <v>7.0766536496387156</v>
      </c>
      <c r="G231" s="357" t="str">
        <f>IF(MakeSchedule!C198="","",MakeSchedule!C198)</f>
        <v/>
      </c>
      <c r="H231" s="358"/>
      <c r="I231" s="358"/>
      <c r="J231" s="359" t="str">
        <f>IF(MakeSchedule!B198="","",MakeSchedule!B198)</f>
        <v/>
      </c>
      <c r="K231" s="63">
        <f t="shared" si="49"/>
        <v>7.0766536496387156</v>
      </c>
      <c r="L231" s="63">
        <f t="shared" si="59"/>
        <v>7.0766536496387156</v>
      </c>
      <c r="M231" s="63">
        <f t="shared" si="60"/>
        <v>31.417599319952423</v>
      </c>
      <c r="N231" s="63" t="str">
        <f t="shared" si="50"/>
        <v/>
      </c>
      <c r="O231" s="64">
        <f t="shared" si="61"/>
        <v>0.17034651300517686</v>
      </c>
      <c r="P231" s="63">
        <f t="shared" si="62"/>
        <v>1.1473799126637518</v>
      </c>
      <c r="Q231" s="64">
        <f t="shared" si="51"/>
        <v>1.1473799126637518</v>
      </c>
      <c r="R231" s="63">
        <f t="shared" si="52"/>
        <v>1.1473799126637518</v>
      </c>
      <c r="S231" s="65">
        <f t="shared" si="53"/>
        <v>0.35</v>
      </c>
      <c r="T231" s="65">
        <f t="shared" si="63"/>
        <v>1.2</v>
      </c>
      <c r="U231" s="64">
        <f t="shared" si="64"/>
        <v>1.2</v>
      </c>
      <c r="V231" s="63">
        <f t="shared" si="54"/>
        <v>8.4919843795664587</v>
      </c>
      <c r="W231" s="63" t="str">
        <f t="shared" si="55"/>
        <v/>
      </c>
      <c r="X231" s="63">
        <f t="shared" si="65"/>
        <v>700.61063820048628</v>
      </c>
      <c r="Y231" s="55"/>
      <c r="Z231" s="55"/>
      <c r="AA231" s="55"/>
      <c r="AB231" s="55">
        <f>PMSplint!N232</f>
        <v>7.0766536496387156</v>
      </c>
      <c r="AC231" s="55">
        <f>PMSplint!N232</f>
        <v>7.0766536496387156</v>
      </c>
      <c r="AD231" s="55">
        <f>IF(RnSplint!N232&lt;0,0,RnSplint!N232)</f>
        <v>31.417599319952423</v>
      </c>
      <c r="AE231" s="55">
        <f>IF(RnSplint!N232&lt;0,0,RnSplint!N232)</f>
        <v>31.417599319952423</v>
      </c>
      <c r="AF231" s="30"/>
      <c r="AG231" s="30"/>
      <c r="AH231" s="30"/>
      <c r="AI231" s="55"/>
      <c r="AJ231" s="55"/>
      <c r="AK231" s="55"/>
      <c r="AL231" s="55"/>
      <c r="AM231" s="55"/>
      <c r="AN231" s="55">
        <f t="shared" si="66"/>
        <v>222.33146889042814</v>
      </c>
      <c r="AO231" s="55">
        <f t="shared" si="67"/>
        <v>14.910783644410785</v>
      </c>
      <c r="AP231" s="55">
        <f t="shared" si="68"/>
        <v>0.17034651300517686</v>
      </c>
      <c r="AQ231" s="55"/>
      <c r="AR231" s="55"/>
      <c r="AS231" s="55"/>
      <c r="AT231" s="55"/>
      <c r="AU231" s="30"/>
      <c r="AV231" s="30"/>
      <c r="AW231" s="2"/>
      <c r="AX231" s="2"/>
    </row>
    <row r="232" spans="1:50" x14ac:dyDescent="0.2">
      <c r="A232" s="2"/>
      <c r="B232" s="61">
        <f t="shared" si="56"/>
        <v>41823</v>
      </c>
      <c r="C232" s="62">
        <f t="shared" si="57"/>
        <v>184</v>
      </c>
      <c r="D232" s="63">
        <f t="shared" si="58"/>
        <v>7.0858464491070778</v>
      </c>
      <c r="G232" s="357" t="str">
        <f>IF(MakeSchedule!C199="","",MakeSchedule!C199)</f>
        <v/>
      </c>
      <c r="H232" s="358"/>
      <c r="I232" s="358"/>
      <c r="J232" s="359" t="str">
        <f>IF(MakeSchedule!B199="","",MakeSchedule!B199)</f>
        <v/>
      </c>
      <c r="K232" s="63">
        <f t="shared" si="49"/>
        <v>7.0858464491070778</v>
      </c>
      <c r="L232" s="63">
        <f t="shared" si="59"/>
        <v>7.0858464491070778</v>
      </c>
      <c r="M232" s="63">
        <f t="shared" si="60"/>
        <v>31.419077634070042</v>
      </c>
      <c r="N232" s="63" t="str">
        <f t="shared" si="50"/>
        <v/>
      </c>
      <c r="O232" s="64">
        <f t="shared" si="61"/>
        <v>0.1702319729256663</v>
      </c>
      <c r="P232" s="63">
        <f t="shared" si="62"/>
        <v>1.1473799126637518</v>
      </c>
      <c r="Q232" s="64">
        <f t="shared" si="51"/>
        <v>1.1473799126637518</v>
      </c>
      <c r="R232" s="63">
        <f t="shared" si="52"/>
        <v>1.1473799126637518</v>
      </c>
      <c r="S232" s="65">
        <f t="shared" si="53"/>
        <v>0.35</v>
      </c>
      <c r="T232" s="65">
        <f t="shared" si="63"/>
        <v>1.2</v>
      </c>
      <c r="U232" s="64">
        <f t="shared" si="64"/>
        <v>1.2</v>
      </c>
      <c r="V232" s="63">
        <f t="shared" si="54"/>
        <v>8.5030157389284931</v>
      </c>
      <c r="W232" s="63" t="str">
        <f t="shared" si="55"/>
        <v/>
      </c>
      <c r="X232" s="63">
        <f t="shared" si="65"/>
        <v>709.1136539394148</v>
      </c>
      <c r="Y232" s="55"/>
      <c r="Z232" s="55"/>
      <c r="AA232" s="55"/>
      <c r="AB232" s="55">
        <f>PMSplint!N233</f>
        <v>7.0858464491070778</v>
      </c>
      <c r="AC232" s="55">
        <f>PMSplint!N233</f>
        <v>7.0858464491070778</v>
      </c>
      <c r="AD232" s="55">
        <f>IF(RnSplint!N233&lt;0,0,RnSplint!N233)</f>
        <v>31.419077634070042</v>
      </c>
      <c r="AE232" s="55">
        <f>IF(RnSplint!N233&lt;0,0,RnSplint!N233)</f>
        <v>31.419077634070042</v>
      </c>
      <c r="AF232" s="30"/>
      <c r="AG232" s="30"/>
      <c r="AH232" s="30"/>
      <c r="AI232" s="55"/>
      <c r="AJ232" s="55"/>
      <c r="AK232" s="55"/>
      <c r="AL232" s="55"/>
      <c r="AM232" s="55"/>
      <c r="AN232" s="55">
        <f t="shared" si="66"/>
        <v>222.63075968759483</v>
      </c>
      <c r="AO232" s="55">
        <f t="shared" si="67"/>
        <v>14.920816321086283</v>
      </c>
      <c r="AP232" s="55">
        <f t="shared" si="68"/>
        <v>0.1702319729256663</v>
      </c>
      <c r="AQ232" s="55"/>
      <c r="AR232" s="55"/>
      <c r="AS232" s="55"/>
      <c r="AT232" s="55"/>
      <c r="AU232" s="30"/>
      <c r="AV232" s="30"/>
      <c r="AW232" s="2"/>
      <c r="AX232" s="2"/>
    </row>
    <row r="233" spans="1:50" x14ac:dyDescent="0.2">
      <c r="A233" s="2"/>
      <c r="B233" s="61">
        <f t="shared" si="56"/>
        <v>41824</v>
      </c>
      <c r="C233" s="62">
        <f t="shared" si="57"/>
        <v>185</v>
      </c>
      <c r="D233" s="63">
        <f t="shared" si="58"/>
        <v>7.0938538650435019</v>
      </c>
      <c r="G233" s="357" t="str">
        <f>IF(MakeSchedule!C200="","",MakeSchedule!C200)</f>
        <v/>
      </c>
      <c r="H233" s="358"/>
      <c r="I233" s="358"/>
      <c r="J233" s="359" t="str">
        <f>IF(MakeSchedule!B200="","",MakeSchedule!B200)</f>
        <v/>
      </c>
      <c r="K233" s="63">
        <f t="shared" si="49"/>
        <v>7.0938538650435019</v>
      </c>
      <c r="L233" s="63">
        <f t="shared" si="59"/>
        <v>7.0938538650435019</v>
      </c>
      <c r="M233" s="63">
        <f t="shared" si="60"/>
        <v>31.413143531217084</v>
      </c>
      <c r="N233" s="63" t="str">
        <f t="shared" si="50"/>
        <v/>
      </c>
      <c r="O233" s="64">
        <f t="shared" si="61"/>
        <v>0.17015193739503084</v>
      </c>
      <c r="P233" s="63">
        <f t="shared" si="62"/>
        <v>1.1473799126637518</v>
      </c>
      <c r="Q233" s="64">
        <f t="shared" si="51"/>
        <v>1.1473799126637518</v>
      </c>
      <c r="R233" s="63">
        <f t="shared" si="52"/>
        <v>1.1473799126637518</v>
      </c>
      <c r="S233" s="65">
        <f t="shared" si="53"/>
        <v>0.35</v>
      </c>
      <c r="T233" s="65">
        <f t="shared" si="63"/>
        <v>1.2</v>
      </c>
      <c r="U233" s="64">
        <f t="shared" si="64"/>
        <v>1.2</v>
      </c>
      <c r="V233" s="63">
        <f t="shared" si="54"/>
        <v>8.5126246380522019</v>
      </c>
      <c r="W233" s="63" t="str">
        <f t="shared" si="55"/>
        <v/>
      </c>
      <c r="X233" s="63">
        <f t="shared" si="65"/>
        <v>717.62627857746702</v>
      </c>
      <c r="Y233" s="55"/>
      <c r="Z233" s="55"/>
      <c r="AA233" s="55"/>
      <c r="AB233" s="55">
        <f>PMSplint!N234</f>
        <v>7.0938538650435019</v>
      </c>
      <c r="AC233" s="55">
        <f>PMSplint!N234</f>
        <v>7.0938538650435019</v>
      </c>
      <c r="AD233" s="55">
        <f>IF(RnSplint!N234&lt;0,0,RnSplint!N234)</f>
        <v>31.413143531217084</v>
      </c>
      <c r="AE233" s="55">
        <f>IF(RnSplint!N234&lt;0,0,RnSplint!N234)</f>
        <v>31.413143531217084</v>
      </c>
      <c r="AF233" s="30"/>
      <c r="AG233" s="30"/>
      <c r="AH233" s="30"/>
      <c r="AI233" s="55"/>
      <c r="AJ233" s="55"/>
      <c r="AK233" s="55"/>
      <c r="AL233" s="55"/>
      <c r="AM233" s="55"/>
      <c r="AN233" s="55">
        <f t="shared" si="66"/>
        <v>222.84024965209059</v>
      </c>
      <c r="AO233" s="55">
        <f t="shared" si="67"/>
        <v>14.92783472751794</v>
      </c>
      <c r="AP233" s="55">
        <f t="shared" si="68"/>
        <v>0.17015193739503084</v>
      </c>
      <c r="AQ233" s="55"/>
      <c r="AR233" s="55"/>
      <c r="AS233" s="55"/>
      <c r="AT233" s="55"/>
      <c r="AU233" s="30"/>
      <c r="AV233" s="30"/>
      <c r="AW233" s="2"/>
      <c r="AX233" s="2"/>
    </row>
    <row r="234" spans="1:50" x14ac:dyDescent="0.2">
      <c r="A234" s="2"/>
      <c r="B234" s="61">
        <f t="shared" si="56"/>
        <v>41825</v>
      </c>
      <c r="C234" s="62">
        <f t="shared" si="57"/>
        <v>186</v>
      </c>
      <c r="D234" s="63">
        <f t="shared" si="58"/>
        <v>7.1006926742421435</v>
      </c>
      <c r="G234" s="357" t="str">
        <f>IF(MakeSchedule!C201="","",MakeSchedule!C201)</f>
        <v/>
      </c>
      <c r="H234" s="358"/>
      <c r="I234" s="358"/>
      <c r="J234" s="359" t="str">
        <f>IF(MakeSchedule!B201="","",MakeSchedule!B201)</f>
        <v/>
      </c>
      <c r="K234" s="63">
        <f t="shared" si="49"/>
        <v>7.1006926742421435</v>
      </c>
      <c r="L234" s="63">
        <f t="shared" si="59"/>
        <v>7.1006926742421435</v>
      </c>
      <c r="M234" s="63">
        <f t="shared" si="60"/>
        <v>31.400541032822542</v>
      </c>
      <c r="N234" s="63" t="str">
        <f t="shared" si="50"/>
        <v/>
      </c>
      <c r="O234" s="64">
        <f t="shared" si="61"/>
        <v>0.17010410448342783</v>
      </c>
      <c r="P234" s="63">
        <f t="shared" si="62"/>
        <v>1.1473799126637518</v>
      </c>
      <c r="Q234" s="64">
        <f t="shared" si="51"/>
        <v>1.1473799126637518</v>
      </c>
      <c r="R234" s="63">
        <f t="shared" si="52"/>
        <v>1.1473799126637518</v>
      </c>
      <c r="S234" s="65">
        <f t="shared" si="53"/>
        <v>0.35</v>
      </c>
      <c r="T234" s="65">
        <f t="shared" si="63"/>
        <v>1.2</v>
      </c>
      <c r="U234" s="64">
        <f t="shared" si="64"/>
        <v>1.2</v>
      </c>
      <c r="V234" s="63">
        <f t="shared" si="54"/>
        <v>8.5208312090905718</v>
      </c>
      <c r="W234" s="63" t="str">
        <f t="shared" si="55"/>
        <v/>
      </c>
      <c r="X234" s="63">
        <f t="shared" si="65"/>
        <v>726.14710978655762</v>
      </c>
      <c r="Y234" s="55"/>
      <c r="Z234" s="55"/>
      <c r="AA234" s="55"/>
      <c r="AB234" s="55">
        <f>PMSplint!N235</f>
        <v>7.1006926742421435</v>
      </c>
      <c r="AC234" s="55">
        <f>PMSplint!N235</f>
        <v>7.1006926742421435</v>
      </c>
      <c r="AD234" s="55">
        <f>IF(RnSplint!N235&lt;0,0,RnSplint!N235)</f>
        <v>31.400541032822542</v>
      </c>
      <c r="AE234" s="55">
        <f>IF(RnSplint!N235&lt;0,0,RnSplint!N235)</f>
        <v>31.400541032822542</v>
      </c>
      <c r="AF234" s="30"/>
      <c r="AG234" s="30"/>
      <c r="AH234" s="30"/>
      <c r="AI234" s="55"/>
      <c r="AJ234" s="55"/>
      <c r="AK234" s="55"/>
      <c r="AL234" s="55"/>
      <c r="AM234" s="55"/>
      <c r="AN234" s="55">
        <f t="shared" si="66"/>
        <v>222.96559167900284</v>
      </c>
      <c r="AO234" s="55">
        <f t="shared" si="67"/>
        <v>14.932032402824568</v>
      </c>
      <c r="AP234" s="55">
        <f t="shared" si="68"/>
        <v>0.17010410448342783</v>
      </c>
      <c r="AQ234" s="55"/>
      <c r="AR234" s="55"/>
      <c r="AS234" s="55"/>
      <c r="AT234" s="55"/>
      <c r="AU234" s="30"/>
      <c r="AV234" s="30"/>
      <c r="AW234" s="2"/>
      <c r="AX234" s="2"/>
    </row>
    <row r="235" spans="1:50" x14ac:dyDescent="0.2">
      <c r="A235" s="2"/>
      <c r="B235" s="61">
        <f t="shared" si="56"/>
        <v>41826</v>
      </c>
      <c r="C235" s="62">
        <f t="shared" si="57"/>
        <v>187</v>
      </c>
      <c r="D235" s="63">
        <f t="shared" si="58"/>
        <v>7.1063796534971519</v>
      </c>
      <c r="G235" s="357" t="str">
        <f>IF(MakeSchedule!C202="","",MakeSchedule!C202)</f>
        <v/>
      </c>
      <c r="H235" s="358"/>
      <c r="I235" s="358"/>
      <c r="J235" s="359" t="str">
        <f>IF(MakeSchedule!B202="","",MakeSchedule!B202)</f>
        <v/>
      </c>
      <c r="K235" s="63">
        <f t="shared" si="49"/>
        <v>7.1063796534971519</v>
      </c>
      <c r="L235" s="63">
        <f t="shared" si="59"/>
        <v>7.1063796534971519</v>
      </c>
      <c r="M235" s="63">
        <f t="shared" si="60"/>
        <v>31.382014160315421</v>
      </c>
      <c r="N235" s="63" t="str">
        <f t="shared" si="50"/>
        <v/>
      </c>
      <c r="O235" s="64">
        <f t="shared" si="61"/>
        <v>0.17008621110603242</v>
      </c>
      <c r="P235" s="63">
        <f t="shared" si="62"/>
        <v>1.1473799126637518</v>
      </c>
      <c r="Q235" s="64">
        <f t="shared" si="51"/>
        <v>1.1473799126637518</v>
      </c>
      <c r="R235" s="63">
        <f t="shared" si="52"/>
        <v>1.1473799126637518</v>
      </c>
      <c r="S235" s="65">
        <f t="shared" si="53"/>
        <v>0.35</v>
      </c>
      <c r="T235" s="65">
        <f t="shared" si="63"/>
        <v>1.2</v>
      </c>
      <c r="U235" s="64">
        <f t="shared" si="64"/>
        <v>1.2</v>
      </c>
      <c r="V235" s="63">
        <f t="shared" si="54"/>
        <v>8.527655584196582</v>
      </c>
      <c r="W235" s="63" t="str">
        <f t="shared" si="55"/>
        <v/>
      </c>
      <c r="X235" s="63">
        <f t="shared" si="65"/>
        <v>734.67476537075424</v>
      </c>
      <c r="Y235" s="55"/>
      <c r="Z235" s="55"/>
      <c r="AA235" s="55"/>
      <c r="AB235" s="55">
        <f>PMSplint!N236</f>
        <v>7.1063796534971519</v>
      </c>
      <c r="AC235" s="55">
        <f>PMSplint!N236</f>
        <v>7.1063796534971519</v>
      </c>
      <c r="AD235" s="55">
        <f>IF(RnSplint!N236&lt;0,0,RnSplint!N236)</f>
        <v>31.382014160315421</v>
      </c>
      <c r="AE235" s="55">
        <f>IF(RnSplint!N236&lt;0,0,RnSplint!N236)</f>
        <v>31.382014160315421</v>
      </c>
      <c r="AF235" s="30"/>
      <c r="AG235" s="30"/>
      <c r="AH235" s="30"/>
      <c r="AI235" s="55"/>
      <c r="AJ235" s="55"/>
      <c r="AK235" s="55"/>
      <c r="AL235" s="55"/>
      <c r="AM235" s="55"/>
      <c r="AN235" s="55">
        <f t="shared" si="66"/>
        <v>223.01250691462502</v>
      </c>
      <c r="AO235" s="55">
        <f t="shared" si="67"/>
        <v>14.933603279671823</v>
      </c>
      <c r="AP235" s="55">
        <f t="shared" si="68"/>
        <v>0.17008621110603242</v>
      </c>
      <c r="AQ235" s="55"/>
      <c r="AR235" s="55"/>
      <c r="AS235" s="55"/>
      <c r="AT235" s="55"/>
      <c r="AU235" s="30"/>
      <c r="AV235" s="30"/>
      <c r="AW235" s="2"/>
      <c r="AX235" s="2"/>
    </row>
    <row r="236" spans="1:50" x14ac:dyDescent="0.2">
      <c r="A236" s="2"/>
      <c r="B236" s="61">
        <f t="shared" si="56"/>
        <v>41827</v>
      </c>
      <c r="C236" s="62">
        <f t="shared" si="57"/>
        <v>188</v>
      </c>
      <c r="D236" s="63">
        <f t="shared" si="58"/>
        <v>7.1109315796026875</v>
      </c>
      <c r="G236" s="357" t="str">
        <f>IF(MakeSchedule!C203="","",MakeSchedule!C203)</f>
        <v/>
      </c>
      <c r="H236" s="358"/>
      <c r="I236" s="358"/>
      <c r="J236" s="359" t="str">
        <f>IF(MakeSchedule!B203="","",MakeSchedule!B203)</f>
        <v/>
      </c>
      <c r="K236" s="63">
        <f t="shared" si="49"/>
        <v>7.1109315796026875</v>
      </c>
      <c r="L236" s="63">
        <f t="shared" si="59"/>
        <v>7.1109315796026875</v>
      </c>
      <c r="M236" s="63">
        <f t="shared" si="60"/>
        <v>31.358306935124713</v>
      </c>
      <c r="N236" s="63" t="str">
        <f t="shared" si="50"/>
        <v/>
      </c>
      <c r="O236" s="64">
        <f t="shared" si="61"/>
        <v>0.17009602448188513</v>
      </c>
      <c r="P236" s="63">
        <f t="shared" si="62"/>
        <v>1.1473799126637518</v>
      </c>
      <c r="Q236" s="64">
        <f t="shared" si="51"/>
        <v>1.1473799126637518</v>
      </c>
      <c r="R236" s="63">
        <f t="shared" si="52"/>
        <v>1.1473799126637518</v>
      </c>
      <c r="S236" s="65">
        <f t="shared" si="53"/>
        <v>0.35</v>
      </c>
      <c r="T236" s="65">
        <f t="shared" si="63"/>
        <v>1.2</v>
      </c>
      <c r="U236" s="64">
        <f t="shared" si="64"/>
        <v>1.2</v>
      </c>
      <c r="V236" s="63">
        <f t="shared" si="54"/>
        <v>8.5331178955232243</v>
      </c>
      <c r="W236" s="63" t="str">
        <f t="shared" si="55"/>
        <v/>
      </c>
      <c r="X236" s="63">
        <f t="shared" si="65"/>
        <v>743.20788326627746</v>
      </c>
      <c r="Y236" s="55"/>
      <c r="Z236" s="55"/>
      <c r="AA236" s="55"/>
      <c r="AB236" s="55">
        <f>PMSplint!N237</f>
        <v>7.1109315796026875</v>
      </c>
      <c r="AC236" s="55">
        <f>PMSplint!N237</f>
        <v>7.1109315796026875</v>
      </c>
      <c r="AD236" s="55">
        <f>IF(RnSplint!N237&lt;0,0,RnSplint!N237)</f>
        <v>31.358306935124713</v>
      </c>
      <c r="AE236" s="55">
        <f>IF(RnSplint!N237&lt;0,0,RnSplint!N237)</f>
        <v>31.358306935124713</v>
      </c>
      <c r="AF236" s="30"/>
      <c r="AG236" s="30"/>
      <c r="AH236" s="30"/>
      <c r="AI236" s="55"/>
      <c r="AJ236" s="55"/>
      <c r="AK236" s="55"/>
      <c r="AL236" s="55"/>
      <c r="AM236" s="55"/>
      <c r="AN236" s="55">
        <f t="shared" si="66"/>
        <v>222.98677506785228</v>
      </c>
      <c r="AO236" s="55">
        <f t="shared" si="67"/>
        <v>14.932741713022839</v>
      </c>
      <c r="AP236" s="55">
        <f t="shared" si="68"/>
        <v>0.17009602448188513</v>
      </c>
      <c r="AQ236" s="55"/>
      <c r="AR236" s="55"/>
      <c r="AS236" s="55"/>
      <c r="AT236" s="55"/>
      <c r="AU236" s="30"/>
      <c r="AV236" s="30"/>
      <c r="AW236" s="2"/>
      <c r="AX236" s="2"/>
    </row>
    <row r="237" spans="1:50" x14ac:dyDescent="0.2">
      <c r="A237" s="2"/>
      <c r="B237" s="61">
        <f t="shared" si="56"/>
        <v>41828</v>
      </c>
      <c r="C237" s="62">
        <f t="shared" si="57"/>
        <v>189</v>
      </c>
      <c r="D237" s="63">
        <f t="shared" si="58"/>
        <v>7.1143652293528987</v>
      </c>
      <c r="G237" s="357" t="str">
        <f>IF(MakeSchedule!C204="","",MakeSchedule!C204)</f>
        <v/>
      </c>
      <c r="H237" s="358"/>
      <c r="I237" s="358"/>
      <c r="J237" s="359" t="str">
        <f>IF(MakeSchedule!B204="","",MakeSchedule!B204)</f>
        <v/>
      </c>
      <c r="K237" s="63">
        <f t="shared" si="49"/>
        <v>7.1143652293528987</v>
      </c>
      <c r="L237" s="63">
        <f t="shared" si="59"/>
        <v>7.1143652293528987</v>
      </c>
      <c r="M237" s="63">
        <f t="shared" si="60"/>
        <v>31.330163378679416</v>
      </c>
      <c r="N237" s="63" t="str">
        <f t="shared" si="50"/>
        <v/>
      </c>
      <c r="O237" s="64">
        <f t="shared" si="61"/>
        <v>0.17013133443597644</v>
      </c>
      <c r="P237" s="63">
        <f t="shared" si="62"/>
        <v>1.1473799126637518</v>
      </c>
      <c r="Q237" s="64">
        <f t="shared" si="51"/>
        <v>1.1473799126637518</v>
      </c>
      <c r="R237" s="63">
        <f t="shared" si="52"/>
        <v>1.1473799126637518</v>
      </c>
      <c r="S237" s="65">
        <f t="shared" si="53"/>
        <v>0.35</v>
      </c>
      <c r="T237" s="65">
        <f t="shared" si="63"/>
        <v>1.2</v>
      </c>
      <c r="U237" s="64">
        <f t="shared" si="64"/>
        <v>1.2</v>
      </c>
      <c r="V237" s="63">
        <f t="shared" si="54"/>
        <v>8.5372382752234781</v>
      </c>
      <c r="W237" s="63" t="str">
        <f t="shared" si="55"/>
        <v/>
      </c>
      <c r="X237" s="63">
        <f t="shared" si="65"/>
        <v>751.74512154150091</v>
      </c>
      <c r="Y237" s="55"/>
      <c r="Z237" s="55"/>
      <c r="AA237" s="55"/>
      <c r="AB237" s="55">
        <f>PMSplint!N238</f>
        <v>7.1143652293528987</v>
      </c>
      <c r="AC237" s="55">
        <f>PMSplint!N238</f>
        <v>7.1143652293528987</v>
      </c>
      <c r="AD237" s="55">
        <f>IF(RnSplint!N238&lt;0,0,RnSplint!N238)</f>
        <v>31.330163378679416</v>
      </c>
      <c r="AE237" s="55">
        <f>IF(RnSplint!N238&lt;0,0,RnSplint!N238)</f>
        <v>31.330163378679416</v>
      </c>
      <c r="AF237" s="30"/>
      <c r="AG237" s="30"/>
      <c r="AH237" s="30"/>
      <c r="AI237" s="55"/>
      <c r="AJ237" s="55"/>
      <c r="AK237" s="55"/>
      <c r="AL237" s="55"/>
      <c r="AM237" s="55"/>
      <c r="AN237" s="55">
        <f t="shared" si="66"/>
        <v>222.89422497122237</v>
      </c>
      <c r="AO237" s="55">
        <f t="shared" si="67"/>
        <v>14.929642493081419</v>
      </c>
      <c r="AP237" s="55">
        <f t="shared" si="68"/>
        <v>0.17013133443597644</v>
      </c>
      <c r="AQ237" s="55"/>
      <c r="AR237" s="55"/>
      <c r="AS237" s="55"/>
      <c r="AT237" s="55"/>
      <c r="AU237" s="30"/>
      <c r="AV237" s="30"/>
      <c r="AW237" s="2"/>
      <c r="AX237" s="2"/>
    </row>
    <row r="238" spans="1:50" x14ac:dyDescent="0.2">
      <c r="A238" s="2"/>
      <c r="B238" s="61">
        <f t="shared" si="56"/>
        <v>41829</v>
      </c>
      <c r="C238" s="62">
        <f t="shared" si="57"/>
        <v>190</v>
      </c>
      <c r="D238" s="63">
        <f t="shared" si="58"/>
        <v>7.1166973795419421</v>
      </c>
      <c r="G238" s="357" t="str">
        <f>IF(MakeSchedule!C205="","",MakeSchedule!C205)</f>
        <v/>
      </c>
      <c r="H238" s="358"/>
      <c r="I238" s="358"/>
      <c r="J238" s="359" t="str">
        <f>IF(MakeSchedule!B205="","",MakeSchedule!B205)</f>
        <v/>
      </c>
      <c r="K238" s="63">
        <f t="shared" si="49"/>
        <v>7.1166973795419421</v>
      </c>
      <c r="L238" s="63">
        <f t="shared" si="59"/>
        <v>7.1166973795419421</v>
      </c>
      <c r="M238" s="63">
        <f t="shared" si="60"/>
        <v>31.29832751240853</v>
      </c>
      <c r="N238" s="63" t="str">
        <f t="shared" si="50"/>
        <v/>
      </c>
      <c r="O238" s="64">
        <f t="shared" si="61"/>
        <v>0.17018994650743452</v>
      </c>
      <c r="P238" s="63">
        <f t="shared" si="62"/>
        <v>1.1473799126637518</v>
      </c>
      <c r="Q238" s="64">
        <f t="shared" si="51"/>
        <v>1.1473799126637518</v>
      </c>
      <c r="R238" s="63">
        <f t="shared" si="52"/>
        <v>1.1473799126637518</v>
      </c>
      <c r="S238" s="65">
        <f t="shared" si="53"/>
        <v>0.35</v>
      </c>
      <c r="T238" s="65">
        <f t="shared" si="63"/>
        <v>1.2</v>
      </c>
      <c r="U238" s="64">
        <f t="shared" si="64"/>
        <v>1.2</v>
      </c>
      <c r="V238" s="63">
        <f t="shared" si="54"/>
        <v>8.5400368554503299</v>
      </c>
      <c r="W238" s="63" t="str">
        <f t="shared" si="55"/>
        <v/>
      </c>
      <c r="X238" s="63">
        <f t="shared" si="65"/>
        <v>760.28515839695126</v>
      </c>
      <c r="Y238" s="55"/>
      <c r="Z238" s="55"/>
      <c r="AA238" s="55"/>
      <c r="AB238" s="55">
        <f>PMSplint!N239</f>
        <v>7.1166973795419421</v>
      </c>
      <c r="AC238" s="55">
        <f>PMSplint!N239</f>
        <v>7.1166973795419421</v>
      </c>
      <c r="AD238" s="55">
        <f>IF(RnSplint!N239&lt;0,0,RnSplint!N239)</f>
        <v>31.29832751240853</v>
      </c>
      <c r="AE238" s="55">
        <f>IF(RnSplint!N239&lt;0,0,RnSplint!N239)</f>
        <v>31.29832751240853</v>
      </c>
      <c r="AF238" s="30"/>
      <c r="AG238" s="30"/>
      <c r="AH238" s="30"/>
      <c r="AI238" s="55"/>
      <c r="AJ238" s="55"/>
      <c r="AK238" s="55"/>
      <c r="AL238" s="55"/>
      <c r="AM238" s="55"/>
      <c r="AN238" s="55">
        <f t="shared" si="66"/>
        <v>222.74072539160326</v>
      </c>
      <c r="AO238" s="55">
        <f t="shared" si="67"/>
        <v>14.924500842292959</v>
      </c>
      <c r="AP238" s="55">
        <f t="shared" si="68"/>
        <v>0.17018994650743452</v>
      </c>
      <c r="AQ238" s="55"/>
      <c r="AR238" s="55"/>
      <c r="AS238" s="55"/>
      <c r="AT238" s="55"/>
      <c r="AU238" s="30"/>
      <c r="AV238" s="30"/>
      <c r="AW238" s="2"/>
      <c r="AX238" s="2"/>
    </row>
    <row r="239" spans="1:50" x14ac:dyDescent="0.2">
      <c r="A239" s="2"/>
      <c r="B239" s="61">
        <f t="shared" si="56"/>
        <v>41830</v>
      </c>
      <c r="C239" s="62">
        <f t="shared" si="57"/>
        <v>191</v>
      </c>
      <c r="D239" s="63">
        <f t="shared" si="58"/>
        <v>7.1179448069639726</v>
      </c>
      <c r="G239" s="357" t="str">
        <f>IF(MakeSchedule!C206="","",MakeSchedule!C206)</f>
        <v/>
      </c>
      <c r="H239" s="358"/>
      <c r="I239" s="358"/>
      <c r="J239" s="359">
        <f>IF(MakeSchedule!B206="","",MakeSchedule!B206)</f>
        <v>20</v>
      </c>
      <c r="K239" s="63">
        <f t="shared" si="49"/>
        <v>7.1179448069639726</v>
      </c>
      <c r="L239" s="63">
        <f t="shared" si="59"/>
        <v>7.1179448069639726</v>
      </c>
      <c r="M239" s="63">
        <f t="shared" si="60"/>
        <v>31.26354335774106</v>
      </c>
      <c r="N239" s="63" t="str">
        <f t="shared" si="50"/>
        <v/>
      </c>
      <c r="O239" s="64">
        <f t="shared" si="61"/>
        <v>0.1702696758374056</v>
      </c>
      <c r="P239" s="63">
        <f t="shared" si="62"/>
        <v>1.1473799126637518</v>
      </c>
      <c r="Q239" s="64">
        <f t="shared" si="51"/>
        <v>1.1473799126637518</v>
      </c>
      <c r="R239" s="63">
        <f t="shared" si="52"/>
        <v>1.1473799126637518</v>
      </c>
      <c r="S239" s="65">
        <f t="shared" si="53"/>
        <v>0.35</v>
      </c>
      <c r="T239" s="65">
        <f t="shared" si="63"/>
        <v>1.2</v>
      </c>
      <c r="U239" s="64">
        <f t="shared" si="64"/>
        <v>1.2</v>
      </c>
      <c r="V239" s="63">
        <f t="shared" si="54"/>
        <v>8.541533768356766</v>
      </c>
      <c r="W239" s="63" t="str">
        <f t="shared" si="55"/>
        <v/>
      </c>
      <c r="X239" s="63">
        <f t="shared" si="65"/>
        <v>768.82669216530803</v>
      </c>
      <c r="Y239" s="55"/>
      <c r="Z239" s="55"/>
      <c r="AA239" s="55"/>
      <c r="AB239" s="55">
        <f>PMSplint!N240</f>
        <v>7.1179448069639726</v>
      </c>
      <c r="AC239" s="55">
        <f>PMSplint!N240</f>
        <v>7.1179448069639726</v>
      </c>
      <c r="AD239" s="55">
        <f>IF(RnSplint!N240&lt;0,0,RnSplint!N240)</f>
        <v>31.26354335774106</v>
      </c>
      <c r="AE239" s="55">
        <f>IF(RnSplint!N240&lt;0,0,RnSplint!N240)</f>
        <v>31.26354335774106</v>
      </c>
      <c r="AF239" s="30"/>
      <c r="AG239" s="30"/>
      <c r="AH239" s="30"/>
      <c r="AI239" s="55"/>
      <c r="AJ239" s="55"/>
      <c r="AK239" s="55"/>
      <c r="AL239" s="55"/>
      <c r="AM239" s="55"/>
      <c r="AN239" s="55">
        <f t="shared" si="66"/>
        <v>222.53217609052598</v>
      </c>
      <c r="AO239" s="55">
        <f t="shared" si="67"/>
        <v>14.917512396191464</v>
      </c>
      <c r="AP239" s="55">
        <f t="shared" si="68"/>
        <v>0.1702696758374056</v>
      </c>
      <c r="AQ239" s="55"/>
      <c r="AR239" s="55"/>
      <c r="AS239" s="55"/>
      <c r="AT239" s="55"/>
      <c r="AU239" s="30"/>
      <c r="AV239" s="30"/>
      <c r="AW239" s="2"/>
      <c r="AX239" s="2"/>
    </row>
    <row r="240" spans="1:50" x14ac:dyDescent="0.2">
      <c r="A240" s="2"/>
      <c r="B240" s="61">
        <f t="shared" si="56"/>
        <v>41831</v>
      </c>
      <c r="C240" s="62">
        <f t="shared" si="57"/>
        <v>192</v>
      </c>
      <c r="D240" s="63">
        <f t="shared" si="58"/>
        <v>7.1181242884131413</v>
      </c>
      <c r="G240" s="357" t="str">
        <f>IF(MakeSchedule!C207="","",MakeSchedule!C207)</f>
        <v/>
      </c>
      <c r="H240" s="358"/>
      <c r="I240" s="358"/>
      <c r="J240" s="359" t="str">
        <f>IF(MakeSchedule!B207="","",MakeSchedule!B207)</f>
        <v/>
      </c>
      <c r="K240" s="63">
        <f t="shared" si="49"/>
        <v>7.1181242884131413</v>
      </c>
      <c r="L240" s="63">
        <f t="shared" si="59"/>
        <v>7.1181242884131413</v>
      </c>
      <c r="M240" s="63">
        <f t="shared" si="60"/>
        <v>31.226554936105988</v>
      </c>
      <c r="N240" s="63" t="str">
        <f t="shared" si="50"/>
        <v/>
      </c>
      <c r="O240" s="64">
        <f t="shared" si="61"/>
        <v>0.1703683418195775</v>
      </c>
      <c r="P240" s="63">
        <f t="shared" si="62"/>
        <v>1.1473799126637518</v>
      </c>
      <c r="Q240" s="64">
        <f t="shared" si="51"/>
        <v>1.1473799126637518</v>
      </c>
      <c r="R240" s="63">
        <f t="shared" si="52"/>
        <v>1.1473799126637518</v>
      </c>
      <c r="S240" s="65">
        <f t="shared" si="53"/>
        <v>0.35</v>
      </c>
      <c r="T240" s="65">
        <f t="shared" si="63"/>
        <v>1.2</v>
      </c>
      <c r="U240" s="64">
        <f t="shared" si="64"/>
        <v>1.2</v>
      </c>
      <c r="V240" s="63">
        <f t="shared" si="54"/>
        <v>8.5417491460957695</v>
      </c>
      <c r="W240" s="63" t="str">
        <f t="shared" si="55"/>
        <v/>
      </c>
      <c r="X240" s="63">
        <f t="shared" si="65"/>
        <v>777.36844131140379</v>
      </c>
      <c r="Y240" s="55"/>
      <c r="Z240" s="55"/>
      <c r="AA240" s="55"/>
      <c r="AB240" s="55">
        <f>PMSplint!N241</f>
        <v>7.1181242884131413</v>
      </c>
      <c r="AC240" s="55">
        <f>PMSplint!N241</f>
        <v>7.1181242884131413</v>
      </c>
      <c r="AD240" s="55">
        <f>IF(RnSplint!N241&lt;0,0,RnSplint!N241)</f>
        <v>31.226554936105988</v>
      </c>
      <c r="AE240" s="55">
        <f>IF(RnSplint!N241&lt;0,0,RnSplint!N241)</f>
        <v>31.226554936105988</v>
      </c>
      <c r="AF240" s="30"/>
      <c r="AG240" s="30"/>
      <c r="AH240" s="30"/>
      <c r="AI240" s="55"/>
      <c r="AJ240" s="55"/>
      <c r="AK240" s="55"/>
      <c r="AL240" s="55"/>
      <c r="AM240" s="55"/>
      <c r="AN240" s="55">
        <f t="shared" si="66"/>
        <v>222.27449913416331</v>
      </c>
      <c r="AO240" s="55">
        <f t="shared" si="67"/>
        <v>14.908873167820676</v>
      </c>
      <c r="AP240" s="55">
        <f t="shared" si="68"/>
        <v>0.1703683418195775</v>
      </c>
      <c r="AQ240" s="55"/>
      <c r="AR240" s="55"/>
      <c r="AS240" s="55"/>
      <c r="AT240" s="55"/>
      <c r="AU240" s="30"/>
      <c r="AV240" s="30"/>
      <c r="AW240" s="2"/>
      <c r="AX240" s="2"/>
    </row>
    <row r="241" spans="1:50" x14ac:dyDescent="0.2">
      <c r="A241" s="2"/>
      <c r="B241" s="61">
        <f t="shared" si="56"/>
        <v>41832</v>
      </c>
      <c r="C241" s="62">
        <f t="shared" si="57"/>
        <v>193</v>
      </c>
      <c r="D241" s="63">
        <f t="shared" si="58"/>
        <v>7.1172526006836039</v>
      </c>
      <c r="G241" s="357" t="str">
        <f>IF(MakeSchedule!C208="","",MakeSchedule!C208)</f>
        <v/>
      </c>
      <c r="H241" s="358"/>
      <c r="I241" s="358"/>
      <c r="J241" s="359" t="str">
        <f>IF(MakeSchedule!B208="","",MakeSchedule!B208)</f>
        <v/>
      </c>
      <c r="K241" s="63">
        <f t="shared" ref="K241:K304" si="69">IF(G241&lt;&gt;"",G241,IF(D241="","",D241))</f>
        <v>7.1172526006836039</v>
      </c>
      <c r="L241" s="63">
        <f t="shared" si="59"/>
        <v>7.1172526006836039</v>
      </c>
      <c r="M241" s="63">
        <f t="shared" si="60"/>
        <v>31.188106268932327</v>
      </c>
      <c r="N241" s="63" t="str">
        <f t="shared" ref="N241:N304" si="70">IF(C241=$E$7,O241,"")</f>
        <v/>
      </c>
      <c r="O241" s="64">
        <f t="shared" si="61"/>
        <v>0.17048376350438071</v>
      </c>
      <c r="P241" s="63">
        <f t="shared" si="62"/>
        <v>1.1473799126637518</v>
      </c>
      <c r="Q241" s="64">
        <f t="shared" ref="Q241:Q304" si="71">IF(AND(C$49:C$625&lt;F$7,$U$44&gt;2),#N/A,IF(P241="",#N/A,P241))</f>
        <v>1.1473799126637518</v>
      </c>
      <c r="R241" s="63">
        <f t="shared" ref="R241:R304" si="72">IF(OR(P241="",O241&gt;P241),O241,P241)</f>
        <v>1.1473799126637518</v>
      </c>
      <c r="S241" s="65">
        <f t="shared" ref="S241:S304" si="73">IF(OR(AND(C$49:C$625&gt;=U$6,C$49:C$625&lt;=U$7),AND(C$49:C$625&gt;=U$9,C$49:C$625&lt;=U$10)),0.35,0)</f>
        <v>0.35</v>
      </c>
      <c r="T241" s="65">
        <f t="shared" si="63"/>
        <v>1.2</v>
      </c>
      <c r="U241" s="64">
        <f t="shared" si="64"/>
        <v>1.2</v>
      </c>
      <c r="V241" s="63">
        <f t="shared" ref="V241:V304" si="74">IF(L241="","",L241*T241)</f>
        <v>8.540703120820325</v>
      </c>
      <c r="W241" s="63" t="str">
        <f t="shared" ref="W241:W304" si="75">IF(AND(B$49:B$625&gt;=E$6,B$49:B$625&lt;=E$7),L241,"")</f>
        <v/>
      </c>
      <c r="X241" s="63">
        <f t="shared" si="65"/>
        <v>785.90914443222414</v>
      </c>
      <c r="Y241" s="55"/>
      <c r="Z241" s="55"/>
      <c r="AA241" s="55"/>
      <c r="AB241" s="55">
        <f>PMSplint!N242</f>
        <v>7.1172526006836039</v>
      </c>
      <c r="AC241" s="55">
        <f>PMSplint!N242</f>
        <v>7.1172526006836039</v>
      </c>
      <c r="AD241" s="55">
        <f>IF(RnSplint!N242&lt;0,0,RnSplint!N242)</f>
        <v>31.188106268932327</v>
      </c>
      <c r="AE241" s="55">
        <f>IF(RnSplint!N242&lt;0,0,RnSplint!N242)</f>
        <v>31.188106268932327</v>
      </c>
      <c r="AF241" s="30"/>
      <c r="AG241" s="30"/>
      <c r="AH241" s="30"/>
      <c r="AI241" s="55"/>
      <c r="AJ241" s="55"/>
      <c r="AK241" s="55"/>
      <c r="AL241" s="55"/>
      <c r="AM241" s="55"/>
      <c r="AN241" s="55">
        <f t="shared" si="66"/>
        <v>221.97363045295521</v>
      </c>
      <c r="AO241" s="55">
        <f t="shared" si="67"/>
        <v>14.89877949541355</v>
      </c>
      <c r="AP241" s="55">
        <f t="shared" si="68"/>
        <v>0.17048376350438071</v>
      </c>
      <c r="AQ241" s="55"/>
      <c r="AR241" s="55"/>
      <c r="AS241" s="55"/>
      <c r="AT241" s="55"/>
      <c r="AU241" s="30"/>
      <c r="AV241" s="30"/>
      <c r="AW241" s="2"/>
      <c r="AX241" s="2"/>
    </row>
    <row r="242" spans="1:50" x14ac:dyDescent="0.2">
      <c r="A242" s="2"/>
      <c r="B242" s="61">
        <f t="shared" ref="B242:B305" si="76">B241+1</f>
        <v>41833</v>
      </c>
      <c r="C242" s="62">
        <f t="shared" ref="C242:C305" si="77">IF(B241=DATE(D$4,12,31),1,C241+1)</f>
        <v>194</v>
      </c>
      <c r="D242" s="63">
        <f t="shared" ref="D242:D305" si="78">IF($B$46=0,IF(ISERROR($AB242),"",$AB242),IF(ISERROR($AC242),"",$AC242))</f>
        <v>7.1153465205695134</v>
      </c>
      <c r="G242" s="357" t="str">
        <f>IF(MakeSchedule!C209="","",MakeSchedule!C209)</f>
        <v/>
      </c>
      <c r="H242" s="358"/>
      <c r="I242" s="358"/>
      <c r="J242" s="359" t="str">
        <f>IF(MakeSchedule!B209="","",MakeSchedule!B209)</f>
        <v/>
      </c>
      <c r="K242" s="63">
        <f t="shared" si="69"/>
        <v>7.1153465205695134</v>
      </c>
      <c r="L242" s="63">
        <f t="shared" ref="L242:L305" si="79">IF($G242&lt;&gt;"",$G242,IF($D242="","",$D242))</f>
        <v>7.1153465205695134</v>
      </c>
      <c r="M242" s="63">
        <f t="shared" ref="M242:M305" si="80">IF(F$3=365,AD242,AE242)</f>
        <v>31.148941377649063</v>
      </c>
      <c r="N242" s="63" t="str">
        <f t="shared" si="70"/>
        <v/>
      </c>
      <c r="O242" s="64">
        <f t="shared" ref="O242:O305" si="81">AP242</f>
        <v>0.17061375575477317</v>
      </c>
      <c r="P242" s="63">
        <f t="shared" ref="P242:P305" si="82">IF(B$49:B$625&lt;E$6,"",IF(AND(B$49:B$625&lt;=E$7,B$49:B$625&gt;=E$6),G$7,IF(AND(B$49:B$625&lt;=E$8,B$49:B$625&gt;E$7),P241+H$8,IF(AND(B$49:B$625&lt;=E$9,B$49:B$625&gt;E$8),P241+H$9,IF(AND(B$49:B$625&lt;=E$10,B$49:B$625&gt;E$9),P241+H$10,"")))))</f>
        <v>1.1473799126637518</v>
      </c>
      <c r="Q242" s="64">
        <f t="shared" si="71"/>
        <v>1.1473799126637518</v>
      </c>
      <c r="R242" s="63">
        <f t="shared" si="72"/>
        <v>1.1473799126637518</v>
      </c>
      <c r="S242" s="65">
        <f t="shared" si="73"/>
        <v>0.35</v>
      </c>
      <c r="T242" s="65">
        <f t="shared" ref="T242:T305" si="83">IF($J$5&lt;3,R242,IF(R242+S242&gt;1.2,1.2,IF(AND(R242+S242&lt;0.9,S242=0.35),0.9,R242+S242)))</f>
        <v>1.2</v>
      </c>
      <c r="U242" s="64">
        <f t="shared" ref="U242:U305" si="84">IF(P242="",#N/A,IF($J$5&lt;3,R242,IF(R242+S242&gt;1.2,1.2,IF(AND(R242+S242&lt;0.9,S242=0.35),0.9,R242+S242))))</f>
        <v>1.2</v>
      </c>
      <c r="V242" s="63">
        <f t="shared" si="74"/>
        <v>8.5384158246834154</v>
      </c>
      <c r="W242" s="63" t="str">
        <f t="shared" si="75"/>
        <v/>
      </c>
      <c r="X242" s="63">
        <f t="shared" ref="X242:X305" si="85">IF(B242=$E$6,V242,IF(OR(B242&lt;$E$6,B242&gt;$E$10),0,X241+V242))</f>
        <v>794.44756025690754</v>
      </c>
      <c r="Y242" s="55"/>
      <c r="Z242" s="55"/>
      <c r="AA242" s="55"/>
      <c r="AB242" s="55">
        <f>PMSplint!N243</f>
        <v>7.1153465205695134</v>
      </c>
      <c r="AC242" s="55">
        <f>PMSplint!N243</f>
        <v>7.1153465205695134</v>
      </c>
      <c r="AD242" s="55">
        <f>IF(RnSplint!N243&lt;0,0,RnSplint!N243)</f>
        <v>31.148941377649063</v>
      </c>
      <c r="AE242" s="55">
        <f>IF(RnSplint!N243&lt;0,0,RnSplint!N243)</f>
        <v>31.148941377649063</v>
      </c>
      <c r="AF242" s="30"/>
      <c r="AG242" s="30"/>
      <c r="AH242" s="30"/>
      <c r="AI242" s="55"/>
      <c r="AJ242" s="55"/>
      <c r="AK242" s="55"/>
      <c r="AL242" s="55"/>
      <c r="AM242" s="55"/>
      <c r="AN242" s="55">
        <f t="shared" si="66"/>
        <v>221.63551165087901</v>
      </c>
      <c r="AO242" s="55">
        <f t="shared" si="67"/>
        <v>14.887427972987107</v>
      </c>
      <c r="AP242" s="55">
        <f t="shared" si="68"/>
        <v>0.17061375575477317</v>
      </c>
      <c r="AQ242" s="55"/>
      <c r="AR242" s="55"/>
      <c r="AS242" s="55"/>
      <c r="AT242" s="55"/>
      <c r="AU242" s="30"/>
      <c r="AV242" s="30"/>
      <c r="AW242" s="2"/>
      <c r="AX242" s="2"/>
    </row>
    <row r="243" spans="1:50" x14ac:dyDescent="0.2">
      <c r="A243" s="2"/>
      <c r="B243" s="61">
        <f t="shared" si="76"/>
        <v>41834</v>
      </c>
      <c r="C243" s="62">
        <f t="shared" si="77"/>
        <v>195</v>
      </c>
      <c r="D243" s="63">
        <f t="shared" si="78"/>
        <v>7.1124228248650248</v>
      </c>
      <c r="G243" s="357" t="str">
        <f>IF(MakeSchedule!C210="","",MakeSchedule!C210)</f>
        <v/>
      </c>
      <c r="H243" s="358"/>
      <c r="I243" s="358"/>
      <c r="J243" s="359" t="str">
        <f>IF(MakeSchedule!B210="","",MakeSchedule!B210)</f>
        <v/>
      </c>
      <c r="K243" s="63">
        <f t="shared" si="69"/>
        <v>7.1124228248650248</v>
      </c>
      <c r="L243" s="63">
        <f t="shared" si="79"/>
        <v>7.1124228248650248</v>
      </c>
      <c r="M243" s="63">
        <f t="shared" si="80"/>
        <v>31.1098042836852</v>
      </c>
      <c r="N243" s="63" t="str">
        <f t="shared" si="70"/>
        <v/>
      </c>
      <c r="O243" s="64">
        <f t="shared" si="81"/>
        <v>0.17075612615719163</v>
      </c>
      <c r="P243" s="63">
        <f t="shared" si="82"/>
        <v>1.1473799126637518</v>
      </c>
      <c r="Q243" s="64">
        <f t="shared" si="71"/>
        <v>1.1473799126637518</v>
      </c>
      <c r="R243" s="63">
        <f t="shared" si="72"/>
        <v>1.1473799126637518</v>
      </c>
      <c r="S243" s="65">
        <f t="shared" si="73"/>
        <v>0.35</v>
      </c>
      <c r="T243" s="65">
        <f t="shared" si="83"/>
        <v>1.2</v>
      </c>
      <c r="U243" s="64">
        <f t="shared" si="84"/>
        <v>1.2</v>
      </c>
      <c r="V243" s="63">
        <f t="shared" si="74"/>
        <v>8.534907389838029</v>
      </c>
      <c r="W243" s="63" t="str">
        <f t="shared" si="75"/>
        <v/>
      </c>
      <c r="X243" s="63">
        <f t="shared" si="85"/>
        <v>802.98246764674559</v>
      </c>
      <c r="Y243" s="55"/>
      <c r="Z243" s="55"/>
      <c r="AA243" s="55"/>
      <c r="AB243" s="55">
        <f>PMSplint!N244</f>
        <v>7.1124228248650248</v>
      </c>
      <c r="AC243" s="55">
        <f>PMSplint!N244</f>
        <v>7.1124228248650248</v>
      </c>
      <c r="AD243" s="55">
        <f>IF(RnSplint!N244&lt;0,0,RnSplint!N244)</f>
        <v>31.1098042836852</v>
      </c>
      <c r="AE243" s="55">
        <f>IF(RnSplint!N244&lt;0,0,RnSplint!N244)</f>
        <v>31.1098042836852</v>
      </c>
      <c r="AF243" s="30"/>
      <c r="AG243" s="30"/>
      <c r="AH243" s="30"/>
      <c r="AI243" s="55"/>
      <c r="AJ243" s="55"/>
      <c r="AK243" s="55"/>
      <c r="AL243" s="55"/>
      <c r="AM243" s="55"/>
      <c r="AN243" s="55">
        <f t="shared" si="66"/>
        <v>221.26608206436634</v>
      </c>
      <c r="AO243" s="55">
        <f t="shared" si="67"/>
        <v>14.875015363500179</v>
      </c>
      <c r="AP243" s="55">
        <f t="shared" si="68"/>
        <v>0.17075612615719163</v>
      </c>
      <c r="AQ243" s="55"/>
      <c r="AR243" s="55"/>
      <c r="AS243" s="55"/>
      <c r="AT243" s="55"/>
      <c r="AU243" s="30"/>
      <c r="AV243" s="30"/>
      <c r="AW243" s="2"/>
      <c r="AX243" s="2"/>
    </row>
    <row r="244" spans="1:50" x14ac:dyDescent="0.2">
      <c r="A244" s="2"/>
      <c r="B244" s="61">
        <f t="shared" si="76"/>
        <v>41835</v>
      </c>
      <c r="C244" s="62">
        <f t="shared" si="77"/>
        <v>196</v>
      </c>
      <c r="D244" s="63">
        <f t="shared" si="78"/>
        <v>7.1084982903642908</v>
      </c>
      <c r="G244" s="357" t="str">
        <f>IF(MakeSchedule!C211="","",MakeSchedule!C211)</f>
        <v/>
      </c>
      <c r="H244" s="358"/>
      <c r="I244" s="358"/>
      <c r="J244" s="359" t="str">
        <f>IF(MakeSchedule!B211="","",MakeSchedule!B211)</f>
        <v/>
      </c>
      <c r="K244" s="63">
        <f t="shared" si="69"/>
        <v>7.1084982903642908</v>
      </c>
      <c r="L244" s="63">
        <f t="shared" si="79"/>
        <v>7.1084982903642908</v>
      </c>
      <c r="M244" s="63">
        <f t="shared" si="80"/>
        <v>31.071439008469738</v>
      </c>
      <c r="N244" s="63" t="str">
        <f t="shared" si="70"/>
        <v/>
      </c>
      <c r="O244" s="64">
        <f t="shared" si="81"/>
        <v>0.17090867269574242</v>
      </c>
      <c r="P244" s="63">
        <f t="shared" si="82"/>
        <v>1.1473799126637518</v>
      </c>
      <c r="Q244" s="64">
        <f t="shared" si="71"/>
        <v>1.1473799126637518</v>
      </c>
      <c r="R244" s="63">
        <f t="shared" si="72"/>
        <v>1.1473799126637518</v>
      </c>
      <c r="S244" s="65">
        <f t="shared" si="73"/>
        <v>0.35</v>
      </c>
      <c r="T244" s="65">
        <f t="shared" si="83"/>
        <v>1.2</v>
      </c>
      <c r="U244" s="64">
        <f t="shared" si="84"/>
        <v>1.2</v>
      </c>
      <c r="V244" s="63">
        <f t="shared" si="74"/>
        <v>8.5301979484371486</v>
      </c>
      <c r="W244" s="63" t="str">
        <f t="shared" si="75"/>
        <v/>
      </c>
      <c r="X244" s="63">
        <f t="shared" si="85"/>
        <v>811.51266559518274</v>
      </c>
      <c r="Y244" s="55"/>
      <c r="Z244" s="55"/>
      <c r="AA244" s="55"/>
      <c r="AB244" s="55">
        <f>PMSplint!N245</f>
        <v>7.1084982903642908</v>
      </c>
      <c r="AC244" s="55">
        <f>PMSplint!N245</f>
        <v>7.1084982903642908</v>
      </c>
      <c r="AD244" s="55">
        <f>IF(RnSplint!N245&lt;0,0,RnSplint!N245)</f>
        <v>31.071439008469738</v>
      </c>
      <c r="AE244" s="55">
        <f>IF(RnSplint!N245&lt;0,0,RnSplint!N245)</f>
        <v>31.071439008469738</v>
      </c>
      <c r="AF244" s="30"/>
      <c r="AG244" s="30"/>
      <c r="AH244" s="30"/>
      <c r="AI244" s="55"/>
      <c r="AJ244" s="55"/>
      <c r="AK244" s="55"/>
      <c r="AL244" s="55"/>
      <c r="AM244" s="55"/>
      <c r="AN244" s="55">
        <f t="shared" si="66"/>
        <v>220.87127107086548</v>
      </c>
      <c r="AO244" s="55">
        <f t="shared" si="67"/>
        <v>14.861738494229586</v>
      </c>
      <c r="AP244" s="55">
        <f t="shared" si="68"/>
        <v>0.17090867269574242</v>
      </c>
      <c r="AQ244" s="55"/>
      <c r="AR244" s="55"/>
      <c r="AS244" s="55"/>
      <c r="AT244" s="55"/>
      <c r="AU244" s="30"/>
      <c r="AV244" s="30"/>
      <c r="AW244" s="2"/>
      <c r="AX244" s="2"/>
    </row>
    <row r="245" spans="1:50" x14ac:dyDescent="0.2">
      <c r="A245" s="2"/>
      <c r="B245" s="61">
        <f t="shared" si="76"/>
        <v>41836</v>
      </c>
      <c r="C245" s="62">
        <f t="shared" si="77"/>
        <v>197</v>
      </c>
      <c r="D245" s="63">
        <f t="shared" si="78"/>
        <v>7.1035896938614673</v>
      </c>
      <c r="G245" s="357" t="str">
        <f>IF(MakeSchedule!C212="","",MakeSchedule!C212)</f>
        <v/>
      </c>
      <c r="H245" s="358"/>
      <c r="I245" s="358"/>
      <c r="J245" s="359" t="str">
        <f>IF(MakeSchedule!B212="","",MakeSchedule!B212)</f>
        <v/>
      </c>
      <c r="K245" s="63">
        <f t="shared" si="69"/>
        <v>7.1035896938614673</v>
      </c>
      <c r="L245" s="63">
        <f t="shared" si="79"/>
        <v>7.1035896938614673</v>
      </c>
      <c r="M245" s="63">
        <f t="shared" si="80"/>
        <v>31.034589573431674</v>
      </c>
      <c r="N245" s="63" t="str">
        <f t="shared" si="70"/>
        <v/>
      </c>
      <c r="O245" s="64">
        <f t="shared" si="81"/>
        <v>0.17106918220098125</v>
      </c>
      <c r="P245" s="63">
        <f t="shared" si="82"/>
        <v>1.1473799126637518</v>
      </c>
      <c r="Q245" s="64">
        <f t="shared" si="71"/>
        <v>1.1473799126637518</v>
      </c>
      <c r="R245" s="63">
        <f t="shared" si="72"/>
        <v>1.1473799126637518</v>
      </c>
      <c r="S245" s="65">
        <f t="shared" si="73"/>
        <v>0.35</v>
      </c>
      <c r="T245" s="65">
        <f t="shared" si="83"/>
        <v>1.2</v>
      </c>
      <c r="U245" s="64">
        <f t="shared" si="84"/>
        <v>1.2</v>
      </c>
      <c r="V245" s="63">
        <f t="shared" si="74"/>
        <v>8.5243076326337608</v>
      </c>
      <c r="W245" s="63" t="str">
        <f t="shared" si="75"/>
        <v/>
      </c>
      <c r="X245" s="63">
        <f t="shared" si="85"/>
        <v>820.03697322781647</v>
      </c>
      <c r="Y245" s="55"/>
      <c r="Z245" s="55"/>
      <c r="AA245" s="55"/>
      <c r="AB245" s="55">
        <f>PMSplint!N246</f>
        <v>7.1035896938614673</v>
      </c>
      <c r="AC245" s="55">
        <f>PMSplint!N246</f>
        <v>7.1035896938614673</v>
      </c>
      <c r="AD245" s="55">
        <f>IF(RnSplint!N246&lt;0,0,RnSplint!N246)</f>
        <v>31.034589573431674</v>
      </c>
      <c r="AE245" s="55">
        <f>IF(RnSplint!N246&lt;0,0,RnSplint!N246)</f>
        <v>31.034589573431674</v>
      </c>
      <c r="AF245" s="30"/>
      <c r="AG245" s="30"/>
      <c r="AH245" s="30"/>
      <c r="AI245" s="55"/>
      <c r="AJ245" s="55"/>
      <c r="AK245" s="55"/>
      <c r="AL245" s="55"/>
      <c r="AM245" s="55"/>
      <c r="AN245" s="55">
        <f t="shared" si="66"/>
        <v>220.45699064704979</v>
      </c>
      <c r="AO245" s="55">
        <f t="shared" si="67"/>
        <v>14.847794134047312</v>
      </c>
      <c r="AP245" s="55">
        <f t="shared" si="68"/>
        <v>0.17106918220098125</v>
      </c>
      <c r="AQ245" s="55"/>
      <c r="AR245" s="55"/>
      <c r="AS245" s="55"/>
      <c r="AT245" s="55"/>
      <c r="AU245" s="30"/>
      <c r="AV245" s="30"/>
      <c r="AW245" s="2"/>
      <c r="AX245" s="2"/>
    </row>
    <row r="246" spans="1:50" x14ac:dyDescent="0.2">
      <c r="A246" s="2"/>
      <c r="B246" s="61">
        <f t="shared" si="76"/>
        <v>41837</v>
      </c>
      <c r="C246" s="62">
        <f t="shared" si="77"/>
        <v>198</v>
      </c>
      <c r="D246" s="63">
        <f t="shared" si="78"/>
        <v>7.0977138121507055</v>
      </c>
      <c r="G246" s="357" t="str">
        <f>IF(MakeSchedule!C213="","",MakeSchedule!C213)</f>
        <v/>
      </c>
      <c r="H246" s="358"/>
      <c r="I246" s="358"/>
      <c r="J246" s="359" t="str">
        <f>IF(MakeSchedule!B213="","",MakeSchedule!B213)</f>
        <v/>
      </c>
      <c r="K246" s="63">
        <f t="shared" si="69"/>
        <v>7.0977138121507055</v>
      </c>
      <c r="L246" s="63">
        <f t="shared" si="79"/>
        <v>7.0977138121507055</v>
      </c>
      <c r="M246" s="63">
        <f t="shared" si="80"/>
        <v>31</v>
      </c>
      <c r="N246" s="63" t="str">
        <f t="shared" si="70"/>
        <v/>
      </c>
      <c r="O246" s="64">
        <f t="shared" si="81"/>
        <v>0.17123542958666343</v>
      </c>
      <c r="P246" s="63">
        <f t="shared" si="82"/>
        <v>1.1473799126637518</v>
      </c>
      <c r="Q246" s="64">
        <f t="shared" si="71"/>
        <v>1.1473799126637518</v>
      </c>
      <c r="R246" s="63">
        <f t="shared" si="72"/>
        <v>1.1473799126637518</v>
      </c>
      <c r="S246" s="65">
        <f t="shared" si="73"/>
        <v>0.35</v>
      </c>
      <c r="T246" s="65">
        <f t="shared" si="83"/>
        <v>1.2</v>
      </c>
      <c r="U246" s="64">
        <f t="shared" si="84"/>
        <v>1.2</v>
      </c>
      <c r="V246" s="63">
        <f t="shared" si="74"/>
        <v>8.5172565745808466</v>
      </c>
      <c r="W246" s="63" t="str">
        <f t="shared" si="75"/>
        <v/>
      </c>
      <c r="X246" s="63">
        <f t="shared" si="85"/>
        <v>828.55422980239734</v>
      </c>
      <c r="Y246" s="55"/>
      <c r="Z246" s="55"/>
      <c r="AA246" s="55"/>
      <c r="AB246" s="55">
        <f>PMSplint!N247</f>
        <v>7.0977138121507055</v>
      </c>
      <c r="AC246" s="55">
        <f>PMSplint!N247</f>
        <v>7.0977138121507055</v>
      </c>
      <c r="AD246" s="55">
        <f>IF(RnSplint!N247&lt;0,0,RnSplint!N247)</f>
        <v>31</v>
      </c>
      <c r="AE246" s="55">
        <f>IF(RnSplint!N247&lt;0,0,RnSplint!N247)</f>
        <v>31</v>
      </c>
      <c r="AF246" s="30"/>
      <c r="AG246" s="30"/>
      <c r="AH246" s="30"/>
      <c r="AI246" s="55"/>
      <c r="AJ246" s="55"/>
      <c r="AK246" s="55"/>
      <c r="AL246" s="55"/>
      <c r="AM246" s="55"/>
      <c r="AN246" s="55">
        <f t="shared" si="66"/>
        <v>220.02912817667186</v>
      </c>
      <c r="AO246" s="55">
        <f t="shared" si="67"/>
        <v>14.833378852327337</v>
      </c>
      <c r="AP246" s="55">
        <f t="shared" si="68"/>
        <v>0.17123542958666343</v>
      </c>
      <c r="AQ246" s="55"/>
      <c r="AR246" s="55"/>
      <c r="AS246" s="55"/>
      <c r="AT246" s="55"/>
      <c r="AU246" s="30"/>
      <c r="AV246" s="30"/>
      <c r="AW246" s="2"/>
      <c r="AX246" s="2"/>
    </row>
    <row r="247" spans="1:50" x14ac:dyDescent="0.2">
      <c r="A247" s="2"/>
      <c r="B247" s="61">
        <f t="shared" si="76"/>
        <v>41838</v>
      </c>
      <c r="C247" s="62">
        <f t="shared" si="77"/>
        <v>199</v>
      </c>
      <c r="D247" s="63">
        <f t="shared" si="78"/>
        <v>7.0908862869129381</v>
      </c>
      <c r="G247" s="357" t="str">
        <f>IF(MakeSchedule!C214="","",MakeSchedule!C214)</f>
        <v/>
      </c>
      <c r="H247" s="358"/>
      <c r="I247" s="358"/>
      <c r="J247" s="359" t="str">
        <f>IF(MakeSchedule!B214="","",MakeSchedule!B214)</f>
        <v/>
      </c>
      <c r="K247" s="63">
        <f t="shared" si="69"/>
        <v>7.0908862869129381</v>
      </c>
      <c r="L247" s="63">
        <f t="shared" si="79"/>
        <v>7.0908862869129381</v>
      </c>
      <c r="M247" s="63">
        <f t="shared" si="80"/>
        <v>30.968276415760045</v>
      </c>
      <c r="N247" s="63" t="str">
        <f t="shared" si="70"/>
        <v/>
      </c>
      <c r="O247" s="64">
        <f t="shared" si="81"/>
        <v>0.17140557321930172</v>
      </c>
      <c r="P247" s="63">
        <f t="shared" si="82"/>
        <v>1.1473799126637518</v>
      </c>
      <c r="Q247" s="64">
        <f t="shared" si="71"/>
        <v>1.1473799126637518</v>
      </c>
      <c r="R247" s="63">
        <f t="shared" si="72"/>
        <v>1.1473799126637518</v>
      </c>
      <c r="S247" s="65">
        <f t="shared" si="73"/>
        <v>0.35</v>
      </c>
      <c r="T247" s="65">
        <f t="shared" si="83"/>
        <v>1.2</v>
      </c>
      <c r="U247" s="64">
        <f t="shared" si="84"/>
        <v>1.2</v>
      </c>
      <c r="V247" s="63">
        <f t="shared" si="74"/>
        <v>8.5090635442955254</v>
      </c>
      <c r="W247" s="63" t="str">
        <f t="shared" si="75"/>
        <v/>
      </c>
      <c r="X247" s="63">
        <f t="shared" si="85"/>
        <v>837.06329334669283</v>
      </c>
      <c r="Y247" s="55"/>
      <c r="Z247" s="55"/>
      <c r="AA247" s="55"/>
      <c r="AB247" s="55">
        <f>PMSplint!N248</f>
        <v>7.0908862869129381</v>
      </c>
      <c r="AC247" s="55">
        <f>PMSplint!N248</f>
        <v>7.0908862869129381</v>
      </c>
      <c r="AD247" s="55">
        <f>IF(RnSplint!N248&lt;0,0,RnSplint!N248)</f>
        <v>30.968276415760045</v>
      </c>
      <c r="AE247" s="55">
        <f>IF(RnSplint!N248&lt;0,0,RnSplint!N248)</f>
        <v>30.968276415760045</v>
      </c>
      <c r="AF247" s="30"/>
      <c r="AG247" s="30"/>
      <c r="AH247" s="30"/>
      <c r="AI247" s="55"/>
      <c r="AJ247" s="55"/>
      <c r="AK247" s="55"/>
      <c r="AL247" s="55"/>
      <c r="AM247" s="55"/>
      <c r="AN247" s="55">
        <f t="shared" si="66"/>
        <v>219.59252656584226</v>
      </c>
      <c r="AO247" s="55">
        <f t="shared" si="67"/>
        <v>14.81865468137517</v>
      </c>
      <c r="AP247" s="55">
        <f t="shared" si="68"/>
        <v>0.17140557321930172</v>
      </c>
      <c r="AQ247" s="55"/>
      <c r="AR247" s="55"/>
      <c r="AS247" s="55"/>
      <c r="AT247" s="55"/>
      <c r="AU247" s="30"/>
      <c r="AV247" s="30"/>
      <c r="AW247" s="2"/>
      <c r="AX247" s="2"/>
    </row>
    <row r="248" spans="1:50" x14ac:dyDescent="0.2">
      <c r="A248" s="2"/>
      <c r="B248" s="61">
        <f t="shared" si="76"/>
        <v>41839</v>
      </c>
      <c r="C248" s="62">
        <f t="shared" si="77"/>
        <v>200</v>
      </c>
      <c r="D248" s="63">
        <f t="shared" si="78"/>
        <v>7.0831182193761935</v>
      </c>
      <c r="G248" s="357" t="str">
        <f>IF(MakeSchedule!C215="","",MakeSchedule!C215)</f>
        <v/>
      </c>
      <c r="H248" s="358"/>
      <c r="I248" s="358"/>
      <c r="J248" s="359" t="str">
        <f>IF(MakeSchedule!B215="","",MakeSchedule!B215)</f>
        <v/>
      </c>
      <c r="K248" s="63">
        <f t="shared" si="69"/>
        <v>7.0831182193761935</v>
      </c>
      <c r="L248" s="63">
        <f t="shared" si="79"/>
        <v>7.0831182193761935</v>
      </c>
      <c r="M248" s="63">
        <f t="shared" si="80"/>
        <v>30.939473372922411</v>
      </c>
      <c r="N248" s="63" t="str">
        <f t="shared" si="70"/>
        <v/>
      </c>
      <c r="O248" s="64">
        <f t="shared" si="81"/>
        <v>0.17157934786319143</v>
      </c>
      <c r="P248" s="63">
        <f t="shared" si="82"/>
        <v>1.1473799126637518</v>
      </c>
      <c r="Q248" s="64">
        <f t="shared" si="71"/>
        <v>1.1473799126637518</v>
      </c>
      <c r="R248" s="63">
        <f t="shared" si="72"/>
        <v>1.1473799126637518</v>
      </c>
      <c r="S248" s="65">
        <f t="shared" si="73"/>
        <v>0.35</v>
      </c>
      <c r="T248" s="65">
        <f t="shared" si="83"/>
        <v>1.2</v>
      </c>
      <c r="U248" s="64">
        <f t="shared" si="84"/>
        <v>1.2</v>
      </c>
      <c r="V248" s="63">
        <f t="shared" si="74"/>
        <v>8.4997418632514314</v>
      </c>
      <c r="W248" s="63" t="str">
        <f t="shared" si="75"/>
        <v/>
      </c>
      <c r="X248" s="63">
        <f t="shared" si="85"/>
        <v>845.56303520994425</v>
      </c>
      <c r="Y248" s="55"/>
      <c r="Z248" s="55"/>
      <c r="AA248" s="55"/>
      <c r="AB248" s="55">
        <f>PMSplint!N249</f>
        <v>7.0831182193761935</v>
      </c>
      <c r="AC248" s="55">
        <f>PMSplint!N249</f>
        <v>7.0831182193761935</v>
      </c>
      <c r="AD248" s="55">
        <f>IF(RnSplint!N249&lt;0,0,RnSplint!N249)</f>
        <v>30.939473372922411</v>
      </c>
      <c r="AE248" s="55">
        <f>IF(RnSplint!N249&lt;0,0,RnSplint!N249)</f>
        <v>30.939473372922411</v>
      </c>
      <c r="AF248" s="30"/>
      <c r="AG248" s="30"/>
      <c r="AH248" s="30"/>
      <c r="AI248" s="55"/>
      <c r="AJ248" s="55"/>
      <c r="AK248" s="55"/>
      <c r="AL248" s="55"/>
      <c r="AM248" s="55"/>
      <c r="AN248" s="55">
        <f t="shared" si="66"/>
        <v>219.14794754565133</v>
      </c>
      <c r="AO248" s="55">
        <f t="shared" si="67"/>
        <v>14.80364642733848</v>
      </c>
      <c r="AP248" s="55">
        <f t="shared" si="68"/>
        <v>0.17157934786319143</v>
      </c>
      <c r="AQ248" s="55"/>
      <c r="AR248" s="55"/>
      <c r="AS248" s="55"/>
      <c r="AT248" s="55"/>
      <c r="AU248" s="30"/>
      <c r="AV248" s="30"/>
      <c r="AW248" s="2"/>
      <c r="AX248" s="2"/>
    </row>
    <row r="249" spans="1:50" x14ac:dyDescent="0.2">
      <c r="A249" s="2"/>
      <c r="B249" s="61">
        <f t="shared" si="76"/>
        <v>41840</v>
      </c>
      <c r="C249" s="62">
        <f t="shared" si="77"/>
        <v>201</v>
      </c>
      <c r="D249" s="63">
        <f t="shared" si="78"/>
        <v>7.0744195756552841</v>
      </c>
      <c r="G249" s="357" t="str">
        <f>IF(MakeSchedule!C216="","",MakeSchedule!C216)</f>
        <v/>
      </c>
      <c r="H249" s="358"/>
      <c r="I249" s="358"/>
      <c r="J249" s="359" t="str">
        <f>IF(MakeSchedule!B216="","",MakeSchedule!B216)</f>
        <v/>
      </c>
      <c r="K249" s="63">
        <f t="shared" si="69"/>
        <v>7.0744195756552841</v>
      </c>
      <c r="L249" s="63">
        <f t="shared" si="79"/>
        <v>7.0744195756552841</v>
      </c>
      <c r="M249" s="63">
        <f t="shared" si="80"/>
        <v>30.913507529854034</v>
      </c>
      <c r="N249" s="63" t="str">
        <f t="shared" si="70"/>
        <v/>
      </c>
      <c r="O249" s="64">
        <f t="shared" si="81"/>
        <v>0.17175688998882704</v>
      </c>
      <c r="P249" s="63">
        <f t="shared" si="82"/>
        <v>1.1473799126637518</v>
      </c>
      <c r="Q249" s="64">
        <f t="shared" si="71"/>
        <v>1.1473799126637518</v>
      </c>
      <c r="R249" s="63">
        <f t="shared" si="72"/>
        <v>1.1473799126637518</v>
      </c>
      <c r="S249" s="65">
        <f t="shared" si="73"/>
        <v>0.35</v>
      </c>
      <c r="T249" s="65">
        <f t="shared" si="83"/>
        <v>1.2</v>
      </c>
      <c r="U249" s="64">
        <f t="shared" si="84"/>
        <v>1.2</v>
      </c>
      <c r="V249" s="63">
        <f t="shared" si="74"/>
        <v>8.4893034907863409</v>
      </c>
      <c r="W249" s="63" t="str">
        <f t="shared" si="75"/>
        <v/>
      </c>
      <c r="X249" s="63">
        <f t="shared" si="85"/>
        <v>854.05233870073062</v>
      </c>
      <c r="Y249" s="55"/>
      <c r="Z249" s="55"/>
      <c r="AA249" s="55"/>
      <c r="AB249" s="55">
        <f>PMSplint!N250</f>
        <v>7.0744195756552841</v>
      </c>
      <c r="AC249" s="55">
        <f>PMSplint!N250</f>
        <v>7.0744195756552841</v>
      </c>
      <c r="AD249" s="55">
        <f>IF(RnSplint!N250&lt;0,0,RnSplint!N250)</f>
        <v>30.913507529854034</v>
      </c>
      <c r="AE249" s="55">
        <f>IF(RnSplint!N250&lt;0,0,RnSplint!N250)</f>
        <v>30.913507529854034</v>
      </c>
      <c r="AF249" s="30"/>
      <c r="AG249" s="30"/>
      <c r="AH249" s="30"/>
      <c r="AI249" s="55"/>
      <c r="AJ249" s="55"/>
      <c r="AK249" s="55"/>
      <c r="AL249" s="55"/>
      <c r="AM249" s="55"/>
      <c r="AN249" s="55">
        <f t="shared" si="66"/>
        <v>218.6951228213664</v>
      </c>
      <c r="AO249" s="55">
        <f t="shared" si="67"/>
        <v>14.788344154142694</v>
      </c>
      <c r="AP249" s="55">
        <f t="shared" si="68"/>
        <v>0.17175688998882704</v>
      </c>
      <c r="AQ249" s="55"/>
      <c r="AR249" s="55"/>
      <c r="AS249" s="55"/>
      <c r="AT249" s="55"/>
      <c r="AU249" s="30"/>
      <c r="AV249" s="30"/>
      <c r="AW249" s="2"/>
      <c r="AX249" s="2"/>
    </row>
    <row r="250" spans="1:50" x14ac:dyDescent="0.2">
      <c r="A250" s="2"/>
      <c r="B250" s="61">
        <f t="shared" si="76"/>
        <v>41841</v>
      </c>
      <c r="C250" s="62">
        <f t="shared" si="77"/>
        <v>202</v>
      </c>
      <c r="D250" s="63">
        <f t="shared" si="78"/>
        <v>7.0648003218650155</v>
      </c>
      <c r="G250" s="357" t="str">
        <f>IF(MakeSchedule!C217="","",MakeSchedule!C217)</f>
        <v/>
      </c>
      <c r="H250" s="358"/>
      <c r="I250" s="358"/>
      <c r="J250" s="359" t="str">
        <f>IF(MakeSchedule!B217="","",MakeSchedule!B217)</f>
        <v/>
      </c>
      <c r="K250" s="63">
        <f t="shared" si="69"/>
        <v>7.0648003218650155</v>
      </c>
      <c r="L250" s="63">
        <f t="shared" si="79"/>
        <v>7.0648003218650155</v>
      </c>
      <c r="M250" s="63">
        <f t="shared" si="80"/>
        <v>30.890295544921848</v>
      </c>
      <c r="N250" s="63" t="str">
        <f t="shared" si="70"/>
        <v/>
      </c>
      <c r="O250" s="64">
        <f t="shared" si="81"/>
        <v>0.17193834381823711</v>
      </c>
      <c r="P250" s="63">
        <f t="shared" si="82"/>
        <v>1.1473799126637518</v>
      </c>
      <c r="Q250" s="64">
        <f t="shared" si="71"/>
        <v>1.1473799126637518</v>
      </c>
      <c r="R250" s="63">
        <f t="shared" si="72"/>
        <v>1.1473799126637518</v>
      </c>
      <c r="S250" s="65">
        <f t="shared" si="73"/>
        <v>0.35</v>
      </c>
      <c r="T250" s="65">
        <f t="shared" si="83"/>
        <v>1.2</v>
      </c>
      <c r="U250" s="64">
        <f t="shared" si="84"/>
        <v>1.2</v>
      </c>
      <c r="V250" s="63">
        <f t="shared" si="74"/>
        <v>8.4777603862380175</v>
      </c>
      <c r="W250" s="63" t="str">
        <f t="shared" si="75"/>
        <v/>
      </c>
      <c r="X250" s="63">
        <f t="shared" si="85"/>
        <v>862.53009908696868</v>
      </c>
      <c r="Y250" s="55"/>
      <c r="Z250" s="55"/>
      <c r="AA250" s="55"/>
      <c r="AB250" s="55">
        <f>PMSplint!N251</f>
        <v>7.0648003218650155</v>
      </c>
      <c r="AC250" s="55">
        <f>PMSplint!N251</f>
        <v>7.0648003218650155</v>
      </c>
      <c r="AD250" s="55">
        <f>IF(RnSplint!N251&lt;0,0,RnSplint!N251)</f>
        <v>30.890295544921848</v>
      </c>
      <c r="AE250" s="55">
        <f>IF(RnSplint!N251&lt;0,0,RnSplint!N251)</f>
        <v>30.890295544921848</v>
      </c>
      <c r="AF250" s="30"/>
      <c r="AG250" s="30"/>
      <c r="AH250" s="30"/>
      <c r="AI250" s="55"/>
      <c r="AJ250" s="55"/>
      <c r="AK250" s="55"/>
      <c r="AL250" s="55"/>
      <c r="AM250" s="55"/>
      <c r="AN250" s="55">
        <f t="shared" si="66"/>
        <v>218.23376990826932</v>
      </c>
      <c r="AO250" s="55">
        <f t="shared" si="67"/>
        <v>14.772737387101596</v>
      </c>
      <c r="AP250" s="55">
        <f t="shared" si="68"/>
        <v>0.17193834381823711</v>
      </c>
      <c r="AQ250" s="55"/>
      <c r="AR250" s="55"/>
      <c r="AS250" s="55"/>
      <c r="AT250" s="55"/>
      <c r="AU250" s="30"/>
      <c r="AV250" s="30"/>
      <c r="AW250" s="2"/>
      <c r="AX250" s="2"/>
    </row>
    <row r="251" spans="1:50" x14ac:dyDescent="0.2">
      <c r="A251" s="2"/>
      <c r="B251" s="61">
        <f t="shared" si="76"/>
        <v>41842</v>
      </c>
      <c r="C251" s="62">
        <f t="shared" si="77"/>
        <v>203</v>
      </c>
      <c r="D251" s="63">
        <f t="shared" si="78"/>
        <v>7.0542704241201983</v>
      </c>
      <c r="G251" s="357" t="str">
        <f>IF(MakeSchedule!C218="","",MakeSchedule!C218)</f>
        <v/>
      </c>
      <c r="H251" s="358"/>
      <c r="I251" s="358"/>
      <c r="J251" s="359" t="str">
        <f>IF(MakeSchedule!B218="","",MakeSchedule!B218)</f>
        <v/>
      </c>
      <c r="K251" s="63">
        <f t="shared" si="69"/>
        <v>7.0542704241201983</v>
      </c>
      <c r="L251" s="63">
        <f t="shared" si="79"/>
        <v>7.0542704241201983</v>
      </c>
      <c r="M251" s="63">
        <f t="shared" si="80"/>
        <v>30.869754076492779</v>
      </c>
      <c r="N251" s="63" t="str">
        <f t="shared" si="70"/>
        <v/>
      </c>
      <c r="O251" s="64">
        <f t="shared" si="81"/>
        <v>0.17212386109652966</v>
      </c>
      <c r="P251" s="63">
        <f t="shared" si="82"/>
        <v>1.1473799126637518</v>
      </c>
      <c r="Q251" s="64">
        <f t="shared" si="71"/>
        <v>1.1473799126637518</v>
      </c>
      <c r="R251" s="63">
        <f t="shared" si="72"/>
        <v>1.1473799126637518</v>
      </c>
      <c r="S251" s="65">
        <f t="shared" si="73"/>
        <v>0.35</v>
      </c>
      <c r="T251" s="65">
        <f t="shared" si="83"/>
        <v>1.2</v>
      </c>
      <c r="U251" s="64">
        <f t="shared" si="84"/>
        <v>1.2</v>
      </c>
      <c r="V251" s="63">
        <f t="shared" si="74"/>
        <v>8.4651245089442373</v>
      </c>
      <c r="W251" s="63" t="str">
        <f t="shared" si="75"/>
        <v/>
      </c>
      <c r="X251" s="63">
        <f t="shared" si="85"/>
        <v>870.99522359591288</v>
      </c>
      <c r="Y251" s="55"/>
      <c r="Z251" s="55"/>
      <c r="AA251" s="55"/>
      <c r="AB251" s="55">
        <f>PMSplint!N252</f>
        <v>7.0542704241201983</v>
      </c>
      <c r="AC251" s="55">
        <f>PMSplint!N252</f>
        <v>7.0542704241201983</v>
      </c>
      <c r="AD251" s="55">
        <f>IF(RnSplint!N252&lt;0,0,RnSplint!N252)</f>
        <v>30.869754076492779</v>
      </c>
      <c r="AE251" s="55">
        <f>IF(RnSplint!N252&lt;0,0,RnSplint!N252)</f>
        <v>30.869754076492779</v>
      </c>
      <c r="AF251" s="30"/>
      <c r="AG251" s="30"/>
      <c r="AH251" s="30"/>
      <c r="AI251" s="55"/>
      <c r="AJ251" s="55"/>
      <c r="AK251" s="55"/>
      <c r="AL251" s="55"/>
      <c r="AM251" s="55"/>
      <c r="AN251" s="55">
        <f t="shared" ref="AN251:AN314" si="86">K251*M251</f>
        <v>217.76359318166695</v>
      </c>
      <c r="AO251" s="55">
        <f t="shared" ref="AO251:AO314" si="87">SQRT(AN251)</f>
        <v>14.756815143575762</v>
      </c>
      <c r="AP251" s="55">
        <f t="shared" ref="AP251:AP314" si="88">IF(2.54/AO251&gt;1.22,1.22,2.54/AO251)</f>
        <v>0.17212386109652966</v>
      </c>
      <c r="AQ251" s="55"/>
      <c r="AR251" s="55"/>
      <c r="AS251" s="55"/>
      <c r="AT251" s="55"/>
      <c r="AU251" s="30"/>
      <c r="AV251" s="30"/>
      <c r="AW251" s="2"/>
      <c r="AX251" s="2"/>
    </row>
    <row r="252" spans="1:50" x14ac:dyDescent="0.2">
      <c r="A252" s="2"/>
      <c r="B252" s="61">
        <f t="shared" si="76"/>
        <v>41843</v>
      </c>
      <c r="C252" s="62">
        <f t="shared" si="77"/>
        <v>204</v>
      </c>
      <c r="D252" s="63">
        <f t="shared" si="78"/>
        <v>7.0428398485356372</v>
      </c>
      <c r="G252" s="357" t="str">
        <f>IF(MakeSchedule!C219="","",MakeSchedule!C219)</f>
        <v/>
      </c>
      <c r="H252" s="358"/>
      <c r="I252" s="358"/>
      <c r="J252" s="359" t="str">
        <f>IF(MakeSchedule!B219="","",MakeSchedule!B219)</f>
        <v/>
      </c>
      <c r="K252" s="63">
        <f t="shared" si="69"/>
        <v>7.0428398485356372</v>
      </c>
      <c r="L252" s="63">
        <f t="shared" si="79"/>
        <v>7.0428398485356372</v>
      </c>
      <c r="M252" s="63">
        <f t="shared" si="80"/>
        <v>30.85179978293376</v>
      </c>
      <c r="N252" s="63" t="str">
        <f t="shared" si="70"/>
        <v/>
      </c>
      <c r="O252" s="64">
        <f t="shared" si="81"/>
        <v>0.17231360087335235</v>
      </c>
      <c r="P252" s="63">
        <f t="shared" si="82"/>
        <v>1.1473799126637518</v>
      </c>
      <c r="Q252" s="64">
        <f t="shared" si="71"/>
        <v>1.1473799126637518</v>
      </c>
      <c r="R252" s="63">
        <f t="shared" si="72"/>
        <v>1.1473799126637518</v>
      </c>
      <c r="S252" s="65">
        <f t="shared" si="73"/>
        <v>0.35</v>
      </c>
      <c r="T252" s="65">
        <f t="shared" si="83"/>
        <v>1.2</v>
      </c>
      <c r="U252" s="64">
        <f t="shared" si="84"/>
        <v>1.2</v>
      </c>
      <c r="V252" s="63">
        <f t="shared" si="74"/>
        <v>8.4514078182427639</v>
      </c>
      <c r="W252" s="63" t="str">
        <f t="shared" si="75"/>
        <v/>
      </c>
      <c r="X252" s="63">
        <f t="shared" si="85"/>
        <v>879.4466314141556</v>
      </c>
      <c r="Y252" s="55"/>
      <c r="Z252" s="55"/>
      <c r="AA252" s="55"/>
      <c r="AB252" s="55">
        <f>PMSplint!N253</f>
        <v>7.0428398485356372</v>
      </c>
      <c r="AC252" s="55">
        <f>PMSplint!N253</f>
        <v>7.0428398485356372</v>
      </c>
      <c r="AD252" s="55">
        <f>IF(RnSplint!N253&lt;0,0,RnSplint!N253)</f>
        <v>30.85179978293376</v>
      </c>
      <c r="AE252" s="55">
        <f>IF(RnSplint!N253&lt;0,0,RnSplint!N253)</f>
        <v>30.85179978293376</v>
      </c>
      <c r="AF252" s="30"/>
      <c r="AG252" s="30"/>
      <c r="AH252" s="30"/>
      <c r="AI252" s="55"/>
      <c r="AJ252" s="55"/>
      <c r="AK252" s="55"/>
      <c r="AL252" s="55"/>
      <c r="AM252" s="55"/>
      <c r="AN252" s="55">
        <f t="shared" si="86"/>
        <v>217.28428491028902</v>
      </c>
      <c r="AO252" s="55">
        <f t="shared" si="87"/>
        <v>14.740565963024927</v>
      </c>
      <c r="AP252" s="55">
        <f t="shared" si="88"/>
        <v>0.17231360087335235</v>
      </c>
      <c r="AQ252" s="55"/>
      <c r="AR252" s="55"/>
      <c r="AS252" s="55"/>
      <c r="AT252" s="55"/>
      <c r="AU252" s="30"/>
      <c r="AV252" s="30"/>
      <c r="AW252" s="2"/>
      <c r="AX252" s="2"/>
    </row>
    <row r="253" spans="1:50" x14ac:dyDescent="0.2">
      <c r="A253" s="2"/>
      <c r="B253" s="61">
        <f t="shared" si="76"/>
        <v>41844</v>
      </c>
      <c r="C253" s="62">
        <f t="shared" si="77"/>
        <v>205</v>
      </c>
      <c r="D253" s="63">
        <f t="shared" si="78"/>
        <v>7.0305185612261427</v>
      </c>
      <c r="G253" s="357" t="str">
        <f>IF(MakeSchedule!C220="","",MakeSchedule!C220)</f>
        <v/>
      </c>
      <c r="H253" s="358"/>
      <c r="I253" s="358"/>
      <c r="J253" s="359" t="str">
        <f>IF(MakeSchedule!B220="","",MakeSchedule!B220)</f>
        <v/>
      </c>
      <c r="K253" s="63">
        <f t="shared" si="69"/>
        <v>7.0305185612261427</v>
      </c>
      <c r="L253" s="63">
        <f t="shared" si="79"/>
        <v>7.0305185612261427</v>
      </c>
      <c r="M253" s="63">
        <f t="shared" si="80"/>
        <v>30.836349322611724</v>
      </c>
      <c r="N253" s="63" t="str">
        <f t="shared" si="70"/>
        <v/>
      </c>
      <c r="O253" s="64">
        <f t="shared" si="81"/>
        <v>0.17250772929454367</v>
      </c>
      <c r="P253" s="63">
        <f t="shared" si="82"/>
        <v>1.1473799126637518</v>
      </c>
      <c r="Q253" s="64">
        <f t="shared" si="71"/>
        <v>1.1473799126637518</v>
      </c>
      <c r="R253" s="63">
        <f t="shared" si="72"/>
        <v>1.1473799126637518</v>
      </c>
      <c r="S253" s="65">
        <f t="shared" si="73"/>
        <v>0.35</v>
      </c>
      <c r="T253" s="65">
        <f t="shared" si="83"/>
        <v>1.2</v>
      </c>
      <c r="U253" s="64">
        <f t="shared" si="84"/>
        <v>1.2</v>
      </c>
      <c r="V253" s="63">
        <f t="shared" si="74"/>
        <v>8.4366222734713716</v>
      </c>
      <c r="W253" s="63" t="str">
        <f t="shared" si="75"/>
        <v/>
      </c>
      <c r="X253" s="63">
        <f t="shared" si="85"/>
        <v>887.88325368762696</v>
      </c>
      <c r="Y253" s="55"/>
      <c r="Z253" s="55"/>
      <c r="AA253" s="55"/>
      <c r="AB253" s="55">
        <f>PMSplint!N254</f>
        <v>7.0305185612261427</v>
      </c>
      <c r="AC253" s="55">
        <f>PMSplint!N254</f>
        <v>7.0305185612261427</v>
      </c>
      <c r="AD253" s="55">
        <f>IF(RnSplint!N254&lt;0,0,RnSplint!N254)</f>
        <v>30.836349322611724</v>
      </c>
      <c r="AE253" s="55">
        <f>IF(RnSplint!N254&lt;0,0,RnSplint!N254)</f>
        <v>30.836349322611724</v>
      </c>
      <c r="AF253" s="30"/>
      <c r="AG253" s="30"/>
      <c r="AH253" s="30"/>
      <c r="AI253" s="55"/>
      <c r="AJ253" s="55"/>
      <c r="AK253" s="55"/>
      <c r="AL253" s="55"/>
      <c r="AM253" s="55"/>
      <c r="AN253" s="55">
        <f t="shared" si="86"/>
        <v>216.79552627307493</v>
      </c>
      <c r="AO253" s="55">
        <f t="shared" si="87"/>
        <v>14.723977936450289</v>
      </c>
      <c r="AP253" s="55">
        <f t="shared" si="88"/>
        <v>0.17250772929454367</v>
      </c>
      <c r="AQ253" s="55"/>
      <c r="AR253" s="55"/>
      <c r="AS253" s="55"/>
      <c r="AT253" s="55"/>
      <c r="AU253" s="30"/>
      <c r="AV253" s="30"/>
      <c r="AW253" s="2"/>
      <c r="AX253" s="2"/>
    </row>
    <row r="254" spans="1:50" x14ac:dyDescent="0.2">
      <c r="A254" s="2"/>
      <c r="B254" s="61">
        <f t="shared" si="76"/>
        <v>41845</v>
      </c>
      <c r="C254" s="62">
        <f t="shared" si="77"/>
        <v>206</v>
      </c>
      <c r="D254" s="63">
        <f t="shared" si="78"/>
        <v>7.0173165283065222</v>
      </c>
      <c r="G254" s="357" t="str">
        <f>IF(MakeSchedule!C221="","",MakeSchedule!C221)</f>
        <v/>
      </c>
      <c r="H254" s="358"/>
      <c r="I254" s="358"/>
      <c r="J254" s="359" t="str">
        <f>IF(MakeSchedule!B221="","",MakeSchedule!B221)</f>
        <v/>
      </c>
      <c r="K254" s="63">
        <f t="shared" si="69"/>
        <v>7.0173165283065222</v>
      </c>
      <c r="L254" s="63">
        <f t="shared" si="79"/>
        <v>7.0173165283065222</v>
      </c>
      <c r="M254" s="63">
        <f t="shared" si="80"/>
        <v>30.823319353893602</v>
      </c>
      <c r="N254" s="63" t="str">
        <f t="shared" si="70"/>
        <v/>
      </c>
      <c r="O254" s="64">
        <f t="shared" si="81"/>
        <v>0.17270641940425252</v>
      </c>
      <c r="P254" s="63">
        <f t="shared" si="82"/>
        <v>1.1473799126637518</v>
      </c>
      <c r="Q254" s="64">
        <f t="shared" si="71"/>
        <v>1.1473799126637518</v>
      </c>
      <c r="R254" s="63">
        <f t="shared" si="72"/>
        <v>1.1473799126637518</v>
      </c>
      <c r="S254" s="65">
        <f t="shared" si="73"/>
        <v>0.35</v>
      </c>
      <c r="T254" s="65">
        <f t="shared" si="83"/>
        <v>1.2</v>
      </c>
      <c r="U254" s="64">
        <f t="shared" si="84"/>
        <v>1.2</v>
      </c>
      <c r="V254" s="63">
        <f t="shared" si="74"/>
        <v>8.4207798339678259</v>
      </c>
      <c r="W254" s="63" t="str">
        <f t="shared" si="75"/>
        <v/>
      </c>
      <c r="X254" s="63">
        <f t="shared" si="85"/>
        <v>896.30403352159476</v>
      </c>
      <c r="Y254" s="55"/>
      <c r="Z254" s="55"/>
      <c r="AA254" s="55"/>
      <c r="AB254" s="55">
        <f>PMSplint!N255</f>
        <v>7.0173165283065222</v>
      </c>
      <c r="AC254" s="55">
        <f>PMSplint!N255</f>
        <v>7.0173165283065222</v>
      </c>
      <c r="AD254" s="55">
        <f>IF(RnSplint!N255&lt;0,0,RnSplint!N255)</f>
        <v>30.823319353893602</v>
      </c>
      <c r="AE254" s="55">
        <f>IF(RnSplint!N255&lt;0,0,RnSplint!N255)</f>
        <v>30.823319353893602</v>
      </c>
      <c r="AF254" s="30"/>
      <c r="AG254" s="30"/>
      <c r="AH254" s="30"/>
      <c r="AI254" s="55"/>
      <c r="AJ254" s="55"/>
      <c r="AK254" s="55"/>
      <c r="AL254" s="55"/>
      <c r="AM254" s="55"/>
      <c r="AN254" s="55">
        <f t="shared" si="86"/>
        <v>216.29698835934789</v>
      </c>
      <c r="AO254" s="55">
        <f t="shared" si="87"/>
        <v>14.707038735222937</v>
      </c>
      <c r="AP254" s="55">
        <f t="shared" si="88"/>
        <v>0.17270641940425252</v>
      </c>
      <c r="AQ254" s="55"/>
      <c r="AR254" s="55"/>
      <c r="AS254" s="55"/>
      <c r="AT254" s="55"/>
      <c r="AU254" s="30"/>
      <c r="AV254" s="30"/>
      <c r="AW254" s="2"/>
      <c r="AX254" s="2"/>
    </row>
    <row r="255" spans="1:50" x14ac:dyDescent="0.2">
      <c r="A255" s="2"/>
      <c r="B255" s="61">
        <f t="shared" si="76"/>
        <v>41846</v>
      </c>
      <c r="C255" s="62">
        <f t="shared" si="77"/>
        <v>207</v>
      </c>
      <c r="D255" s="63">
        <f t="shared" si="78"/>
        <v>7.0032437158915837</v>
      </c>
      <c r="G255" s="357" t="str">
        <f>IF(MakeSchedule!C222="","",MakeSchedule!C222)</f>
        <v/>
      </c>
      <c r="H255" s="358"/>
      <c r="I255" s="358"/>
      <c r="J255" s="359" t="str">
        <f>IF(MakeSchedule!B222="","",MakeSchedule!B222)</f>
        <v/>
      </c>
      <c r="K255" s="63">
        <f t="shared" si="69"/>
        <v>7.0032437158915837</v>
      </c>
      <c r="L255" s="63">
        <f t="shared" si="79"/>
        <v>7.0032437158915837</v>
      </c>
      <c r="M255" s="63">
        <f t="shared" si="80"/>
        <v>30.812626535146325</v>
      </c>
      <c r="N255" s="63" t="str">
        <f t="shared" si="70"/>
        <v/>
      </c>
      <c r="O255" s="64">
        <f t="shared" si="81"/>
        <v>0.17290985095779965</v>
      </c>
      <c r="P255" s="63">
        <f t="shared" si="82"/>
        <v>1.1473799126637518</v>
      </c>
      <c r="Q255" s="64">
        <f t="shared" si="71"/>
        <v>1.1473799126637518</v>
      </c>
      <c r="R255" s="63">
        <f t="shared" si="72"/>
        <v>1.1473799126637518</v>
      </c>
      <c r="S255" s="65">
        <f t="shared" si="73"/>
        <v>0.35</v>
      </c>
      <c r="T255" s="65">
        <f t="shared" si="83"/>
        <v>1.2</v>
      </c>
      <c r="U255" s="64">
        <f t="shared" si="84"/>
        <v>1.2</v>
      </c>
      <c r="V255" s="63">
        <f t="shared" si="74"/>
        <v>8.4038924590698993</v>
      </c>
      <c r="W255" s="63" t="str">
        <f t="shared" si="75"/>
        <v/>
      </c>
      <c r="X255" s="63">
        <f t="shared" si="85"/>
        <v>904.70792598066464</v>
      </c>
      <c r="Y255" s="55"/>
      <c r="Z255" s="55"/>
      <c r="AA255" s="55"/>
      <c r="AB255" s="55">
        <f>PMSplint!N256</f>
        <v>7.0032437158915837</v>
      </c>
      <c r="AC255" s="55">
        <f>PMSplint!N256</f>
        <v>7.0032437158915837</v>
      </c>
      <c r="AD255" s="55">
        <f>IF(RnSplint!N256&lt;0,0,RnSplint!N256)</f>
        <v>30.812626535146325</v>
      </c>
      <c r="AE255" s="55">
        <f>IF(RnSplint!N256&lt;0,0,RnSplint!N256)</f>
        <v>30.812626535146325</v>
      </c>
      <c r="AF255" s="30"/>
      <c r="AG255" s="30"/>
      <c r="AH255" s="30"/>
      <c r="AI255" s="55"/>
      <c r="AJ255" s="55"/>
      <c r="AK255" s="55"/>
      <c r="AL255" s="55"/>
      <c r="AM255" s="55"/>
      <c r="AN255" s="55">
        <f t="shared" si="86"/>
        <v>215.78833315237776</v>
      </c>
      <c r="AO255" s="55">
        <f t="shared" si="87"/>
        <v>14.689735639295138</v>
      </c>
      <c r="AP255" s="55">
        <f t="shared" si="88"/>
        <v>0.17290985095779965</v>
      </c>
      <c r="AQ255" s="55"/>
      <c r="AR255" s="55"/>
      <c r="AS255" s="55"/>
      <c r="AT255" s="55"/>
      <c r="AU255" s="30"/>
      <c r="AV255" s="30"/>
      <c r="AW255" s="2"/>
      <c r="AX255" s="2"/>
    </row>
    <row r="256" spans="1:50" x14ac:dyDescent="0.2">
      <c r="A256" s="2"/>
      <c r="B256" s="61">
        <f t="shared" si="76"/>
        <v>41847</v>
      </c>
      <c r="C256" s="62">
        <f t="shared" si="77"/>
        <v>208</v>
      </c>
      <c r="D256" s="63">
        <f t="shared" si="78"/>
        <v>6.9883100900961344</v>
      </c>
      <c r="G256" s="357" t="str">
        <f>IF(MakeSchedule!C223="","",MakeSchedule!C223)</f>
        <v/>
      </c>
      <c r="H256" s="358"/>
      <c r="I256" s="358"/>
      <c r="J256" s="359" t="str">
        <f>IF(MakeSchedule!B223="","",MakeSchedule!B223)</f>
        <v/>
      </c>
      <c r="K256" s="63">
        <f t="shared" si="69"/>
        <v>6.9883100900961344</v>
      </c>
      <c r="L256" s="63">
        <f t="shared" si="79"/>
        <v>6.9883100900961344</v>
      </c>
      <c r="M256" s="63">
        <f t="shared" si="80"/>
        <v>30.804187524736829</v>
      </c>
      <c r="N256" s="63" t="str">
        <f t="shared" si="70"/>
        <v/>
      </c>
      <c r="O256" s="64">
        <f t="shared" si="81"/>
        <v>0.17311821024555121</v>
      </c>
      <c r="P256" s="63">
        <f t="shared" si="82"/>
        <v>1.1473799126637518</v>
      </c>
      <c r="Q256" s="64">
        <f t="shared" si="71"/>
        <v>1.1473799126637518</v>
      </c>
      <c r="R256" s="63">
        <f t="shared" si="72"/>
        <v>1.1473799126637518</v>
      </c>
      <c r="S256" s="65">
        <f t="shared" si="73"/>
        <v>0.35</v>
      </c>
      <c r="T256" s="65">
        <f t="shared" si="83"/>
        <v>1.2</v>
      </c>
      <c r="U256" s="64">
        <f t="shared" si="84"/>
        <v>1.2</v>
      </c>
      <c r="V256" s="63">
        <f t="shared" si="74"/>
        <v>8.3859721081153609</v>
      </c>
      <c r="W256" s="63" t="str">
        <f t="shared" si="75"/>
        <v/>
      </c>
      <c r="X256" s="63">
        <f t="shared" si="85"/>
        <v>913.09389808877995</v>
      </c>
      <c r="Y256" s="55"/>
      <c r="Z256" s="55"/>
      <c r="AA256" s="55"/>
      <c r="AB256" s="55">
        <f>PMSplint!N257</f>
        <v>6.9883100900961344</v>
      </c>
      <c r="AC256" s="55">
        <f>PMSplint!N257</f>
        <v>6.9883100900961344</v>
      </c>
      <c r="AD256" s="55">
        <f>IF(RnSplint!N257&lt;0,0,RnSplint!N257)</f>
        <v>30.804187524736829</v>
      </c>
      <c r="AE256" s="55">
        <f>IF(RnSplint!N257&lt;0,0,RnSplint!N257)</f>
        <v>30.804187524736829</v>
      </c>
      <c r="AF256" s="30"/>
      <c r="AG256" s="30"/>
      <c r="AH256" s="30"/>
      <c r="AI256" s="55"/>
      <c r="AJ256" s="55"/>
      <c r="AK256" s="55"/>
      <c r="AL256" s="55"/>
      <c r="AM256" s="55"/>
      <c r="AN256" s="55">
        <f t="shared" si="86"/>
        <v>215.26921449633184</v>
      </c>
      <c r="AO256" s="55">
        <f t="shared" si="87"/>
        <v>14.67205556479159</v>
      </c>
      <c r="AP256" s="55">
        <f t="shared" si="88"/>
        <v>0.17311821024555121</v>
      </c>
      <c r="AQ256" s="55"/>
      <c r="AR256" s="55"/>
      <c r="AS256" s="55"/>
      <c r="AT256" s="55"/>
      <c r="AU256" s="30"/>
      <c r="AV256" s="30"/>
      <c r="AW256" s="2"/>
      <c r="AX256" s="2"/>
    </row>
    <row r="257" spans="1:50" x14ac:dyDescent="0.2">
      <c r="A257" s="2"/>
      <c r="B257" s="61">
        <f t="shared" si="76"/>
        <v>41848</v>
      </c>
      <c r="C257" s="62">
        <f t="shared" si="77"/>
        <v>209</v>
      </c>
      <c r="D257" s="63">
        <f t="shared" si="78"/>
        <v>6.9725256170349859</v>
      </c>
      <c r="G257" s="357" t="str">
        <f>IF(MakeSchedule!C224="","",MakeSchedule!C224)</f>
        <v/>
      </c>
      <c r="H257" s="358"/>
      <c r="I257" s="358"/>
      <c r="J257" s="359" t="str">
        <f>IF(MakeSchedule!B224="","",MakeSchedule!B224)</f>
        <v/>
      </c>
      <c r="K257" s="63">
        <f t="shared" si="69"/>
        <v>6.9725256170349859</v>
      </c>
      <c r="L257" s="63">
        <f t="shared" si="79"/>
        <v>6.9725256170349859</v>
      </c>
      <c r="M257" s="63">
        <f t="shared" si="80"/>
        <v>30.797918981032041</v>
      </c>
      <c r="N257" s="63" t="str">
        <f t="shared" si="70"/>
        <v/>
      </c>
      <c r="O257" s="64">
        <f t="shared" si="81"/>
        <v>0.17333168992806935</v>
      </c>
      <c r="P257" s="63">
        <f t="shared" si="82"/>
        <v>1.1473799126637518</v>
      </c>
      <c r="Q257" s="64">
        <f t="shared" si="71"/>
        <v>1.1473799126637518</v>
      </c>
      <c r="R257" s="63">
        <f t="shared" si="72"/>
        <v>1.1473799126637518</v>
      </c>
      <c r="S257" s="65">
        <f t="shared" si="73"/>
        <v>0.35</v>
      </c>
      <c r="T257" s="65">
        <f t="shared" si="83"/>
        <v>1.2</v>
      </c>
      <c r="U257" s="64">
        <f t="shared" si="84"/>
        <v>1.2</v>
      </c>
      <c r="V257" s="63">
        <f t="shared" si="74"/>
        <v>8.367030740441983</v>
      </c>
      <c r="W257" s="63" t="str">
        <f t="shared" si="75"/>
        <v/>
      </c>
      <c r="X257" s="63">
        <f t="shared" si="85"/>
        <v>921.46092882922198</v>
      </c>
      <c r="Y257" s="55"/>
      <c r="Z257" s="55"/>
      <c r="AA257" s="55"/>
      <c r="AB257" s="55">
        <f>PMSplint!N258</f>
        <v>6.9725256170349859</v>
      </c>
      <c r="AC257" s="55">
        <f>PMSplint!N258</f>
        <v>6.9725256170349859</v>
      </c>
      <c r="AD257" s="55">
        <f>IF(RnSplint!N258&lt;0,0,RnSplint!N258)</f>
        <v>30.797918981032041</v>
      </c>
      <c r="AE257" s="55">
        <f>IF(RnSplint!N258&lt;0,0,RnSplint!N258)</f>
        <v>30.797918981032041</v>
      </c>
      <c r="AF257" s="30"/>
      <c r="AG257" s="30"/>
      <c r="AH257" s="30"/>
      <c r="AI257" s="55"/>
      <c r="AJ257" s="55"/>
      <c r="AK257" s="55"/>
      <c r="AL257" s="55"/>
      <c r="AM257" s="55"/>
      <c r="AN257" s="55">
        <f t="shared" si="86"/>
        <v>214.73927904661394</v>
      </c>
      <c r="AO257" s="55">
        <f t="shared" si="87"/>
        <v>14.653985090978288</v>
      </c>
      <c r="AP257" s="55">
        <f t="shared" si="88"/>
        <v>0.17333168992806935</v>
      </c>
      <c r="AQ257" s="55"/>
      <c r="AR257" s="55"/>
      <c r="AS257" s="55"/>
      <c r="AT257" s="55"/>
      <c r="AU257" s="30"/>
      <c r="AV257" s="30"/>
      <c r="AW257" s="2"/>
      <c r="AX257" s="2"/>
    </row>
    <row r="258" spans="1:50" x14ac:dyDescent="0.2">
      <c r="A258" s="2"/>
      <c r="B258" s="61">
        <f t="shared" si="76"/>
        <v>41849</v>
      </c>
      <c r="C258" s="62">
        <f t="shared" si="77"/>
        <v>210</v>
      </c>
      <c r="D258" s="63">
        <f t="shared" si="78"/>
        <v>6.9559002628229436</v>
      </c>
      <c r="G258" s="357" t="str">
        <f>IF(MakeSchedule!C225="","",MakeSchedule!C225)</f>
        <v/>
      </c>
      <c r="H258" s="358"/>
      <c r="I258" s="358"/>
      <c r="J258" s="359" t="str">
        <f>IF(MakeSchedule!B225="","",MakeSchedule!B225)</f>
        <v/>
      </c>
      <c r="K258" s="63">
        <f t="shared" si="69"/>
        <v>6.9559002628229436</v>
      </c>
      <c r="L258" s="63">
        <f t="shared" si="79"/>
        <v>6.9559002628229436</v>
      </c>
      <c r="M258" s="63">
        <f t="shared" si="80"/>
        <v>30.793737562398892</v>
      </c>
      <c r="N258" s="63" t="str">
        <f t="shared" si="70"/>
        <v/>
      </c>
      <c r="O258" s="64">
        <f t="shared" si="81"/>
        <v>0.17355048888279748</v>
      </c>
      <c r="P258" s="63">
        <f t="shared" si="82"/>
        <v>1.1473799126637518</v>
      </c>
      <c r="Q258" s="64">
        <f t="shared" si="71"/>
        <v>1.1473799126637518</v>
      </c>
      <c r="R258" s="63">
        <f t="shared" si="72"/>
        <v>1.1473799126637518</v>
      </c>
      <c r="S258" s="65">
        <f t="shared" si="73"/>
        <v>0.35</v>
      </c>
      <c r="T258" s="65">
        <f t="shared" si="83"/>
        <v>1.2</v>
      </c>
      <c r="U258" s="64">
        <f t="shared" si="84"/>
        <v>1.2</v>
      </c>
      <c r="V258" s="63">
        <f t="shared" si="74"/>
        <v>8.3470803153875313</v>
      </c>
      <c r="W258" s="63" t="str">
        <f t="shared" si="75"/>
        <v/>
      </c>
      <c r="X258" s="63">
        <f t="shared" si="85"/>
        <v>929.80800914460951</v>
      </c>
      <c r="Y258" s="55"/>
      <c r="Z258" s="55"/>
      <c r="AA258" s="55"/>
      <c r="AB258" s="55">
        <f>PMSplint!N259</f>
        <v>6.9559002628229436</v>
      </c>
      <c r="AC258" s="55">
        <f>PMSplint!N259</f>
        <v>6.9559002628229436</v>
      </c>
      <c r="AD258" s="55">
        <f>IF(RnSplint!N259&lt;0,0,RnSplint!N259)</f>
        <v>30.793737562398892</v>
      </c>
      <c r="AE258" s="55">
        <f>IF(RnSplint!N259&lt;0,0,RnSplint!N259)</f>
        <v>30.793737562398892</v>
      </c>
      <c r="AF258" s="30"/>
      <c r="AG258" s="30"/>
      <c r="AH258" s="30"/>
      <c r="AI258" s="55"/>
      <c r="AJ258" s="55"/>
      <c r="AK258" s="55"/>
      <c r="AL258" s="55"/>
      <c r="AM258" s="55"/>
      <c r="AN258" s="55">
        <f t="shared" si="86"/>
        <v>214.1981672035912</v>
      </c>
      <c r="AO258" s="55">
        <f t="shared" si="87"/>
        <v>14.635510486607265</v>
      </c>
      <c r="AP258" s="55">
        <f t="shared" si="88"/>
        <v>0.17355048888279748</v>
      </c>
      <c r="AQ258" s="55"/>
      <c r="AR258" s="55"/>
      <c r="AS258" s="55"/>
      <c r="AT258" s="55"/>
      <c r="AU258" s="30"/>
      <c r="AV258" s="30"/>
      <c r="AW258" s="2"/>
      <c r="AX258" s="2"/>
    </row>
    <row r="259" spans="1:50" x14ac:dyDescent="0.2">
      <c r="A259" s="2"/>
      <c r="B259" s="61">
        <f t="shared" si="76"/>
        <v>41850</v>
      </c>
      <c r="C259" s="62">
        <f t="shared" si="77"/>
        <v>211</v>
      </c>
      <c r="D259" s="63">
        <f t="shared" si="78"/>
        <v>6.9384439935748148</v>
      </c>
      <c r="G259" s="357" t="str">
        <f>IF(MakeSchedule!C226="","",MakeSchedule!C226)</f>
        <v/>
      </c>
      <c r="H259" s="358"/>
      <c r="I259" s="358"/>
      <c r="J259" s="359" t="str">
        <f>IF(MakeSchedule!B226="","",MakeSchedule!B226)</f>
        <v/>
      </c>
      <c r="K259" s="63">
        <f t="shared" si="69"/>
        <v>6.9384439935748148</v>
      </c>
      <c r="L259" s="63">
        <f t="shared" si="79"/>
        <v>6.9384439935748148</v>
      </c>
      <c r="M259" s="63">
        <f t="shared" si="80"/>
        <v>30.791559927204318</v>
      </c>
      <c r="N259" s="63" t="str">
        <f t="shared" si="70"/>
        <v/>
      </c>
      <c r="O259" s="64">
        <f t="shared" si="81"/>
        <v>0.1737748120625304</v>
      </c>
      <c r="P259" s="63">
        <f t="shared" si="82"/>
        <v>1.1473799126637518</v>
      </c>
      <c r="Q259" s="64">
        <f t="shared" si="71"/>
        <v>1.1473799126637518</v>
      </c>
      <c r="R259" s="63">
        <f t="shared" si="72"/>
        <v>1.1473799126637518</v>
      </c>
      <c r="S259" s="65">
        <f t="shared" si="73"/>
        <v>0.35</v>
      </c>
      <c r="T259" s="65">
        <f t="shared" si="83"/>
        <v>1.2</v>
      </c>
      <c r="U259" s="64">
        <f t="shared" si="84"/>
        <v>1.2</v>
      </c>
      <c r="V259" s="63">
        <f t="shared" si="74"/>
        <v>8.3261327922897781</v>
      </c>
      <c r="W259" s="63" t="str">
        <f t="shared" si="75"/>
        <v/>
      </c>
      <c r="X259" s="63">
        <f t="shared" si="85"/>
        <v>938.13414193689925</v>
      </c>
      <c r="Y259" s="55"/>
      <c r="Z259" s="55"/>
      <c r="AA259" s="55"/>
      <c r="AB259" s="55">
        <f>PMSplint!N260</f>
        <v>6.9384439935748148</v>
      </c>
      <c r="AC259" s="55">
        <f>PMSplint!N260</f>
        <v>6.9384439935748148</v>
      </c>
      <c r="AD259" s="55">
        <f>IF(RnSplint!N260&lt;0,0,RnSplint!N260)</f>
        <v>30.791559927204318</v>
      </c>
      <c r="AE259" s="55">
        <f>IF(RnSplint!N260&lt;0,0,RnSplint!N260)</f>
        <v>30.791559927204318</v>
      </c>
      <c r="AF259" s="30"/>
      <c r="AG259" s="30"/>
      <c r="AH259" s="30"/>
      <c r="AI259" s="55"/>
      <c r="AJ259" s="55"/>
      <c r="AK259" s="55"/>
      <c r="AL259" s="55"/>
      <c r="AM259" s="55"/>
      <c r="AN259" s="55">
        <f t="shared" si="86"/>
        <v>213.64551402970977</v>
      </c>
      <c r="AO259" s="55">
        <f t="shared" si="87"/>
        <v>14.616617735636032</v>
      </c>
      <c r="AP259" s="55">
        <f t="shared" si="88"/>
        <v>0.1737748120625304</v>
      </c>
      <c r="AQ259" s="55"/>
      <c r="AR259" s="55"/>
      <c r="AS259" s="55"/>
      <c r="AT259" s="55"/>
      <c r="AU259" s="30"/>
      <c r="AV259" s="30"/>
      <c r="AW259" s="2"/>
      <c r="AX259" s="2"/>
    </row>
    <row r="260" spans="1:50" x14ac:dyDescent="0.2">
      <c r="A260" s="2"/>
      <c r="B260" s="61">
        <f t="shared" si="76"/>
        <v>41851</v>
      </c>
      <c r="C260" s="62">
        <f t="shared" si="77"/>
        <v>212</v>
      </c>
      <c r="D260" s="63">
        <f t="shared" si="78"/>
        <v>6.9201667754054093</v>
      </c>
      <c r="G260" s="357" t="str">
        <f>IF(MakeSchedule!C227="","",MakeSchedule!C227)</f>
        <v/>
      </c>
      <c r="H260" s="358"/>
      <c r="I260" s="358"/>
      <c r="J260" s="359" t="str">
        <f>IF(MakeSchedule!B227="","",MakeSchedule!B227)</f>
        <v/>
      </c>
      <c r="K260" s="63">
        <f t="shared" si="69"/>
        <v>6.9201667754054093</v>
      </c>
      <c r="L260" s="63">
        <f t="shared" si="79"/>
        <v>6.9201667754054093</v>
      </c>
      <c r="M260" s="63">
        <f t="shared" si="80"/>
        <v>30.791302733815247</v>
      </c>
      <c r="N260" s="63" t="str">
        <f t="shared" si="70"/>
        <v/>
      </c>
      <c r="O260" s="64">
        <f t="shared" si="81"/>
        <v>0.1740048703659125</v>
      </c>
      <c r="P260" s="63">
        <f t="shared" si="82"/>
        <v>1.1473799126637518</v>
      </c>
      <c r="Q260" s="64">
        <f t="shared" si="71"/>
        <v>1.1473799126637518</v>
      </c>
      <c r="R260" s="63">
        <f t="shared" si="72"/>
        <v>1.1473799126637518</v>
      </c>
      <c r="S260" s="65">
        <f t="shared" si="73"/>
        <v>0.35</v>
      </c>
      <c r="T260" s="65">
        <f t="shared" si="83"/>
        <v>1.2</v>
      </c>
      <c r="U260" s="64">
        <f t="shared" si="84"/>
        <v>1.2</v>
      </c>
      <c r="V260" s="63">
        <f t="shared" si="74"/>
        <v>8.3042001304864907</v>
      </c>
      <c r="W260" s="63" t="str">
        <f t="shared" si="75"/>
        <v/>
      </c>
      <c r="X260" s="63">
        <f t="shared" si="85"/>
        <v>946.43834206738575</v>
      </c>
      <c r="Y260" s="55"/>
      <c r="Z260" s="55"/>
      <c r="AA260" s="55"/>
      <c r="AB260" s="55">
        <f>PMSplint!N261</f>
        <v>6.9201667754054093</v>
      </c>
      <c r="AC260" s="55">
        <f>PMSplint!N261</f>
        <v>6.9201667754054093</v>
      </c>
      <c r="AD260" s="55">
        <f>IF(RnSplint!N261&lt;0,0,RnSplint!N261)</f>
        <v>30.791302733815247</v>
      </c>
      <c r="AE260" s="55">
        <f>IF(RnSplint!N261&lt;0,0,RnSplint!N261)</f>
        <v>30.791302733815247</v>
      </c>
      <c r="AF260" s="30"/>
      <c r="AG260" s="30"/>
      <c r="AH260" s="30"/>
      <c r="AI260" s="55"/>
      <c r="AJ260" s="55"/>
      <c r="AK260" s="55"/>
      <c r="AL260" s="55"/>
      <c r="AM260" s="55"/>
      <c r="AN260" s="55">
        <f t="shared" si="86"/>
        <v>213.08095014999802</v>
      </c>
      <c r="AO260" s="55">
        <f t="shared" si="87"/>
        <v>14.597292562321206</v>
      </c>
      <c r="AP260" s="55">
        <f t="shared" si="88"/>
        <v>0.1740048703659125</v>
      </c>
      <c r="AQ260" s="55"/>
      <c r="AR260" s="55"/>
      <c r="AS260" s="55"/>
      <c r="AT260" s="55"/>
      <c r="AU260" s="30"/>
      <c r="AV260" s="30"/>
      <c r="AW260" s="2"/>
      <c r="AX260" s="2"/>
    </row>
    <row r="261" spans="1:50" x14ac:dyDescent="0.2">
      <c r="A261" s="2"/>
      <c r="B261" s="61">
        <f t="shared" si="76"/>
        <v>41852</v>
      </c>
      <c r="C261" s="62">
        <f t="shared" si="77"/>
        <v>213</v>
      </c>
      <c r="D261" s="63">
        <f t="shared" si="78"/>
        <v>6.9010785744295369</v>
      </c>
      <c r="G261" s="357" t="str">
        <f>IF(MakeSchedule!C228="","",MakeSchedule!C228)</f>
        <v/>
      </c>
      <c r="H261" s="358"/>
      <c r="I261" s="358"/>
      <c r="J261" s="359" t="str">
        <f>IF(MakeSchedule!B228="","",MakeSchedule!B228)</f>
        <v/>
      </c>
      <c r="K261" s="63">
        <f t="shared" si="69"/>
        <v>6.9010785744295369</v>
      </c>
      <c r="L261" s="63">
        <f t="shared" si="79"/>
        <v>6.9010785744295369</v>
      </c>
      <c r="M261" s="63">
        <f t="shared" si="80"/>
        <v>30.792882640598613</v>
      </c>
      <c r="N261" s="63" t="str">
        <f t="shared" si="70"/>
        <v/>
      </c>
      <c r="O261" s="64">
        <f t="shared" si="81"/>
        <v>0.17424088052019709</v>
      </c>
      <c r="P261" s="63">
        <f t="shared" si="82"/>
        <v>1.1473799126637518</v>
      </c>
      <c r="Q261" s="64">
        <f t="shared" si="71"/>
        <v>1.1473799126637518</v>
      </c>
      <c r="R261" s="63">
        <f t="shared" si="72"/>
        <v>1.1473799126637518</v>
      </c>
      <c r="S261" s="65">
        <f t="shared" si="73"/>
        <v>0.35</v>
      </c>
      <c r="T261" s="65">
        <f t="shared" si="83"/>
        <v>1.2</v>
      </c>
      <c r="U261" s="64">
        <f t="shared" si="84"/>
        <v>1.2</v>
      </c>
      <c r="V261" s="63">
        <f t="shared" si="74"/>
        <v>8.2812942893154435</v>
      </c>
      <c r="W261" s="63" t="str">
        <f t="shared" si="75"/>
        <v/>
      </c>
      <c r="X261" s="63">
        <f t="shared" si="85"/>
        <v>954.71963635670124</v>
      </c>
      <c r="Y261" s="55"/>
      <c r="Z261" s="55"/>
      <c r="AA261" s="55"/>
      <c r="AB261" s="55">
        <f>PMSplint!N262</f>
        <v>6.9010785744295369</v>
      </c>
      <c r="AC261" s="55">
        <f>PMSplint!N262</f>
        <v>6.9010785744295369</v>
      </c>
      <c r="AD261" s="55">
        <f>IF(RnSplint!N262&lt;0,0,RnSplint!N262)</f>
        <v>30.792882640598613</v>
      </c>
      <c r="AE261" s="55">
        <f>IF(RnSplint!N262&lt;0,0,RnSplint!N262)</f>
        <v>30.792882640598613</v>
      </c>
      <c r="AF261" s="30"/>
      <c r="AG261" s="30"/>
      <c r="AH261" s="30"/>
      <c r="AI261" s="55"/>
      <c r="AJ261" s="55"/>
      <c r="AK261" s="55"/>
      <c r="AL261" s="55"/>
      <c r="AM261" s="55"/>
      <c r="AN261" s="55">
        <f t="shared" si="86"/>
        <v>212.5041026359583</v>
      </c>
      <c r="AO261" s="55">
        <f t="shared" si="87"/>
        <v>14.577520455686498</v>
      </c>
      <c r="AP261" s="55">
        <f t="shared" si="88"/>
        <v>0.17424088052019709</v>
      </c>
      <c r="AQ261" s="55"/>
      <c r="AR261" s="55"/>
      <c r="AS261" s="55"/>
      <c r="AT261" s="55"/>
      <c r="AU261" s="30"/>
      <c r="AV261" s="30"/>
      <c r="AW261" s="2"/>
      <c r="AX261" s="2"/>
    </row>
    <row r="262" spans="1:50" x14ac:dyDescent="0.2">
      <c r="A262" s="2"/>
      <c r="B262" s="61">
        <f t="shared" si="76"/>
        <v>41853</v>
      </c>
      <c r="C262" s="62">
        <f t="shared" si="77"/>
        <v>214</v>
      </c>
      <c r="D262" s="63">
        <f t="shared" si="78"/>
        <v>6.8811893567620013</v>
      </c>
      <c r="G262" s="357" t="str">
        <f>IF(MakeSchedule!C229="","",MakeSchedule!C229)</f>
        <v/>
      </c>
      <c r="H262" s="358"/>
      <c r="I262" s="358"/>
      <c r="J262" s="359" t="str">
        <f>IF(MakeSchedule!B229="","",MakeSchedule!B229)</f>
        <v/>
      </c>
      <c r="K262" s="63">
        <f t="shared" si="69"/>
        <v>6.8811893567620013</v>
      </c>
      <c r="L262" s="63">
        <f t="shared" si="79"/>
        <v>6.8811893567620013</v>
      </c>
      <c r="M262" s="63">
        <f t="shared" si="80"/>
        <v>30.796216305921345</v>
      </c>
      <c r="N262" s="63" t="str">
        <f t="shared" si="70"/>
        <v/>
      </c>
      <c r="O262" s="64">
        <f t="shared" si="81"/>
        <v>0.17448306497649371</v>
      </c>
      <c r="P262" s="63">
        <f t="shared" si="82"/>
        <v>1.1473799126637518</v>
      </c>
      <c r="Q262" s="64">
        <f t="shared" si="71"/>
        <v>1.1473799126637518</v>
      </c>
      <c r="R262" s="63">
        <f t="shared" si="72"/>
        <v>1.1473799126637518</v>
      </c>
      <c r="S262" s="65">
        <f t="shared" si="73"/>
        <v>0.35</v>
      </c>
      <c r="T262" s="65">
        <f t="shared" si="83"/>
        <v>1.2</v>
      </c>
      <c r="U262" s="64">
        <f t="shared" si="84"/>
        <v>1.2</v>
      </c>
      <c r="V262" s="63">
        <f t="shared" si="74"/>
        <v>8.2574272281144019</v>
      </c>
      <c r="W262" s="63" t="str">
        <f t="shared" si="75"/>
        <v/>
      </c>
      <c r="X262" s="63">
        <f t="shared" si="85"/>
        <v>962.9770635848156</v>
      </c>
      <c r="Y262" s="55"/>
      <c r="Z262" s="55"/>
      <c r="AA262" s="55"/>
      <c r="AB262" s="55">
        <f>PMSplint!N263</f>
        <v>6.8811893567620013</v>
      </c>
      <c r="AC262" s="55">
        <f>PMSplint!N263</f>
        <v>6.8811893567620013</v>
      </c>
      <c r="AD262" s="55">
        <f>IF(RnSplint!N263&lt;0,0,RnSplint!N263)</f>
        <v>30.796216305921345</v>
      </c>
      <c r="AE262" s="55">
        <f>IF(RnSplint!N263&lt;0,0,RnSplint!N263)</f>
        <v>30.796216305921345</v>
      </c>
      <c r="AF262" s="30"/>
      <c r="AG262" s="30"/>
      <c r="AH262" s="30"/>
      <c r="AI262" s="55"/>
      <c r="AJ262" s="55"/>
      <c r="AK262" s="55"/>
      <c r="AL262" s="55"/>
      <c r="AM262" s="55"/>
      <c r="AN262" s="55">
        <f t="shared" si="86"/>
        <v>211.91459587284635</v>
      </c>
      <c r="AO262" s="55">
        <f t="shared" si="87"/>
        <v>14.557286693365846</v>
      </c>
      <c r="AP262" s="55">
        <f t="shared" si="88"/>
        <v>0.17448306497649371</v>
      </c>
      <c r="AQ262" s="55"/>
      <c r="AR262" s="55"/>
      <c r="AS262" s="55"/>
      <c r="AT262" s="55"/>
      <c r="AU262" s="30"/>
      <c r="AV262" s="30"/>
      <c r="AW262" s="2"/>
      <c r="AX262" s="2"/>
    </row>
    <row r="263" spans="1:50" x14ac:dyDescent="0.2">
      <c r="A263" s="2"/>
      <c r="B263" s="61">
        <f t="shared" si="76"/>
        <v>41854</v>
      </c>
      <c r="C263" s="62">
        <f t="shared" si="77"/>
        <v>215</v>
      </c>
      <c r="D263" s="63">
        <f t="shared" si="78"/>
        <v>6.8605090885176132</v>
      </c>
      <c r="G263" s="357" t="str">
        <f>IF(MakeSchedule!C230="","",MakeSchedule!C230)</f>
        <v/>
      </c>
      <c r="H263" s="358"/>
      <c r="I263" s="358"/>
      <c r="J263" s="359" t="str">
        <f>IF(MakeSchedule!B230="","",MakeSchedule!B230)</f>
        <v/>
      </c>
      <c r="K263" s="63">
        <f t="shared" si="69"/>
        <v>6.8605090885176132</v>
      </c>
      <c r="L263" s="63">
        <f t="shared" si="79"/>
        <v>6.8605090885176132</v>
      </c>
      <c r="M263" s="63">
        <f t="shared" si="80"/>
        <v>30.801220388150377</v>
      </c>
      <c r="N263" s="63" t="str">
        <f t="shared" si="70"/>
        <v/>
      </c>
      <c r="O263" s="64">
        <f t="shared" si="81"/>
        <v>0.17473165181771969</v>
      </c>
      <c r="P263" s="63">
        <f t="shared" si="82"/>
        <v>1.1473799126637518</v>
      </c>
      <c r="Q263" s="64">
        <f t="shared" si="71"/>
        <v>1.1473799126637518</v>
      </c>
      <c r="R263" s="63">
        <f t="shared" si="72"/>
        <v>1.1473799126637518</v>
      </c>
      <c r="S263" s="65">
        <f t="shared" si="73"/>
        <v>0.35</v>
      </c>
      <c r="T263" s="65">
        <f t="shared" si="83"/>
        <v>1.2</v>
      </c>
      <c r="U263" s="64">
        <f t="shared" si="84"/>
        <v>1.2</v>
      </c>
      <c r="V263" s="63">
        <f t="shared" si="74"/>
        <v>8.2326109062211348</v>
      </c>
      <c r="W263" s="63" t="str">
        <f t="shared" si="75"/>
        <v/>
      </c>
      <c r="X263" s="63">
        <f t="shared" si="85"/>
        <v>971.20967449103671</v>
      </c>
      <c r="Y263" s="55"/>
      <c r="Z263" s="55"/>
      <c r="AA263" s="55"/>
      <c r="AB263" s="55">
        <f>PMSplint!N264</f>
        <v>6.8605090885176132</v>
      </c>
      <c r="AC263" s="55">
        <f>PMSplint!N264</f>
        <v>6.8605090885176132</v>
      </c>
      <c r="AD263" s="55">
        <f>IF(RnSplint!N264&lt;0,0,RnSplint!N264)</f>
        <v>30.801220388150377</v>
      </c>
      <c r="AE263" s="55">
        <f>IF(RnSplint!N264&lt;0,0,RnSplint!N264)</f>
        <v>30.801220388150377</v>
      </c>
      <c r="AF263" s="30"/>
      <c r="AG263" s="30"/>
      <c r="AH263" s="30"/>
      <c r="AI263" s="55"/>
      <c r="AJ263" s="55"/>
      <c r="AK263" s="55"/>
      <c r="AL263" s="55"/>
      <c r="AM263" s="55"/>
      <c r="AN263" s="55">
        <f t="shared" si="86"/>
        <v>211.31205241033967</v>
      </c>
      <c r="AO263" s="55">
        <f t="shared" si="87"/>
        <v>14.53657636482331</v>
      </c>
      <c r="AP263" s="55">
        <f t="shared" si="88"/>
        <v>0.17473165181771969</v>
      </c>
      <c r="AQ263" s="55"/>
      <c r="AR263" s="55"/>
      <c r="AS263" s="55"/>
      <c r="AT263" s="55"/>
      <c r="AU263" s="30"/>
      <c r="AV263" s="30"/>
      <c r="AW263" s="2"/>
      <c r="AX263" s="2"/>
    </row>
    <row r="264" spans="1:50" x14ac:dyDescent="0.2">
      <c r="A264" s="2"/>
      <c r="B264" s="61">
        <f t="shared" si="76"/>
        <v>41855</v>
      </c>
      <c r="C264" s="62">
        <f t="shared" si="77"/>
        <v>216</v>
      </c>
      <c r="D264" s="63">
        <f t="shared" si="78"/>
        <v>6.8390477358111816</v>
      </c>
      <c r="G264" s="357" t="str">
        <f>IF(MakeSchedule!C231="","",MakeSchedule!C231)</f>
        <v/>
      </c>
      <c r="H264" s="358"/>
      <c r="I264" s="358"/>
      <c r="J264" s="359" t="str">
        <f>IF(MakeSchedule!B231="","",MakeSchedule!B231)</f>
        <v/>
      </c>
      <c r="K264" s="63">
        <f t="shared" si="69"/>
        <v>6.8390477358111816</v>
      </c>
      <c r="L264" s="63">
        <f t="shared" si="79"/>
        <v>6.8390477358111816</v>
      </c>
      <c r="M264" s="63">
        <f t="shared" si="80"/>
        <v>30.80781154565264</v>
      </c>
      <c r="N264" s="63" t="str">
        <f t="shared" si="70"/>
        <v/>
      </c>
      <c r="O264" s="64">
        <f t="shared" si="81"/>
        <v>0.17498687467946714</v>
      </c>
      <c r="P264" s="63">
        <f t="shared" si="82"/>
        <v>1.1473799126637518</v>
      </c>
      <c r="Q264" s="64">
        <f t="shared" si="71"/>
        <v>1.1473799126637518</v>
      </c>
      <c r="R264" s="63">
        <f t="shared" si="72"/>
        <v>1.1473799126637518</v>
      </c>
      <c r="S264" s="65">
        <f t="shared" si="73"/>
        <v>0.35</v>
      </c>
      <c r="T264" s="65">
        <f t="shared" si="83"/>
        <v>1.2</v>
      </c>
      <c r="U264" s="64">
        <f t="shared" si="84"/>
        <v>1.2</v>
      </c>
      <c r="V264" s="63">
        <f t="shared" si="74"/>
        <v>8.2068572829734183</v>
      </c>
      <c r="W264" s="63" t="str">
        <f t="shared" si="75"/>
        <v/>
      </c>
      <c r="X264" s="63">
        <f t="shared" si="85"/>
        <v>979.41653177401008</v>
      </c>
      <c r="Y264" s="55"/>
      <c r="Z264" s="55"/>
      <c r="AA264" s="55"/>
      <c r="AB264" s="55">
        <f>PMSplint!N265</f>
        <v>6.8390477358111816</v>
      </c>
      <c r="AC264" s="55">
        <f>PMSplint!N265</f>
        <v>6.8390477358111816</v>
      </c>
      <c r="AD264" s="55">
        <f>IF(RnSplint!N265&lt;0,0,RnSplint!N265)</f>
        <v>30.80781154565264</v>
      </c>
      <c r="AE264" s="55">
        <f>IF(RnSplint!N265&lt;0,0,RnSplint!N265)</f>
        <v>30.80781154565264</v>
      </c>
      <c r="AF264" s="30"/>
      <c r="AG264" s="30"/>
      <c r="AH264" s="30"/>
      <c r="AI264" s="55"/>
      <c r="AJ264" s="55"/>
      <c r="AK264" s="55"/>
      <c r="AL264" s="55"/>
      <c r="AM264" s="55"/>
      <c r="AN264" s="55">
        <f t="shared" si="86"/>
        <v>210.69609379659326</v>
      </c>
      <c r="AO264" s="55">
        <f t="shared" si="87"/>
        <v>14.515374393951857</v>
      </c>
      <c r="AP264" s="55">
        <f t="shared" si="88"/>
        <v>0.17498687467946714</v>
      </c>
      <c r="AQ264" s="55"/>
      <c r="AR264" s="55"/>
      <c r="AS264" s="55"/>
      <c r="AT264" s="55"/>
      <c r="AU264" s="30"/>
      <c r="AV264" s="30"/>
      <c r="AW264" s="2"/>
      <c r="AX264" s="2"/>
    </row>
    <row r="265" spans="1:50" x14ac:dyDescent="0.2">
      <c r="A265" s="2"/>
      <c r="B265" s="61">
        <f t="shared" si="76"/>
        <v>41856</v>
      </c>
      <c r="C265" s="62">
        <f t="shared" si="77"/>
        <v>217</v>
      </c>
      <c r="D265" s="63">
        <f t="shared" si="78"/>
        <v>6.8168152647575129</v>
      </c>
      <c r="G265" s="357" t="str">
        <f>IF(MakeSchedule!C232="","",MakeSchedule!C232)</f>
        <v/>
      </c>
      <c r="H265" s="358"/>
      <c r="I265" s="358"/>
      <c r="J265" s="359" t="str">
        <f>IF(MakeSchedule!B232="","",MakeSchedule!B232)</f>
        <v/>
      </c>
      <c r="K265" s="63">
        <f t="shared" si="69"/>
        <v>6.8168152647575129</v>
      </c>
      <c r="L265" s="63">
        <f t="shared" si="79"/>
        <v>6.8168152647575129</v>
      </c>
      <c r="M265" s="63">
        <f t="shared" si="80"/>
        <v>30.815906436795068</v>
      </c>
      <c r="N265" s="63" t="str">
        <f t="shared" si="70"/>
        <v/>
      </c>
      <c r="O265" s="64">
        <f t="shared" si="81"/>
        <v>0.17524897268398684</v>
      </c>
      <c r="P265" s="63">
        <f t="shared" si="82"/>
        <v>1.1473799126637518</v>
      </c>
      <c r="Q265" s="64">
        <f t="shared" si="71"/>
        <v>1.1473799126637518</v>
      </c>
      <c r="R265" s="63">
        <f t="shared" si="72"/>
        <v>1.1473799126637518</v>
      </c>
      <c r="S265" s="65">
        <f t="shared" si="73"/>
        <v>0.35</v>
      </c>
      <c r="T265" s="65">
        <f t="shared" si="83"/>
        <v>1.2</v>
      </c>
      <c r="U265" s="64">
        <f t="shared" si="84"/>
        <v>1.2</v>
      </c>
      <c r="V265" s="63">
        <f t="shared" si="74"/>
        <v>8.1801783177090144</v>
      </c>
      <c r="W265" s="63" t="str">
        <f t="shared" si="75"/>
        <v/>
      </c>
      <c r="X265" s="63">
        <f t="shared" si="85"/>
        <v>987.59671009171905</v>
      </c>
      <c r="Y265" s="55"/>
      <c r="Z265" s="55"/>
      <c r="AA265" s="55"/>
      <c r="AB265" s="55">
        <f>PMSplint!N266</f>
        <v>6.8168152647575129</v>
      </c>
      <c r="AC265" s="55">
        <f>PMSplint!N266</f>
        <v>6.8168152647575129</v>
      </c>
      <c r="AD265" s="55">
        <f>IF(RnSplint!N266&lt;0,0,RnSplint!N266)</f>
        <v>30.815906436795068</v>
      </c>
      <c r="AE265" s="55">
        <f>IF(RnSplint!N266&lt;0,0,RnSplint!N266)</f>
        <v>30.815906436795068</v>
      </c>
      <c r="AF265" s="30"/>
      <c r="AG265" s="30"/>
      <c r="AH265" s="30"/>
      <c r="AI265" s="55"/>
      <c r="AJ265" s="55"/>
      <c r="AK265" s="55"/>
      <c r="AL265" s="55"/>
      <c r="AM265" s="55"/>
      <c r="AN265" s="55">
        <f t="shared" si="86"/>
        <v>210.06634139568391</v>
      </c>
      <c r="AO265" s="55">
        <f t="shared" si="87"/>
        <v>14.493665561054039</v>
      </c>
      <c r="AP265" s="55">
        <f t="shared" si="88"/>
        <v>0.17524897268398684</v>
      </c>
      <c r="AQ265" s="55"/>
      <c r="AR265" s="55"/>
      <c r="AS265" s="55"/>
      <c r="AT265" s="55"/>
      <c r="AU265" s="30"/>
      <c r="AV265" s="30"/>
      <c r="AW265" s="2"/>
      <c r="AX265" s="2"/>
    </row>
    <row r="266" spans="1:50" x14ac:dyDescent="0.2">
      <c r="A266" s="2"/>
      <c r="B266" s="61">
        <f t="shared" si="76"/>
        <v>41857</v>
      </c>
      <c r="C266" s="62">
        <f t="shared" si="77"/>
        <v>218</v>
      </c>
      <c r="D266" s="63">
        <f t="shared" si="78"/>
        <v>6.7938216414714168</v>
      </c>
      <c r="G266" s="357" t="str">
        <f>IF(MakeSchedule!C233="","",MakeSchedule!C233)</f>
        <v/>
      </c>
      <c r="H266" s="358"/>
      <c r="I266" s="358"/>
      <c r="J266" s="359" t="str">
        <f>IF(MakeSchedule!B233="","",MakeSchedule!B233)</f>
        <v/>
      </c>
      <c r="K266" s="63">
        <f t="shared" si="69"/>
        <v>6.7938216414714168</v>
      </c>
      <c r="L266" s="63">
        <f t="shared" si="79"/>
        <v>6.7938216414714168</v>
      </c>
      <c r="M266" s="63">
        <f t="shared" si="80"/>
        <v>30.82542171994459</v>
      </c>
      <c r="N266" s="63" t="str">
        <f t="shared" si="70"/>
        <v/>
      </c>
      <c r="O266" s="64">
        <f t="shared" si="81"/>
        <v>0.17551819038748612</v>
      </c>
      <c r="P266" s="63">
        <f t="shared" si="82"/>
        <v>1.1473799126637518</v>
      </c>
      <c r="Q266" s="64">
        <f t="shared" si="71"/>
        <v>1.1473799126637518</v>
      </c>
      <c r="R266" s="63">
        <f t="shared" si="72"/>
        <v>1.1473799126637518</v>
      </c>
      <c r="S266" s="65">
        <f t="shared" si="73"/>
        <v>0.35</v>
      </c>
      <c r="T266" s="65">
        <f t="shared" si="83"/>
        <v>1.2</v>
      </c>
      <c r="U266" s="64">
        <f t="shared" si="84"/>
        <v>1.2</v>
      </c>
      <c r="V266" s="63">
        <f t="shared" si="74"/>
        <v>8.152585969765699</v>
      </c>
      <c r="W266" s="63" t="str">
        <f t="shared" si="75"/>
        <v/>
      </c>
      <c r="X266" s="63">
        <f t="shared" si="85"/>
        <v>995.74929606148476</v>
      </c>
      <c r="Y266" s="55"/>
      <c r="Z266" s="55"/>
      <c r="AA266" s="55"/>
      <c r="AB266" s="55">
        <f>PMSplint!N267</f>
        <v>6.7938216414714168</v>
      </c>
      <c r="AC266" s="55">
        <f>PMSplint!N267</f>
        <v>6.7938216414714168</v>
      </c>
      <c r="AD266" s="55">
        <f>IF(RnSplint!N267&lt;0,0,RnSplint!N267)</f>
        <v>30.82542171994459</v>
      </c>
      <c r="AE266" s="55">
        <f>IF(RnSplint!N267&lt;0,0,RnSplint!N267)</f>
        <v>30.82542171994459</v>
      </c>
      <c r="AF266" s="30"/>
      <c r="AG266" s="30"/>
      <c r="AH266" s="30"/>
      <c r="AI266" s="55"/>
      <c r="AJ266" s="55"/>
      <c r="AK266" s="55"/>
      <c r="AL266" s="55"/>
      <c r="AM266" s="55"/>
      <c r="AN266" s="55">
        <f t="shared" si="86"/>
        <v>209.42241718844261</v>
      </c>
      <c r="AO266" s="55">
        <f t="shared" si="87"/>
        <v>14.471434524208117</v>
      </c>
      <c r="AP266" s="55">
        <f t="shared" si="88"/>
        <v>0.17551819038748612</v>
      </c>
      <c r="AQ266" s="55"/>
      <c r="AR266" s="55"/>
      <c r="AS266" s="55"/>
      <c r="AT266" s="55"/>
      <c r="AU266" s="30"/>
      <c r="AV266" s="30"/>
      <c r="AW266" s="2"/>
      <c r="AX266" s="2"/>
    </row>
    <row r="267" spans="1:50" x14ac:dyDescent="0.2">
      <c r="A267" s="2"/>
      <c r="B267" s="61">
        <f t="shared" si="76"/>
        <v>41858</v>
      </c>
      <c r="C267" s="62">
        <f t="shared" si="77"/>
        <v>219</v>
      </c>
      <c r="D267" s="63">
        <f t="shared" si="78"/>
        <v>6.7700768320676987</v>
      </c>
      <c r="G267" s="357" t="str">
        <f>IF(MakeSchedule!C234="","",MakeSchedule!C234)</f>
        <v/>
      </c>
      <c r="H267" s="358"/>
      <c r="I267" s="358"/>
      <c r="J267" s="359" t="str">
        <f>IF(MakeSchedule!B234="","",MakeSchedule!B234)</f>
        <v/>
      </c>
      <c r="K267" s="63">
        <f t="shared" si="69"/>
        <v>6.7700768320676987</v>
      </c>
      <c r="L267" s="63">
        <f t="shared" si="79"/>
        <v>6.7700768320676987</v>
      </c>
      <c r="M267" s="63">
        <f t="shared" si="80"/>
        <v>30.836274053468134</v>
      </c>
      <c r="N267" s="63" t="str">
        <f t="shared" si="70"/>
        <v/>
      </c>
      <c r="O267" s="64">
        <f t="shared" si="81"/>
        <v>0.17579477774093155</v>
      </c>
      <c r="P267" s="63">
        <f t="shared" si="82"/>
        <v>1.1473799126637518</v>
      </c>
      <c r="Q267" s="64">
        <f t="shared" si="71"/>
        <v>1.1473799126637518</v>
      </c>
      <c r="R267" s="63">
        <f t="shared" si="72"/>
        <v>1.1473799126637518</v>
      </c>
      <c r="S267" s="65">
        <f t="shared" si="73"/>
        <v>0.35</v>
      </c>
      <c r="T267" s="65">
        <f t="shared" si="83"/>
        <v>1.2</v>
      </c>
      <c r="U267" s="64">
        <f t="shared" si="84"/>
        <v>1.2</v>
      </c>
      <c r="V267" s="63">
        <f t="shared" si="74"/>
        <v>8.1240921984812378</v>
      </c>
      <c r="W267" s="63" t="str">
        <f t="shared" si="75"/>
        <v/>
      </c>
      <c r="X267" s="63">
        <f t="shared" si="85"/>
        <v>1003.873388259966</v>
      </c>
      <c r="Y267" s="55"/>
      <c r="Z267" s="55"/>
      <c r="AA267" s="55"/>
      <c r="AB267" s="55">
        <f>PMSplint!N268</f>
        <v>6.7700768320676987</v>
      </c>
      <c r="AC267" s="55">
        <f>PMSplint!N268</f>
        <v>6.7700768320676987</v>
      </c>
      <c r="AD267" s="55">
        <f>IF(RnSplint!N268&lt;0,0,RnSplint!N268)</f>
        <v>30.836274053468134</v>
      </c>
      <c r="AE267" s="55">
        <f>IF(RnSplint!N268&lt;0,0,RnSplint!N268)</f>
        <v>30.836274053468134</v>
      </c>
      <c r="AF267" s="30"/>
      <c r="AG267" s="30"/>
      <c r="AH267" s="30"/>
      <c r="AI267" s="55"/>
      <c r="AJ267" s="55"/>
      <c r="AK267" s="55"/>
      <c r="AL267" s="55"/>
      <c r="AM267" s="55"/>
      <c r="AN267" s="55">
        <f t="shared" si="86"/>
        <v>208.76394455667491</v>
      </c>
      <c r="AO267" s="55">
        <f t="shared" si="87"/>
        <v>14.448665840023947</v>
      </c>
      <c r="AP267" s="55">
        <f t="shared" si="88"/>
        <v>0.17579477774093155</v>
      </c>
      <c r="AQ267" s="55"/>
      <c r="AR267" s="55"/>
      <c r="AS267" s="55"/>
      <c r="AT267" s="55"/>
      <c r="AU267" s="30"/>
      <c r="AV267" s="30"/>
      <c r="AW267" s="2"/>
      <c r="AX267" s="2"/>
    </row>
    <row r="268" spans="1:50" x14ac:dyDescent="0.2">
      <c r="A268" s="2"/>
      <c r="B268" s="61">
        <f t="shared" si="76"/>
        <v>41859</v>
      </c>
      <c r="C268" s="62">
        <f t="shared" si="77"/>
        <v>220</v>
      </c>
      <c r="D268" s="63">
        <f t="shared" si="78"/>
        <v>6.7455908026611704</v>
      </c>
      <c r="G268" s="357" t="str">
        <f>IF(MakeSchedule!C235="","",MakeSchedule!C235)</f>
        <v/>
      </c>
      <c r="H268" s="358"/>
      <c r="I268" s="358"/>
      <c r="J268" s="359" t="str">
        <f>IF(MakeSchedule!B235="","",MakeSchedule!B235)</f>
        <v/>
      </c>
      <c r="K268" s="63">
        <f t="shared" si="69"/>
        <v>6.7455908026611704</v>
      </c>
      <c r="L268" s="63">
        <f t="shared" si="79"/>
        <v>6.7455908026611704</v>
      </c>
      <c r="M268" s="63">
        <f t="shared" si="80"/>
        <v>30.84838009573264</v>
      </c>
      <c r="N268" s="63" t="str">
        <f t="shared" si="70"/>
        <v/>
      </c>
      <c r="O268" s="64">
        <f t="shared" si="81"/>
        <v>0.1760789900645425</v>
      </c>
      <c r="P268" s="63">
        <f t="shared" si="82"/>
        <v>1.1473799126637518</v>
      </c>
      <c r="Q268" s="64">
        <f t="shared" si="71"/>
        <v>1.1473799126637518</v>
      </c>
      <c r="R268" s="63">
        <f t="shared" si="72"/>
        <v>1.1473799126637518</v>
      </c>
      <c r="S268" s="65">
        <f t="shared" si="73"/>
        <v>0.35</v>
      </c>
      <c r="T268" s="65">
        <f t="shared" si="83"/>
        <v>1.2</v>
      </c>
      <c r="U268" s="64">
        <f t="shared" si="84"/>
        <v>1.2</v>
      </c>
      <c r="V268" s="63">
        <f t="shared" si="74"/>
        <v>8.0947089631934048</v>
      </c>
      <c r="W268" s="63" t="str">
        <f t="shared" si="75"/>
        <v/>
      </c>
      <c r="X268" s="63">
        <f t="shared" si="85"/>
        <v>1011.9680972231594</v>
      </c>
      <c r="Y268" s="55"/>
      <c r="Z268" s="55"/>
      <c r="AA268" s="55"/>
      <c r="AB268" s="55">
        <f>PMSplint!N269</f>
        <v>6.7455908026611704</v>
      </c>
      <c r="AC268" s="55">
        <f>PMSplint!N269</f>
        <v>6.7455908026611704</v>
      </c>
      <c r="AD268" s="55">
        <f>IF(RnSplint!N269&lt;0,0,RnSplint!N269)</f>
        <v>30.84838009573264</v>
      </c>
      <c r="AE268" s="55">
        <f>IF(RnSplint!N269&lt;0,0,RnSplint!N269)</f>
        <v>30.84838009573264</v>
      </c>
      <c r="AF268" s="30"/>
      <c r="AG268" s="30"/>
      <c r="AH268" s="30"/>
      <c r="AI268" s="55"/>
      <c r="AJ268" s="55"/>
      <c r="AK268" s="55"/>
      <c r="AL268" s="55"/>
      <c r="AM268" s="55"/>
      <c r="AN268" s="55">
        <f t="shared" si="86"/>
        <v>208.09054905077002</v>
      </c>
      <c r="AO268" s="55">
        <f t="shared" si="87"/>
        <v>14.425343983793594</v>
      </c>
      <c r="AP268" s="55">
        <f t="shared" si="88"/>
        <v>0.1760789900645425</v>
      </c>
      <c r="AQ268" s="55"/>
      <c r="AR268" s="55"/>
      <c r="AS268" s="55"/>
      <c r="AT268" s="55"/>
      <c r="AU268" s="30"/>
      <c r="AV268" s="30"/>
      <c r="AW268" s="2"/>
      <c r="AX268" s="2"/>
    </row>
    <row r="269" spans="1:50" x14ac:dyDescent="0.2">
      <c r="A269" s="2"/>
      <c r="B269" s="61">
        <f t="shared" si="76"/>
        <v>41860</v>
      </c>
      <c r="C269" s="62">
        <f t="shared" si="77"/>
        <v>221</v>
      </c>
      <c r="D269" s="63">
        <f t="shared" si="78"/>
        <v>6.7203735193666381</v>
      </c>
      <c r="G269" s="357" t="str">
        <f>IF(MakeSchedule!C236="","",MakeSchedule!C236)</f>
        <v/>
      </c>
      <c r="H269" s="358"/>
      <c r="I269" s="358"/>
      <c r="J269" s="359" t="str">
        <f>IF(MakeSchedule!B236="","",MakeSchedule!B236)</f>
        <v/>
      </c>
      <c r="K269" s="63">
        <f t="shared" si="69"/>
        <v>6.7203735193666381</v>
      </c>
      <c r="L269" s="63">
        <f t="shared" si="79"/>
        <v>6.7203735193666381</v>
      </c>
      <c r="M269" s="63">
        <f t="shared" si="80"/>
        <v>30.861656505105032</v>
      </c>
      <c r="N269" s="63" t="str">
        <f t="shared" si="70"/>
        <v/>
      </c>
      <c r="O269" s="64">
        <f t="shared" si="81"/>
        <v>0.17637108803616031</v>
      </c>
      <c r="P269" s="63">
        <f t="shared" si="82"/>
        <v>1.1473799126637518</v>
      </c>
      <c r="Q269" s="64">
        <f t="shared" si="71"/>
        <v>1.1473799126637518</v>
      </c>
      <c r="R269" s="63">
        <f t="shared" si="72"/>
        <v>1.1473799126637518</v>
      </c>
      <c r="S269" s="65">
        <f t="shared" si="73"/>
        <v>0.35</v>
      </c>
      <c r="T269" s="65">
        <f t="shared" si="83"/>
        <v>1.2</v>
      </c>
      <c r="U269" s="64">
        <f t="shared" si="84"/>
        <v>1.2</v>
      </c>
      <c r="V269" s="63">
        <f t="shared" si="74"/>
        <v>8.0644482232399657</v>
      </c>
      <c r="W269" s="63" t="str">
        <f t="shared" si="75"/>
        <v/>
      </c>
      <c r="X269" s="63">
        <f t="shared" si="85"/>
        <v>1020.0325454463994</v>
      </c>
      <c r="Y269" s="55"/>
      <c r="Z269" s="55"/>
      <c r="AA269" s="55"/>
      <c r="AB269" s="55">
        <f>PMSplint!N270</f>
        <v>6.7203735193666381</v>
      </c>
      <c r="AC269" s="55">
        <f>PMSplint!N270</f>
        <v>6.7203735193666381</v>
      </c>
      <c r="AD269" s="55">
        <f>IF(RnSplint!N270&lt;0,0,RnSplint!N270)</f>
        <v>30.861656505105032</v>
      </c>
      <c r="AE269" s="55">
        <f>IF(RnSplint!N270&lt;0,0,RnSplint!N270)</f>
        <v>30.861656505105032</v>
      </c>
      <c r="AF269" s="30"/>
      <c r="AG269" s="30"/>
      <c r="AH269" s="30"/>
      <c r="AI269" s="55"/>
      <c r="AJ269" s="55"/>
      <c r="AK269" s="55"/>
      <c r="AL269" s="55"/>
      <c r="AM269" s="55"/>
      <c r="AN269" s="55">
        <f t="shared" si="86"/>
        <v>207.40185914069701</v>
      </c>
      <c r="AO269" s="55">
        <f t="shared" si="87"/>
        <v>14.401453369042203</v>
      </c>
      <c r="AP269" s="55">
        <f t="shared" si="88"/>
        <v>0.17637108803616031</v>
      </c>
      <c r="AQ269" s="55"/>
      <c r="AR269" s="55"/>
      <c r="AS269" s="55"/>
      <c r="AT269" s="55"/>
      <c r="AU269" s="30"/>
      <c r="AV269" s="30"/>
      <c r="AW269" s="2"/>
      <c r="AX269" s="2"/>
    </row>
    <row r="270" spans="1:50" x14ac:dyDescent="0.2">
      <c r="A270" s="2"/>
      <c r="B270" s="61">
        <f t="shared" si="76"/>
        <v>41861</v>
      </c>
      <c r="C270" s="62">
        <f t="shared" si="77"/>
        <v>222</v>
      </c>
      <c r="D270" s="63">
        <f t="shared" si="78"/>
        <v>6.6944349482989081</v>
      </c>
      <c r="G270" s="357" t="str">
        <f>IF(MakeSchedule!C237="","",MakeSchedule!C237)</f>
        <v/>
      </c>
      <c r="H270" s="358"/>
      <c r="I270" s="358"/>
      <c r="J270" s="359" t="str">
        <f>IF(MakeSchedule!B237="","",MakeSchedule!B237)</f>
        <v/>
      </c>
      <c r="K270" s="63">
        <f t="shared" si="69"/>
        <v>6.6944349482989081</v>
      </c>
      <c r="L270" s="63">
        <f t="shared" si="79"/>
        <v>6.6944349482989081</v>
      </c>
      <c r="M270" s="63">
        <f t="shared" si="80"/>
        <v>30.876019939952247</v>
      </c>
      <c r="N270" s="63" t="str">
        <f t="shared" si="70"/>
        <v/>
      </c>
      <c r="O270" s="64">
        <f t="shared" si="81"/>
        <v>0.17667133769367441</v>
      </c>
      <c r="P270" s="63">
        <f t="shared" si="82"/>
        <v>1.1473799126637518</v>
      </c>
      <c r="Q270" s="64">
        <f t="shared" si="71"/>
        <v>1.1473799126637518</v>
      </c>
      <c r="R270" s="63">
        <f t="shared" si="72"/>
        <v>1.1473799126637518</v>
      </c>
      <c r="S270" s="65">
        <f t="shared" si="73"/>
        <v>0.35</v>
      </c>
      <c r="T270" s="65">
        <f t="shared" si="83"/>
        <v>1.2</v>
      </c>
      <c r="U270" s="64">
        <f t="shared" si="84"/>
        <v>1.2</v>
      </c>
      <c r="V270" s="63">
        <f t="shared" si="74"/>
        <v>8.0333219379586893</v>
      </c>
      <c r="W270" s="63" t="str">
        <f t="shared" si="75"/>
        <v/>
      </c>
      <c r="X270" s="63">
        <f t="shared" si="85"/>
        <v>1028.0658673843579</v>
      </c>
      <c r="Y270" s="55"/>
      <c r="Z270" s="55"/>
      <c r="AA270" s="55"/>
      <c r="AB270" s="55">
        <f>PMSplint!N271</f>
        <v>6.6944349482989081</v>
      </c>
      <c r="AC270" s="55">
        <f>PMSplint!N271</f>
        <v>6.6944349482989081</v>
      </c>
      <c r="AD270" s="55">
        <f>IF(RnSplint!N271&lt;0,0,RnSplint!N271)</f>
        <v>30.876019939952247</v>
      </c>
      <c r="AE270" s="55">
        <f>IF(RnSplint!N271&lt;0,0,RnSplint!N271)</f>
        <v>30.876019939952247</v>
      </c>
      <c r="AF270" s="30"/>
      <c r="AG270" s="30"/>
      <c r="AH270" s="30"/>
      <c r="AI270" s="55"/>
      <c r="AJ270" s="55"/>
      <c r="AK270" s="55"/>
      <c r="AL270" s="55"/>
      <c r="AM270" s="55"/>
      <c r="AN270" s="55">
        <f t="shared" si="86"/>
        <v>206.69750695039028</v>
      </c>
      <c r="AO270" s="55">
        <f t="shared" si="87"/>
        <v>14.376978366485437</v>
      </c>
      <c r="AP270" s="55">
        <f t="shared" si="88"/>
        <v>0.17667133769367441</v>
      </c>
      <c r="AQ270" s="55"/>
      <c r="AR270" s="55"/>
      <c r="AS270" s="55"/>
      <c r="AT270" s="55"/>
      <c r="AU270" s="30"/>
      <c r="AV270" s="30"/>
      <c r="AW270" s="2"/>
      <c r="AX270" s="2"/>
    </row>
    <row r="271" spans="1:50" x14ac:dyDescent="0.2">
      <c r="A271" s="2"/>
      <c r="B271" s="61">
        <f t="shared" si="76"/>
        <v>41862</v>
      </c>
      <c r="C271" s="62">
        <f t="shared" si="77"/>
        <v>223</v>
      </c>
      <c r="D271" s="63">
        <f t="shared" si="78"/>
        <v>6.6677850555727929</v>
      </c>
      <c r="G271" s="357" t="str">
        <f>IF(MakeSchedule!C238="","",MakeSchedule!C238)</f>
        <v/>
      </c>
      <c r="H271" s="358"/>
      <c r="I271" s="358"/>
      <c r="J271" s="359" t="str">
        <f>IF(MakeSchedule!B238="","",MakeSchedule!B238)</f>
        <v/>
      </c>
      <c r="K271" s="63">
        <f t="shared" si="69"/>
        <v>6.6677850555727929</v>
      </c>
      <c r="L271" s="63">
        <f t="shared" si="79"/>
        <v>6.6677850555727929</v>
      </c>
      <c r="M271" s="63">
        <f t="shared" si="80"/>
        <v>30.891387058641214</v>
      </c>
      <c r="N271" s="63" t="str">
        <f t="shared" si="70"/>
        <v/>
      </c>
      <c r="O271" s="64">
        <f t="shared" si="81"/>
        <v>0.17698001045168746</v>
      </c>
      <c r="P271" s="63">
        <f t="shared" si="82"/>
        <v>1.1473799126637518</v>
      </c>
      <c r="Q271" s="64">
        <f t="shared" si="71"/>
        <v>1.1473799126637518</v>
      </c>
      <c r="R271" s="63">
        <f t="shared" si="72"/>
        <v>1.1473799126637518</v>
      </c>
      <c r="S271" s="65">
        <f t="shared" si="73"/>
        <v>0.35</v>
      </c>
      <c r="T271" s="65">
        <f t="shared" si="83"/>
        <v>1.2</v>
      </c>
      <c r="U271" s="64">
        <f t="shared" si="84"/>
        <v>1.2</v>
      </c>
      <c r="V271" s="63">
        <f t="shared" si="74"/>
        <v>8.0013420666873518</v>
      </c>
      <c r="W271" s="63" t="str">
        <f t="shared" si="75"/>
        <v/>
      </c>
      <c r="X271" s="63">
        <f t="shared" si="85"/>
        <v>1036.0672094510453</v>
      </c>
      <c r="Y271" s="55"/>
      <c r="Z271" s="55"/>
      <c r="AA271" s="55"/>
      <c r="AB271" s="55">
        <f>PMSplint!N272</f>
        <v>6.6677850555727929</v>
      </c>
      <c r="AC271" s="55">
        <f>PMSplint!N272</f>
        <v>6.6677850555727929</v>
      </c>
      <c r="AD271" s="55">
        <f>IF(RnSplint!N272&lt;0,0,RnSplint!N272)</f>
        <v>30.891387058641214</v>
      </c>
      <c r="AE271" s="55">
        <f>IF(RnSplint!N272&lt;0,0,RnSplint!N272)</f>
        <v>30.891387058641214</v>
      </c>
      <c r="AF271" s="30"/>
      <c r="AG271" s="30"/>
      <c r="AH271" s="30"/>
      <c r="AI271" s="55"/>
      <c r="AJ271" s="55"/>
      <c r="AK271" s="55"/>
      <c r="AL271" s="55"/>
      <c r="AM271" s="55"/>
      <c r="AN271" s="55">
        <f t="shared" si="86"/>
        <v>205.97712897552267</v>
      </c>
      <c r="AO271" s="55">
        <f t="shared" si="87"/>
        <v>14.351903322400227</v>
      </c>
      <c r="AP271" s="55">
        <f t="shared" si="88"/>
        <v>0.17698001045168746</v>
      </c>
      <c r="AQ271" s="55"/>
      <c r="AR271" s="55"/>
      <c r="AS271" s="55"/>
      <c r="AT271" s="55"/>
      <c r="AU271" s="30"/>
      <c r="AV271" s="30"/>
      <c r="AW271" s="2"/>
      <c r="AX271" s="2"/>
    </row>
    <row r="272" spans="1:50" x14ac:dyDescent="0.2">
      <c r="A272" s="2"/>
      <c r="B272" s="61">
        <f t="shared" si="76"/>
        <v>41863</v>
      </c>
      <c r="C272" s="62">
        <f t="shared" si="77"/>
        <v>224</v>
      </c>
      <c r="D272" s="63">
        <f t="shared" si="78"/>
        <v>6.640433807303098</v>
      </c>
      <c r="G272" s="357" t="str">
        <f>IF(MakeSchedule!C239="","",MakeSchedule!C239)</f>
        <v/>
      </c>
      <c r="H272" s="358"/>
      <c r="I272" s="358"/>
      <c r="J272" s="359" t="str">
        <f>IF(MakeSchedule!B239="","",MakeSchedule!B239)</f>
        <v/>
      </c>
      <c r="K272" s="63">
        <f t="shared" si="69"/>
        <v>6.640433807303098</v>
      </c>
      <c r="L272" s="63">
        <f t="shared" si="79"/>
        <v>6.640433807303098</v>
      </c>
      <c r="M272" s="63">
        <f t="shared" si="80"/>
        <v>30.907674519538865</v>
      </c>
      <c r="N272" s="63" t="str">
        <f t="shared" si="70"/>
        <v/>
      </c>
      <c r="O272" s="64">
        <f t="shared" si="81"/>
        <v>0.17729738313260418</v>
      </c>
      <c r="P272" s="63">
        <f t="shared" si="82"/>
        <v>1.1473799126637518</v>
      </c>
      <c r="Q272" s="64">
        <f t="shared" si="71"/>
        <v>1.1473799126637518</v>
      </c>
      <c r="R272" s="63">
        <f t="shared" si="72"/>
        <v>1.1473799126637518</v>
      </c>
      <c r="S272" s="65">
        <f t="shared" si="73"/>
        <v>0.35</v>
      </c>
      <c r="T272" s="65">
        <f t="shared" si="83"/>
        <v>1.2</v>
      </c>
      <c r="U272" s="64">
        <f t="shared" si="84"/>
        <v>1.2</v>
      </c>
      <c r="V272" s="63">
        <f t="shared" si="74"/>
        <v>7.9685205687637168</v>
      </c>
      <c r="W272" s="63" t="str">
        <f t="shared" si="75"/>
        <v/>
      </c>
      <c r="X272" s="63">
        <f t="shared" si="85"/>
        <v>1044.0357300198091</v>
      </c>
      <c r="Y272" s="55"/>
      <c r="Z272" s="55"/>
      <c r="AA272" s="55"/>
      <c r="AB272" s="55">
        <f>PMSplint!N273</f>
        <v>6.640433807303098</v>
      </c>
      <c r="AC272" s="55">
        <f>PMSplint!N273</f>
        <v>6.640433807303098</v>
      </c>
      <c r="AD272" s="55">
        <f>IF(RnSplint!N273&lt;0,0,RnSplint!N273)</f>
        <v>30.907674519538865</v>
      </c>
      <c r="AE272" s="55">
        <f>IF(RnSplint!N273&lt;0,0,RnSplint!N273)</f>
        <v>30.907674519538865</v>
      </c>
      <c r="AF272" s="30"/>
      <c r="AG272" s="30"/>
      <c r="AH272" s="30"/>
      <c r="AI272" s="55"/>
      <c r="AJ272" s="55"/>
      <c r="AK272" s="55"/>
      <c r="AL272" s="55"/>
      <c r="AM272" s="55"/>
      <c r="AN272" s="55">
        <f t="shared" si="86"/>
        <v>205.24036678466641</v>
      </c>
      <c r="AO272" s="55">
        <f t="shared" si="87"/>
        <v>14.326212576416225</v>
      </c>
      <c r="AP272" s="55">
        <f t="shared" si="88"/>
        <v>0.17729738313260418</v>
      </c>
      <c r="AQ272" s="55"/>
      <c r="AR272" s="55"/>
      <c r="AS272" s="55"/>
      <c r="AT272" s="55"/>
      <c r="AU272" s="30"/>
      <c r="AV272" s="30"/>
      <c r="AW272" s="2"/>
      <c r="AX272" s="2"/>
    </row>
    <row r="273" spans="1:50" x14ac:dyDescent="0.2">
      <c r="A273" s="2"/>
      <c r="B273" s="61">
        <f t="shared" si="76"/>
        <v>41864</v>
      </c>
      <c r="C273" s="62">
        <f t="shared" si="77"/>
        <v>225</v>
      </c>
      <c r="D273" s="63">
        <f t="shared" si="78"/>
        <v>6.6123911696046314</v>
      </c>
      <c r="G273" s="357" t="str">
        <f>IF(MakeSchedule!C240="","",MakeSchedule!C240)</f>
        <v/>
      </c>
      <c r="H273" s="358"/>
      <c r="I273" s="358"/>
      <c r="J273" s="359" t="str">
        <f>IF(MakeSchedule!B240="","",MakeSchedule!B240)</f>
        <v/>
      </c>
      <c r="K273" s="63">
        <f t="shared" si="69"/>
        <v>6.6123911696046314</v>
      </c>
      <c r="L273" s="63">
        <f t="shared" si="79"/>
        <v>6.6123911696046314</v>
      </c>
      <c r="M273" s="63">
        <f t="shared" si="80"/>
        <v>30.924798981012135</v>
      </c>
      <c r="N273" s="63" t="str">
        <f t="shared" si="70"/>
        <v/>
      </c>
      <c r="O273" s="64">
        <f t="shared" si="81"/>
        <v>0.17762373801232961</v>
      </c>
      <c r="P273" s="63">
        <f t="shared" si="82"/>
        <v>1.1473799126637518</v>
      </c>
      <c r="Q273" s="64">
        <f t="shared" si="71"/>
        <v>1.1473799126637518</v>
      </c>
      <c r="R273" s="63">
        <f t="shared" si="72"/>
        <v>1.1473799126637518</v>
      </c>
      <c r="S273" s="65">
        <f t="shared" si="73"/>
        <v>0.35</v>
      </c>
      <c r="T273" s="65">
        <f t="shared" si="83"/>
        <v>1.2</v>
      </c>
      <c r="U273" s="64">
        <f t="shared" si="84"/>
        <v>1.2</v>
      </c>
      <c r="V273" s="63">
        <f t="shared" si="74"/>
        <v>7.9348694035255569</v>
      </c>
      <c r="W273" s="63" t="str">
        <f t="shared" si="75"/>
        <v/>
      </c>
      <c r="X273" s="63">
        <f t="shared" si="85"/>
        <v>1051.9705994233345</v>
      </c>
      <c r="Y273" s="55"/>
      <c r="Z273" s="55"/>
      <c r="AA273" s="55"/>
      <c r="AB273" s="55">
        <f>PMSplint!N274</f>
        <v>6.6123911696046314</v>
      </c>
      <c r="AC273" s="55">
        <f>PMSplint!N274</f>
        <v>6.6123911696046314</v>
      </c>
      <c r="AD273" s="55">
        <f>IF(RnSplint!N274&lt;0,0,RnSplint!N274)</f>
        <v>30.924798981012135</v>
      </c>
      <c r="AE273" s="55">
        <f>IF(RnSplint!N274&lt;0,0,RnSplint!N274)</f>
        <v>30.924798981012135</v>
      </c>
      <c r="AF273" s="30"/>
      <c r="AG273" s="30"/>
      <c r="AH273" s="30"/>
      <c r="AI273" s="55"/>
      <c r="AJ273" s="55"/>
      <c r="AK273" s="55"/>
      <c r="AL273" s="55"/>
      <c r="AM273" s="55"/>
      <c r="AN273" s="55">
        <f t="shared" si="86"/>
        <v>204.48686770384293</v>
      </c>
      <c r="AO273" s="55">
        <f t="shared" si="87"/>
        <v>14.299890478735945</v>
      </c>
      <c r="AP273" s="55">
        <f t="shared" si="88"/>
        <v>0.17762373801232961</v>
      </c>
      <c r="AQ273" s="55"/>
      <c r="AR273" s="55"/>
      <c r="AS273" s="55"/>
      <c r="AT273" s="55"/>
      <c r="AU273" s="30"/>
      <c r="AV273" s="30"/>
      <c r="AW273" s="2"/>
      <c r="AX273" s="2"/>
    </row>
    <row r="274" spans="1:50" x14ac:dyDescent="0.2">
      <c r="A274" s="2"/>
      <c r="B274" s="61">
        <f t="shared" si="76"/>
        <v>41865</v>
      </c>
      <c r="C274" s="62">
        <f t="shared" si="77"/>
        <v>226</v>
      </c>
      <c r="D274" s="63">
        <f t="shared" si="78"/>
        <v>6.5836671085922021</v>
      </c>
      <c r="G274" s="357" t="str">
        <f>IF(MakeSchedule!C241="","",MakeSchedule!C241)</f>
        <v/>
      </c>
      <c r="H274" s="358"/>
      <c r="I274" s="358"/>
      <c r="J274" s="359" t="str">
        <f>IF(MakeSchedule!B241="","",MakeSchedule!B241)</f>
        <v/>
      </c>
      <c r="K274" s="63">
        <f t="shared" si="69"/>
        <v>6.5836671085922021</v>
      </c>
      <c r="L274" s="63">
        <f t="shared" si="79"/>
        <v>6.5836671085922021</v>
      </c>
      <c r="M274" s="63">
        <f t="shared" si="80"/>
        <v>30.94267710142795</v>
      </c>
      <c r="N274" s="63" t="str">
        <f t="shared" si="70"/>
        <v/>
      </c>
      <c r="O274" s="64">
        <f t="shared" si="81"/>
        <v>0.17795936288076991</v>
      </c>
      <c r="P274" s="63">
        <f t="shared" si="82"/>
        <v>1.1473799126637518</v>
      </c>
      <c r="Q274" s="64">
        <f t="shared" si="71"/>
        <v>1.1473799126637518</v>
      </c>
      <c r="R274" s="63">
        <f t="shared" si="72"/>
        <v>1.1473799126637518</v>
      </c>
      <c r="S274" s="65">
        <f t="shared" si="73"/>
        <v>0.35</v>
      </c>
      <c r="T274" s="65">
        <f t="shared" si="83"/>
        <v>1.2</v>
      </c>
      <c r="U274" s="64">
        <f t="shared" si="84"/>
        <v>1.2</v>
      </c>
      <c r="V274" s="63">
        <f t="shared" si="74"/>
        <v>7.9004005303106419</v>
      </c>
      <c r="W274" s="63" t="str">
        <f t="shared" si="75"/>
        <v/>
      </c>
      <c r="X274" s="63">
        <f t="shared" si="85"/>
        <v>1059.8709999536452</v>
      </c>
      <c r="Y274" s="55"/>
      <c r="Z274" s="55"/>
      <c r="AA274" s="55"/>
      <c r="AB274" s="55">
        <f>PMSplint!N275</f>
        <v>6.5836671085922021</v>
      </c>
      <c r="AC274" s="55">
        <f>PMSplint!N275</f>
        <v>6.5836671085922021</v>
      </c>
      <c r="AD274" s="55">
        <f>IF(RnSplint!N275&lt;0,0,RnSplint!N275)</f>
        <v>30.94267710142795</v>
      </c>
      <c r="AE274" s="55">
        <f>IF(RnSplint!N275&lt;0,0,RnSplint!N275)</f>
        <v>30.94267710142795</v>
      </c>
      <c r="AF274" s="30"/>
      <c r="AG274" s="30"/>
      <c r="AH274" s="30"/>
      <c r="AI274" s="55"/>
      <c r="AJ274" s="55"/>
      <c r="AK274" s="55"/>
      <c r="AL274" s="55"/>
      <c r="AM274" s="55"/>
      <c r="AN274" s="55">
        <f t="shared" si="86"/>
        <v>203.71628548446029</v>
      </c>
      <c r="AO274" s="55">
        <f t="shared" si="87"/>
        <v>14.272921406791964</v>
      </c>
      <c r="AP274" s="55">
        <f t="shared" si="88"/>
        <v>0.17795936288076991</v>
      </c>
      <c r="AQ274" s="55"/>
      <c r="AR274" s="55"/>
      <c r="AS274" s="55"/>
      <c r="AT274" s="55"/>
      <c r="AU274" s="30"/>
      <c r="AV274" s="30"/>
      <c r="AW274" s="2"/>
      <c r="AX274" s="2"/>
    </row>
    <row r="275" spans="1:50" x14ac:dyDescent="0.2">
      <c r="A275" s="2"/>
      <c r="B275" s="61">
        <f t="shared" si="76"/>
        <v>41866</v>
      </c>
      <c r="C275" s="62">
        <f t="shared" si="77"/>
        <v>227</v>
      </c>
      <c r="D275" s="63">
        <f t="shared" si="78"/>
        <v>6.5542715903806164</v>
      </c>
      <c r="G275" s="357" t="str">
        <f>IF(MakeSchedule!C242="","",MakeSchedule!C242)</f>
        <v/>
      </c>
      <c r="H275" s="358"/>
      <c r="I275" s="358"/>
      <c r="J275" s="359" t="str">
        <f>IF(MakeSchedule!B242="","",MakeSchedule!B242)</f>
        <v/>
      </c>
      <c r="K275" s="63">
        <f t="shared" si="69"/>
        <v>6.5542715903806164</v>
      </c>
      <c r="L275" s="63">
        <f t="shared" si="79"/>
        <v>6.5542715903806164</v>
      </c>
      <c r="M275" s="63">
        <f t="shared" si="80"/>
        <v>30.961225539153244</v>
      </c>
      <c r="N275" s="63" t="str">
        <f t="shared" si="70"/>
        <v/>
      </c>
      <c r="O275" s="64">
        <f t="shared" si="81"/>
        <v>0.1783045511173352</v>
      </c>
      <c r="P275" s="63">
        <f t="shared" si="82"/>
        <v>1.1473799126637518</v>
      </c>
      <c r="Q275" s="64">
        <f t="shared" si="71"/>
        <v>1.1473799126637518</v>
      </c>
      <c r="R275" s="63">
        <f t="shared" si="72"/>
        <v>1.1473799126637518</v>
      </c>
      <c r="S275" s="65">
        <f t="shared" si="73"/>
        <v>0.35</v>
      </c>
      <c r="T275" s="65">
        <f t="shared" si="83"/>
        <v>1.2</v>
      </c>
      <c r="U275" s="64">
        <f t="shared" si="84"/>
        <v>1.2</v>
      </c>
      <c r="V275" s="63">
        <f t="shared" si="74"/>
        <v>7.8651259084567391</v>
      </c>
      <c r="W275" s="63" t="str">
        <f t="shared" si="75"/>
        <v/>
      </c>
      <c r="X275" s="63">
        <f t="shared" si="85"/>
        <v>1067.736125862102</v>
      </c>
      <c r="Y275" s="55"/>
      <c r="Z275" s="55"/>
      <c r="AA275" s="55"/>
      <c r="AB275" s="55">
        <f>PMSplint!N276</f>
        <v>6.5542715903806164</v>
      </c>
      <c r="AC275" s="55">
        <f>PMSplint!N276</f>
        <v>6.5542715903806164</v>
      </c>
      <c r="AD275" s="55">
        <f>IF(RnSplint!N276&lt;0,0,RnSplint!N276)</f>
        <v>30.961225539153244</v>
      </c>
      <c r="AE275" s="55">
        <f>IF(RnSplint!N276&lt;0,0,RnSplint!N276)</f>
        <v>30.961225539153244</v>
      </c>
      <c r="AF275" s="30"/>
      <c r="AG275" s="30"/>
      <c r="AH275" s="30"/>
      <c r="AI275" s="55"/>
      <c r="AJ275" s="55"/>
      <c r="AK275" s="55"/>
      <c r="AL275" s="55"/>
      <c r="AM275" s="55"/>
      <c r="AN275" s="55">
        <f t="shared" si="86"/>
        <v>202.92828095463889</v>
      </c>
      <c r="AO275" s="55">
        <f t="shared" si="87"/>
        <v>14.245289781350147</v>
      </c>
      <c r="AP275" s="55">
        <f t="shared" si="88"/>
        <v>0.1783045511173352</v>
      </c>
      <c r="AQ275" s="55"/>
      <c r="AR275" s="55"/>
      <c r="AS275" s="55"/>
      <c r="AT275" s="55"/>
      <c r="AU275" s="30"/>
      <c r="AV275" s="30"/>
      <c r="AW275" s="2"/>
      <c r="AX275" s="2"/>
    </row>
    <row r="276" spans="1:50" x14ac:dyDescent="0.2">
      <c r="A276" s="2"/>
      <c r="B276" s="61">
        <f t="shared" si="76"/>
        <v>41867</v>
      </c>
      <c r="C276" s="62">
        <f t="shared" si="77"/>
        <v>228</v>
      </c>
      <c r="D276" s="63">
        <f t="shared" si="78"/>
        <v>6.5242145810846859</v>
      </c>
      <c r="G276" s="357" t="str">
        <f>IF(MakeSchedule!C243="","",MakeSchedule!C243)</f>
        <v/>
      </c>
      <c r="H276" s="358"/>
      <c r="I276" s="358"/>
      <c r="J276" s="359" t="str">
        <f>IF(MakeSchedule!B243="","",MakeSchedule!B243)</f>
        <v/>
      </c>
      <c r="K276" s="63">
        <f t="shared" si="69"/>
        <v>6.5242145810846859</v>
      </c>
      <c r="L276" s="63">
        <f t="shared" si="79"/>
        <v>6.5242145810846859</v>
      </c>
      <c r="M276" s="63">
        <f t="shared" si="80"/>
        <v>30.98036095255495</v>
      </c>
      <c r="N276" s="63" t="str">
        <f t="shared" si="70"/>
        <v/>
      </c>
      <c r="O276" s="64">
        <f t="shared" si="81"/>
        <v>0.17865960178165244</v>
      </c>
      <c r="P276" s="63">
        <f t="shared" si="82"/>
        <v>1.1473799126637518</v>
      </c>
      <c r="Q276" s="64">
        <f t="shared" si="71"/>
        <v>1.1473799126637518</v>
      </c>
      <c r="R276" s="63">
        <f t="shared" si="72"/>
        <v>1.1473799126637518</v>
      </c>
      <c r="S276" s="65">
        <f t="shared" si="73"/>
        <v>0.35</v>
      </c>
      <c r="T276" s="65">
        <f t="shared" si="83"/>
        <v>1.2</v>
      </c>
      <c r="U276" s="64">
        <f t="shared" si="84"/>
        <v>1.2</v>
      </c>
      <c r="V276" s="63">
        <f t="shared" si="74"/>
        <v>7.8290574973016227</v>
      </c>
      <c r="W276" s="63" t="str">
        <f t="shared" si="75"/>
        <v/>
      </c>
      <c r="X276" s="63">
        <f t="shared" si="85"/>
        <v>1075.5651833594036</v>
      </c>
      <c r="Y276" s="55"/>
      <c r="Z276" s="55"/>
      <c r="AA276" s="55"/>
      <c r="AB276" s="55">
        <f>PMSplint!N277</f>
        <v>6.5242145810846859</v>
      </c>
      <c r="AC276" s="55">
        <f>PMSplint!N277</f>
        <v>6.5242145810846859</v>
      </c>
      <c r="AD276" s="55">
        <f>IF(RnSplint!N277&lt;0,0,RnSplint!N277)</f>
        <v>30.98036095255495</v>
      </c>
      <c r="AE276" s="55">
        <f>IF(RnSplint!N277&lt;0,0,RnSplint!N277)</f>
        <v>30.98036095255495</v>
      </c>
      <c r="AF276" s="30"/>
      <c r="AG276" s="30"/>
      <c r="AH276" s="30"/>
      <c r="AI276" s="55"/>
      <c r="AJ276" s="55"/>
      <c r="AK276" s="55"/>
      <c r="AL276" s="55"/>
      <c r="AM276" s="55"/>
      <c r="AN276" s="55">
        <f t="shared" si="86"/>
        <v>202.12252265392564</v>
      </c>
      <c r="AO276" s="55">
        <f t="shared" si="87"/>
        <v>14.216980082068261</v>
      </c>
      <c r="AP276" s="55">
        <f t="shared" si="88"/>
        <v>0.17865960178165244</v>
      </c>
      <c r="AQ276" s="55"/>
      <c r="AR276" s="55"/>
      <c r="AS276" s="55"/>
      <c r="AT276" s="55"/>
      <c r="AU276" s="30"/>
      <c r="AV276" s="30"/>
      <c r="AW276" s="2"/>
      <c r="AX276" s="2"/>
    </row>
    <row r="277" spans="1:50" x14ac:dyDescent="0.2">
      <c r="A277" s="2"/>
      <c r="B277" s="61">
        <f t="shared" si="76"/>
        <v>41868</v>
      </c>
      <c r="C277" s="62">
        <f t="shared" si="77"/>
        <v>229</v>
      </c>
      <c r="D277" s="63">
        <f t="shared" si="78"/>
        <v>6.4935060468192152</v>
      </c>
      <c r="G277" s="357" t="str">
        <f>IF(MakeSchedule!C244="","",MakeSchedule!C244)</f>
        <v/>
      </c>
      <c r="H277" s="358"/>
      <c r="I277" s="358"/>
      <c r="J277" s="359" t="str">
        <f>IF(MakeSchedule!B244="","",MakeSchedule!B244)</f>
        <v/>
      </c>
      <c r="K277" s="63">
        <f t="shared" si="69"/>
        <v>6.4935060468192152</v>
      </c>
      <c r="L277" s="63">
        <f t="shared" si="79"/>
        <v>6.4935060468192152</v>
      </c>
      <c r="M277" s="63">
        <f t="shared" si="80"/>
        <v>31</v>
      </c>
      <c r="N277" s="63" t="str">
        <f t="shared" si="70"/>
        <v/>
      </c>
      <c r="O277" s="64">
        <f t="shared" si="81"/>
        <v>0.17902481971970899</v>
      </c>
      <c r="P277" s="63">
        <f t="shared" si="82"/>
        <v>1.1473799126637518</v>
      </c>
      <c r="Q277" s="64">
        <f t="shared" si="71"/>
        <v>1.1473799126637518</v>
      </c>
      <c r="R277" s="63">
        <f t="shared" si="72"/>
        <v>1.1473799126637518</v>
      </c>
      <c r="S277" s="65">
        <f t="shared" si="73"/>
        <v>0.35</v>
      </c>
      <c r="T277" s="65">
        <f t="shared" si="83"/>
        <v>1.2</v>
      </c>
      <c r="U277" s="64">
        <f t="shared" si="84"/>
        <v>1.2</v>
      </c>
      <c r="V277" s="63">
        <f t="shared" si="74"/>
        <v>7.7922072561830582</v>
      </c>
      <c r="W277" s="63" t="str">
        <f t="shared" si="75"/>
        <v/>
      </c>
      <c r="X277" s="63">
        <f t="shared" si="85"/>
        <v>1083.3573906155866</v>
      </c>
      <c r="Y277" s="55"/>
      <c r="Z277" s="55"/>
      <c r="AA277" s="55"/>
      <c r="AB277" s="55">
        <f>PMSplint!N278</f>
        <v>6.4935060468192152</v>
      </c>
      <c r="AC277" s="55">
        <f>PMSplint!N278</f>
        <v>6.4935060468192152</v>
      </c>
      <c r="AD277" s="55">
        <f>IF(RnSplint!N278&lt;0,0,RnSplint!N278)</f>
        <v>31</v>
      </c>
      <c r="AE277" s="55">
        <f>IF(RnSplint!N278&lt;0,0,RnSplint!N278)</f>
        <v>31</v>
      </c>
      <c r="AF277" s="30"/>
      <c r="AG277" s="30"/>
      <c r="AH277" s="30"/>
      <c r="AI277" s="55"/>
      <c r="AJ277" s="55"/>
      <c r="AK277" s="55"/>
      <c r="AL277" s="55"/>
      <c r="AM277" s="55"/>
      <c r="AN277" s="55">
        <f t="shared" si="86"/>
        <v>201.29868745139566</v>
      </c>
      <c r="AO277" s="55">
        <f t="shared" si="87"/>
        <v>14.187976862519747</v>
      </c>
      <c r="AP277" s="55">
        <f t="shared" si="88"/>
        <v>0.17902481971970899</v>
      </c>
      <c r="AQ277" s="55"/>
      <c r="AR277" s="55"/>
      <c r="AS277" s="55"/>
      <c r="AT277" s="55"/>
      <c r="AU277" s="30"/>
      <c r="AV277" s="30"/>
      <c r="AW277" s="2"/>
      <c r="AX277" s="2"/>
    </row>
    <row r="278" spans="1:50" x14ac:dyDescent="0.2">
      <c r="A278" s="2"/>
      <c r="B278" s="61">
        <f t="shared" si="76"/>
        <v>41869</v>
      </c>
      <c r="C278" s="62">
        <f t="shared" si="77"/>
        <v>230</v>
      </c>
      <c r="D278" s="63">
        <f t="shared" si="78"/>
        <v>6.4621570499376428</v>
      </c>
      <c r="G278" s="357" t="str">
        <f>IF(MakeSchedule!C245="","",MakeSchedule!C245)</f>
        <v/>
      </c>
      <c r="H278" s="358"/>
      <c r="I278" s="358"/>
      <c r="J278" s="359" t="str">
        <f>IF(MakeSchedule!B245="","",MakeSchedule!B245)</f>
        <v/>
      </c>
      <c r="K278" s="63">
        <f t="shared" si="69"/>
        <v>6.4621570499376428</v>
      </c>
      <c r="L278" s="63">
        <f t="shared" si="79"/>
        <v>6.4621570499376428</v>
      </c>
      <c r="M278" s="63">
        <f t="shared" si="80"/>
        <v>31.020007118123715</v>
      </c>
      <c r="N278" s="63" t="str">
        <f t="shared" si="70"/>
        <v/>
      </c>
      <c r="O278" s="64">
        <f t="shared" si="81"/>
        <v>0.17940065147793613</v>
      </c>
      <c r="P278" s="63">
        <f t="shared" si="82"/>
        <v>1.1473799126637518</v>
      </c>
      <c r="Q278" s="64">
        <f t="shared" si="71"/>
        <v>1.1473799126637518</v>
      </c>
      <c r="R278" s="63">
        <f t="shared" si="72"/>
        <v>1.1473799126637518</v>
      </c>
      <c r="S278" s="65">
        <f t="shared" si="73"/>
        <v>0.35</v>
      </c>
      <c r="T278" s="65">
        <f t="shared" si="83"/>
        <v>1.2</v>
      </c>
      <c r="U278" s="64">
        <f t="shared" si="84"/>
        <v>1.2</v>
      </c>
      <c r="V278" s="63">
        <f t="shared" si="74"/>
        <v>7.7545884599251709</v>
      </c>
      <c r="W278" s="63" t="str">
        <f t="shared" si="75"/>
        <v/>
      </c>
      <c r="X278" s="63">
        <f t="shared" si="85"/>
        <v>1091.1119790755117</v>
      </c>
      <c r="Y278" s="55"/>
      <c r="Z278" s="55"/>
      <c r="AA278" s="55"/>
      <c r="AB278" s="55">
        <f>PMSplint!N279</f>
        <v>6.4621570499376428</v>
      </c>
      <c r="AC278" s="55">
        <f>PMSplint!N279</f>
        <v>6.4621570499376428</v>
      </c>
      <c r="AD278" s="55">
        <f>IF(RnSplint!N279&lt;0,0,RnSplint!N279)</f>
        <v>31.020007118123715</v>
      </c>
      <c r="AE278" s="55">
        <f>IF(RnSplint!N279&lt;0,0,RnSplint!N279)</f>
        <v>31.020007118123715</v>
      </c>
      <c r="AF278" s="30"/>
      <c r="AG278" s="30"/>
      <c r="AH278" s="30"/>
      <c r="AI278" s="55"/>
      <c r="AJ278" s="55"/>
      <c r="AK278" s="55"/>
      <c r="AL278" s="55"/>
      <c r="AM278" s="55"/>
      <c r="AN278" s="55">
        <f t="shared" si="86"/>
        <v>200.45615768749903</v>
      </c>
      <c r="AO278" s="55">
        <f t="shared" si="87"/>
        <v>14.158254047992607</v>
      </c>
      <c r="AP278" s="55">
        <f t="shared" si="88"/>
        <v>0.17940065147793613</v>
      </c>
      <c r="AQ278" s="55"/>
      <c r="AR278" s="55"/>
      <c r="AS278" s="55"/>
      <c r="AT278" s="55"/>
      <c r="AU278" s="30"/>
      <c r="AV278" s="30"/>
      <c r="AW278" s="2"/>
      <c r="AX278" s="2"/>
    </row>
    <row r="279" spans="1:50" x14ac:dyDescent="0.2">
      <c r="A279" s="2"/>
      <c r="B279" s="61">
        <f t="shared" si="76"/>
        <v>41870</v>
      </c>
      <c r="C279" s="62">
        <f t="shared" si="77"/>
        <v>231</v>
      </c>
      <c r="D279" s="63">
        <f t="shared" si="78"/>
        <v>6.4301830377479163</v>
      </c>
      <c r="G279" s="357" t="str">
        <f>IF(MakeSchedule!C246="","",MakeSchedule!C246)</f>
        <v/>
      </c>
      <c r="H279" s="358"/>
      <c r="I279" s="358"/>
      <c r="J279" s="359" t="str">
        <f>IF(MakeSchedule!B246="","",MakeSchedule!B246)</f>
        <v/>
      </c>
      <c r="K279" s="63">
        <f t="shared" si="69"/>
        <v>6.4301830377479163</v>
      </c>
      <c r="L279" s="63">
        <f t="shared" si="79"/>
        <v>6.4301830377479163</v>
      </c>
      <c r="M279" s="63">
        <f t="shared" si="80"/>
        <v>31.040037856634967</v>
      </c>
      <c r="N279" s="63" t="str">
        <f t="shared" si="70"/>
        <v/>
      </c>
      <c r="O279" s="64">
        <f t="shared" si="81"/>
        <v>0.17978809376589042</v>
      </c>
      <c r="P279" s="63">
        <f t="shared" si="82"/>
        <v>1.1473799126637518</v>
      </c>
      <c r="Q279" s="64">
        <f t="shared" si="71"/>
        <v>1.1473799126637518</v>
      </c>
      <c r="R279" s="63">
        <f t="shared" si="72"/>
        <v>1.1473799126637518</v>
      </c>
      <c r="S279" s="65">
        <f t="shared" si="73"/>
        <v>0.35</v>
      </c>
      <c r="T279" s="65">
        <f t="shared" si="83"/>
        <v>1.2</v>
      </c>
      <c r="U279" s="64">
        <f t="shared" si="84"/>
        <v>1.2</v>
      </c>
      <c r="V279" s="63">
        <f t="shared" si="74"/>
        <v>7.7162196452974996</v>
      </c>
      <c r="W279" s="63" t="str">
        <f t="shared" si="75"/>
        <v/>
      </c>
      <c r="X279" s="63">
        <f t="shared" si="85"/>
        <v>1098.8281987208093</v>
      </c>
      <c r="Y279" s="55"/>
      <c r="Z279" s="55"/>
      <c r="AA279" s="55"/>
      <c r="AB279" s="55">
        <f>PMSplint!N280</f>
        <v>6.4301830377479163</v>
      </c>
      <c r="AC279" s="55">
        <f>PMSplint!N280</f>
        <v>6.4301830377479163</v>
      </c>
      <c r="AD279" s="55">
        <f>IF(RnSplint!N280&lt;0,0,RnSplint!N280)</f>
        <v>31.040037856634967</v>
      </c>
      <c r="AE279" s="55">
        <f>IF(RnSplint!N280&lt;0,0,RnSplint!N280)</f>
        <v>31.040037856634967</v>
      </c>
      <c r="AF279" s="30"/>
      <c r="AG279" s="30"/>
      <c r="AH279" s="30"/>
      <c r="AI279" s="55"/>
      <c r="AJ279" s="55"/>
      <c r="AK279" s="55"/>
      <c r="AL279" s="55"/>
      <c r="AM279" s="55"/>
      <c r="AN279" s="55">
        <f t="shared" si="86"/>
        <v>199.59312491678736</v>
      </c>
      <c r="AO279" s="55">
        <f t="shared" si="87"/>
        <v>14.127743093530098</v>
      </c>
      <c r="AP279" s="55">
        <f t="shared" si="88"/>
        <v>0.17978809376589042</v>
      </c>
      <c r="AQ279" s="55"/>
      <c r="AR279" s="55"/>
      <c r="AS279" s="55"/>
      <c r="AT279" s="55"/>
      <c r="AU279" s="30"/>
      <c r="AV279" s="30"/>
      <c r="AW279" s="2"/>
      <c r="AX279" s="2"/>
    </row>
    <row r="280" spans="1:50" x14ac:dyDescent="0.2">
      <c r="A280" s="2"/>
      <c r="B280" s="61">
        <f t="shared" si="76"/>
        <v>41871</v>
      </c>
      <c r="C280" s="62">
        <f t="shared" si="77"/>
        <v>232</v>
      </c>
      <c r="D280" s="63">
        <f t="shared" si="78"/>
        <v>6.3976005537966154</v>
      </c>
      <c r="G280" s="357" t="str">
        <f>IF(MakeSchedule!C247="","",MakeSchedule!C247)</f>
        <v/>
      </c>
      <c r="H280" s="358"/>
      <c r="I280" s="358"/>
      <c r="J280" s="359" t="str">
        <f>IF(MakeSchedule!B247="","",MakeSchedule!B247)</f>
        <v/>
      </c>
      <c r="K280" s="63">
        <f t="shared" si="69"/>
        <v>6.3976005537966154</v>
      </c>
      <c r="L280" s="63">
        <f t="shared" si="79"/>
        <v>6.3976005537966154</v>
      </c>
      <c r="M280" s="63">
        <f t="shared" si="80"/>
        <v>31.059695543511033</v>
      </c>
      <c r="N280" s="63" t="str">
        <f t="shared" si="70"/>
        <v/>
      </c>
      <c r="O280" s="64">
        <f t="shared" si="81"/>
        <v>0.18018828806632775</v>
      </c>
      <c r="P280" s="63">
        <f t="shared" si="82"/>
        <v>1.1473799126637518</v>
      </c>
      <c r="Q280" s="64">
        <f t="shared" si="71"/>
        <v>1.1473799126637518</v>
      </c>
      <c r="R280" s="63">
        <f t="shared" si="72"/>
        <v>1.1473799126637518</v>
      </c>
      <c r="S280" s="65">
        <f t="shared" si="73"/>
        <v>0.35</v>
      </c>
      <c r="T280" s="65">
        <f t="shared" si="83"/>
        <v>1.2</v>
      </c>
      <c r="U280" s="64">
        <f t="shared" si="84"/>
        <v>1.2</v>
      </c>
      <c r="V280" s="63">
        <f t="shared" si="74"/>
        <v>7.6771206645559378</v>
      </c>
      <c r="W280" s="63" t="str">
        <f t="shared" si="75"/>
        <v/>
      </c>
      <c r="X280" s="63">
        <f t="shared" si="85"/>
        <v>1106.5053193853653</v>
      </c>
      <c r="Y280" s="55"/>
      <c r="Z280" s="55"/>
      <c r="AA280" s="55"/>
      <c r="AB280" s="55">
        <f>PMSplint!N281</f>
        <v>6.3976005537966154</v>
      </c>
      <c r="AC280" s="55">
        <f>PMSplint!N281</f>
        <v>6.3976005537966154</v>
      </c>
      <c r="AD280" s="55">
        <f>IF(RnSplint!N281&lt;0,0,RnSplint!N281)</f>
        <v>31.059695543511033</v>
      </c>
      <c r="AE280" s="55">
        <f>IF(RnSplint!N281&lt;0,0,RnSplint!N281)</f>
        <v>31.059695543511033</v>
      </c>
      <c r="AF280" s="30"/>
      <c r="AG280" s="30"/>
      <c r="AH280" s="30"/>
      <c r="AI280" s="55"/>
      <c r="AJ280" s="55"/>
      <c r="AK280" s="55"/>
      <c r="AL280" s="55"/>
      <c r="AM280" s="55"/>
      <c r="AN280" s="55">
        <f t="shared" si="86"/>
        <v>198.70752540992046</v>
      </c>
      <c r="AO280" s="55">
        <f t="shared" si="87"/>
        <v>14.096365680909404</v>
      </c>
      <c r="AP280" s="55">
        <f t="shared" si="88"/>
        <v>0.18018828806632775</v>
      </c>
      <c r="AQ280" s="55"/>
      <c r="AR280" s="55"/>
      <c r="AS280" s="55"/>
      <c r="AT280" s="55"/>
      <c r="AU280" s="30"/>
      <c r="AV280" s="30"/>
      <c r="AW280" s="2"/>
      <c r="AX280" s="2"/>
    </row>
    <row r="281" spans="1:50" x14ac:dyDescent="0.2">
      <c r="A281" s="2"/>
      <c r="B281" s="61">
        <f t="shared" si="76"/>
        <v>41872</v>
      </c>
      <c r="C281" s="62">
        <f t="shared" si="77"/>
        <v>233</v>
      </c>
      <c r="D281" s="63">
        <f t="shared" si="78"/>
        <v>6.3644261416303154</v>
      </c>
      <c r="G281" s="357" t="str">
        <f>IF(MakeSchedule!C248="","",MakeSchedule!C248)</f>
        <v/>
      </c>
      <c r="H281" s="358"/>
      <c r="I281" s="358"/>
      <c r="J281" s="359" t="str">
        <f>IF(MakeSchedule!B248="","",MakeSchedule!B248)</f>
        <v/>
      </c>
      <c r="K281" s="63">
        <f t="shared" si="69"/>
        <v>6.3644261416303154</v>
      </c>
      <c r="L281" s="63">
        <f t="shared" si="79"/>
        <v>6.3644261416303154</v>
      </c>
      <c r="M281" s="63">
        <f t="shared" si="80"/>
        <v>31.078583506729178</v>
      </c>
      <c r="N281" s="63" t="str">
        <f t="shared" si="70"/>
        <v/>
      </c>
      <c r="O281" s="64">
        <f t="shared" si="81"/>
        <v>0.18060238572319251</v>
      </c>
      <c r="P281" s="63">
        <f t="shared" si="82"/>
        <v>1.1473799126637518</v>
      </c>
      <c r="Q281" s="64">
        <f t="shared" si="71"/>
        <v>1.1473799126637518</v>
      </c>
      <c r="R281" s="63">
        <f t="shared" si="72"/>
        <v>1.1473799126637518</v>
      </c>
      <c r="S281" s="65">
        <f t="shared" si="73"/>
        <v>0.35</v>
      </c>
      <c r="T281" s="65">
        <f t="shared" si="83"/>
        <v>1.2</v>
      </c>
      <c r="U281" s="64">
        <f t="shared" si="84"/>
        <v>1.2</v>
      </c>
      <c r="V281" s="63">
        <f t="shared" si="74"/>
        <v>7.6373113699563779</v>
      </c>
      <c r="W281" s="63" t="str">
        <f t="shared" si="75"/>
        <v/>
      </c>
      <c r="X281" s="63">
        <f t="shared" si="85"/>
        <v>1114.1426307553218</v>
      </c>
      <c r="Y281" s="55"/>
      <c r="Z281" s="55"/>
      <c r="AA281" s="55"/>
      <c r="AB281" s="55">
        <f>PMSplint!N282</f>
        <v>6.3644261416303154</v>
      </c>
      <c r="AC281" s="55">
        <f>PMSplint!N282</f>
        <v>6.3644261416303154</v>
      </c>
      <c r="AD281" s="55">
        <f>IF(RnSplint!N282&lt;0,0,RnSplint!N282)</f>
        <v>31.078583506729178</v>
      </c>
      <c r="AE281" s="55">
        <f>IF(RnSplint!N282&lt;0,0,RnSplint!N282)</f>
        <v>31.078583506729178</v>
      </c>
      <c r="AF281" s="30"/>
      <c r="AG281" s="30"/>
      <c r="AH281" s="30"/>
      <c r="AI281" s="55"/>
      <c r="AJ281" s="55"/>
      <c r="AK281" s="55"/>
      <c r="AL281" s="55"/>
      <c r="AM281" s="55"/>
      <c r="AN281" s="55">
        <f t="shared" si="86"/>
        <v>197.79734931506795</v>
      </c>
      <c r="AO281" s="55">
        <f t="shared" si="87"/>
        <v>14.064044557490137</v>
      </c>
      <c r="AP281" s="55">
        <f t="shared" si="88"/>
        <v>0.18060238572319251</v>
      </c>
      <c r="AQ281" s="55"/>
      <c r="AR281" s="55"/>
      <c r="AS281" s="55"/>
      <c r="AT281" s="55"/>
      <c r="AU281" s="30"/>
      <c r="AV281" s="30"/>
      <c r="AW281" s="2"/>
      <c r="AX281" s="2"/>
    </row>
    <row r="282" spans="1:50" x14ac:dyDescent="0.2">
      <c r="A282" s="2"/>
      <c r="B282" s="61">
        <f t="shared" si="76"/>
        <v>41873</v>
      </c>
      <c r="C282" s="62">
        <f t="shared" si="77"/>
        <v>234</v>
      </c>
      <c r="D282" s="63">
        <f t="shared" si="78"/>
        <v>6.3306763447955943</v>
      </c>
      <c r="G282" s="357" t="str">
        <f>IF(MakeSchedule!C249="","",MakeSchedule!C249)</f>
        <v/>
      </c>
      <c r="H282" s="358"/>
      <c r="I282" s="358"/>
      <c r="J282" s="359" t="str">
        <f>IF(MakeSchedule!B249="","",MakeSchedule!B249)</f>
        <v/>
      </c>
      <c r="K282" s="63">
        <f t="shared" si="69"/>
        <v>6.3306763447955943</v>
      </c>
      <c r="L282" s="63">
        <f t="shared" si="79"/>
        <v>6.3306763447955943</v>
      </c>
      <c r="M282" s="63">
        <f t="shared" si="80"/>
        <v>31.096305074266667</v>
      </c>
      <c r="N282" s="63" t="str">
        <f t="shared" si="70"/>
        <v/>
      </c>
      <c r="O282" s="64">
        <f t="shared" si="81"/>
        <v>0.18103154881390779</v>
      </c>
      <c r="P282" s="63">
        <f t="shared" si="82"/>
        <v>1.1473799126637518</v>
      </c>
      <c r="Q282" s="64">
        <f t="shared" si="71"/>
        <v>1.1473799126637518</v>
      </c>
      <c r="R282" s="63">
        <f t="shared" si="72"/>
        <v>1.1473799126637518</v>
      </c>
      <c r="S282" s="65">
        <f t="shared" si="73"/>
        <v>0.35</v>
      </c>
      <c r="T282" s="65">
        <f t="shared" si="83"/>
        <v>1.2</v>
      </c>
      <c r="U282" s="64">
        <f t="shared" si="84"/>
        <v>1.2</v>
      </c>
      <c r="V282" s="63">
        <f t="shared" si="74"/>
        <v>7.5968116137547126</v>
      </c>
      <c r="W282" s="63" t="str">
        <f t="shared" si="75"/>
        <v/>
      </c>
      <c r="X282" s="63">
        <f t="shared" si="85"/>
        <v>1121.7394423690764</v>
      </c>
      <c r="Y282" s="55"/>
      <c r="Z282" s="55"/>
      <c r="AA282" s="55"/>
      <c r="AB282" s="55">
        <f>PMSplint!N283</f>
        <v>6.3306763447955943</v>
      </c>
      <c r="AC282" s="55">
        <f>PMSplint!N283</f>
        <v>6.3306763447955943</v>
      </c>
      <c r="AD282" s="55">
        <f>IF(RnSplint!N283&lt;0,0,RnSplint!N283)</f>
        <v>31.096305074266667</v>
      </c>
      <c r="AE282" s="55">
        <f>IF(RnSplint!N283&lt;0,0,RnSplint!N283)</f>
        <v>31.096305074266667</v>
      </c>
      <c r="AF282" s="30"/>
      <c r="AG282" s="30"/>
      <c r="AH282" s="30"/>
      <c r="AI282" s="55"/>
      <c r="AJ282" s="55"/>
      <c r="AK282" s="55"/>
      <c r="AL282" s="55"/>
      <c r="AM282" s="55"/>
      <c r="AN282" s="55">
        <f t="shared" si="86"/>
        <v>196.8606429442072</v>
      </c>
      <c r="AO282" s="55">
        <f t="shared" si="87"/>
        <v>14.030703579799811</v>
      </c>
      <c r="AP282" s="55">
        <f t="shared" si="88"/>
        <v>0.18103154881390779</v>
      </c>
      <c r="AQ282" s="55"/>
      <c r="AR282" s="55"/>
      <c r="AS282" s="55"/>
      <c r="AT282" s="55"/>
      <c r="AU282" s="30"/>
      <c r="AV282" s="30"/>
      <c r="AW282" s="2"/>
      <c r="AX282" s="2"/>
    </row>
    <row r="283" spans="1:50" x14ac:dyDescent="0.2">
      <c r="A283" s="2"/>
      <c r="B283" s="61">
        <f t="shared" si="76"/>
        <v>41874</v>
      </c>
      <c r="C283" s="62">
        <f t="shared" si="77"/>
        <v>235</v>
      </c>
      <c r="D283" s="63">
        <f t="shared" si="78"/>
        <v>6.29636770683903</v>
      </c>
      <c r="G283" s="357" t="str">
        <f>IF(MakeSchedule!C250="","",MakeSchedule!C250)</f>
        <v/>
      </c>
      <c r="H283" s="358"/>
      <c r="I283" s="358"/>
      <c r="J283" s="359" t="str">
        <f>IF(MakeSchedule!B250="","",MakeSchedule!B250)</f>
        <v/>
      </c>
      <c r="K283" s="63">
        <f t="shared" si="69"/>
        <v>6.29636770683903</v>
      </c>
      <c r="L283" s="63">
        <f t="shared" si="79"/>
        <v>6.29636770683903</v>
      </c>
      <c r="M283" s="63">
        <f t="shared" si="80"/>
        <v>31.112463574100769</v>
      </c>
      <c r="N283" s="63" t="str">
        <f t="shared" si="70"/>
        <v/>
      </c>
      <c r="O283" s="64">
        <f t="shared" si="81"/>
        <v>0.18147695124007832</v>
      </c>
      <c r="P283" s="63">
        <f t="shared" si="82"/>
        <v>1.1473799126637518</v>
      </c>
      <c r="Q283" s="64">
        <f t="shared" si="71"/>
        <v>1.1473799126637518</v>
      </c>
      <c r="R283" s="63">
        <f t="shared" si="72"/>
        <v>1.1473799126637518</v>
      </c>
      <c r="S283" s="65">
        <f t="shared" si="73"/>
        <v>0.35</v>
      </c>
      <c r="T283" s="65">
        <f t="shared" si="83"/>
        <v>1.2</v>
      </c>
      <c r="U283" s="64">
        <f t="shared" si="84"/>
        <v>1.2</v>
      </c>
      <c r="V283" s="63">
        <f t="shared" si="74"/>
        <v>7.555641248206836</v>
      </c>
      <c r="W283" s="63" t="str">
        <f t="shared" si="75"/>
        <v/>
      </c>
      <c r="X283" s="63">
        <f t="shared" si="85"/>
        <v>1129.2950836172834</v>
      </c>
      <c r="Y283" s="55"/>
      <c r="Z283" s="55"/>
      <c r="AA283" s="55"/>
      <c r="AB283" s="55">
        <f>PMSplint!N284</f>
        <v>6.29636770683903</v>
      </c>
      <c r="AC283" s="55">
        <f>PMSplint!N284</f>
        <v>6.29636770683903</v>
      </c>
      <c r="AD283" s="55">
        <f>IF(RnSplint!N284&lt;0,0,RnSplint!N284)</f>
        <v>31.112463574100769</v>
      </c>
      <c r="AE283" s="55">
        <f>IF(RnSplint!N284&lt;0,0,RnSplint!N284)</f>
        <v>31.112463574100769</v>
      </c>
      <c r="AF283" s="30"/>
      <c r="AG283" s="30"/>
      <c r="AH283" s="30"/>
      <c r="AI283" s="55"/>
      <c r="AJ283" s="55"/>
      <c r="AK283" s="55"/>
      <c r="AL283" s="55"/>
      <c r="AM283" s="55"/>
      <c r="AN283" s="55">
        <f t="shared" si="86"/>
        <v>195.89551092817371</v>
      </c>
      <c r="AO283" s="55">
        <f t="shared" si="87"/>
        <v>13.996267749945829</v>
      </c>
      <c r="AP283" s="55">
        <f t="shared" si="88"/>
        <v>0.18147695124007832</v>
      </c>
      <c r="AQ283" s="55"/>
      <c r="AR283" s="55"/>
      <c r="AS283" s="55"/>
      <c r="AT283" s="55"/>
      <c r="AU283" s="30"/>
      <c r="AV283" s="30"/>
      <c r="AW283" s="2"/>
      <c r="AX283" s="2"/>
    </row>
    <row r="284" spans="1:50" x14ac:dyDescent="0.2">
      <c r="A284" s="2"/>
      <c r="B284" s="61">
        <f t="shared" si="76"/>
        <v>41875</v>
      </c>
      <c r="C284" s="62">
        <f t="shared" si="77"/>
        <v>236</v>
      </c>
      <c r="D284" s="63">
        <f t="shared" si="78"/>
        <v>6.2615167713071997</v>
      </c>
      <c r="G284" s="357" t="str">
        <f>IF(MakeSchedule!C251="","",MakeSchedule!C251)</f>
        <v/>
      </c>
      <c r="H284" s="358"/>
      <c r="I284" s="358"/>
      <c r="J284" s="359" t="str">
        <f>IF(MakeSchedule!B251="","",MakeSchedule!B251)</f>
        <v/>
      </c>
      <c r="K284" s="63">
        <f t="shared" si="69"/>
        <v>6.2615167713071997</v>
      </c>
      <c r="L284" s="63">
        <f t="shared" si="79"/>
        <v>6.2615167713071997</v>
      </c>
      <c r="M284" s="63">
        <f t="shared" si="80"/>
        <v>31.126662334208756</v>
      </c>
      <c r="N284" s="63" t="str">
        <f t="shared" si="70"/>
        <v/>
      </c>
      <c r="O284" s="64">
        <f t="shared" si="81"/>
        <v>0.1819397800393609</v>
      </c>
      <c r="P284" s="63">
        <f t="shared" si="82"/>
        <v>1.1473799126637518</v>
      </c>
      <c r="Q284" s="64">
        <f t="shared" si="71"/>
        <v>1.1473799126637518</v>
      </c>
      <c r="R284" s="63">
        <f t="shared" si="72"/>
        <v>1.1473799126637518</v>
      </c>
      <c r="S284" s="65">
        <f t="shared" si="73"/>
        <v>0.35</v>
      </c>
      <c r="T284" s="65">
        <f t="shared" si="83"/>
        <v>1.2</v>
      </c>
      <c r="U284" s="64">
        <f t="shared" si="84"/>
        <v>1.2</v>
      </c>
      <c r="V284" s="63">
        <f t="shared" si="74"/>
        <v>7.513820125568639</v>
      </c>
      <c r="W284" s="63" t="str">
        <f t="shared" si="75"/>
        <v/>
      </c>
      <c r="X284" s="63">
        <f t="shared" si="85"/>
        <v>1136.808903742852</v>
      </c>
      <c r="Y284" s="55"/>
      <c r="Z284" s="55"/>
      <c r="AA284" s="55"/>
      <c r="AB284" s="55">
        <f>PMSplint!N285</f>
        <v>6.2615167713071997</v>
      </c>
      <c r="AC284" s="55">
        <f>PMSplint!N285</f>
        <v>6.2615167713071997</v>
      </c>
      <c r="AD284" s="55">
        <f>IF(RnSplint!N285&lt;0,0,RnSplint!N285)</f>
        <v>31.126662334208756</v>
      </c>
      <c r="AE284" s="55">
        <f>IF(RnSplint!N285&lt;0,0,RnSplint!N285)</f>
        <v>31.126662334208756</v>
      </c>
      <c r="AF284" s="30"/>
      <c r="AG284" s="30"/>
      <c r="AH284" s="30"/>
      <c r="AI284" s="55"/>
      <c r="AJ284" s="55"/>
      <c r="AK284" s="55"/>
      <c r="AL284" s="55"/>
      <c r="AM284" s="55"/>
      <c r="AN284" s="55">
        <f t="shared" si="86"/>
        <v>194.90011824046422</v>
      </c>
      <c r="AO284" s="55">
        <f t="shared" si="87"/>
        <v>13.960663245006099</v>
      </c>
      <c r="AP284" s="55">
        <f t="shared" si="88"/>
        <v>0.1819397800393609</v>
      </c>
      <c r="AQ284" s="55"/>
      <c r="AR284" s="55"/>
      <c r="AS284" s="55"/>
      <c r="AT284" s="55"/>
      <c r="AU284" s="30"/>
      <c r="AV284" s="30"/>
      <c r="AW284" s="2"/>
      <c r="AX284" s="2"/>
    </row>
    <row r="285" spans="1:50" x14ac:dyDescent="0.2">
      <c r="A285" s="2"/>
      <c r="B285" s="61">
        <f t="shared" si="76"/>
        <v>41876</v>
      </c>
      <c r="C285" s="62">
        <f t="shared" si="77"/>
        <v>237</v>
      </c>
      <c r="D285" s="63">
        <f t="shared" si="78"/>
        <v>6.2261400817466814</v>
      </c>
      <c r="G285" s="357" t="str">
        <f>IF(MakeSchedule!C252="","",MakeSchedule!C252)</f>
        <v/>
      </c>
      <c r="H285" s="358"/>
      <c r="I285" s="358"/>
      <c r="J285" s="359" t="str">
        <f>IF(MakeSchedule!B252="","",MakeSchedule!B252)</f>
        <v/>
      </c>
      <c r="K285" s="63">
        <f t="shared" si="69"/>
        <v>6.2261400817466814</v>
      </c>
      <c r="L285" s="63">
        <f t="shared" si="79"/>
        <v>6.2261400817466814</v>
      </c>
      <c r="M285" s="63">
        <f t="shared" si="80"/>
        <v>31.138504682567884</v>
      </c>
      <c r="N285" s="63" t="str">
        <f t="shared" si="70"/>
        <v/>
      </c>
      <c r="O285" s="64">
        <f t="shared" si="81"/>
        <v>0.18242123692214268</v>
      </c>
      <c r="P285" s="63">
        <f t="shared" si="82"/>
        <v>1.1473799126637518</v>
      </c>
      <c r="Q285" s="64">
        <f t="shared" si="71"/>
        <v>1.1473799126637518</v>
      </c>
      <c r="R285" s="63">
        <f t="shared" si="72"/>
        <v>1.1473799126637518</v>
      </c>
      <c r="S285" s="65">
        <f t="shared" si="73"/>
        <v>0.35</v>
      </c>
      <c r="T285" s="65">
        <f t="shared" si="83"/>
        <v>1.2</v>
      </c>
      <c r="U285" s="64">
        <f t="shared" si="84"/>
        <v>1.2</v>
      </c>
      <c r="V285" s="63">
        <f t="shared" si="74"/>
        <v>7.4713680980960175</v>
      </c>
      <c r="W285" s="63" t="str">
        <f t="shared" si="75"/>
        <v/>
      </c>
      <c r="X285" s="63">
        <f t="shared" si="85"/>
        <v>1144.280271840948</v>
      </c>
      <c r="Y285" s="55"/>
      <c r="Z285" s="55"/>
      <c r="AA285" s="55"/>
      <c r="AB285" s="55">
        <f>PMSplint!N286</f>
        <v>6.2261400817466814</v>
      </c>
      <c r="AC285" s="55">
        <f>PMSplint!N286</f>
        <v>6.2261400817466814</v>
      </c>
      <c r="AD285" s="55">
        <f>IF(RnSplint!N286&lt;0,0,RnSplint!N286)</f>
        <v>31.138504682567884</v>
      </c>
      <c r="AE285" s="55">
        <f>IF(RnSplint!N286&lt;0,0,RnSplint!N286)</f>
        <v>31.138504682567884</v>
      </c>
      <c r="AF285" s="30"/>
      <c r="AG285" s="30"/>
      <c r="AH285" s="30"/>
      <c r="AI285" s="55"/>
      <c r="AJ285" s="55"/>
      <c r="AK285" s="55"/>
      <c r="AL285" s="55"/>
      <c r="AM285" s="55"/>
      <c r="AN285" s="55">
        <f t="shared" si="86"/>
        <v>193.87269208979262</v>
      </c>
      <c r="AO285" s="55">
        <f t="shared" si="87"/>
        <v>13.923817439545545</v>
      </c>
      <c r="AP285" s="55">
        <f t="shared" si="88"/>
        <v>0.18242123692214268</v>
      </c>
      <c r="AQ285" s="55"/>
      <c r="AR285" s="55"/>
      <c r="AS285" s="55"/>
      <c r="AT285" s="55"/>
      <c r="AU285" s="30"/>
      <c r="AV285" s="30"/>
      <c r="AW285" s="2"/>
      <c r="AX285" s="2"/>
    </row>
    <row r="286" spans="1:50" x14ac:dyDescent="0.2">
      <c r="A286" s="2"/>
      <c r="B286" s="61">
        <f t="shared" si="76"/>
        <v>41877</v>
      </c>
      <c r="C286" s="62">
        <f t="shared" si="77"/>
        <v>238</v>
      </c>
      <c r="D286" s="63">
        <f t="shared" si="78"/>
        <v>6.1902541817040513</v>
      </c>
      <c r="G286" s="357" t="str">
        <f>IF(MakeSchedule!C253="","",MakeSchedule!C253)</f>
        <v/>
      </c>
      <c r="H286" s="358"/>
      <c r="I286" s="358"/>
      <c r="J286" s="359" t="str">
        <f>IF(MakeSchedule!B253="","",MakeSchedule!B253)</f>
        <v/>
      </c>
      <c r="K286" s="63">
        <f t="shared" si="69"/>
        <v>6.1902541817040513</v>
      </c>
      <c r="L286" s="63">
        <f t="shared" si="79"/>
        <v>6.1902541817040513</v>
      </c>
      <c r="M286" s="63">
        <f t="shared" si="80"/>
        <v>31.147593947155439</v>
      </c>
      <c r="N286" s="63" t="str">
        <f t="shared" si="70"/>
        <v/>
      </c>
      <c r="O286" s="64">
        <f t="shared" si="81"/>
        <v>0.18292254003775296</v>
      </c>
      <c r="P286" s="63">
        <f t="shared" si="82"/>
        <v>1.1473799126637518</v>
      </c>
      <c r="Q286" s="64">
        <f t="shared" si="71"/>
        <v>1.1473799126637518</v>
      </c>
      <c r="R286" s="63">
        <f t="shared" si="72"/>
        <v>1.1473799126637518</v>
      </c>
      <c r="S286" s="65">
        <f t="shared" si="73"/>
        <v>0.35</v>
      </c>
      <c r="T286" s="65">
        <f t="shared" si="83"/>
        <v>1.2</v>
      </c>
      <c r="U286" s="64">
        <f t="shared" si="84"/>
        <v>1.2</v>
      </c>
      <c r="V286" s="63">
        <f t="shared" si="74"/>
        <v>7.4283050180448615</v>
      </c>
      <c r="W286" s="63" t="str">
        <f t="shared" si="75"/>
        <v/>
      </c>
      <c r="X286" s="63">
        <f t="shared" si="85"/>
        <v>1151.708576858993</v>
      </c>
      <c r="Y286" s="55"/>
      <c r="Z286" s="55"/>
      <c r="AA286" s="55"/>
      <c r="AB286" s="55">
        <f>PMSplint!N287</f>
        <v>6.1902541817040513</v>
      </c>
      <c r="AC286" s="55">
        <f>PMSplint!N287</f>
        <v>6.1902541817040513</v>
      </c>
      <c r="AD286" s="55">
        <f>IF(RnSplint!N287&lt;0,0,RnSplint!N287)</f>
        <v>31.147593947155439</v>
      </c>
      <c r="AE286" s="55">
        <f>IF(RnSplint!N287&lt;0,0,RnSplint!N287)</f>
        <v>31.147593947155439</v>
      </c>
      <c r="AF286" s="30"/>
      <c r="AG286" s="30"/>
      <c r="AH286" s="30"/>
      <c r="AI286" s="55"/>
      <c r="AJ286" s="55"/>
      <c r="AK286" s="55"/>
      <c r="AL286" s="55"/>
      <c r="AM286" s="55"/>
      <c r="AN286" s="55">
        <f t="shared" si="86"/>
        <v>192.81152368139874</v>
      </c>
      <c r="AO286" s="55">
        <f t="shared" si="87"/>
        <v>13.88565892139796</v>
      </c>
      <c r="AP286" s="55">
        <f t="shared" si="88"/>
        <v>0.18292254003775296</v>
      </c>
      <c r="AQ286" s="55"/>
      <c r="AR286" s="55"/>
      <c r="AS286" s="55"/>
      <c r="AT286" s="55"/>
      <c r="AU286" s="30"/>
      <c r="AV286" s="30"/>
      <c r="AW286" s="2"/>
      <c r="AX286" s="2"/>
    </row>
    <row r="287" spans="1:50" x14ac:dyDescent="0.2">
      <c r="A287" s="2"/>
      <c r="B287" s="61">
        <f t="shared" si="76"/>
        <v>41878</v>
      </c>
      <c r="C287" s="62">
        <f t="shared" si="77"/>
        <v>239</v>
      </c>
      <c r="D287" s="63">
        <f t="shared" si="78"/>
        <v>6.1538756147258864</v>
      </c>
      <c r="G287" s="357" t="str">
        <f>IF(MakeSchedule!C254="","",MakeSchedule!C254)</f>
        <v/>
      </c>
      <c r="H287" s="358"/>
      <c r="I287" s="358"/>
      <c r="J287" s="359" t="str">
        <f>IF(MakeSchedule!B254="","",MakeSchedule!B254)</f>
        <v/>
      </c>
      <c r="K287" s="63">
        <f t="shared" si="69"/>
        <v>6.1538756147258864</v>
      </c>
      <c r="L287" s="63">
        <f t="shared" si="79"/>
        <v>6.1538756147258864</v>
      </c>
      <c r="M287" s="63">
        <f t="shared" si="80"/>
        <v>31.153533455948676</v>
      </c>
      <c r="N287" s="63" t="str">
        <f t="shared" si="70"/>
        <v/>
      </c>
      <c r="O287" s="64">
        <f t="shared" si="81"/>
        <v>0.18344492597622611</v>
      </c>
      <c r="P287" s="63">
        <f t="shared" si="82"/>
        <v>1.1473799126637518</v>
      </c>
      <c r="Q287" s="64">
        <f t="shared" si="71"/>
        <v>1.1473799126637518</v>
      </c>
      <c r="R287" s="63">
        <f t="shared" si="72"/>
        <v>1.1473799126637518</v>
      </c>
      <c r="S287" s="65">
        <f t="shared" si="73"/>
        <v>0.35</v>
      </c>
      <c r="T287" s="65">
        <f t="shared" si="83"/>
        <v>1.2</v>
      </c>
      <c r="U287" s="64">
        <f t="shared" si="84"/>
        <v>1.2</v>
      </c>
      <c r="V287" s="63">
        <f t="shared" si="74"/>
        <v>7.3846507376710635</v>
      </c>
      <c r="W287" s="63" t="str">
        <f t="shared" si="75"/>
        <v/>
      </c>
      <c r="X287" s="63">
        <f t="shared" si="85"/>
        <v>1159.0932275966641</v>
      </c>
      <c r="Y287" s="55"/>
      <c r="Z287" s="55"/>
      <c r="AA287" s="55"/>
      <c r="AB287" s="55">
        <f>PMSplint!N288</f>
        <v>6.1538756147258864</v>
      </c>
      <c r="AC287" s="55">
        <f>PMSplint!N288</f>
        <v>6.1538756147258864</v>
      </c>
      <c r="AD287" s="55">
        <f>IF(RnSplint!N288&lt;0,0,RnSplint!N288)</f>
        <v>31.153533455948676</v>
      </c>
      <c r="AE287" s="55">
        <f>IF(RnSplint!N288&lt;0,0,RnSplint!N288)</f>
        <v>31.153533455948676</v>
      </c>
      <c r="AF287" s="30"/>
      <c r="AG287" s="30"/>
      <c r="AH287" s="30"/>
      <c r="AI287" s="55"/>
      <c r="AJ287" s="55"/>
      <c r="AK287" s="55"/>
      <c r="AL287" s="55"/>
      <c r="AM287" s="55"/>
      <c r="AN287" s="55">
        <f t="shared" si="86"/>
        <v>191.71496984710961</v>
      </c>
      <c r="AO287" s="55">
        <f t="shared" si="87"/>
        <v>13.846117500841512</v>
      </c>
      <c r="AP287" s="55">
        <f t="shared" si="88"/>
        <v>0.18344492597622611</v>
      </c>
      <c r="AQ287" s="55"/>
      <c r="AR287" s="55"/>
      <c r="AS287" s="55"/>
      <c r="AT287" s="55"/>
      <c r="AU287" s="30"/>
      <c r="AV287" s="30"/>
      <c r="AW287" s="2"/>
      <c r="AX287" s="2"/>
    </row>
    <row r="288" spans="1:50" x14ac:dyDescent="0.2">
      <c r="A288" s="2"/>
      <c r="B288" s="61">
        <f t="shared" si="76"/>
        <v>41879</v>
      </c>
      <c r="C288" s="62">
        <f t="shared" si="77"/>
        <v>240</v>
      </c>
      <c r="D288" s="63">
        <f t="shared" si="78"/>
        <v>6.1170209243587665</v>
      </c>
      <c r="G288" s="357" t="str">
        <f>IF(MakeSchedule!C255="","",MakeSchedule!C255)</f>
        <v/>
      </c>
      <c r="H288" s="358"/>
      <c r="I288" s="358"/>
      <c r="J288" s="359" t="str">
        <f>IF(MakeSchedule!B255="","",MakeSchedule!B255)</f>
        <v/>
      </c>
      <c r="K288" s="63">
        <f t="shared" si="69"/>
        <v>6.1170209243587665</v>
      </c>
      <c r="L288" s="63">
        <f t="shared" si="79"/>
        <v>6.1170209243587665</v>
      </c>
      <c r="M288" s="63">
        <f t="shared" si="80"/>
        <v>31.15592653692487</v>
      </c>
      <c r="N288" s="63" t="str">
        <f t="shared" si="70"/>
        <v/>
      </c>
      <c r="O288" s="64">
        <f t="shared" si="81"/>
        <v>0.18398965201314085</v>
      </c>
      <c r="P288" s="63">
        <f t="shared" si="82"/>
        <v>1.1473799126637518</v>
      </c>
      <c r="Q288" s="64">
        <f t="shared" si="71"/>
        <v>1.1473799126637518</v>
      </c>
      <c r="R288" s="63">
        <f t="shared" si="72"/>
        <v>1.1473799126637518</v>
      </c>
      <c r="S288" s="65">
        <f t="shared" si="73"/>
        <v>0.35</v>
      </c>
      <c r="T288" s="65">
        <f t="shared" si="83"/>
        <v>1.2</v>
      </c>
      <c r="U288" s="64">
        <f t="shared" si="84"/>
        <v>1.2</v>
      </c>
      <c r="V288" s="63">
        <f t="shared" si="74"/>
        <v>7.3404251092305195</v>
      </c>
      <c r="W288" s="63" t="str">
        <f t="shared" si="75"/>
        <v/>
      </c>
      <c r="X288" s="63">
        <f t="shared" si="85"/>
        <v>1166.4336527058945</v>
      </c>
      <c r="Y288" s="55"/>
      <c r="Z288" s="55"/>
      <c r="AA288" s="55"/>
      <c r="AB288" s="55">
        <f>PMSplint!N289</f>
        <v>6.1170209243587665</v>
      </c>
      <c r="AC288" s="55">
        <f>PMSplint!N289</f>
        <v>6.1170209243587665</v>
      </c>
      <c r="AD288" s="55">
        <f>IF(RnSplint!N289&lt;0,0,RnSplint!N289)</f>
        <v>31.15592653692487</v>
      </c>
      <c r="AE288" s="55">
        <f>IF(RnSplint!N289&lt;0,0,RnSplint!N289)</f>
        <v>31.15592653692487</v>
      </c>
      <c r="AF288" s="30"/>
      <c r="AG288" s="30"/>
      <c r="AH288" s="30"/>
      <c r="AI288" s="55"/>
      <c r="AJ288" s="55"/>
      <c r="AK288" s="55"/>
      <c r="AL288" s="55"/>
      <c r="AM288" s="55"/>
      <c r="AN288" s="55">
        <f t="shared" si="86"/>
        <v>190.58145454415398</v>
      </c>
      <c r="AO288" s="55">
        <f t="shared" si="87"/>
        <v>13.805124213282326</v>
      </c>
      <c r="AP288" s="55">
        <f t="shared" si="88"/>
        <v>0.18398965201314085</v>
      </c>
      <c r="AQ288" s="55"/>
      <c r="AR288" s="55"/>
      <c r="AS288" s="55"/>
      <c r="AT288" s="55"/>
      <c r="AU288" s="30"/>
      <c r="AV288" s="30"/>
      <c r="AW288" s="2"/>
      <c r="AX288" s="2"/>
    </row>
    <row r="289" spans="1:50" x14ac:dyDescent="0.2">
      <c r="A289" s="2"/>
      <c r="B289" s="61">
        <f t="shared" si="76"/>
        <v>41880</v>
      </c>
      <c r="C289" s="62">
        <f t="shared" si="77"/>
        <v>241</v>
      </c>
      <c r="D289" s="63">
        <f t="shared" si="78"/>
        <v>6.0797066541492688</v>
      </c>
      <c r="G289" s="357" t="str">
        <f>IF(MakeSchedule!C256="","",MakeSchedule!C256)</f>
        <v/>
      </c>
      <c r="H289" s="358"/>
      <c r="I289" s="358"/>
      <c r="J289" s="359" t="str">
        <f>IF(MakeSchedule!B256="","",MakeSchedule!B256)</f>
        <v/>
      </c>
      <c r="K289" s="63">
        <f t="shared" si="69"/>
        <v>6.0797066541492688</v>
      </c>
      <c r="L289" s="63">
        <f t="shared" si="79"/>
        <v>6.0797066541492688</v>
      </c>
      <c r="M289" s="63">
        <f t="shared" si="80"/>
        <v>31.15437651806128</v>
      </c>
      <c r="N289" s="63" t="str">
        <f t="shared" si="70"/>
        <v/>
      </c>
      <c r="O289" s="64">
        <f t="shared" si="81"/>
        <v>0.18455799860679806</v>
      </c>
      <c r="P289" s="63">
        <f t="shared" si="82"/>
        <v>1.1473799126637518</v>
      </c>
      <c r="Q289" s="64">
        <f t="shared" si="71"/>
        <v>1.1473799126637518</v>
      </c>
      <c r="R289" s="63">
        <f t="shared" si="72"/>
        <v>1.1473799126637518</v>
      </c>
      <c r="S289" s="65">
        <f t="shared" si="73"/>
        <v>0.35</v>
      </c>
      <c r="T289" s="65">
        <f t="shared" si="83"/>
        <v>1.2</v>
      </c>
      <c r="U289" s="64">
        <f t="shared" si="84"/>
        <v>1.2</v>
      </c>
      <c r="V289" s="63">
        <f t="shared" si="74"/>
        <v>7.295647984979122</v>
      </c>
      <c r="W289" s="63" t="str">
        <f t="shared" si="75"/>
        <v/>
      </c>
      <c r="X289" s="63">
        <f t="shared" si="85"/>
        <v>1173.7293006908735</v>
      </c>
      <c r="Y289" s="55"/>
      <c r="Z289" s="55"/>
      <c r="AA289" s="55"/>
      <c r="AB289" s="55">
        <f>PMSplint!N290</f>
        <v>6.0797066541492688</v>
      </c>
      <c r="AC289" s="55">
        <f>PMSplint!N290</f>
        <v>6.0797066541492688</v>
      </c>
      <c r="AD289" s="55">
        <f>IF(RnSplint!N290&lt;0,0,RnSplint!N290)</f>
        <v>31.15437651806128</v>
      </c>
      <c r="AE289" s="55">
        <f>IF(RnSplint!N290&lt;0,0,RnSplint!N290)</f>
        <v>31.15437651806128</v>
      </c>
      <c r="AF289" s="30"/>
      <c r="AG289" s="30"/>
      <c r="AH289" s="30"/>
      <c r="AI289" s="55"/>
      <c r="AJ289" s="55"/>
      <c r="AK289" s="55"/>
      <c r="AL289" s="55"/>
      <c r="AM289" s="55"/>
      <c r="AN289" s="55">
        <f t="shared" si="86"/>
        <v>189.40947022272888</v>
      </c>
      <c r="AO289" s="55">
        <f t="shared" si="87"/>
        <v>13.762611315543605</v>
      </c>
      <c r="AP289" s="55">
        <f t="shared" si="88"/>
        <v>0.18455799860679806</v>
      </c>
      <c r="AQ289" s="55"/>
      <c r="AR289" s="55"/>
      <c r="AS289" s="55"/>
      <c r="AT289" s="55"/>
      <c r="AU289" s="30"/>
      <c r="AV289" s="30"/>
      <c r="AW289" s="2"/>
      <c r="AX289" s="2"/>
    </row>
    <row r="290" spans="1:50" x14ac:dyDescent="0.2">
      <c r="A290" s="2"/>
      <c r="B290" s="61">
        <f t="shared" si="76"/>
        <v>41881</v>
      </c>
      <c r="C290" s="62">
        <f t="shared" si="77"/>
        <v>242</v>
      </c>
      <c r="D290" s="63">
        <f t="shared" si="78"/>
        <v>6.0419493476439676</v>
      </c>
      <c r="G290" s="357" t="str">
        <f>IF(MakeSchedule!C257="","",MakeSchedule!C257)</f>
        <v/>
      </c>
      <c r="H290" s="358"/>
      <c r="I290" s="358"/>
      <c r="J290" s="359" t="str">
        <f>IF(MakeSchedule!B257="","",MakeSchedule!B257)</f>
        <v/>
      </c>
      <c r="K290" s="63">
        <f t="shared" si="69"/>
        <v>6.0419493476439676</v>
      </c>
      <c r="L290" s="63">
        <f t="shared" si="79"/>
        <v>6.0419493476439676</v>
      </c>
      <c r="M290" s="63">
        <f t="shared" si="80"/>
        <v>31.148486727335186</v>
      </c>
      <c r="N290" s="63" t="str">
        <f t="shared" si="70"/>
        <v/>
      </c>
      <c r="O290" s="64">
        <f t="shared" si="81"/>
        <v>0.18515127215897992</v>
      </c>
      <c r="P290" s="63">
        <f t="shared" si="82"/>
        <v>1.1473799126637518</v>
      </c>
      <c r="Q290" s="64">
        <f t="shared" si="71"/>
        <v>1.1473799126637518</v>
      </c>
      <c r="R290" s="63">
        <f t="shared" si="72"/>
        <v>1.1473799126637518</v>
      </c>
      <c r="S290" s="65">
        <f t="shared" si="73"/>
        <v>0.35</v>
      </c>
      <c r="T290" s="65">
        <f t="shared" si="83"/>
        <v>1.2</v>
      </c>
      <c r="U290" s="64">
        <f t="shared" si="84"/>
        <v>1.2</v>
      </c>
      <c r="V290" s="63">
        <f t="shared" si="74"/>
        <v>7.250339217172761</v>
      </c>
      <c r="W290" s="63" t="str">
        <f t="shared" si="75"/>
        <v/>
      </c>
      <c r="X290" s="63">
        <f t="shared" si="85"/>
        <v>1180.9796399080462</v>
      </c>
      <c r="Y290" s="55"/>
      <c r="Z290" s="55"/>
      <c r="AA290" s="55"/>
      <c r="AB290" s="55">
        <f>PMSplint!N291</f>
        <v>6.0419493476439676</v>
      </c>
      <c r="AC290" s="55">
        <f>PMSplint!N291</f>
        <v>6.0419493476439676</v>
      </c>
      <c r="AD290" s="55">
        <f>IF(RnSplint!N291&lt;0,0,RnSplint!N291)</f>
        <v>31.148486727335186</v>
      </c>
      <c r="AE290" s="55">
        <f>IF(RnSplint!N291&lt;0,0,RnSplint!N291)</f>
        <v>31.148486727335186</v>
      </c>
      <c r="AF290" s="30"/>
      <c r="AG290" s="30"/>
      <c r="AH290" s="30"/>
      <c r="AI290" s="55"/>
      <c r="AJ290" s="55"/>
      <c r="AK290" s="55"/>
      <c r="AL290" s="55"/>
      <c r="AM290" s="55"/>
      <c r="AN290" s="55">
        <f t="shared" si="86"/>
        <v>188.19757906231962</v>
      </c>
      <c r="AO290" s="55">
        <f t="shared" si="87"/>
        <v>13.718512275838062</v>
      </c>
      <c r="AP290" s="55">
        <f t="shared" si="88"/>
        <v>0.18515127215897992</v>
      </c>
      <c r="AQ290" s="55"/>
      <c r="AR290" s="55"/>
      <c r="AS290" s="55"/>
      <c r="AT290" s="55"/>
      <c r="AU290" s="30"/>
      <c r="AV290" s="30"/>
      <c r="AW290" s="2"/>
      <c r="AX290" s="2"/>
    </row>
    <row r="291" spans="1:50" x14ac:dyDescent="0.2">
      <c r="A291" s="2"/>
      <c r="B291" s="61">
        <f t="shared" si="76"/>
        <v>41882</v>
      </c>
      <c r="C291" s="62">
        <f t="shared" si="77"/>
        <v>243</v>
      </c>
      <c r="D291" s="63">
        <f t="shared" si="78"/>
        <v>6.0037655483894437</v>
      </c>
      <c r="G291" s="357" t="str">
        <f>IF(MakeSchedule!C258="","",MakeSchedule!C258)</f>
        <v/>
      </c>
      <c r="H291" s="358"/>
      <c r="I291" s="358"/>
      <c r="J291" s="359" t="str">
        <f>IF(MakeSchedule!B258="","",MakeSchedule!B258)</f>
        <v/>
      </c>
      <c r="K291" s="63">
        <f t="shared" si="69"/>
        <v>6.0037655483894437</v>
      </c>
      <c r="L291" s="63">
        <f t="shared" si="79"/>
        <v>6.0037655483894437</v>
      </c>
      <c r="M291" s="63">
        <f t="shared" si="80"/>
        <v>31.137860492723846</v>
      </c>
      <c r="N291" s="63" t="str">
        <f t="shared" si="70"/>
        <v/>
      </c>
      <c r="O291" s="64">
        <f t="shared" si="81"/>
        <v>0.18577080805278237</v>
      </c>
      <c r="P291" s="63">
        <f t="shared" si="82"/>
        <v>1.1473799126637518</v>
      </c>
      <c r="Q291" s="64">
        <f t="shared" si="71"/>
        <v>1.1473799126637518</v>
      </c>
      <c r="R291" s="63">
        <f t="shared" si="72"/>
        <v>1.1473799126637518</v>
      </c>
      <c r="S291" s="65">
        <f t="shared" si="73"/>
        <v>0.35</v>
      </c>
      <c r="T291" s="65">
        <f t="shared" si="83"/>
        <v>1.2</v>
      </c>
      <c r="U291" s="64">
        <f t="shared" si="84"/>
        <v>1.2</v>
      </c>
      <c r="V291" s="63">
        <f t="shared" si="74"/>
        <v>7.2045186580673324</v>
      </c>
      <c r="W291" s="63" t="str">
        <f t="shared" si="75"/>
        <v/>
      </c>
      <c r="X291" s="63">
        <f t="shared" si="85"/>
        <v>1188.1841585661136</v>
      </c>
      <c r="Y291" s="55"/>
      <c r="Z291" s="55"/>
      <c r="AA291" s="55"/>
      <c r="AB291" s="55">
        <f>PMSplint!N292</f>
        <v>6.0037655483894437</v>
      </c>
      <c r="AC291" s="55">
        <f>PMSplint!N292</f>
        <v>6.0037655483894437</v>
      </c>
      <c r="AD291" s="55">
        <f>IF(RnSplint!N292&lt;0,0,RnSplint!N292)</f>
        <v>31.137860492723846</v>
      </c>
      <c r="AE291" s="55">
        <f>IF(RnSplint!N292&lt;0,0,RnSplint!N292)</f>
        <v>31.137860492723846</v>
      </c>
      <c r="AF291" s="30"/>
      <c r="AG291" s="30"/>
      <c r="AH291" s="30"/>
      <c r="AI291" s="55"/>
      <c r="AJ291" s="55"/>
      <c r="AK291" s="55"/>
      <c r="AL291" s="55"/>
      <c r="AM291" s="55"/>
      <c r="AN291" s="55">
        <f t="shared" si="86"/>
        <v>186.94441407677218</v>
      </c>
      <c r="AO291" s="55">
        <f t="shared" si="87"/>
        <v>13.672761757478705</v>
      </c>
      <c r="AP291" s="55">
        <f t="shared" si="88"/>
        <v>0.18577080805278237</v>
      </c>
      <c r="AQ291" s="55"/>
      <c r="AR291" s="55"/>
      <c r="AS291" s="55"/>
      <c r="AT291" s="55"/>
      <c r="AU291" s="30"/>
      <c r="AV291" s="30"/>
      <c r="AW291" s="2"/>
      <c r="AX291" s="2"/>
    </row>
    <row r="292" spans="1:50" x14ac:dyDescent="0.2">
      <c r="A292" s="2"/>
      <c r="B292" s="61">
        <f t="shared" si="76"/>
        <v>41883</v>
      </c>
      <c r="C292" s="62">
        <f t="shared" si="77"/>
        <v>244</v>
      </c>
      <c r="D292" s="63">
        <f t="shared" si="78"/>
        <v>5.9651717999322722</v>
      </c>
      <c r="G292" s="357" t="str">
        <f>IF(MakeSchedule!C259="","",MakeSchedule!C259)</f>
        <v/>
      </c>
      <c r="H292" s="358"/>
      <c r="I292" s="358"/>
      <c r="J292" s="359" t="str">
        <f>IF(MakeSchedule!B259="","",MakeSchedule!B259)</f>
        <v/>
      </c>
      <c r="K292" s="63">
        <f t="shared" si="69"/>
        <v>5.9651717999322722</v>
      </c>
      <c r="L292" s="63">
        <f t="shared" si="79"/>
        <v>5.9651717999322722</v>
      </c>
      <c r="M292" s="63">
        <f t="shared" si="80"/>
        <v>31.122101142204531</v>
      </c>
      <c r="N292" s="63" t="str">
        <f t="shared" si="70"/>
        <v/>
      </c>
      <c r="O292" s="64">
        <f t="shared" si="81"/>
        <v>0.18641797398355392</v>
      </c>
      <c r="P292" s="63">
        <f t="shared" si="82"/>
        <v>1.1473799126637518</v>
      </c>
      <c r="Q292" s="64">
        <f t="shared" si="71"/>
        <v>1.1473799126637518</v>
      </c>
      <c r="R292" s="63">
        <f t="shared" si="72"/>
        <v>1.1473799126637518</v>
      </c>
      <c r="S292" s="65">
        <f t="shared" si="73"/>
        <v>0.35</v>
      </c>
      <c r="T292" s="65">
        <f t="shared" si="83"/>
        <v>1.2</v>
      </c>
      <c r="U292" s="64">
        <f t="shared" si="84"/>
        <v>1.2</v>
      </c>
      <c r="V292" s="63">
        <f t="shared" si="74"/>
        <v>7.1582061599187261</v>
      </c>
      <c r="W292" s="63" t="str">
        <f t="shared" si="75"/>
        <v/>
      </c>
      <c r="X292" s="63">
        <f t="shared" si="85"/>
        <v>1195.3423647260324</v>
      </c>
      <c r="Y292" s="55"/>
      <c r="Z292" s="55"/>
      <c r="AA292" s="55"/>
      <c r="AB292" s="55">
        <f>PMSplint!N293</f>
        <v>5.9651717999322722</v>
      </c>
      <c r="AC292" s="55">
        <f>PMSplint!N293</f>
        <v>5.9651717999322722</v>
      </c>
      <c r="AD292" s="55">
        <f>IF(RnSplint!N293&lt;0,0,RnSplint!N293)</f>
        <v>31.122101142204531</v>
      </c>
      <c r="AE292" s="55">
        <f>IF(RnSplint!N293&lt;0,0,RnSplint!N293)</f>
        <v>31.122101142204531</v>
      </c>
      <c r="AF292" s="30"/>
      <c r="AG292" s="30"/>
      <c r="AH292" s="30"/>
      <c r="AI292" s="55"/>
      <c r="AJ292" s="55"/>
      <c r="AK292" s="55"/>
      <c r="AL292" s="55"/>
      <c r="AM292" s="55"/>
      <c r="AN292" s="55">
        <f t="shared" si="86"/>
        <v>185.64868008811843</v>
      </c>
      <c r="AO292" s="55">
        <f t="shared" si="87"/>
        <v>13.625295596357477</v>
      </c>
      <c r="AP292" s="55">
        <f t="shared" si="88"/>
        <v>0.18641797398355392</v>
      </c>
      <c r="AQ292" s="55"/>
      <c r="AR292" s="55"/>
      <c r="AS292" s="55"/>
      <c r="AT292" s="55"/>
      <c r="AU292" s="30"/>
      <c r="AV292" s="30"/>
      <c r="AW292" s="2"/>
      <c r="AX292" s="2"/>
    </row>
    <row r="293" spans="1:50" x14ac:dyDescent="0.2">
      <c r="A293" s="2"/>
      <c r="B293" s="61">
        <f t="shared" si="76"/>
        <v>41884</v>
      </c>
      <c r="C293" s="62">
        <f t="shared" si="77"/>
        <v>245</v>
      </c>
      <c r="D293" s="63">
        <f t="shared" si="78"/>
        <v>5.9261846458190321</v>
      </c>
      <c r="G293" s="357" t="str">
        <f>IF(MakeSchedule!C260="","",MakeSchedule!C260)</f>
        <v/>
      </c>
      <c r="H293" s="358"/>
      <c r="I293" s="358"/>
      <c r="J293" s="359" t="str">
        <f>IF(MakeSchedule!B260="","",MakeSchedule!B260)</f>
        <v/>
      </c>
      <c r="K293" s="63">
        <f t="shared" si="69"/>
        <v>5.9261846458190321</v>
      </c>
      <c r="L293" s="63">
        <f t="shared" si="79"/>
        <v>5.9261846458190321</v>
      </c>
      <c r="M293" s="63">
        <f t="shared" si="80"/>
        <v>31.100812003754509</v>
      </c>
      <c r="N293" s="63" t="str">
        <f t="shared" si="70"/>
        <v/>
      </c>
      <c r="O293" s="64">
        <f t="shared" si="81"/>
        <v>0.18709417360183878</v>
      </c>
      <c r="P293" s="63">
        <f t="shared" si="82"/>
        <v>1.1473799126637518</v>
      </c>
      <c r="Q293" s="64">
        <f t="shared" si="71"/>
        <v>1.1473799126637518</v>
      </c>
      <c r="R293" s="63">
        <f t="shared" si="72"/>
        <v>1.1473799126637518</v>
      </c>
      <c r="S293" s="65">
        <f t="shared" si="73"/>
        <v>0.35</v>
      </c>
      <c r="T293" s="65">
        <f t="shared" si="83"/>
        <v>1.2</v>
      </c>
      <c r="U293" s="64">
        <f t="shared" si="84"/>
        <v>1.2</v>
      </c>
      <c r="V293" s="63">
        <f t="shared" si="74"/>
        <v>7.1114215749828382</v>
      </c>
      <c r="W293" s="63" t="str">
        <f t="shared" si="75"/>
        <v/>
      </c>
      <c r="X293" s="63">
        <f t="shared" si="85"/>
        <v>1202.4537863010153</v>
      </c>
      <c r="Y293" s="55"/>
      <c r="Z293" s="55"/>
      <c r="AA293" s="55"/>
      <c r="AB293" s="55">
        <f>PMSplint!N294</f>
        <v>5.9261846458190321</v>
      </c>
      <c r="AC293" s="55">
        <f>PMSplint!N294</f>
        <v>5.9261846458190321</v>
      </c>
      <c r="AD293" s="55">
        <f>IF(RnSplint!N294&lt;0,0,RnSplint!N294)</f>
        <v>31.100812003754509</v>
      </c>
      <c r="AE293" s="55">
        <f>IF(RnSplint!N294&lt;0,0,RnSplint!N294)</f>
        <v>31.100812003754509</v>
      </c>
      <c r="AF293" s="30"/>
      <c r="AG293" s="30"/>
      <c r="AH293" s="30"/>
      <c r="AI293" s="55"/>
      <c r="AJ293" s="55"/>
      <c r="AK293" s="55"/>
      <c r="AL293" s="55"/>
      <c r="AM293" s="55"/>
      <c r="AN293" s="55">
        <f t="shared" si="86"/>
        <v>184.30915456915423</v>
      </c>
      <c r="AO293" s="55">
        <f t="shared" si="87"/>
        <v>13.576050772192708</v>
      </c>
      <c r="AP293" s="55">
        <f t="shared" si="88"/>
        <v>0.18709417360183878</v>
      </c>
      <c r="AQ293" s="55"/>
      <c r="AR293" s="55"/>
      <c r="AS293" s="55"/>
      <c r="AT293" s="55"/>
      <c r="AU293" s="30"/>
      <c r="AV293" s="30"/>
      <c r="AW293" s="2"/>
      <c r="AX293" s="2"/>
    </row>
    <row r="294" spans="1:50" x14ac:dyDescent="0.2">
      <c r="A294" s="2"/>
      <c r="B294" s="61">
        <f t="shared" si="76"/>
        <v>41885</v>
      </c>
      <c r="C294" s="62">
        <f t="shared" si="77"/>
        <v>246</v>
      </c>
      <c r="D294" s="63">
        <f t="shared" si="78"/>
        <v>5.8868206295962997</v>
      </c>
      <c r="G294" s="357" t="str">
        <f>IF(MakeSchedule!C261="","",MakeSchedule!C261)</f>
        <v/>
      </c>
      <c r="H294" s="358"/>
      <c r="I294" s="358"/>
      <c r="J294" s="359" t="str">
        <f>IF(MakeSchedule!B261="","",MakeSchedule!B261)</f>
        <v/>
      </c>
      <c r="K294" s="63">
        <f t="shared" si="69"/>
        <v>5.8868206295962997</v>
      </c>
      <c r="L294" s="63">
        <f t="shared" si="79"/>
        <v>5.8868206295962997</v>
      </c>
      <c r="M294" s="63">
        <f t="shared" si="80"/>
        <v>31.073596405351047</v>
      </c>
      <c r="N294" s="63" t="str">
        <f t="shared" si="70"/>
        <v/>
      </c>
      <c r="O294" s="64">
        <f t="shared" si="81"/>
        <v>0.18780085049045475</v>
      </c>
      <c r="P294" s="63">
        <f t="shared" si="82"/>
        <v>1.1473799126637518</v>
      </c>
      <c r="Q294" s="64">
        <f t="shared" si="71"/>
        <v>1.1473799126637518</v>
      </c>
      <c r="R294" s="63">
        <f t="shared" si="72"/>
        <v>1.1473799126637518</v>
      </c>
      <c r="S294" s="65">
        <f t="shared" si="73"/>
        <v>0.35</v>
      </c>
      <c r="T294" s="65">
        <f t="shared" si="83"/>
        <v>1.2</v>
      </c>
      <c r="U294" s="64">
        <f t="shared" si="84"/>
        <v>1.2</v>
      </c>
      <c r="V294" s="63">
        <f t="shared" si="74"/>
        <v>7.0641847555155595</v>
      </c>
      <c r="W294" s="63" t="str">
        <f t="shared" si="75"/>
        <v/>
      </c>
      <c r="X294" s="63">
        <f t="shared" si="85"/>
        <v>1209.5179710565308</v>
      </c>
      <c r="Y294" s="55"/>
      <c r="Z294" s="55"/>
      <c r="AA294" s="55"/>
      <c r="AB294" s="55">
        <f>PMSplint!N295</f>
        <v>5.8868206295962997</v>
      </c>
      <c r="AC294" s="55">
        <f>PMSplint!N295</f>
        <v>5.8868206295962997</v>
      </c>
      <c r="AD294" s="55">
        <f>IF(RnSplint!N295&lt;0,0,RnSplint!N295)</f>
        <v>31.073596405351047</v>
      </c>
      <c r="AE294" s="55">
        <f>IF(RnSplint!N295&lt;0,0,RnSplint!N295)</f>
        <v>31.073596405351047</v>
      </c>
      <c r="AF294" s="30"/>
      <c r="AG294" s="30"/>
      <c r="AH294" s="30"/>
      <c r="AI294" s="55"/>
      <c r="AJ294" s="55"/>
      <c r="AK294" s="55"/>
      <c r="AL294" s="55"/>
      <c r="AM294" s="55"/>
      <c r="AN294" s="55">
        <f t="shared" si="86"/>
        <v>182.92468835476996</v>
      </c>
      <c r="AO294" s="55">
        <f t="shared" si="87"/>
        <v>13.524965373514638</v>
      </c>
      <c r="AP294" s="55">
        <f t="shared" si="88"/>
        <v>0.18780085049045475</v>
      </c>
      <c r="AQ294" s="55"/>
      <c r="AR294" s="55"/>
      <c r="AS294" s="55"/>
      <c r="AT294" s="55"/>
      <c r="AU294" s="30"/>
      <c r="AV294" s="30"/>
      <c r="AW294" s="2"/>
      <c r="AX294" s="2"/>
    </row>
    <row r="295" spans="1:50" x14ac:dyDescent="0.2">
      <c r="A295" s="2"/>
      <c r="B295" s="61">
        <f t="shared" si="76"/>
        <v>41886</v>
      </c>
      <c r="C295" s="62">
        <f t="shared" si="77"/>
        <v>247</v>
      </c>
      <c r="D295" s="63">
        <f t="shared" si="78"/>
        <v>5.8470962948106537</v>
      </c>
      <c r="G295" s="357" t="str">
        <f>IF(MakeSchedule!C262="","",MakeSchedule!C262)</f>
        <v/>
      </c>
      <c r="H295" s="358"/>
      <c r="I295" s="358"/>
      <c r="J295" s="359" t="str">
        <f>IF(MakeSchedule!B262="","",MakeSchedule!B262)</f>
        <v/>
      </c>
      <c r="K295" s="63">
        <f t="shared" si="69"/>
        <v>5.8470962948106537</v>
      </c>
      <c r="L295" s="63">
        <f t="shared" si="79"/>
        <v>5.8470962948106537</v>
      </c>
      <c r="M295" s="63">
        <f t="shared" si="80"/>
        <v>31.040057674971415</v>
      </c>
      <c r="N295" s="63" t="str">
        <f t="shared" si="70"/>
        <v/>
      </c>
      <c r="O295" s="64">
        <f t="shared" si="81"/>
        <v>0.18853949250147906</v>
      </c>
      <c r="P295" s="63">
        <f t="shared" si="82"/>
        <v>1.1473799126637518</v>
      </c>
      <c r="Q295" s="64">
        <f t="shared" si="71"/>
        <v>1.1473799126637518</v>
      </c>
      <c r="R295" s="63">
        <f t="shared" si="72"/>
        <v>1.1473799126637518</v>
      </c>
      <c r="S295" s="65">
        <f t="shared" si="73"/>
        <v>0.35</v>
      </c>
      <c r="T295" s="65">
        <f t="shared" si="83"/>
        <v>1.2</v>
      </c>
      <c r="U295" s="64">
        <f t="shared" si="84"/>
        <v>1.2</v>
      </c>
      <c r="V295" s="63">
        <f t="shared" si="74"/>
        <v>7.0165155537727841</v>
      </c>
      <c r="W295" s="63" t="str">
        <f t="shared" si="75"/>
        <v/>
      </c>
      <c r="X295" s="63">
        <f t="shared" si="85"/>
        <v>1216.5344866103035</v>
      </c>
      <c r="Y295" s="55"/>
      <c r="Z295" s="55"/>
      <c r="AA295" s="55"/>
      <c r="AB295" s="55">
        <f>PMSplint!N296</f>
        <v>5.8470962948106537</v>
      </c>
      <c r="AC295" s="55">
        <f>PMSplint!N296</f>
        <v>5.8470962948106537</v>
      </c>
      <c r="AD295" s="55">
        <f>IF(RnSplint!N296&lt;0,0,RnSplint!N296)</f>
        <v>31.040057674971415</v>
      </c>
      <c r="AE295" s="55">
        <f>IF(RnSplint!N296&lt;0,0,RnSplint!N296)</f>
        <v>31.040057674971415</v>
      </c>
      <c r="AF295" s="30"/>
      <c r="AG295" s="30"/>
      <c r="AH295" s="30"/>
      <c r="AI295" s="55"/>
      <c r="AJ295" s="55"/>
      <c r="AK295" s="55"/>
      <c r="AL295" s="55"/>
      <c r="AM295" s="55"/>
      <c r="AN295" s="55">
        <f t="shared" si="86"/>
        <v>181.49420622203436</v>
      </c>
      <c r="AO295" s="55">
        <f t="shared" si="87"/>
        <v>13.471978556323283</v>
      </c>
      <c r="AP295" s="55">
        <f t="shared" si="88"/>
        <v>0.18853949250147906</v>
      </c>
      <c r="AQ295" s="55"/>
      <c r="AR295" s="55"/>
      <c r="AS295" s="55"/>
      <c r="AT295" s="55"/>
      <c r="AU295" s="30"/>
      <c r="AV295" s="30"/>
      <c r="AW295" s="2"/>
      <c r="AX295" s="2"/>
    </row>
    <row r="296" spans="1:50" x14ac:dyDescent="0.2">
      <c r="A296" s="2"/>
      <c r="B296" s="61">
        <f t="shared" si="76"/>
        <v>41887</v>
      </c>
      <c r="C296" s="62">
        <f t="shared" si="77"/>
        <v>248</v>
      </c>
      <c r="D296" s="63">
        <f t="shared" si="78"/>
        <v>5.8070281850086696</v>
      </c>
      <c r="G296" s="357" t="str">
        <f>IF(MakeSchedule!C263="","",MakeSchedule!C263)</f>
        <v/>
      </c>
      <c r="H296" s="358"/>
      <c r="I296" s="358"/>
      <c r="J296" s="359" t="str">
        <f>IF(MakeSchedule!B263="","",MakeSchedule!B263)</f>
        <v/>
      </c>
      <c r="K296" s="63">
        <f t="shared" si="69"/>
        <v>5.8070281850086696</v>
      </c>
      <c r="L296" s="63">
        <f t="shared" si="79"/>
        <v>5.8070281850086696</v>
      </c>
      <c r="M296" s="63">
        <f t="shared" si="80"/>
        <v>30.999799140592881</v>
      </c>
      <c r="N296" s="63" t="str">
        <f t="shared" si="70"/>
        <v/>
      </c>
      <c r="O296" s="64">
        <f t="shared" si="81"/>
        <v>0.18931163648303018</v>
      </c>
      <c r="P296" s="63">
        <f t="shared" si="82"/>
        <v>1.1473799126637518</v>
      </c>
      <c r="Q296" s="64">
        <f t="shared" si="71"/>
        <v>1.1473799126637518</v>
      </c>
      <c r="R296" s="63">
        <f t="shared" si="72"/>
        <v>1.1473799126637518</v>
      </c>
      <c r="S296" s="65">
        <f t="shared" si="73"/>
        <v>0.35</v>
      </c>
      <c r="T296" s="65">
        <f t="shared" si="83"/>
        <v>1.2</v>
      </c>
      <c r="U296" s="64">
        <f t="shared" si="84"/>
        <v>1.2</v>
      </c>
      <c r="V296" s="63">
        <f t="shared" si="74"/>
        <v>6.968433822010403</v>
      </c>
      <c r="W296" s="63" t="str">
        <f t="shared" si="75"/>
        <v/>
      </c>
      <c r="X296" s="63">
        <f t="shared" si="85"/>
        <v>1223.5029204323139</v>
      </c>
      <c r="Y296" s="55"/>
      <c r="Z296" s="55"/>
      <c r="AA296" s="55"/>
      <c r="AB296" s="55">
        <f>PMSplint!N297</f>
        <v>5.8070281850086696</v>
      </c>
      <c r="AC296" s="55">
        <f>PMSplint!N297</f>
        <v>5.8070281850086696</v>
      </c>
      <c r="AD296" s="55">
        <f>IF(RnSplint!N297&lt;0,0,RnSplint!N297)</f>
        <v>30.999799140592881</v>
      </c>
      <c r="AE296" s="55">
        <f>IF(RnSplint!N297&lt;0,0,RnSplint!N297)</f>
        <v>30.999799140592881</v>
      </c>
      <c r="AF296" s="30"/>
      <c r="AG296" s="30"/>
      <c r="AH296" s="30"/>
      <c r="AI296" s="55"/>
      <c r="AJ296" s="55"/>
      <c r="AK296" s="55"/>
      <c r="AL296" s="55"/>
      <c r="AM296" s="55"/>
      <c r="AN296" s="55">
        <f t="shared" si="86"/>
        <v>180.0167073390304</v>
      </c>
      <c r="AO296" s="55">
        <f t="shared" si="87"/>
        <v>13.417030496314391</v>
      </c>
      <c r="AP296" s="55">
        <f t="shared" si="88"/>
        <v>0.18931163648303018</v>
      </c>
      <c r="AQ296" s="55"/>
      <c r="AR296" s="55"/>
      <c r="AS296" s="55"/>
      <c r="AT296" s="55"/>
      <c r="AU296" s="30"/>
      <c r="AV296" s="30"/>
      <c r="AW296" s="2"/>
      <c r="AX296" s="2"/>
    </row>
    <row r="297" spans="1:50" x14ac:dyDescent="0.2">
      <c r="A297" s="2"/>
      <c r="B297" s="61">
        <f t="shared" si="76"/>
        <v>41888</v>
      </c>
      <c r="C297" s="62">
        <f t="shared" si="77"/>
        <v>249</v>
      </c>
      <c r="D297" s="63">
        <f t="shared" si="78"/>
        <v>5.7666328437369261</v>
      </c>
      <c r="G297" s="357" t="str">
        <f>IF(MakeSchedule!C264="","",MakeSchedule!C264)</f>
        <v/>
      </c>
      <c r="H297" s="358"/>
      <c r="I297" s="358"/>
      <c r="J297" s="359" t="str">
        <f>IF(MakeSchedule!B264="","",MakeSchedule!B264)</f>
        <v/>
      </c>
      <c r="K297" s="63">
        <f t="shared" si="69"/>
        <v>5.7666328437369261</v>
      </c>
      <c r="L297" s="63">
        <f t="shared" si="79"/>
        <v>5.7666328437369261</v>
      </c>
      <c r="M297" s="63">
        <f t="shared" si="80"/>
        <v>30.952424130192707</v>
      </c>
      <c r="N297" s="63" t="str">
        <f t="shared" si="70"/>
        <v/>
      </c>
      <c r="O297" s="64">
        <f t="shared" si="81"/>
        <v>0.19011887343038686</v>
      </c>
      <c r="P297" s="63">
        <f t="shared" si="82"/>
        <v>1.1473799126637518</v>
      </c>
      <c r="Q297" s="64">
        <f t="shared" si="71"/>
        <v>1.1473799126637518</v>
      </c>
      <c r="R297" s="63">
        <f t="shared" si="72"/>
        <v>1.1473799126637518</v>
      </c>
      <c r="S297" s="65">
        <f t="shared" si="73"/>
        <v>0.35</v>
      </c>
      <c r="T297" s="65">
        <f t="shared" si="83"/>
        <v>1.2</v>
      </c>
      <c r="U297" s="64">
        <f t="shared" si="84"/>
        <v>1.2</v>
      </c>
      <c r="V297" s="63">
        <f t="shared" si="74"/>
        <v>6.9199594124843111</v>
      </c>
      <c r="W297" s="63" t="str">
        <f t="shared" si="75"/>
        <v/>
      </c>
      <c r="X297" s="63">
        <f t="shared" si="85"/>
        <v>1230.4228798447982</v>
      </c>
      <c r="Y297" s="55"/>
      <c r="Z297" s="55"/>
      <c r="AA297" s="55"/>
      <c r="AB297" s="55">
        <f>PMSplint!N298</f>
        <v>5.7666328437369261</v>
      </c>
      <c r="AC297" s="55">
        <f>PMSplint!N298</f>
        <v>5.7666328437369261</v>
      </c>
      <c r="AD297" s="55">
        <f>IF(RnSplint!N298&lt;0,0,RnSplint!N298)</f>
        <v>30.952424130192707</v>
      </c>
      <c r="AE297" s="55">
        <f>IF(RnSplint!N298&lt;0,0,RnSplint!N298)</f>
        <v>30.952424130192707</v>
      </c>
      <c r="AF297" s="30"/>
      <c r="AG297" s="30"/>
      <c r="AH297" s="30"/>
      <c r="AI297" s="55"/>
      <c r="AJ297" s="55"/>
      <c r="AK297" s="55"/>
      <c r="AL297" s="55"/>
      <c r="AM297" s="55"/>
      <c r="AN297" s="55">
        <f t="shared" si="86"/>
        <v>178.49126558244461</v>
      </c>
      <c r="AO297" s="55">
        <f t="shared" si="87"/>
        <v>13.360062334526909</v>
      </c>
      <c r="AP297" s="55">
        <f t="shared" si="88"/>
        <v>0.19011887343038686</v>
      </c>
      <c r="AQ297" s="55"/>
      <c r="AR297" s="55"/>
      <c r="AS297" s="55"/>
      <c r="AT297" s="55"/>
      <c r="AU297" s="30"/>
      <c r="AV297" s="30"/>
      <c r="AW297" s="2"/>
      <c r="AX297" s="2"/>
    </row>
    <row r="298" spans="1:50" x14ac:dyDescent="0.2">
      <c r="A298" s="2"/>
      <c r="B298" s="61">
        <f t="shared" si="76"/>
        <v>41889</v>
      </c>
      <c r="C298" s="62">
        <f t="shared" si="77"/>
        <v>250</v>
      </c>
      <c r="D298" s="63">
        <f t="shared" si="78"/>
        <v>5.7259268145420013</v>
      </c>
      <c r="G298" s="357" t="str">
        <f>IF(MakeSchedule!C265="","",MakeSchedule!C265)</f>
        <v/>
      </c>
      <c r="H298" s="358"/>
      <c r="I298" s="358"/>
      <c r="J298" s="359" t="str">
        <f>IF(MakeSchedule!B265="","",MakeSchedule!B265)</f>
        <v/>
      </c>
      <c r="K298" s="63">
        <f t="shared" si="69"/>
        <v>5.7259268145420013</v>
      </c>
      <c r="L298" s="63">
        <f t="shared" si="79"/>
        <v>5.7259268145420013</v>
      </c>
      <c r="M298" s="63">
        <f t="shared" si="80"/>
        <v>30.897535971748169</v>
      </c>
      <c r="N298" s="63" t="str">
        <f t="shared" si="70"/>
        <v/>
      </c>
      <c r="O298" s="64">
        <f t="shared" si="81"/>
        <v>0.19096285410126193</v>
      </c>
      <c r="P298" s="63">
        <f t="shared" si="82"/>
        <v>1.1473799126637518</v>
      </c>
      <c r="Q298" s="64">
        <f t="shared" si="71"/>
        <v>1.1473799126637518</v>
      </c>
      <c r="R298" s="63">
        <f t="shared" si="72"/>
        <v>1.1473799126637518</v>
      </c>
      <c r="S298" s="65">
        <f t="shared" si="73"/>
        <v>0.35</v>
      </c>
      <c r="T298" s="65">
        <f t="shared" si="83"/>
        <v>1.2</v>
      </c>
      <c r="U298" s="64">
        <f t="shared" si="84"/>
        <v>1.2</v>
      </c>
      <c r="V298" s="63">
        <f t="shared" si="74"/>
        <v>6.8711121774504011</v>
      </c>
      <c r="W298" s="63" t="str">
        <f t="shared" si="75"/>
        <v/>
      </c>
      <c r="X298" s="63">
        <f t="shared" si="85"/>
        <v>1237.2939920222486</v>
      </c>
      <c r="Y298" s="55"/>
      <c r="Z298" s="55"/>
      <c r="AA298" s="55"/>
      <c r="AB298" s="55">
        <f>PMSplint!N299</f>
        <v>5.7259268145420013</v>
      </c>
      <c r="AC298" s="55">
        <f>PMSplint!N299</f>
        <v>5.7259268145420013</v>
      </c>
      <c r="AD298" s="55">
        <f>IF(RnSplint!N299&lt;0,0,RnSplint!N299)</f>
        <v>30.897535971748169</v>
      </c>
      <c r="AE298" s="55">
        <f>IF(RnSplint!N299&lt;0,0,RnSplint!N299)</f>
        <v>30.897535971748169</v>
      </c>
      <c r="AF298" s="30"/>
      <c r="AG298" s="30"/>
      <c r="AH298" s="30"/>
      <c r="AI298" s="55"/>
      <c r="AJ298" s="55"/>
      <c r="AK298" s="55"/>
      <c r="AL298" s="55"/>
      <c r="AM298" s="55"/>
      <c r="AN298" s="55">
        <f t="shared" si="86"/>
        <v>176.91702972390888</v>
      </c>
      <c r="AO298" s="55">
        <f t="shared" si="87"/>
        <v>13.301016116218673</v>
      </c>
      <c r="AP298" s="55">
        <f t="shared" si="88"/>
        <v>0.19096285410126193</v>
      </c>
      <c r="AQ298" s="55"/>
      <c r="AR298" s="55"/>
      <c r="AS298" s="55"/>
      <c r="AT298" s="55"/>
      <c r="AU298" s="30"/>
      <c r="AV298" s="30"/>
      <c r="AW298" s="2"/>
      <c r="AX298" s="2"/>
    </row>
    <row r="299" spans="1:50" x14ac:dyDescent="0.2">
      <c r="A299" s="2"/>
      <c r="B299" s="61">
        <f t="shared" si="76"/>
        <v>41890</v>
      </c>
      <c r="C299" s="62">
        <f t="shared" si="77"/>
        <v>251</v>
      </c>
      <c r="D299" s="63">
        <f t="shared" si="78"/>
        <v>5.6849266409704722</v>
      </c>
      <c r="G299" s="357" t="str">
        <f>IF(MakeSchedule!C266="","",MakeSchedule!C266)</f>
        <v/>
      </c>
      <c r="H299" s="358"/>
      <c r="I299" s="358"/>
      <c r="J299" s="359" t="str">
        <f>IF(MakeSchedule!B266="","",MakeSchedule!B266)</f>
        <v/>
      </c>
      <c r="K299" s="63">
        <f t="shared" si="69"/>
        <v>5.6849266409704722</v>
      </c>
      <c r="L299" s="63">
        <f t="shared" si="79"/>
        <v>5.6849266409704722</v>
      </c>
      <c r="M299" s="63">
        <f t="shared" si="80"/>
        <v>30.834737993236534</v>
      </c>
      <c r="N299" s="63" t="str">
        <f t="shared" si="70"/>
        <v/>
      </c>
      <c r="O299" s="64">
        <f t="shared" si="81"/>
        <v>0.19184529514104656</v>
      </c>
      <c r="P299" s="63">
        <f t="shared" si="82"/>
        <v>1.1473799126637518</v>
      </c>
      <c r="Q299" s="64">
        <f t="shared" si="71"/>
        <v>1.1473799126637518</v>
      </c>
      <c r="R299" s="63">
        <f t="shared" si="72"/>
        <v>1.1473799126637518</v>
      </c>
      <c r="S299" s="65">
        <f t="shared" si="73"/>
        <v>0.35</v>
      </c>
      <c r="T299" s="65">
        <f t="shared" si="83"/>
        <v>1.2</v>
      </c>
      <c r="U299" s="64">
        <f t="shared" si="84"/>
        <v>1.2</v>
      </c>
      <c r="V299" s="63">
        <f t="shared" si="74"/>
        <v>6.8219119691645664</v>
      </c>
      <c r="W299" s="63" t="str">
        <f t="shared" si="75"/>
        <v/>
      </c>
      <c r="X299" s="63">
        <f t="shared" si="85"/>
        <v>1244.1159039914132</v>
      </c>
      <c r="Y299" s="55"/>
      <c r="Z299" s="55"/>
      <c r="AA299" s="55"/>
      <c r="AB299" s="55">
        <f>PMSplint!N300</f>
        <v>5.6849266409704722</v>
      </c>
      <c r="AC299" s="55">
        <f>PMSplint!N300</f>
        <v>5.6849266409704722</v>
      </c>
      <c r="AD299" s="55">
        <f>IF(RnSplint!N300&lt;0,0,RnSplint!N300)</f>
        <v>30.834737993236534</v>
      </c>
      <c r="AE299" s="55">
        <f>IF(RnSplint!N300&lt;0,0,RnSplint!N300)</f>
        <v>30.834737993236534</v>
      </c>
      <c r="AF299" s="30"/>
      <c r="AG299" s="30"/>
      <c r="AH299" s="30"/>
      <c r="AI299" s="55"/>
      <c r="AJ299" s="55"/>
      <c r="AK299" s="55"/>
      <c r="AL299" s="55"/>
      <c r="AM299" s="55"/>
      <c r="AN299" s="55">
        <f t="shared" si="86"/>
        <v>175.29322348509476</v>
      </c>
      <c r="AO299" s="55">
        <f t="shared" si="87"/>
        <v>13.239834722725762</v>
      </c>
      <c r="AP299" s="55">
        <f t="shared" si="88"/>
        <v>0.19184529514104656</v>
      </c>
      <c r="AQ299" s="55"/>
      <c r="AR299" s="55"/>
      <c r="AS299" s="55"/>
      <c r="AT299" s="55"/>
      <c r="AU299" s="30"/>
      <c r="AV299" s="30"/>
      <c r="AW299" s="2"/>
      <c r="AX299" s="2"/>
    </row>
    <row r="300" spans="1:50" x14ac:dyDescent="0.2">
      <c r="A300" s="2"/>
      <c r="B300" s="61">
        <f t="shared" si="76"/>
        <v>41891</v>
      </c>
      <c r="C300" s="62">
        <f t="shared" si="77"/>
        <v>252</v>
      </c>
      <c r="D300" s="63">
        <f t="shared" si="78"/>
        <v>5.6436488665689151</v>
      </c>
      <c r="G300" s="357" t="str">
        <f>IF(MakeSchedule!C267="","",MakeSchedule!C267)</f>
        <v/>
      </c>
      <c r="H300" s="358"/>
      <c r="I300" s="358"/>
      <c r="J300" s="359" t="str">
        <f>IF(MakeSchedule!B267="","",MakeSchedule!B267)</f>
        <v/>
      </c>
      <c r="K300" s="63">
        <f t="shared" si="69"/>
        <v>5.6436488665689151</v>
      </c>
      <c r="L300" s="63">
        <f t="shared" si="79"/>
        <v>5.6436488665689151</v>
      </c>
      <c r="M300" s="63">
        <f t="shared" si="80"/>
        <v>30.763633522635065</v>
      </c>
      <c r="N300" s="63" t="str">
        <f t="shared" si="70"/>
        <v/>
      </c>
      <c r="O300" s="64">
        <f t="shared" si="81"/>
        <v>0.19276798577067503</v>
      </c>
      <c r="P300" s="63">
        <f t="shared" si="82"/>
        <v>1.1473799126637518</v>
      </c>
      <c r="Q300" s="64">
        <f t="shared" si="71"/>
        <v>1.1473799126637518</v>
      </c>
      <c r="R300" s="63">
        <f t="shared" si="72"/>
        <v>1.1473799126637518</v>
      </c>
      <c r="S300" s="65">
        <f t="shared" si="73"/>
        <v>0.35</v>
      </c>
      <c r="T300" s="65">
        <f t="shared" si="83"/>
        <v>1.2</v>
      </c>
      <c r="U300" s="64">
        <f t="shared" si="84"/>
        <v>1.2</v>
      </c>
      <c r="V300" s="63">
        <f t="shared" si="74"/>
        <v>6.7723786398826977</v>
      </c>
      <c r="W300" s="63" t="str">
        <f t="shared" si="75"/>
        <v/>
      </c>
      <c r="X300" s="63">
        <f t="shared" si="85"/>
        <v>1250.8882826312959</v>
      </c>
      <c r="Y300" s="55"/>
      <c r="Z300" s="55"/>
      <c r="AA300" s="55"/>
      <c r="AB300" s="55">
        <f>PMSplint!N301</f>
        <v>5.6436488665689151</v>
      </c>
      <c r="AC300" s="55">
        <f>PMSplint!N301</f>
        <v>5.6436488665689151</v>
      </c>
      <c r="AD300" s="55">
        <f>IF(RnSplint!N301&lt;0,0,RnSplint!N301)</f>
        <v>30.763633522635065</v>
      </c>
      <c r="AE300" s="55">
        <f>IF(RnSplint!N301&lt;0,0,RnSplint!N301)</f>
        <v>30.763633522635065</v>
      </c>
      <c r="AF300" s="30"/>
      <c r="AG300" s="30"/>
      <c r="AH300" s="30"/>
      <c r="AI300" s="55"/>
      <c r="AJ300" s="55"/>
      <c r="AK300" s="55"/>
      <c r="AL300" s="55"/>
      <c r="AM300" s="55"/>
      <c r="AN300" s="55">
        <f t="shared" si="86"/>
        <v>173.61914546156086</v>
      </c>
      <c r="AO300" s="55">
        <f t="shared" si="87"/>
        <v>13.1764617960043</v>
      </c>
      <c r="AP300" s="55">
        <f t="shared" si="88"/>
        <v>0.19276798577067503</v>
      </c>
      <c r="AQ300" s="55"/>
      <c r="AR300" s="55"/>
      <c r="AS300" s="55"/>
      <c r="AT300" s="55"/>
      <c r="AU300" s="30"/>
      <c r="AV300" s="30"/>
      <c r="AW300" s="2"/>
      <c r="AX300" s="2"/>
    </row>
    <row r="301" spans="1:50" x14ac:dyDescent="0.2">
      <c r="A301" s="2"/>
      <c r="B301" s="61">
        <f t="shared" si="76"/>
        <v>41892</v>
      </c>
      <c r="C301" s="62">
        <f t="shared" si="77"/>
        <v>253</v>
      </c>
      <c r="D301" s="63">
        <f t="shared" si="78"/>
        <v>5.6021100348839088</v>
      </c>
      <c r="G301" s="357" t="str">
        <f>IF(MakeSchedule!C268="","",MakeSchedule!C268)</f>
        <v/>
      </c>
      <c r="H301" s="358"/>
      <c r="I301" s="358"/>
      <c r="J301" s="359" t="str">
        <f>IF(MakeSchedule!B268="","",MakeSchedule!B268)</f>
        <v/>
      </c>
      <c r="K301" s="63">
        <f t="shared" si="69"/>
        <v>5.6021100348839088</v>
      </c>
      <c r="L301" s="63">
        <f t="shared" si="79"/>
        <v>5.6021100348839088</v>
      </c>
      <c r="M301" s="63">
        <f t="shared" si="80"/>
        <v>30.683825887921031</v>
      </c>
      <c r="N301" s="63" t="str">
        <f t="shared" si="70"/>
        <v/>
      </c>
      <c r="O301" s="64">
        <f t="shared" si="81"/>
        <v>0.19373279509757863</v>
      </c>
      <c r="P301" s="63">
        <f t="shared" si="82"/>
        <v>1.1473799126637518</v>
      </c>
      <c r="Q301" s="64">
        <f t="shared" si="71"/>
        <v>1.1473799126637518</v>
      </c>
      <c r="R301" s="63">
        <f t="shared" si="72"/>
        <v>1.1473799126637518</v>
      </c>
      <c r="S301" s="65">
        <f t="shared" si="73"/>
        <v>0.35</v>
      </c>
      <c r="T301" s="65">
        <f t="shared" si="83"/>
        <v>1.2</v>
      </c>
      <c r="U301" s="64">
        <f t="shared" si="84"/>
        <v>1.2</v>
      </c>
      <c r="V301" s="63">
        <f t="shared" si="74"/>
        <v>6.7225320418606902</v>
      </c>
      <c r="W301" s="63" t="str">
        <f t="shared" si="75"/>
        <v/>
      </c>
      <c r="X301" s="63">
        <f t="shared" si="85"/>
        <v>1257.6108146731565</v>
      </c>
      <c r="Y301" s="55"/>
      <c r="Z301" s="55"/>
      <c r="AA301" s="55"/>
      <c r="AB301" s="55">
        <f>PMSplint!N302</f>
        <v>5.6021100348839088</v>
      </c>
      <c r="AC301" s="55">
        <f>PMSplint!N302</f>
        <v>5.6021100348839088</v>
      </c>
      <c r="AD301" s="55">
        <f>IF(RnSplint!N302&lt;0,0,RnSplint!N302)</f>
        <v>30.683825887921031</v>
      </c>
      <c r="AE301" s="55">
        <f>IF(RnSplint!N302&lt;0,0,RnSplint!N302)</f>
        <v>30.683825887921031</v>
      </c>
      <c r="AF301" s="30"/>
      <c r="AG301" s="30"/>
      <c r="AH301" s="30"/>
      <c r="AI301" s="55"/>
      <c r="AJ301" s="55"/>
      <c r="AK301" s="55"/>
      <c r="AL301" s="55"/>
      <c r="AM301" s="55"/>
      <c r="AN301" s="55">
        <f t="shared" si="86"/>
        <v>171.89416891535308</v>
      </c>
      <c r="AO301" s="55">
        <f t="shared" si="87"/>
        <v>13.110841655490812</v>
      </c>
      <c r="AP301" s="55">
        <f t="shared" si="88"/>
        <v>0.19373279509757863</v>
      </c>
      <c r="AQ301" s="55"/>
      <c r="AR301" s="55"/>
      <c r="AS301" s="55"/>
      <c r="AT301" s="55"/>
      <c r="AU301" s="30"/>
      <c r="AV301" s="30"/>
      <c r="AW301" s="2"/>
      <c r="AX301" s="2"/>
    </row>
    <row r="302" spans="1:50" x14ac:dyDescent="0.2">
      <c r="A302" s="2"/>
      <c r="B302" s="61">
        <f t="shared" si="76"/>
        <v>41893</v>
      </c>
      <c r="C302" s="62">
        <f t="shared" si="77"/>
        <v>254</v>
      </c>
      <c r="D302" s="63">
        <f t="shared" si="78"/>
        <v>5.5603266894620305</v>
      </c>
      <c r="G302" s="357" t="str">
        <f>IF(MakeSchedule!C269="","",MakeSchedule!C269)</f>
        <v/>
      </c>
      <c r="H302" s="358"/>
      <c r="I302" s="358"/>
      <c r="J302" s="359" t="str">
        <f>IF(MakeSchedule!B269="","",MakeSchedule!B269)</f>
        <v/>
      </c>
      <c r="K302" s="63">
        <f t="shared" si="69"/>
        <v>5.5603266894620305</v>
      </c>
      <c r="L302" s="63">
        <f t="shared" si="79"/>
        <v>5.5603266894620305</v>
      </c>
      <c r="M302" s="63">
        <f t="shared" si="80"/>
        <v>30.5949184170717</v>
      </c>
      <c r="N302" s="63" t="str">
        <f t="shared" si="70"/>
        <v/>
      </c>
      <c r="O302" s="64">
        <f t="shared" si="81"/>
        <v>0.19474168011916101</v>
      </c>
      <c r="P302" s="63">
        <f t="shared" si="82"/>
        <v>1.1473799126637518</v>
      </c>
      <c r="Q302" s="64">
        <f t="shared" si="71"/>
        <v>1.1473799126637518</v>
      </c>
      <c r="R302" s="63">
        <f t="shared" si="72"/>
        <v>1.1473799126637518</v>
      </c>
      <c r="S302" s="65">
        <f t="shared" si="73"/>
        <v>0.35</v>
      </c>
      <c r="T302" s="65">
        <f t="shared" si="83"/>
        <v>1.2</v>
      </c>
      <c r="U302" s="64">
        <f t="shared" si="84"/>
        <v>1.2</v>
      </c>
      <c r="V302" s="63">
        <f t="shared" si="74"/>
        <v>6.6723920273544364</v>
      </c>
      <c r="W302" s="63" t="str">
        <f t="shared" si="75"/>
        <v/>
      </c>
      <c r="X302" s="63">
        <f t="shared" si="85"/>
        <v>1264.2832067005108</v>
      </c>
      <c r="Y302" s="55"/>
      <c r="Z302" s="55"/>
      <c r="AA302" s="55"/>
      <c r="AB302" s="55">
        <f>PMSplint!N303</f>
        <v>5.5603266894620305</v>
      </c>
      <c r="AC302" s="55">
        <f>PMSplint!N303</f>
        <v>5.5603266894620305</v>
      </c>
      <c r="AD302" s="55">
        <f>IF(RnSplint!N303&lt;0,0,RnSplint!N303)</f>
        <v>30.5949184170717</v>
      </c>
      <c r="AE302" s="55">
        <f>IF(RnSplint!N303&lt;0,0,RnSplint!N303)</f>
        <v>30.5949184170717</v>
      </c>
      <c r="AF302" s="30"/>
      <c r="AG302" s="30"/>
      <c r="AH302" s="30"/>
      <c r="AI302" s="55"/>
      <c r="AJ302" s="55"/>
      <c r="AK302" s="55"/>
      <c r="AL302" s="55"/>
      <c r="AM302" s="55"/>
      <c r="AN302" s="55">
        <f t="shared" si="86"/>
        <v>170.11774143635719</v>
      </c>
      <c r="AO302" s="55">
        <f t="shared" si="87"/>
        <v>13.042919206847721</v>
      </c>
      <c r="AP302" s="55">
        <f t="shared" si="88"/>
        <v>0.19474168011916101</v>
      </c>
      <c r="AQ302" s="55"/>
      <c r="AR302" s="55"/>
      <c r="AS302" s="55"/>
      <c r="AT302" s="55"/>
      <c r="AU302" s="30"/>
      <c r="AV302" s="30"/>
      <c r="AW302" s="2"/>
      <c r="AX302" s="2"/>
    </row>
    <row r="303" spans="1:50" x14ac:dyDescent="0.2">
      <c r="A303" s="2"/>
      <c r="B303" s="61">
        <f t="shared" si="76"/>
        <v>41894</v>
      </c>
      <c r="C303" s="62">
        <f t="shared" si="77"/>
        <v>255</v>
      </c>
      <c r="D303" s="63">
        <f t="shared" si="78"/>
        <v>5.5183153738498554</v>
      </c>
      <c r="G303" s="357" t="str">
        <f>IF(MakeSchedule!C270="","",MakeSchedule!C270)</f>
        <v/>
      </c>
      <c r="H303" s="358"/>
      <c r="I303" s="358"/>
      <c r="J303" s="359" t="str">
        <f>IF(MakeSchedule!B270="","",MakeSchedule!B270)</f>
        <v/>
      </c>
      <c r="K303" s="63">
        <f t="shared" si="69"/>
        <v>5.5183153738498554</v>
      </c>
      <c r="L303" s="63">
        <f t="shared" si="79"/>
        <v>5.5183153738498554</v>
      </c>
      <c r="M303" s="63">
        <f t="shared" si="80"/>
        <v>30.496514438064345</v>
      </c>
      <c r="N303" s="63" t="str">
        <f t="shared" si="70"/>
        <v/>
      </c>
      <c r="O303" s="64">
        <f t="shared" si="81"/>
        <v>0.19579669449854362</v>
      </c>
      <c r="P303" s="63">
        <f t="shared" si="82"/>
        <v>1.1473799126637518</v>
      </c>
      <c r="Q303" s="64">
        <f t="shared" si="71"/>
        <v>1.1473799126637518</v>
      </c>
      <c r="R303" s="63">
        <f t="shared" si="72"/>
        <v>1.1473799126637518</v>
      </c>
      <c r="S303" s="65">
        <f t="shared" si="73"/>
        <v>0.35</v>
      </c>
      <c r="T303" s="65">
        <f t="shared" si="83"/>
        <v>1.2</v>
      </c>
      <c r="U303" s="64">
        <f t="shared" si="84"/>
        <v>1.2</v>
      </c>
      <c r="V303" s="63">
        <f t="shared" si="74"/>
        <v>6.6219784486198261</v>
      </c>
      <c r="W303" s="63" t="str">
        <f t="shared" si="75"/>
        <v/>
      </c>
      <c r="X303" s="63">
        <f t="shared" si="85"/>
        <v>1270.9051851491306</v>
      </c>
      <c r="Y303" s="55"/>
      <c r="Z303" s="55"/>
      <c r="AA303" s="55"/>
      <c r="AB303" s="55">
        <f>PMSplint!N304</f>
        <v>5.5183153738498554</v>
      </c>
      <c r="AC303" s="55">
        <f>PMSplint!N304</f>
        <v>5.5183153738498554</v>
      </c>
      <c r="AD303" s="55">
        <f>IF(RnSplint!N304&lt;0,0,RnSplint!N304)</f>
        <v>30.496514438064345</v>
      </c>
      <c r="AE303" s="55">
        <f>IF(RnSplint!N304&lt;0,0,RnSplint!N304)</f>
        <v>30.496514438064345</v>
      </c>
      <c r="AF303" s="30"/>
      <c r="AG303" s="30"/>
      <c r="AH303" s="30"/>
      <c r="AI303" s="55"/>
      <c r="AJ303" s="55"/>
      <c r="AK303" s="55"/>
      <c r="AL303" s="55"/>
      <c r="AM303" s="55"/>
      <c r="AN303" s="55">
        <f t="shared" si="86"/>
        <v>168.28938447240455</v>
      </c>
      <c r="AO303" s="55">
        <f t="shared" si="87"/>
        <v>12.972639842083204</v>
      </c>
      <c r="AP303" s="55">
        <f t="shared" si="88"/>
        <v>0.19579669449854362</v>
      </c>
      <c r="AQ303" s="55"/>
      <c r="AR303" s="55"/>
      <c r="AS303" s="55"/>
      <c r="AT303" s="55"/>
      <c r="AU303" s="30"/>
      <c r="AV303" s="30"/>
      <c r="AW303" s="2"/>
      <c r="AX303" s="2"/>
    </row>
    <row r="304" spans="1:50" x14ac:dyDescent="0.2">
      <c r="A304" s="2"/>
      <c r="B304" s="61">
        <f t="shared" si="76"/>
        <v>41895</v>
      </c>
      <c r="C304" s="62">
        <f t="shared" si="77"/>
        <v>256</v>
      </c>
      <c r="D304" s="63">
        <f t="shared" si="78"/>
        <v>5.4760926315939642</v>
      </c>
      <c r="G304" s="357" t="str">
        <f>IF(MakeSchedule!C271="","",MakeSchedule!C271)</f>
        <v/>
      </c>
      <c r="H304" s="358"/>
      <c r="I304" s="358"/>
      <c r="J304" s="359" t="str">
        <f>IF(MakeSchedule!B271="","",MakeSchedule!B271)</f>
        <v/>
      </c>
      <c r="K304" s="63">
        <f t="shared" si="69"/>
        <v>5.4760926315939642</v>
      </c>
      <c r="L304" s="63">
        <f t="shared" si="79"/>
        <v>5.4760926315939642</v>
      </c>
      <c r="M304" s="63">
        <f t="shared" si="80"/>
        <v>30.38821727887623</v>
      </c>
      <c r="N304" s="63" t="str">
        <f t="shared" si="70"/>
        <v/>
      </c>
      <c r="O304" s="64">
        <f t="shared" si="81"/>
        <v>0.19689999820423737</v>
      </c>
      <c r="P304" s="63">
        <f t="shared" si="82"/>
        <v>1.1473799126637518</v>
      </c>
      <c r="Q304" s="64">
        <f t="shared" si="71"/>
        <v>1.1473799126637518</v>
      </c>
      <c r="R304" s="63">
        <f t="shared" si="72"/>
        <v>1.1473799126637518</v>
      </c>
      <c r="S304" s="65">
        <f t="shared" si="73"/>
        <v>0.35</v>
      </c>
      <c r="T304" s="65">
        <f t="shared" si="83"/>
        <v>1.2</v>
      </c>
      <c r="U304" s="64">
        <f t="shared" si="84"/>
        <v>1.2</v>
      </c>
      <c r="V304" s="63">
        <f t="shared" si="74"/>
        <v>6.5713111579127572</v>
      </c>
      <c r="W304" s="63" t="str">
        <f t="shared" si="75"/>
        <v/>
      </c>
      <c r="X304" s="63">
        <f t="shared" si="85"/>
        <v>1277.4764963070434</v>
      </c>
      <c r="Y304" s="55"/>
      <c r="Z304" s="55"/>
      <c r="AA304" s="55"/>
      <c r="AB304" s="55">
        <f>PMSplint!N305</f>
        <v>5.4760926315939642</v>
      </c>
      <c r="AC304" s="55">
        <f>PMSplint!N305</f>
        <v>5.4760926315939642</v>
      </c>
      <c r="AD304" s="55">
        <f>IF(RnSplint!N305&lt;0,0,RnSplint!N305)</f>
        <v>30.38821727887623</v>
      </c>
      <c r="AE304" s="55">
        <f>IF(RnSplint!N305&lt;0,0,RnSplint!N305)</f>
        <v>30.38821727887623</v>
      </c>
      <c r="AF304" s="30"/>
      <c r="AG304" s="30"/>
      <c r="AH304" s="30"/>
      <c r="AI304" s="55"/>
      <c r="AJ304" s="55"/>
      <c r="AK304" s="55"/>
      <c r="AL304" s="55"/>
      <c r="AM304" s="55"/>
      <c r="AN304" s="55">
        <f t="shared" si="86"/>
        <v>166.40869272813052</v>
      </c>
      <c r="AO304" s="55">
        <f t="shared" si="87"/>
        <v>12.899949330448182</v>
      </c>
      <c r="AP304" s="55">
        <f t="shared" si="88"/>
        <v>0.19689999820423737</v>
      </c>
      <c r="AQ304" s="55"/>
      <c r="AR304" s="55"/>
      <c r="AS304" s="55"/>
      <c r="AT304" s="55"/>
      <c r="AU304" s="30"/>
      <c r="AV304" s="30"/>
      <c r="AW304" s="2"/>
      <c r="AX304" s="2"/>
    </row>
    <row r="305" spans="1:50" x14ac:dyDescent="0.2">
      <c r="A305" s="2"/>
      <c r="B305" s="61">
        <f t="shared" si="76"/>
        <v>41896</v>
      </c>
      <c r="C305" s="62">
        <f t="shared" si="77"/>
        <v>257</v>
      </c>
      <c r="D305" s="63">
        <f t="shared" si="78"/>
        <v>5.4336750062409322</v>
      </c>
      <c r="G305" s="357" t="str">
        <f>IF(MakeSchedule!C272="","",MakeSchedule!C272)</f>
        <v/>
      </c>
      <c r="H305" s="358"/>
      <c r="I305" s="358"/>
      <c r="J305" s="359" t="str">
        <f>IF(MakeSchedule!B272="","",MakeSchedule!B272)</f>
        <v/>
      </c>
      <c r="K305" s="63">
        <f t="shared" ref="K305:K368" si="89">IF(G305&lt;&gt;"",G305,IF(D305="","",D305))</f>
        <v>5.4336750062409322</v>
      </c>
      <c r="L305" s="63">
        <f t="shared" si="79"/>
        <v>5.4336750062409322</v>
      </c>
      <c r="M305" s="63">
        <f t="shared" si="80"/>
        <v>30.269630267484622</v>
      </c>
      <c r="N305" s="63" t="str">
        <f t="shared" ref="N305:N368" si="90">IF(C305=$E$7,O305,"")</f>
        <v/>
      </c>
      <c r="O305" s="64">
        <f t="shared" si="81"/>
        <v>0.19805386811919054</v>
      </c>
      <c r="P305" s="63">
        <f t="shared" si="82"/>
        <v>1.1473799126637518</v>
      </c>
      <c r="Q305" s="64">
        <f t="shared" ref="Q305:Q368" si="91">IF(AND(C$49:C$625&lt;F$7,$U$44&gt;2),#N/A,IF(P305="",#N/A,P305))</f>
        <v>1.1473799126637518</v>
      </c>
      <c r="R305" s="63">
        <f t="shared" ref="R305:R368" si="92">IF(OR(P305="",O305&gt;P305),O305,P305)</f>
        <v>1.1473799126637518</v>
      </c>
      <c r="S305" s="65">
        <f t="shared" ref="S305:S368" si="93">IF(OR(AND(C$49:C$625&gt;=U$6,C$49:C$625&lt;=U$7),AND(C$49:C$625&gt;=U$9,C$49:C$625&lt;=U$10)),0.35,0)</f>
        <v>0.35</v>
      </c>
      <c r="T305" s="65">
        <f t="shared" si="83"/>
        <v>1.2</v>
      </c>
      <c r="U305" s="64">
        <f t="shared" si="84"/>
        <v>1.2</v>
      </c>
      <c r="V305" s="63">
        <f t="shared" ref="V305:V368" si="94">IF(L305="","",L305*T305)</f>
        <v>6.5204100074891187</v>
      </c>
      <c r="W305" s="63" t="str">
        <f t="shared" ref="W305:W368" si="95">IF(AND(B$49:B$625&gt;=E$6,B$49:B$625&lt;=E$7),L305,"")</f>
        <v/>
      </c>
      <c r="X305" s="63">
        <f t="shared" si="85"/>
        <v>1283.9969063145325</v>
      </c>
      <c r="Y305" s="55"/>
      <c r="Z305" s="55"/>
      <c r="AA305" s="55"/>
      <c r="AB305" s="55">
        <f>PMSplint!N306</f>
        <v>5.4336750062409322</v>
      </c>
      <c r="AC305" s="55">
        <f>PMSplint!N306</f>
        <v>5.4336750062409322</v>
      </c>
      <c r="AD305" s="55">
        <f>IF(RnSplint!N306&lt;0,0,RnSplint!N306)</f>
        <v>30.269630267484622</v>
      </c>
      <c r="AE305" s="55">
        <f>IF(RnSplint!N306&lt;0,0,RnSplint!N306)</f>
        <v>30.269630267484622</v>
      </c>
      <c r="AF305" s="30"/>
      <c r="AG305" s="30"/>
      <c r="AH305" s="30"/>
      <c r="AI305" s="55"/>
      <c r="AJ305" s="55"/>
      <c r="AK305" s="55"/>
      <c r="AL305" s="55"/>
      <c r="AM305" s="55"/>
      <c r="AN305" s="55">
        <f t="shared" si="86"/>
        <v>164.47533343258522</v>
      </c>
      <c r="AO305" s="55">
        <f t="shared" si="87"/>
        <v>12.82479369941619</v>
      </c>
      <c r="AP305" s="55">
        <f t="shared" si="88"/>
        <v>0.19805386811919054</v>
      </c>
      <c r="AQ305" s="55"/>
      <c r="AR305" s="55"/>
      <c r="AS305" s="55"/>
      <c r="AT305" s="55"/>
      <c r="AU305" s="30"/>
      <c r="AV305" s="30"/>
      <c r="AW305" s="2"/>
      <c r="AX305" s="2"/>
    </row>
    <row r="306" spans="1:50" x14ac:dyDescent="0.2">
      <c r="A306" s="2"/>
      <c r="B306" s="61">
        <f t="shared" ref="B306:B369" si="96">B305+1</f>
        <v>41897</v>
      </c>
      <c r="C306" s="62">
        <f t="shared" ref="C306:C369" si="97">IF(B305=DATE(D$4,12,31),1,C305+1)</f>
        <v>258</v>
      </c>
      <c r="D306" s="63">
        <f t="shared" ref="D306:D369" si="98">IF($B$46=0,IF(ISERROR($AB306),"",$AB306),IF(ISERROR($AC306),"",$AC306))</f>
        <v>5.3910790413373384</v>
      </c>
      <c r="G306" s="357" t="str">
        <f>IF(MakeSchedule!C273="","",MakeSchedule!C273)</f>
        <v/>
      </c>
      <c r="H306" s="358"/>
      <c r="I306" s="358"/>
      <c r="J306" s="359" t="str">
        <f>IF(MakeSchedule!B273="","",MakeSchedule!B273)</f>
        <v/>
      </c>
      <c r="K306" s="63">
        <f t="shared" si="89"/>
        <v>5.3910790413373384</v>
      </c>
      <c r="L306" s="63">
        <f t="shared" ref="L306:L369" si="99">IF($G306&lt;&gt;"",$G306,IF($D306="","",$D306))</f>
        <v>5.3910790413373384</v>
      </c>
      <c r="M306" s="63">
        <f t="shared" ref="M306:M369" si="100">IF(F$3=365,AD306,AE306)</f>
        <v>30.140356731866788</v>
      </c>
      <c r="N306" s="63" t="str">
        <f t="shared" si="90"/>
        <v/>
      </c>
      <c r="O306" s="64">
        <f t="shared" ref="O306:O369" si="101">AP306</f>
        <v>0.19926070974068907</v>
      </c>
      <c r="P306" s="63">
        <f t="shared" ref="P306:P369" si="102">IF(B$49:B$625&lt;E$6,"",IF(AND(B$49:B$625&lt;=E$7,B$49:B$625&gt;=E$6),G$7,IF(AND(B$49:B$625&lt;=E$8,B$49:B$625&gt;E$7),P305+H$8,IF(AND(B$49:B$625&lt;=E$9,B$49:B$625&gt;E$8),P305+H$9,IF(AND(B$49:B$625&lt;=E$10,B$49:B$625&gt;E$9),P305+H$10,"")))))</f>
        <v>1.1473799126637518</v>
      </c>
      <c r="Q306" s="64">
        <f t="shared" si="91"/>
        <v>1.1473799126637518</v>
      </c>
      <c r="R306" s="63">
        <f t="shared" si="92"/>
        <v>1.1473799126637518</v>
      </c>
      <c r="S306" s="65">
        <f t="shared" si="93"/>
        <v>0.35</v>
      </c>
      <c r="T306" s="65">
        <f t="shared" ref="T306:T369" si="103">IF($J$5&lt;3,R306,IF(R306+S306&gt;1.2,1.2,IF(AND(R306+S306&lt;0.9,S306=0.35),0.9,R306+S306)))</f>
        <v>1.2</v>
      </c>
      <c r="U306" s="64">
        <f t="shared" ref="U306:U369" si="104">IF(P306="",#N/A,IF($J$5&lt;3,R306,IF(R306+S306&gt;1.2,1.2,IF(AND(R306+S306&lt;0.9,S306=0.35),0.9,R306+S306))))</f>
        <v>1.2</v>
      </c>
      <c r="V306" s="63">
        <f t="shared" si="94"/>
        <v>6.4692948496048057</v>
      </c>
      <c r="W306" s="63" t="str">
        <f t="shared" si="95"/>
        <v/>
      </c>
      <c r="X306" s="63">
        <f t="shared" ref="X306:X369" si="105">IF(B306=$E$6,V306,IF(OR(B306&lt;$E$6,B306&gt;$E$10),0,X305+V306))</f>
        <v>1290.4662011641371</v>
      </c>
      <c r="Y306" s="55"/>
      <c r="Z306" s="55"/>
      <c r="AA306" s="55"/>
      <c r="AB306" s="55">
        <f>PMSplint!N307</f>
        <v>5.3910790413373384</v>
      </c>
      <c r="AC306" s="55">
        <f>PMSplint!N307</f>
        <v>5.3910790413373384</v>
      </c>
      <c r="AD306" s="55">
        <f>IF(RnSplint!N307&lt;0,0,RnSplint!N307)</f>
        <v>30.140356731866788</v>
      </c>
      <c r="AE306" s="55">
        <f>IF(RnSplint!N307&lt;0,0,RnSplint!N307)</f>
        <v>30.140356731866788</v>
      </c>
      <c r="AF306" s="30"/>
      <c r="AG306" s="30"/>
      <c r="AH306" s="30"/>
      <c r="AI306" s="55"/>
      <c r="AJ306" s="55"/>
      <c r="AK306" s="55"/>
      <c r="AL306" s="55"/>
      <c r="AM306" s="55"/>
      <c r="AN306" s="55">
        <f t="shared" si="86"/>
        <v>162.48904547559781</v>
      </c>
      <c r="AO306" s="55">
        <f t="shared" si="87"/>
        <v>12.747119104942803</v>
      </c>
      <c r="AP306" s="55">
        <f t="shared" si="88"/>
        <v>0.19926070974068907</v>
      </c>
      <c r="AQ306" s="55"/>
      <c r="AR306" s="55"/>
      <c r="AS306" s="55"/>
      <c r="AT306" s="55"/>
      <c r="AU306" s="30"/>
      <c r="AV306" s="30"/>
      <c r="AW306" s="2"/>
      <c r="AX306" s="2"/>
    </row>
    <row r="307" spans="1:50" x14ac:dyDescent="0.2">
      <c r="A307" s="2"/>
      <c r="B307" s="61">
        <f t="shared" si="96"/>
        <v>41898</v>
      </c>
      <c r="C307" s="62">
        <f t="shared" si="97"/>
        <v>259</v>
      </c>
      <c r="D307" s="63">
        <f t="shared" si="98"/>
        <v>5.3483212804297589</v>
      </c>
      <c r="G307" s="357" t="str">
        <f>IF(MakeSchedule!C274="","",MakeSchedule!C274)</f>
        <v/>
      </c>
      <c r="H307" s="358"/>
      <c r="I307" s="358"/>
      <c r="J307" s="359" t="str">
        <f>IF(MakeSchedule!B274="","",MakeSchedule!B274)</f>
        <v/>
      </c>
      <c r="K307" s="63">
        <f t="shared" si="89"/>
        <v>5.3483212804297589</v>
      </c>
      <c r="L307" s="63">
        <f t="shared" si="99"/>
        <v>5.3483212804297589</v>
      </c>
      <c r="M307" s="63">
        <f t="shared" si="100"/>
        <v>30</v>
      </c>
      <c r="N307" s="63" t="str">
        <f t="shared" si="90"/>
        <v/>
      </c>
      <c r="O307" s="64">
        <f t="shared" si="101"/>
        <v>0.20052307011127643</v>
      </c>
      <c r="P307" s="63">
        <f t="shared" si="102"/>
        <v>1.1473799126637518</v>
      </c>
      <c r="Q307" s="64">
        <f t="shared" si="91"/>
        <v>1.1473799126637518</v>
      </c>
      <c r="R307" s="63">
        <f t="shared" si="92"/>
        <v>1.1473799126637518</v>
      </c>
      <c r="S307" s="65">
        <f t="shared" si="93"/>
        <v>0.35</v>
      </c>
      <c r="T307" s="65">
        <f t="shared" si="103"/>
        <v>1.2</v>
      </c>
      <c r="U307" s="64">
        <f t="shared" si="104"/>
        <v>1.2</v>
      </c>
      <c r="V307" s="63">
        <f t="shared" si="94"/>
        <v>6.4179855365157108</v>
      </c>
      <c r="W307" s="63" t="str">
        <f t="shared" si="95"/>
        <v/>
      </c>
      <c r="X307" s="63">
        <f t="shared" si="105"/>
        <v>1296.8841867006529</v>
      </c>
      <c r="Y307" s="55"/>
      <c r="Z307" s="55"/>
      <c r="AA307" s="55"/>
      <c r="AB307" s="55">
        <f>PMSplint!N308</f>
        <v>5.3483212804297589</v>
      </c>
      <c r="AC307" s="55">
        <f>PMSplint!N308</f>
        <v>5.3483212804297589</v>
      </c>
      <c r="AD307" s="55">
        <f>IF(RnSplint!N308&lt;0,0,RnSplint!N308)</f>
        <v>30</v>
      </c>
      <c r="AE307" s="55">
        <f>IF(RnSplint!N308&lt;0,0,RnSplint!N308)</f>
        <v>30</v>
      </c>
      <c r="AF307" s="30"/>
      <c r="AG307" s="30"/>
      <c r="AH307" s="30"/>
      <c r="AI307" s="55"/>
      <c r="AJ307" s="55"/>
      <c r="AK307" s="55"/>
      <c r="AL307" s="55"/>
      <c r="AM307" s="55"/>
      <c r="AN307" s="55">
        <f t="shared" si="86"/>
        <v>160.44963841289277</v>
      </c>
      <c r="AO307" s="55">
        <f t="shared" si="87"/>
        <v>12.666871690077734</v>
      </c>
      <c r="AP307" s="55">
        <f t="shared" si="88"/>
        <v>0.20052307011127643</v>
      </c>
      <c r="AQ307" s="55"/>
      <c r="AR307" s="55"/>
      <c r="AS307" s="55"/>
      <c r="AT307" s="55"/>
      <c r="AU307" s="30"/>
      <c r="AV307" s="30"/>
      <c r="AW307" s="2"/>
      <c r="AX307" s="2"/>
    </row>
    <row r="308" spans="1:50" x14ac:dyDescent="0.2">
      <c r="A308" s="2"/>
      <c r="B308" s="61">
        <f t="shared" si="96"/>
        <v>41899</v>
      </c>
      <c r="C308" s="62">
        <f t="shared" si="97"/>
        <v>260</v>
      </c>
      <c r="D308" s="63">
        <f t="shared" si="98"/>
        <v>5.3054120163729168</v>
      </c>
      <c r="G308" s="357" t="str">
        <f>IF(MakeSchedule!C275="","",MakeSchedule!C275)</f>
        <v/>
      </c>
      <c r="H308" s="358"/>
      <c r="I308" s="358"/>
      <c r="J308" s="359" t="str">
        <f>IF(MakeSchedule!B275="","",MakeSchedule!B275)</f>
        <v/>
      </c>
      <c r="K308" s="63">
        <f t="shared" si="89"/>
        <v>5.3054120163729168</v>
      </c>
      <c r="L308" s="63">
        <f t="shared" si="99"/>
        <v>5.3054120163729168</v>
      </c>
      <c r="M308" s="63">
        <f t="shared" si="100"/>
        <v>29.848253334178935</v>
      </c>
      <c r="N308" s="63" t="str">
        <f t="shared" si="90"/>
        <v/>
      </c>
      <c r="O308" s="64">
        <f t="shared" si="101"/>
        <v>0.20184346696299146</v>
      </c>
      <c r="P308" s="63">
        <f t="shared" si="102"/>
        <v>1.1473799126637518</v>
      </c>
      <c r="Q308" s="64">
        <f t="shared" si="91"/>
        <v>1.1473799126637518</v>
      </c>
      <c r="R308" s="63">
        <f t="shared" si="92"/>
        <v>1.1473799126637518</v>
      </c>
      <c r="S308" s="65">
        <f t="shared" si="93"/>
        <v>0.35</v>
      </c>
      <c r="T308" s="65">
        <f t="shared" si="103"/>
        <v>1.2</v>
      </c>
      <c r="U308" s="64">
        <f t="shared" si="104"/>
        <v>1.2</v>
      </c>
      <c r="V308" s="63">
        <f t="shared" si="94"/>
        <v>6.3664944196475002</v>
      </c>
      <c r="W308" s="63" t="str">
        <f t="shared" si="95"/>
        <v/>
      </c>
      <c r="X308" s="63">
        <f t="shared" si="105"/>
        <v>1303.2506811203004</v>
      </c>
      <c r="Y308" s="55"/>
      <c r="Z308" s="55"/>
      <c r="AA308" s="55"/>
      <c r="AB308" s="55">
        <f>PMSplint!N309</f>
        <v>5.3054120163729168</v>
      </c>
      <c r="AC308" s="55">
        <f>PMSplint!N309</f>
        <v>5.3054120163729168</v>
      </c>
      <c r="AD308" s="55">
        <f>IF(RnSplint!N309&lt;0,0,RnSplint!N309)</f>
        <v>29.848253334178935</v>
      </c>
      <c r="AE308" s="55">
        <f>IF(RnSplint!N309&lt;0,0,RnSplint!N309)</f>
        <v>29.848253334178935</v>
      </c>
      <c r="AF308" s="30"/>
      <c r="AG308" s="30"/>
      <c r="AH308" s="30"/>
      <c r="AI308" s="55"/>
      <c r="AJ308" s="55"/>
      <c r="AK308" s="55"/>
      <c r="AL308" s="55"/>
      <c r="AM308" s="55"/>
      <c r="AN308" s="55">
        <f t="shared" si="86"/>
        <v>158.35728190689591</v>
      </c>
      <c r="AO308" s="55">
        <f t="shared" si="87"/>
        <v>12.584008975954202</v>
      </c>
      <c r="AP308" s="55">
        <f t="shared" si="88"/>
        <v>0.20184346696299146</v>
      </c>
      <c r="AQ308" s="55"/>
      <c r="AR308" s="55"/>
      <c r="AS308" s="55"/>
      <c r="AT308" s="55"/>
      <c r="AU308" s="30"/>
      <c r="AV308" s="30"/>
      <c r="AW308" s="2"/>
      <c r="AX308" s="2"/>
    </row>
    <row r="309" spans="1:50" x14ac:dyDescent="0.2">
      <c r="A309" s="2"/>
      <c r="B309" s="61">
        <f t="shared" si="96"/>
        <v>41900</v>
      </c>
      <c r="C309" s="62">
        <f t="shared" si="97"/>
        <v>261</v>
      </c>
      <c r="D309" s="63">
        <f t="shared" si="98"/>
        <v>5.2623365392541182</v>
      </c>
      <c r="G309" s="357" t="str">
        <f>IF(MakeSchedule!C276="","",MakeSchedule!C276)</f>
        <v/>
      </c>
      <c r="H309" s="358"/>
      <c r="I309" s="358"/>
      <c r="J309" s="359" t="str">
        <f>IF(MakeSchedule!B276="","",MakeSchedule!B276)</f>
        <v/>
      </c>
      <c r="K309" s="63">
        <f t="shared" si="89"/>
        <v>5.2623365392541182</v>
      </c>
      <c r="L309" s="63">
        <f t="shared" si="99"/>
        <v>5.2623365392541182</v>
      </c>
      <c r="M309" s="63">
        <f t="shared" si="100"/>
        <v>29.685169733967925</v>
      </c>
      <c r="N309" s="63" t="str">
        <f t="shared" si="90"/>
        <v/>
      </c>
      <c r="O309" s="64">
        <f t="shared" si="101"/>
        <v>0.20322383330038069</v>
      </c>
      <c r="P309" s="63">
        <f t="shared" si="102"/>
        <v>1.1473799126637518</v>
      </c>
      <c r="Q309" s="64">
        <f t="shared" si="91"/>
        <v>1.1473799126637518</v>
      </c>
      <c r="R309" s="63">
        <f t="shared" si="92"/>
        <v>1.1473799126637518</v>
      </c>
      <c r="S309" s="65">
        <f t="shared" si="93"/>
        <v>0.35</v>
      </c>
      <c r="T309" s="65">
        <f t="shared" si="103"/>
        <v>1.2</v>
      </c>
      <c r="U309" s="64">
        <f t="shared" si="104"/>
        <v>1.2</v>
      </c>
      <c r="V309" s="63">
        <f t="shared" si="94"/>
        <v>6.3148038471049412</v>
      </c>
      <c r="W309" s="63" t="str">
        <f t="shared" si="95"/>
        <v/>
      </c>
      <c r="X309" s="63">
        <f t="shared" si="105"/>
        <v>1309.5654849674054</v>
      </c>
      <c r="Y309" s="55"/>
      <c r="Z309" s="55"/>
      <c r="AA309" s="55"/>
      <c r="AB309" s="55">
        <f>PMSplint!N310</f>
        <v>5.2623365392541182</v>
      </c>
      <c r="AC309" s="55">
        <f>PMSplint!N310</f>
        <v>5.2623365392541182</v>
      </c>
      <c r="AD309" s="55">
        <f>IF(RnSplint!N310&lt;0,0,RnSplint!N310)</f>
        <v>29.685169733967925</v>
      </c>
      <c r="AE309" s="55">
        <f>IF(RnSplint!N310&lt;0,0,RnSplint!N310)</f>
        <v>29.685169733967925</v>
      </c>
      <c r="AF309" s="30"/>
      <c r="AG309" s="30"/>
      <c r="AH309" s="30"/>
      <c r="AI309" s="55"/>
      <c r="AJ309" s="55"/>
      <c r="AK309" s="55"/>
      <c r="AL309" s="55"/>
      <c r="AM309" s="55"/>
      <c r="AN309" s="55">
        <f t="shared" si="86"/>
        <v>156.21335336501986</v>
      </c>
      <c r="AO309" s="55">
        <f t="shared" si="87"/>
        <v>12.498534048640259</v>
      </c>
      <c r="AP309" s="55">
        <f t="shared" si="88"/>
        <v>0.20322383330038069</v>
      </c>
      <c r="AQ309" s="55"/>
      <c r="AR309" s="55"/>
      <c r="AS309" s="55"/>
      <c r="AT309" s="55"/>
      <c r="AU309" s="30"/>
      <c r="AV309" s="30"/>
      <c r="AW309" s="2"/>
      <c r="AX309" s="2"/>
    </row>
    <row r="310" spans="1:50" x14ac:dyDescent="0.2">
      <c r="A310" s="2"/>
      <c r="B310" s="61">
        <f t="shared" si="96"/>
        <v>41901</v>
      </c>
      <c r="C310" s="62">
        <f t="shared" si="97"/>
        <v>262</v>
      </c>
      <c r="D310" s="63">
        <f t="shared" si="98"/>
        <v>5.2190738884688122</v>
      </c>
      <c r="G310" s="357" t="str">
        <f>IF(MakeSchedule!C277="","",MakeSchedule!C277)</f>
        <v/>
      </c>
      <c r="H310" s="358"/>
      <c r="I310" s="358"/>
      <c r="J310" s="359" t="str">
        <f>IF(MakeSchedule!B277="","",MakeSchedule!B277)</f>
        <v/>
      </c>
      <c r="K310" s="63">
        <f t="shared" si="89"/>
        <v>5.2190738884688122</v>
      </c>
      <c r="L310" s="63">
        <f t="shared" si="99"/>
        <v>5.2190738884688122</v>
      </c>
      <c r="M310" s="63">
        <f t="shared" si="100"/>
        <v>29.510892133248724</v>
      </c>
      <c r="N310" s="63" t="str">
        <f t="shared" si="90"/>
        <v/>
      </c>
      <c r="O310" s="64">
        <f t="shared" si="101"/>
        <v>0.20466605787222866</v>
      </c>
      <c r="P310" s="63">
        <f t="shared" si="102"/>
        <v>1.1473799126637518</v>
      </c>
      <c r="Q310" s="64">
        <f t="shared" si="91"/>
        <v>1.1473799126637518</v>
      </c>
      <c r="R310" s="63">
        <f t="shared" si="92"/>
        <v>1.1473799126637518</v>
      </c>
      <c r="S310" s="65">
        <f t="shared" si="93"/>
        <v>0.35</v>
      </c>
      <c r="T310" s="65">
        <f t="shared" si="103"/>
        <v>1.2</v>
      </c>
      <c r="U310" s="64">
        <f t="shared" si="104"/>
        <v>1.2</v>
      </c>
      <c r="V310" s="63">
        <f t="shared" si="94"/>
        <v>6.2628886661625742</v>
      </c>
      <c r="W310" s="63" t="str">
        <f t="shared" si="95"/>
        <v/>
      </c>
      <c r="X310" s="63">
        <f t="shared" si="105"/>
        <v>1315.8283736335679</v>
      </c>
      <c r="Y310" s="55"/>
      <c r="Z310" s="55"/>
      <c r="AA310" s="55"/>
      <c r="AB310" s="55">
        <f>PMSplint!N311</f>
        <v>5.2190738884688122</v>
      </c>
      <c r="AC310" s="55">
        <f>PMSplint!N311</f>
        <v>5.2190738884688122</v>
      </c>
      <c r="AD310" s="55">
        <f>IF(RnSplint!N311&lt;0,0,RnSplint!N311)</f>
        <v>29.510892133248724</v>
      </c>
      <c r="AE310" s="55">
        <f>IF(RnSplint!N311&lt;0,0,RnSplint!N311)</f>
        <v>29.510892133248724</v>
      </c>
      <c r="AF310" s="30"/>
      <c r="AG310" s="30"/>
      <c r="AH310" s="30"/>
      <c r="AI310" s="55"/>
      <c r="AJ310" s="55"/>
      <c r="AK310" s="55"/>
      <c r="AL310" s="55"/>
      <c r="AM310" s="55"/>
      <c r="AN310" s="55">
        <f t="shared" si="86"/>
        <v>154.01952655805809</v>
      </c>
      <c r="AO310" s="55">
        <f t="shared" si="87"/>
        <v>12.410460368497942</v>
      </c>
      <c r="AP310" s="55">
        <f t="shared" si="88"/>
        <v>0.20466605787222866</v>
      </c>
      <c r="AQ310" s="55"/>
      <c r="AR310" s="55"/>
      <c r="AS310" s="55"/>
      <c r="AT310" s="55"/>
      <c r="AU310" s="30"/>
      <c r="AV310" s="30"/>
      <c r="AW310" s="2"/>
      <c r="AX310" s="2"/>
    </row>
    <row r="311" spans="1:50" x14ac:dyDescent="0.2">
      <c r="A311" s="2"/>
      <c r="B311" s="61">
        <f t="shared" si="96"/>
        <v>41902</v>
      </c>
      <c r="C311" s="62">
        <f t="shared" si="97"/>
        <v>263</v>
      </c>
      <c r="D311" s="63">
        <f t="shared" si="98"/>
        <v>5.1756031034124526</v>
      </c>
      <c r="G311" s="357" t="str">
        <f>IF(MakeSchedule!C278="","",MakeSchedule!C278)</f>
        <v/>
      </c>
      <c r="H311" s="358"/>
      <c r="I311" s="358"/>
      <c r="J311" s="359" t="str">
        <f>IF(MakeSchedule!B278="","",MakeSchedule!B278)</f>
        <v/>
      </c>
      <c r="K311" s="63">
        <f t="shared" si="89"/>
        <v>5.1756031034124526</v>
      </c>
      <c r="L311" s="63">
        <f t="shared" si="99"/>
        <v>5.1756031034124526</v>
      </c>
      <c r="M311" s="63">
        <f t="shared" si="100"/>
        <v>29.325563465903063</v>
      </c>
      <c r="N311" s="63" t="str">
        <f t="shared" si="90"/>
        <v/>
      </c>
      <c r="O311" s="64">
        <f t="shared" si="101"/>
        <v>0.20617217455846615</v>
      </c>
      <c r="P311" s="63">
        <f t="shared" si="102"/>
        <v>1.1473799126637518</v>
      </c>
      <c r="Q311" s="64">
        <f t="shared" si="91"/>
        <v>1.1473799126637518</v>
      </c>
      <c r="R311" s="63">
        <f t="shared" si="92"/>
        <v>1.1473799126637518</v>
      </c>
      <c r="S311" s="65">
        <f t="shared" si="93"/>
        <v>0.35</v>
      </c>
      <c r="T311" s="65">
        <f t="shared" si="103"/>
        <v>1.2</v>
      </c>
      <c r="U311" s="64">
        <f t="shared" si="104"/>
        <v>1.2</v>
      </c>
      <c r="V311" s="63">
        <f t="shared" si="94"/>
        <v>6.2107237240949429</v>
      </c>
      <c r="W311" s="63" t="str">
        <f t="shared" si="95"/>
        <v/>
      </c>
      <c r="X311" s="63">
        <f t="shared" si="105"/>
        <v>1322.039097357663</v>
      </c>
      <c r="Y311" s="55"/>
      <c r="Z311" s="55"/>
      <c r="AA311" s="55"/>
      <c r="AB311" s="55">
        <f>PMSplint!N312</f>
        <v>5.1756031034124526</v>
      </c>
      <c r="AC311" s="55">
        <f>PMSplint!N312</f>
        <v>5.1756031034124526</v>
      </c>
      <c r="AD311" s="55">
        <f>IF(RnSplint!N312&lt;0,0,RnSplint!N312)</f>
        <v>29.325563465903063</v>
      </c>
      <c r="AE311" s="55">
        <f>IF(RnSplint!N312&lt;0,0,RnSplint!N312)</f>
        <v>29.325563465903063</v>
      </c>
      <c r="AF311" s="30"/>
      <c r="AG311" s="30"/>
      <c r="AH311" s="30"/>
      <c r="AI311" s="55"/>
      <c r="AJ311" s="55"/>
      <c r="AK311" s="55"/>
      <c r="AL311" s="55"/>
      <c r="AM311" s="55"/>
      <c r="AN311" s="55">
        <f t="shared" si="86"/>
        <v>151.77747728344673</v>
      </c>
      <c r="AO311" s="55">
        <f t="shared" si="87"/>
        <v>12.319800212805674</v>
      </c>
      <c r="AP311" s="55">
        <f t="shared" si="88"/>
        <v>0.20617217455846615</v>
      </c>
      <c r="AQ311" s="55"/>
      <c r="AR311" s="55"/>
      <c r="AS311" s="55"/>
      <c r="AT311" s="55"/>
      <c r="AU311" s="30"/>
      <c r="AV311" s="30"/>
      <c r="AW311" s="2"/>
      <c r="AX311" s="2"/>
    </row>
    <row r="312" spans="1:50" x14ac:dyDescent="0.2">
      <c r="A312" s="2"/>
      <c r="B312" s="61">
        <f t="shared" si="96"/>
        <v>41903</v>
      </c>
      <c r="C312" s="62">
        <f t="shared" si="97"/>
        <v>264</v>
      </c>
      <c r="D312" s="63">
        <f t="shared" si="98"/>
        <v>5.1319032234804869</v>
      </c>
      <c r="G312" s="357" t="str">
        <f>IF(MakeSchedule!C279="","",MakeSchedule!C279)</f>
        <v/>
      </c>
      <c r="H312" s="358"/>
      <c r="I312" s="358"/>
      <c r="J312" s="359" t="str">
        <f>IF(MakeSchedule!B279="","",MakeSchedule!B279)</f>
        <v/>
      </c>
      <c r="K312" s="63">
        <f t="shared" si="89"/>
        <v>5.1319032234804869</v>
      </c>
      <c r="L312" s="63">
        <f t="shared" si="99"/>
        <v>5.1319032234804869</v>
      </c>
      <c r="M312" s="63">
        <f t="shared" si="100"/>
        <v>29.129326665812695</v>
      </c>
      <c r="N312" s="63" t="str">
        <f t="shared" si="90"/>
        <v/>
      </c>
      <c r="O312" s="64">
        <f t="shared" si="101"/>
        <v>0.20774437083481737</v>
      </c>
      <c r="P312" s="63">
        <f t="shared" si="102"/>
        <v>1.1473799126637518</v>
      </c>
      <c r="Q312" s="64">
        <f t="shared" si="91"/>
        <v>1.1473799126637518</v>
      </c>
      <c r="R312" s="63">
        <f t="shared" si="92"/>
        <v>1.1473799126637518</v>
      </c>
      <c r="S312" s="65">
        <f t="shared" si="93"/>
        <v>0.35</v>
      </c>
      <c r="T312" s="65">
        <f t="shared" si="103"/>
        <v>1.2</v>
      </c>
      <c r="U312" s="64">
        <f t="shared" si="104"/>
        <v>1.2</v>
      </c>
      <c r="V312" s="63">
        <f t="shared" si="94"/>
        <v>6.1582838681765839</v>
      </c>
      <c r="W312" s="63" t="str">
        <f t="shared" si="95"/>
        <v/>
      </c>
      <c r="X312" s="63">
        <f t="shared" si="105"/>
        <v>1328.1973812258395</v>
      </c>
      <c r="Y312" s="55"/>
      <c r="Z312" s="55"/>
      <c r="AA312" s="55"/>
      <c r="AB312" s="55">
        <f>PMSplint!N313</f>
        <v>5.1319032234804869</v>
      </c>
      <c r="AC312" s="55">
        <f>PMSplint!N313</f>
        <v>5.1319032234804869</v>
      </c>
      <c r="AD312" s="55">
        <f>IF(RnSplint!N313&lt;0,0,RnSplint!N313)</f>
        <v>29.129326665812695</v>
      </c>
      <c r="AE312" s="55">
        <f>IF(RnSplint!N313&lt;0,0,RnSplint!N313)</f>
        <v>29.129326665812695</v>
      </c>
      <c r="AF312" s="30"/>
      <c r="AG312" s="30"/>
      <c r="AH312" s="30"/>
      <c r="AI312" s="55"/>
      <c r="AJ312" s="55"/>
      <c r="AK312" s="55"/>
      <c r="AL312" s="55"/>
      <c r="AM312" s="55"/>
      <c r="AN312" s="55">
        <f t="shared" si="86"/>
        <v>149.48888541410028</v>
      </c>
      <c r="AO312" s="55">
        <f t="shared" si="87"/>
        <v>12.226564742972585</v>
      </c>
      <c r="AP312" s="55">
        <f t="shared" si="88"/>
        <v>0.20774437083481737</v>
      </c>
      <c r="AQ312" s="55"/>
      <c r="AR312" s="55"/>
      <c r="AS312" s="55"/>
      <c r="AT312" s="55"/>
      <c r="AU312" s="30"/>
      <c r="AV312" s="30"/>
      <c r="AW312" s="2"/>
      <c r="AX312" s="2"/>
    </row>
    <row r="313" spans="1:50" x14ac:dyDescent="0.2">
      <c r="A313" s="2"/>
      <c r="B313" s="61">
        <f t="shared" si="96"/>
        <v>41904</v>
      </c>
      <c r="C313" s="62">
        <f t="shared" si="97"/>
        <v>265</v>
      </c>
      <c r="D313" s="63">
        <f t="shared" si="98"/>
        <v>5.0879532880683662</v>
      </c>
      <c r="G313" s="357" t="str">
        <f>IF(MakeSchedule!C280="","",MakeSchedule!C280)</f>
        <v/>
      </c>
      <c r="H313" s="358"/>
      <c r="I313" s="358"/>
      <c r="J313" s="359" t="str">
        <f>IF(MakeSchedule!B280="","",MakeSchedule!B280)</f>
        <v/>
      </c>
      <c r="K313" s="63">
        <f t="shared" si="89"/>
        <v>5.0879532880683662</v>
      </c>
      <c r="L313" s="63">
        <f t="shared" si="99"/>
        <v>5.0879532880683662</v>
      </c>
      <c r="M313" s="63">
        <f t="shared" si="100"/>
        <v>28.92232466685936</v>
      </c>
      <c r="N313" s="63" t="str">
        <f t="shared" si="90"/>
        <v/>
      </c>
      <c r="O313" s="64">
        <f t="shared" si="101"/>
        <v>0.20938499715618136</v>
      </c>
      <c r="P313" s="63">
        <f t="shared" si="102"/>
        <v>1.1473799126637518</v>
      </c>
      <c r="Q313" s="64">
        <f t="shared" si="91"/>
        <v>1.1473799126637518</v>
      </c>
      <c r="R313" s="63">
        <f t="shared" si="92"/>
        <v>1.1473799126637518</v>
      </c>
      <c r="S313" s="65">
        <f t="shared" si="93"/>
        <v>0.35</v>
      </c>
      <c r="T313" s="65">
        <f t="shared" si="103"/>
        <v>1.2</v>
      </c>
      <c r="U313" s="64">
        <f t="shared" si="104"/>
        <v>1.2</v>
      </c>
      <c r="V313" s="63">
        <f t="shared" si="94"/>
        <v>6.1055439456820393</v>
      </c>
      <c r="W313" s="63" t="str">
        <f t="shared" si="95"/>
        <v/>
      </c>
      <c r="X313" s="63">
        <f t="shared" si="105"/>
        <v>1334.3029251715216</v>
      </c>
      <c r="Y313" s="55"/>
      <c r="Z313" s="55"/>
      <c r="AA313" s="55"/>
      <c r="AB313" s="55">
        <f>PMSplint!N314</f>
        <v>5.0879532880683662</v>
      </c>
      <c r="AC313" s="55">
        <f>PMSplint!N314</f>
        <v>5.0879532880683662</v>
      </c>
      <c r="AD313" s="55">
        <f>IF(RnSplint!N314&lt;0,0,RnSplint!N314)</f>
        <v>28.92232466685936</v>
      </c>
      <c r="AE313" s="55">
        <f>IF(RnSplint!N314&lt;0,0,RnSplint!N314)</f>
        <v>28.92232466685936</v>
      </c>
      <c r="AF313" s="30"/>
      <c r="AG313" s="30"/>
      <c r="AH313" s="30"/>
      <c r="AI313" s="55"/>
      <c r="AJ313" s="55"/>
      <c r="AK313" s="55"/>
      <c r="AL313" s="55"/>
      <c r="AM313" s="55"/>
      <c r="AN313" s="55">
        <f t="shared" si="86"/>
        <v>147.15543688732791</v>
      </c>
      <c r="AO313" s="55">
        <f t="shared" si="87"/>
        <v>12.13076406857078</v>
      </c>
      <c r="AP313" s="55">
        <f t="shared" si="88"/>
        <v>0.20938499715618136</v>
      </c>
      <c r="AQ313" s="55"/>
      <c r="AR313" s="55"/>
      <c r="AS313" s="55"/>
      <c r="AT313" s="55"/>
      <c r="AU313" s="30"/>
      <c r="AV313" s="30"/>
      <c r="AW313" s="2"/>
      <c r="AX313" s="2"/>
    </row>
    <row r="314" spans="1:50" x14ac:dyDescent="0.2">
      <c r="A314" s="2"/>
      <c r="B314" s="61">
        <f t="shared" si="96"/>
        <v>41905</v>
      </c>
      <c r="C314" s="62">
        <f t="shared" si="97"/>
        <v>266</v>
      </c>
      <c r="D314" s="63">
        <f t="shared" si="98"/>
        <v>5.0437323365715425</v>
      </c>
      <c r="G314" s="357" t="str">
        <f>IF(MakeSchedule!C281="","",MakeSchedule!C281)</f>
        <v/>
      </c>
      <c r="H314" s="358"/>
      <c r="I314" s="358"/>
      <c r="J314" s="359" t="str">
        <f>IF(MakeSchedule!B281="","",MakeSchedule!B281)</f>
        <v/>
      </c>
      <c r="K314" s="63">
        <f t="shared" si="89"/>
        <v>5.0437323365715425</v>
      </c>
      <c r="L314" s="63">
        <f t="shared" si="99"/>
        <v>5.0437323365715425</v>
      </c>
      <c r="M314" s="63">
        <f t="shared" si="100"/>
        <v>28.704700402924811</v>
      </c>
      <c r="N314" s="63" t="str">
        <f t="shared" si="90"/>
        <v/>
      </c>
      <c r="O314" s="64">
        <f t="shared" si="101"/>
        <v>0.21109657734401469</v>
      </c>
      <c r="P314" s="63">
        <f t="shared" si="102"/>
        <v>1.1473799126637518</v>
      </c>
      <c r="Q314" s="64">
        <f t="shared" si="91"/>
        <v>1.1473799126637518</v>
      </c>
      <c r="R314" s="63">
        <f t="shared" si="92"/>
        <v>1.1473799126637518</v>
      </c>
      <c r="S314" s="65">
        <f t="shared" si="93"/>
        <v>0.35</v>
      </c>
      <c r="T314" s="65">
        <f t="shared" si="103"/>
        <v>1.2</v>
      </c>
      <c r="U314" s="64">
        <f t="shared" si="104"/>
        <v>1.2</v>
      </c>
      <c r="V314" s="63">
        <f t="shared" si="94"/>
        <v>6.052478803885851</v>
      </c>
      <c r="W314" s="63" t="str">
        <f t="shared" si="95"/>
        <v/>
      </c>
      <c r="X314" s="63">
        <f t="shared" si="105"/>
        <v>1340.3554039754074</v>
      </c>
      <c r="Y314" s="55"/>
      <c r="Z314" s="55"/>
      <c r="AA314" s="55"/>
      <c r="AB314" s="55">
        <f>PMSplint!N315</f>
        <v>5.0437323365715425</v>
      </c>
      <c r="AC314" s="55">
        <f>PMSplint!N315</f>
        <v>5.0437323365715425</v>
      </c>
      <c r="AD314" s="55">
        <f>IF(RnSplint!N315&lt;0,0,RnSplint!N315)</f>
        <v>28.704700402924811</v>
      </c>
      <c r="AE314" s="55">
        <f>IF(RnSplint!N315&lt;0,0,RnSplint!N315)</f>
        <v>28.704700402924811</v>
      </c>
      <c r="AF314" s="30"/>
      <c r="AG314" s="30"/>
      <c r="AH314" s="30"/>
      <c r="AI314" s="55"/>
      <c r="AJ314" s="55"/>
      <c r="AK314" s="55"/>
      <c r="AL314" s="55"/>
      <c r="AM314" s="55"/>
      <c r="AN314" s="55">
        <f t="shared" si="86"/>
        <v>144.77882563383005</v>
      </c>
      <c r="AO314" s="55">
        <f t="shared" si="87"/>
        <v>12.032407308341504</v>
      </c>
      <c r="AP314" s="55">
        <f t="shared" si="88"/>
        <v>0.21109657734401469</v>
      </c>
      <c r="AQ314" s="55"/>
      <c r="AR314" s="55"/>
      <c r="AS314" s="55"/>
      <c r="AT314" s="55"/>
      <c r="AU314" s="30"/>
      <c r="AV314" s="30"/>
      <c r="AW314" s="2"/>
      <c r="AX314" s="2"/>
    </row>
    <row r="315" spans="1:50" x14ac:dyDescent="0.2">
      <c r="A315" s="2"/>
      <c r="B315" s="61">
        <f t="shared" si="96"/>
        <v>41906</v>
      </c>
      <c r="C315" s="62">
        <f t="shared" si="97"/>
        <v>267</v>
      </c>
      <c r="D315" s="63">
        <f t="shared" si="98"/>
        <v>4.9992194083854669</v>
      </c>
      <c r="G315" s="357" t="str">
        <f>IF(MakeSchedule!C282="","",MakeSchedule!C282)</f>
        <v/>
      </c>
      <c r="H315" s="358"/>
      <c r="I315" s="358"/>
      <c r="J315" s="359" t="str">
        <f>IF(MakeSchedule!B282="","",MakeSchedule!B282)</f>
        <v/>
      </c>
      <c r="K315" s="63">
        <f t="shared" si="89"/>
        <v>4.9992194083854669</v>
      </c>
      <c r="L315" s="63">
        <f t="shared" si="99"/>
        <v>4.9992194083854669</v>
      </c>
      <c r="M315" s="63">
        <f t="shared" si="100"/>
        <v>28.476596807890786</v>
      </c>
      <c r="N315" s="63" t="str">
        <f t="shared" si="90"/>
        <v/>
      </c>
      <c r="O315" s="64">
        <f t="shared" si="101"/>
        <v>0.21288182007472978</v>
      </c>
      <c r="P315" s="63">
        <f t="shared" si="102"/>
        <v>1.1245488624354429</v>
      </c>
      <c r="Q315" s="64">
        <f t="shared" si="91"/>
        <v>1.1245488624354429</v>
      </c>
      <c r="R315" s="63">
        <f t="shared" si="92"/>
        <v>1.1245488624354429</v>
      </c>
      <c r="S315" s="65">
        <f t="shared" si="93"/>
        <v>0.35</v>
      </c>
      <c r="T315" s="65">
        <f t="shared" si="103"/>
        <v>1.2</v>
      </c>
      <c r="U315" s="64">
        <f t="shared" si="104"/>
        <v>1.2</v>
      </c>
      <c r="V315" s="63">
        <f t="shared" si="94"/>
        <v>5.9990632900625602</v>
      </c>
      <c r="W315" s="63" t="str">
        <f t="shared" si="95"/>
        <v/>
      </c>
      <c r="X315" s="63">
        <f t="shared" si="105"/>
        <v>1346.35446726547</v>
      </c>
      <c r="Y315" s="55"/>
      <c r="Z315" s="55"/>
      <c r="AA315" s="55"/>
      <c r="AB315" s="55">
        <f>PMSplint!N316</f>
        <v>4.9992194083854669</v>
      </c>
      <c r="AC315" s="55">
        <f>PMSplint!N316</f>
        <v>4.9992194083854669</v>
      </c>
      <c r="AD315" s="55">
        <f>IF(RnSplint!N316&lt;0,0,RnSplint!N316)</f>
        <v>28.476596807890786</v>
      </c>
      <c r="AE315" s="55">
        <f>IF(RnSplint!N316&lt;0,0,RnSplint!N316)</f>
        <v>28.476596807890786</v>
      </c>
      <c r="AF315" s="30"/>
      <c r="AG315" s="30"/>
      <c r="AH315" s="30"/>
      <c r="AI315" s="55"/>
      <c r="AJ315" s="55"/>
      <c r="AK315" s="55"/>
      <c r="AL315" s="55"/>
      <c r="AM315" s="55"/>
      <c r="AN315" s="55">
        <f t="shared" ref="AN315:AN378" si="106">K315*M315</f>
        <v>142.36075544677524</v>
      </c>
      <c r="AO315" s="55">
        <f t="shared" ref="AO315:AO378" si="107">SQRT(AN315)</f>
        <v>11.931502648316147</v>
      </c>
      <c r="AP315" s="55">
        <f t="shared" ref="AP315:AP378" si="108">IF(2.54/AO315&gt;1.22,1.22,2.54/AO315)</f>
        <v>0.21288182007472978</v>
      </c>
      <c r="AQ315" s="55"/>
      <c r="AR315" s="55"/>
      <c r="AS315" s="55"/>
      <c r="AT315" s="55"/>
      <c r="AU315" s="30"/>
      <c r="AV315" s="30"/>
      <c r="AW315" s="2"/>
      <c r="AX315" s="2"/>
    </row>
    <row r="316" spans="1:50" x14ac:dyDescent="0.2">
      <c r="A316" s="2"/>
      <c r="B316" s="61">
        <f t="shared" si="96"/>
        <v>41907</v>
      </c>
      <c r="C316" s="62">
        <f t="shared" si="97"/>
        <v>268</v>
      </c>
      <c r="D316" s="63">
        <f t="shared" si="98"/>
        <v>4.9543935429055885</v>
      </c>
      <c r="G316" s="357" t="str">
        <f>IF(MakeSchedule!C283="","",MakeSchedule!C283)</f>
        <v/>
      </c>
      <c r="H316" s="358"/>
      <c r="I316" s="358"/>
      <c r="J316" s="359" t="str">
        <f>IF(MakeSchedule!B283="","",MakeSchedule!B283)</f>
        <v/>
      </c>
      <c r="K316" s="63">
        <f t="shared" si="89"/>
        <v>4.9543935429055885</v>
      </c>
      <c r="L316" s="63">
        <f t="shared" si="99"/>
        <v>4.9543935429055885</v>
      </c>
      <c r="M316" s="63">
        <f t="shared" si="100"/>
        <v>28.238156815639034</v>
      </c>
      <c r="N316" s="63" t="str">
        <f t="shared" si="90"/>
        <v/>
      </c>
      <c r="O316" s="64">
        <f t="shared" si="101"/>
        <v>0.21474363157941917</v>
      </c>
      <c r="P316" s="63">
        <f t="shared" si="102"/>
        <v>1.1017178122071341</v>
      </c>
      <c r="Q316" s="64">
        <f t="shared" si="91"/>
        <v>1.1017178122071341</v>
      </c>
      <c r="R316" s="63">
        <f t="shared" si="92"/>
        <v>1.1017178122071341</v>
      </c>
      <c r="S316" s="65">
        <f t="shared" si="93"/>
        <v>0.35</v>
      </c>
      <c r="T316" s="65">
        <f t="shared" si="103"/>
        <v>1.2</v>
      </c>
      <c r="U316" s="64">
        <f t="shared" si="104"/>
        <v>1.2</v>
      </c>
      <c r="V316" s="63">
        <f t="shared" si="94"/>
        <v>5.9452722514867062</v>
      </c>
      <c r="W316" s="63" t="str">
        <f t="shared" si="95"/>
        <v/>
      </c>
      <c r="X316" s="63">
        <f t="shared" si="105"/>
        <v>1352.2997395169568</v>
      </c>
      <c r="Y316" s="55"/>
      <c r="Z316" s="55"/>
      <c r="AA316" s="55"/>
      <c r="AB316" s="55">
        <f>PMSplint!N317</f>
        <v>4.9543935429055885</v>
      </c>
      <c r="AC316" s="55">
        <f>PMSplint!N317</f>
        <v>4.9543935429055885</v>
      </c>
      <c r="AD316" s="55">
        <f>IF(RnSplint!N317&lt;0,0,RnSplint!N317)</f>
        <v>28.238156815639034</v>
      </c>
      <c r="AE316" s="55">
        <f>IF(RnSplint!N317&lt;0,0,RnSplint!N317)</f>
        <v>28.238156815639034</v>
      </c>
      <c r="AF316" s="30"/>
      <c r="AG316" s="30"/>
      <c r="AH316" s="30"/>
      <c r="AI316" s="55"/>
      <c r="AJ316" s="55"/>
      <c r="AK316" s="55"/>
      <c r="AL316" s="55"/>
      <c r="AM316" s="55"/>
      <c r="AN316" s="55">
        <f t="shared" si="106"/>
        <v>139.90294179095747</v>
      </c>
      <c r="AO316" s="55">
        <f t="shared" si="107"/>
        <v>11.828057397178856</v>
      </c>
      <c r="AP316" s="55">
        <f t="shared" si="108"/>
        <v>0.21474363157941917</v>
      </c>
      <c r="AQ316" s="55"/>
      <c r="AR316" s="55"/>
      <c r="AS316" s="55"/>
      <c r="AT316" s="55"/>
      <c r="AU316" s="30"/>
      <c r="AV316" s="30"/>
      <c r="AW316" s="2"/>
      <c r="AX316" s="2"/>
    </row>
    <row r="317" spans="1:50" x14ac:dyDescent="0.2">
      <c r="A317" s="2"/>
      <c r="B317" s="61">
        <f t="shared" si="96"/>
        <v>41908</v>
      </c>
      <c r="C317" s="62">
        <f t="shared" si="97"/>
        <v>269</v>
      </c>
      <c r="D317" s="63">
        <f t="shared" si="98"/>
        <v>4.9092337795273586</v>
      </c>
      <c r="G317" s="357" t="str">
        <f>IF(MakeSchedule!C284="","",MakeSchedule!C284)</f>
        <v/>
      </c>
      <c r="H317" s="358"/>
      <c r="I317" s="358"/>
      <c r="J317" s="359" t="str">
        <f>IF(MakeSchedule!B284="","",MakeSchedule!B284)</f>
        <v/>
      </c>
      <c r="K317" s="63">
        <f t="shared" si="89"/>
        <v>4.9092337795273586</v>
      </c>
      <c r="L317" s="63">
        <f t="shared" si="99"/>
        <v>4.9092337795273586</v>
      </c>
      <c r="M317" s="63">
        <f t="shared" si="100"/>
        <v>27.989523360051294</v>
      </c>
      <c r="N317" s="63" t="str">
        <f t="shared" si="90"/>
        <v/>
      </c>
      <c r="O317" s="64">
        <f t="shared" si="101"/>
        <v>0.21668512968031095</v>
      </c>
      <c r="P317" s="63">
        <f t="shared" si="102"/>
        <v>1.0788867619788252</v>
      </c>
      <c r="Q317" s="64">
        <f t="shared" si="91"/>
        <v>1.0788867619788252</v>
      </c>
      <c r="R317" s="63">
        <f t="shared" si="92"/>
        <v>1.0788867619788252</v>
      </c>
      <c r="S317" s="65">
        <f t="shared" si="93"/>
        <v>0.35</v>
      </c>
      <c r="T317" s="65">
        <f t="shared" si="103"/>
        <v>1.2</v>
      </c>
      <c r="U317" s="64">
        <f t="shared" si="104"/>
        <v>1.2</v>
      </c>
      <c r="V317" s="63">
        <f t="shared" si="94"/>
        <v>5.8910805354328302</v>
      </c>
      <c r="W317" s="63" t="str">
        <f t="shared" si="95"/>
        <v/>
      </c>
      <c r="X317" s="63">
        <f t="shared" si="105"/>
        <v>1358.1908200523897</v>
      </c>
      <c r="Y317" s="55"/>
      <c r="Z317" s="55"/>
      <c r="AA317" s="55"/>
      <c r="AB317" s="55">
        <f>PMSplint!N318</f>
        <v>4.9092337795273586</v>
      </c>
      <c r="AC317" s="55">
        <f>PMSplint!N318</f>
        <v>4.9092337795273586</v>
      </c>
      <c r="AD317" s="55">
        <f>IF(RnSplint!N318&lt;0,0,RnSplint!N318)</f>
        <v>27.989523360051294</v>
      </c>
      <c r="AE317" s="55">
        <f>IF(RnSplint!N318&lt;0,0,RnSplint!N318)</f>
        <v>27.989523360051294</v>
      </c>
      <c r="AF317" s="30"/>
      <c r="AG317" s="30"/>
      <c r="AH317" s="30"/>
      <c r="AI317" s="55"/>
      <c r="AJ317" s="55"/>
      <c r="AK317" s="55"/>
      <c r="AL317" s="55"/>
      <c r="AM317" s="55"/>
      <c r="AN317" s="55">
        <f t="shared" si="106"/>
        <v>137.40711355203391</v>
      </c>
      <c r="AO317" s="55">
        <f t="shared" si="107"/>
        <v>11.722078038984124</v>
      </c>
      <c r="AP317" s="55">
        <f t="shared" si="108"/>
        <v>0.21668512968031095</v>
      </c>
      <c r="AQ317" s="55"/>
      <c r="AR317" s="55"/>
      <c r="AS317" s="55"/>
      <c r="AT317" s="55"/>
      <c r="AU317" s="30"/>
      <c r="AV317" s="30"/>
      <c r="AW317" s="2"/>
      <c r="AX317" s="2"/>
    </row>
    <row r="318" spans="1:50" x14ac:dyDescent="0.2">
      <c r="A318" s="2"/>
      <c r="B318" s="61">
        <f t="shared" si="96"/>
        <v>41909</v>
      </c>
      <c r="C318" s="62">
        <f t="shared" si="97"/>
        <v>270</v>
      </c>
      <c r="D318" s="63">
        <f t="shared" si="98"/>
        <v>4.86371915764623</v>
      </c>
      <c r="G318" s="357" t="str">
        <f>IF(MakeSchedule!C285="","",MakeSchedule!C285)</f>
        <v/>
      </c>
      <c r="H318" s="358"/>
      <c r="I318" s="358"/>
      <c r="J318" s="359" t="str">
        <f>IF(MakeSchedule!B285="","",MakeSchedule!B285)</f>
        <v/>
      </c>
      <c r="K318" s="63">
        <f t="shared" si="89"/>
        <v>4.86371915764623</v>
      </c>
      <c r="L318" s="63">
        <f t="shared" si="99"/>
        <v>4.86371915764623</v>
      </c>
      <c r="M318" s="63">
        <f t="shared" si="100"/>
        <v>27.730839375009314</v>
      </c>
      <c r="N318" s="63" t="str">
        <f t="shared" si="90"/>
        <v/>
      </c>
      <c r="O318" s="64">
        <f t="shared" si="101"/>
        <v>0.2187096593065711</v>
      </c>
      <c r="P318" s="63">
        <f t="shared" si="102"/>
        <v>1.0560557117505163</v>
      </c>
      <c r="Q318" s="64">
        <f t="shared" si="91"/>
        <v>1.0560557117505163</v>
      </c>
      <c r="R318" s="63">
        <f t="shared" si="92"/>
        <v>1.0560557117505163</v>
      </c>
      <c r="S318" s="65">
        <f t="shared" si="93"/>
        <v>0.35</v>
      </c>
      <c r="T318" s="65">
        <f t="shared" si="103"/>
        <v>1.2</v>
      </c>
      <c r="U318" s="64">
        <f t="shared" si="104"/>
        <v>1.2</v>
      </c>
      <c r="V318" s="63">
        <f t="shared" si="94"/>
        <v>5.8364629891754758</v>
      </c>
      <c r="W318" s="63" t="str">
        <f t="shared" si="95"/>
        <v/>
      </c>
      <c r="X318" s="63">
        <f t="shared" si="105"/>
        <v>1364.0272830415652</v>
      </c>
      <c r="Y318" s="55"/>
      <c r="Z318" s="55"/>
      <c r="AA318" s="55"/>
      <c r="AB318" s="55">
        <f>PMSplint!N319</f>
        <v>4.86371915764623</v>
      </c>
      <c r="AC318" s="55">
        <f>PMSplint!N319</f>
        <v>4.86371915764623</v>
      </c>
      <c r="AD318" s="55">
        <f>IF(RnSplint!N319&lt;0,0,RnSplint!N319)</f>
        <v>27.730839375009314</v>
      </c>
      <c r="AE318" s="55">
        <f>IF(RnSplint!N319&lt;0,0,RnSplint!N319)</f>
        <v>27.730839375009314</v>
      </c>
      <c r="AF318" s="30"/>
      <c r="AG318" s="30"/>
      <c r="AH318" s="30"/>
      <c r="AI318" s="55"/>
      <c r="AJ318" s="55"/>
      <c r="AK318" s="55"/>
      <c r="AL318" s="55"/>
      <c r="AM318" s="55"/>
      <c r="AN318" s="55">
        <f t="shared" si="106"/>
        <v>134.87501472584322</v>
      </c>
      <c r="AO318" s="55">
        <f t="shared" si="107"/>
        <v>11.613570283329896</v>
      </c>
      <c r="AP318" s="55">
        <f t="shared" si="108"/>
        <v>0.2187096593065711</v>
      </c>
      <c r="AQ318" s="55"/>
      <c r="AR318" s="55"/>
      <c r="AS318" s="55"/>
      <c r="AT318" s="55"/>
      <c r="AU318" s="30"/>
      <c r="AV318" s="30"/>
      <c r="AW318" s="2"/>
      <c r="AX318" s="2"/>
    </row>
    <row r="319" spans="1:50" x14ac:dyDescent="0.2">
      <c r="A319" s="2"/>
      <c r="B319" s="61">
        <f t="shared" si="96"/>
        <v>41910</v>
      </c>
      <c r="C319" s="62">
        <f t="shared" si="97"/>
        <v>271</v>
      </c>
      <c r="D319" s="63">
        <f t="shared" si="98"/>
        <v>4.8178287166576492</v>
      </c>
      <c r="G319" s="357" t="str">
        <f>IF(MakeSchedule!C286="","",MakeSchedule!C286)</f>
        <v/>
      </c>
      <c r="H319" s="358"/>
      <c r="I319" s="358"/>
      <c r="J319" s="359" t="str">
        <f>IF(MakeSchedule!B286="","",MakeSchedule!B286)</f>
        <v/>
      </c>
      <c r="K319" s="63">
        <f t="shared" si="89"/>
        <v>4.8178287166576492</v>
      </c>
      <c r="L319" s="63">
        <f t="shared" si="99"/>
        <v>4.8178287166576492</v>
      </c>
      <c r="M319" s="63">
        <f t="shared" si="100"/>
        <v>27.462247794394841</v>
      </c>
      <c r="N319" s="63" t="str">
        <f t="shared" si="90"/>
        <v/>
      </c>
      <c r="O319" s="64">
        <f t="shared" si="101"/>
        <v>0.2208208096517513</v>
      </c>
      <c r="P319" s="63">
        <f t="shared" si="102"/>
        <v>1.0332246615222074</v>
      </c>
      <c r="Q319" s="64">
        <f t="shared" si="91"/>
        <v>1.0332246615222074</v>
      </c>
      <c r="R319" s="63">
        <f t="shared" si="92"/>
        <v>1.0332246615222074</v>
      </c>
      <c r="S319" s="65">
        <f t="shared" si="93"/>
        <v>0.35</v>
      </c>
      <c r="T319" s="65">
        <f t="shared" si="103"/>
        <v>1.2</v>
      </c>
      <c r="U319" s="64">
        <f t="shared" si="104"/>
        <v>1.2</v>
      </c>
      <c r="V319" s="63">
        <f t="shared" si="94"/>
        <v>5.7813944599891789</v>
      </c>
      <c r="W319" s="63" t="str">
        <f t="shared" si="95"/>
        <v/>
      </c>
      <c r="X319" s="63">
        <f t="shared" si="105"/>
        <v>1369.8086775015543</v>
      </c>
      <c r="Y319" s="55"/>
      <c r="Z319" s="55"/>
      <c r="AA319" s="55"/>
      <c r="AB319" s="55">
        <f>PMSplint!N320</f>
        <v>4.8178287166576492</v>
      </c>
      <c r="AC319" s="55">
        <f>PMSplint!N320</f>
        <v>4.8178287166576492</v>
      </c>
      <c r="AD319" s="55">
        <f>IF(RnSplint!N320&lt;0,0,RnSplint!N320)</f>
        <v>27.462247794394841</v>
      </c>
      <c r="AE319" s="55">
        <f>IF(RnSplint!N320&lt;0,0,RnSplint!N320)</f>
        <v>27.462247794394841</v>
      </c>
      <c r="AF319" s="30"/>
      <c r="AG319" s="30"/>
      <c r="AH319" s="30"/>
      <c r="AI319" s="55"/>
      <c r="AJ319" s="55"/>
      <c r="AK319" s="55"/>
      <c r="AL319" s="55"/>
      <c r="AM319" s="55"/>
      <c r="AN319" s="55">
        <f t="shared" si="106"/>
        <v>132.30840604780366</v>
      </c>
      <c r="AO319" s="55">
        <f t="shared" si="107"/>
        <v>11.502539113074281</v>
      </c>
      <c r="AP319" s="55">
        <f t="shared" si="108"/>
        <v>0.2208208096517513</v>
      </c>
      <c r="AQ319" s="55"/>
      <c r="AR319" s="55"/>
      <c r="AS319" s="55"/>
      <c r="AT319" s="55"/>
      <c r="AU319" s="30"/>
      <c r="AV319" s="30"/>
      <c r="AW319" s="2"/>
      <c r="AX319" s="2"/>
    </row>
    <row r="320" spans="1:50" x14ac:dyDescent="0.2">
      <c r="A320" s="2"/>
      <c r="B320" s="61">
        <f t="shared" si="96"/>
        <v>41911</v>
      </c>
      <c r="C320" s="62">
        <f t="shared" si="97"/>
        <v>272</v>
      </c>
      <c r="D320" s="63">
        <f t="shared" si="98"/>
        <v>4.7715414959570701</v>
      </c>
      <c r="G320" s="357" t="str">
        <f>IF(MakeSchedule!C287="","",MakeSchedule!C287)</f>
        <v/>
      </c>
      <c r="H320" s="358"/>
      <c r="I320" s="358"/>
      <c r="J320" s="359" t="str">
        <f>IF(MakeSchedule!B287="","",MakeSchedule!B287)</f>
        <v/>
      </c>
      <c r="K320" s="63">
        <f t="shared" si="89"/>
        <v>4.7715414959570701</v>
      </c>
      <c r="L320" s="63">
        <f t="shared" si="99"/>
        <v>4.7715414959570701</v>
      </c>
      <c r="M320" s="63">
        <f t="shared" si="100"/>
        <v>27.183891552089626</v>
      </c>
      <c r="N320" s="63" t="str">
        <f t="shared" si="90"/>
        <v/>
      </c>
      <c r="O320" s="64">
        <f t="shared" si="101"/>
        <v>0.22302243315776105</v>
      </c>
      <c r="P320" s="63">
        <f t="shared" si="102"/>
        <v>1.0103936112938985</v>
      </c>
      <c r="Q320" s="64">
        <f t="shared" si="91"/>
        <v>1.0103936112938985</v>
      </c>
      <c r="R320" s="63">
        <f t="shared" si="92"/>
        <v>1.0103936112938985</v>
      </c>
      <c r="S320" s="65">
        <f t="shared" si="93"/>
        <v>0.35</v>
      </c>
      <c r="T320" s="65">
        <f t="shared" si="103"/>
        <v>1.2</v>
      </c>
      <c r="U320" s="64">
        <f t="shared" si="104"/>
        <v>1.2</v>
      </c>
      <c r="V320" s="63">
        <f t="shared" si="94"/>
        <v>5.7258497951484841</v>
      </c>
      <c r="W320" s="63" t="str">
        <f t="shared" si="95"/>
        <v/>
      </c>
      <c r="X320" s="63">
        <f t="shared" si="105"/>
        <v>1375.5345272967027</v>
      </c>
      <c r="Y320" s="55"/>
      <c r="Z320" s="55"/>
      <c r="AA320" s="55"/>
      <c r="AB320" s="55">
        <f>PMSplint!N321</f>
        <v>4.7715414959570701</v>
      </c>
      <c r="AC320" s="55">
        <f>PMSplint!N321</f>
        <v>4.7715414959570701</v>
      </c>
      <c r="AD320" s="55">
        <f>IF(RnSplint!N321&lt;0,0,RnSplint!N321)</f>
        <v>27.183891552089626</v>
      </c>
      <c r="AE320" s="55">
        <f>IF(RnSplint!N321&lt;0,0,RnSplint!N321)</f>
        <v>27.183891552089626</v>
      </c>
      <c r="AF320" s="30"/>
      <c r="AG320" s="30"/>
      <c r="AH320" s="30"/>
      <c r="AI320" s="55"/>
      <c r="AJ320" s="55"/>
      <c r="AK320" s="55"/>
      <c r="AL320" s="55"/>
      <c r="AM320" s="55"/>
      <c r="AN320" s="55">
        <f t="shared" si="106"/>
        <v>129.70906656239251</v>
      </c>
      <c r="AO320" s="55">
        <f t="shared" si="107"/>
        <v>11.388988829671952</v>
      </c>
      <c r="AP320" s="55">
        <f t="shared" si="108"/>
        <v>0.22302243315776105</v>
      </c>
      <c r="AQ320" s="55"/>
      <c r="AR320" s="55"/>
      <c r="AS320" s="55"/>
      <c r="AT320" s="55"/>
      <c r="AU320" s="30"/>
      <c r="AV320" s="30"/>
      <c r="AW320" s="2"/>
      <c r="AX320" s="2"/>
    </row>
    <row r="321" spans="1:50" x14ac:dyDescent="0.2">
      <c r="A321" s="2"/>
      <c r="B321" s="61">
        <f t="shared" si="96"/>
        <v>41912</v>
      </c>
      <c r="C321" s="62">
        <f t="shared" si="97"/>
        <v>273</v>
      </c>
      <c r="D321" s="63">
        <f t="shared" si="98"/>
        <v>4.7248365349399419</v>
      </c>
      <c r="G321" s="357" t="str">
        <f>IF(MakeSchedule!C288="","",MakeSchedule!C288)</f>
        <v/>
      </c>
      <c r="H321" s="358"/>
      <c r="I321" s="358"/>
      <c r="J321" s="359" t="str">
        <f>IF(MakeSchedule!B288="","",MakeSchedule!B288)</f>
        <v/>
      </c>
      <c r="K321" s="63">
        <f t="shared" si="89"/>
        <v>4.7248365349399419</v>
      </c>
      <c r="L321" s="63">
        <f t="shared" si="99"/>
        <v>4.7248365349399419</v>
      </c>
      <c r="M321" s="63">
        <f t="shared" si="100"/>
        <v>26.895913581975393</v>
      </c>
      <c r="N321" s="63" t="str">
        <f t="shared" si="90"/>
        <v/>
      </c>
      <c r="O321" s="64">
        <f t="shared" si="101"/>
        <v>0.22531866653623822</v>
      </c>
      <c r="P321" s="63">
        <f t="shared" si="102"/>
        <v>0.98756256106558948</v>
      </c>
      <c r="Q321" s="64">
        <f t="shared" si="91"/>
        <v>0.98756256106558948</v>
      </c>
      <c r="R321" s="63">
        <f t="shared" si="92"/>
        <v>0.98756256106558948</v>
      </c>
      <c r="S321" s="65">
        <f t="shared" si="93"/>
        <v>0.35</v>
      </c>
      <c r="T321" s="65">
        <f t="shared" si="103"/>
        <v>1.2</v>
      </c>
      <c r="U321" s="64">
        <f t="shared" si="104"/>
        <v>1.2</v>
      </c>
      <c r="V321" s="63">
        <f t="shared" si="94"/>
        <v>5.66980384192793</v>
      </c>
      <c r="W321" s="63" t="str">
        <f t="shared" si="95"/>
        <v/>
      </c>
      <c r="X321" s="63">
        <f t="shared" si="105"/>
        <v>1381.2043311386306</v>
      </c>
      <c r="Y321" s="55"/>
      <c r="Z321" s="55"/>
      <c r="AA321" s="55"/>
      <c r="AB321" s="55">
        <f>PMSplint!N322</f>
        <v>4.7248365349399419</v>
      </c>
      <c r="AC321" s="55">
        <f>PMSplint!N322</f>
        <v>4.7248365349399419</v>
      </c>
      <c r="AD321" s="55">
        <f>IF(RnSplint!N322&lt;0,0,RnSplint!N322)</f>
        <v>26.895913581975393</v>
      </c>
      <c r="AE321" s="55">
        <f>IF(RnSplint!N322&lt;0,0,RnSplint!N322)</f>
        <v>26.895913581975393</v>
      </c>
      <c r="AF321" s="30"/>
      <c r="AG321" s="30"/>
      <c r="AH321" s="30"/>
      <c r="AI321" s="55"/>
      <c r="AJ321" s="55"/>
      <c r="AK321" s="55"/>
      <c r="AL321" s="55"/>
      <c r="AM321" s="55"/>
      <c r="AN321" s="55">
        <f t="shared" si="106"/>
        <v>127.07879513270474</v>
      </c>
      <c r="AO321" s="55">
        <f t="shared" si="107"/>
        <v>11.272923096194027</v>
      </c>
      <c r="AP321" s="55">
        <f t="shared" si="108"/>
        <v>0.22531866653623822</v>
      </c>
      <c r="AQ321" s="55"/>
      <c r="AR321" s="55"/>
      <c r="AS321" s="55"/>
      <c r="AT321" s="55"/>
      <c r="AU321" s="30"/>
      <c r="AV321" s="30"/>
      <c r="AW321" s="2"/>
      <c r="AX321" s="2"/>
    </row>
    <row r="322" spans="1:50" x14ac:dyDescent="0.2">
      <c r="A322" s="2"/>
      <c r="B322" s="61">
        <f t="shared" si="96"/>
        <v>41913</v>
      </c>
      <c r="C322" s="62">
        <f t="shared" si="97"/>
        <v>274</v>
      </c>
      <c r="D322" s="63">
        <f t="shared" si="98"/>
        <v>4.6776928730017175</v>
      </c>
      <c r="G322" s="357" t="str">
        <f>IF(MakeSchedule!C289="","",MakeSchedule!C289)</f>
        <v/>
      </c>
      <c r="H322" s="358"/>
      <c r="I322" s="358"/>
      <c r="J322" s="359" t="str">
        <f>IF(MakeSchedule!B289="","",MakeSchedule!B289)</f>
        <v/>
      </c>
      <c r="K322" s="63">
        <f t="shared" si="89"/>
        <v>4.6776928730017175</v>
      </c>
      <c r="L322" s="63">
        <f t="shared" si="99"/>
        <v>4.6776928730017175</v>
      </c>
      <c r="M322" s="63">
        <f t="shared" si="100"/>
        <v>26.598456817933911</v>
      </c>
      <c r="N322" s="63" t="str">
        <f t="shared" si="90"/>
        <v/>
      </c>
      <c r="O322" s="64">
        <f t="shared" si="101"/>
        <v>0.22771395406818828</v>
      </c>
      <c r="P322" s="63">
        <f t="shared" si="102"/>
        <v>0.96473151083728048</v>
      </c>
      <c r="Q322" s="64">
        <f t="shared" si="91"/>
        <v>0.96473151083728048</v>
      </c>
      <c r="R322" s="63">
        <f t="shared" si="92"/>
        <v>0.96473151083728048</v>
      </c>
      <c r="S322" s="65">
        <f t="shared" si="93"/>
        <v>0.35</v>
      </c>
      <c r="T322" s="65">
        <f t="shared" si="103"/>
        <v>1.2</v>
      </c>
      <c r="U322" s="64">
        <f t="shared" si="104"/>
        <v>1.2</v>
      </c>
      <c r="V322" s="63">
        <f t="shared" si="94"/>
        <v>5.6132314476020611</v>
      </c>
      <c r="W322" s="63" t="str">
        <f t="shared" si="95"/>
        <v/>
      </c>
      <c r="X322" s="63">
        <f t="shared" si="105"/>
        <v>1386.8175625862327</v>
      </c>
      <c r="Y322" s="55"/>
      <c r="Z322" s="55"/>
      <c r="AA322" s="55"/>
      <c r="AB322" s="55">
        <f>PMSplint!N323</f>
        <v>4.6776928730017175</v>
      </c>
      <c r="AC322" s="55">
        <f>PMSplint!N323</f>
        <v>4.6776928730017175</v>
      </c>
      <c r="AD322" s="55">
        <f>IF(RnSplint!N323&lt;0,0,RnSplint!N323)</f>
        <v>26.598456817933911</v>
      </c>
      <c r="AE322" s="55">
        <f>IF(RnSplint!N323&lt;0,0,RnSplint!N323)</f>
        <v>26.598456817933911</v>
      </c>
      <c r="AF322" s="30"/>
      <c r="AG322" s="30"/>
      <c r="AH322" s="30"/>
      <c r="AI322" s="55"/>
      <c r="AJ322" s="55"/>
      <c r="AK322" s="55"/>
      <c r="AL322" s="55"/>
      <c r="AM322" s="55"/>
      <c r="AN322" s="55">
        <f t="shared" si="106"/>
        <v>124.4194118900934</v>
      </c>
      <c r="AO322" s="55">
        <f t="shared" si="107"/>
        <v>11.154344978083357</v>
      </c>
      <c r="AP322" s="55">
        <f t="shared" si="108"/>
        <v>0.22771395406818828</v>
      </c>
      <c r="AQ322" s="55"/>
      <c r="AR322" s="55"/>
      <c r="AS322" s="55"/>
      <c r="AT322" s="55"/>
      <c r="AU322" s="30"/>
      <c r="AV322" s="30"/>
      <c r="AW322" s="2"/>
      <c r="AX322" s="2"/>
    </row>
    <row r="323" spans="1:50" x14ac:dyDescent="0.2">
      <c r="A323" s="2"/>
      <c r="B323" s="61">
        <f t="shared" si="96"/>
        <v>41914</v>
      </c>
      <c r="C323" s="62">
        <f t="shared" si="97"/>
        <v>275</v>
      </c>
      <c r="D323" s="63">
        <f t="shared" si="98"/>
        <v>4.6300895495378454</v>
      </c>
      <c r="G323" s="357" t="str">
        <f>IF(MakeSchedule!C290="","",MakeSchedule!C290)</f>
        <v/>
      </c>
      <c r="H323" s="358"/>
      <c r="I323" s="358"/>
      <c r="J323" s="359" t="str">
        <f>IF(MakeSchedule!B290="","",MakeSchedule!B290)</f>
        <v/>
      </c>
      <c r="K323" s="63">
        <f t="shared" si="89"/>
        <v>4.6300895495378454</v>
      </c>
      <c r="L323" s="63">
        <f t="shared" si="99"/>
        <v>4.6300895495378454</v>
      </c>
      <c r="M323" s="63">
        <f t="shared" si="100"/>
        <v>26.291664193846909</v>
      </c>
      <c r="N323" s="63" t="str">
        <f t="shared" si="90"/>
        <v/>
      </c>
      <c r="O323" s="64">
        <f t="shared" si="101"/>
        <v>0.2302130734575</v>
      </c>
      <c r="P323" s="63">
        <f t="shared" si="102"/>
        <v>0.94190046060897148</v>
      </c>
      <c r="Q323" s="64">
        <f t="shared" si="91"/>
        <v>0.94190046060897148</v>
      </c>
      <c r="R323" s="63">
        <f t="shared" si="92"/>
        <v>0.94190046060897148</v>
      </c>
      <c r="S323" s="65">
        <f t="shared" si="93"/>
        <v>0.35</v>
      </c>
      <c r="T323" s="65">
        <f t="shared" si="103"/>
        <v>1.2</v>
      </c>
      <c r="U323" s="64">
        <f t="shared" si="104"/>
        <v>1.2</v>
      </c>
      <c r="V323" s="63">
        <f t="shared" si="94"/>
        <v>5.5561074594454141</v>
      </c>
      <c r="W323" s="63" t="str">
        <f t="shared" si="95"/>
        <v/>
      </c>
      <c r="X323" s="63">
        <f t="shared" si="105"/>
        <v>1392.3736700456782</v>
      </c>
      <c r="Y323" s="55"/>
      <c r="Z323" s="55"/>
      <c r="AA323" s="55"/>
      <c r="AB323" s="55">
        <f>PMSplint!N324</f>
        <v>4.6300895495378454</v>
      </c>
      <c r="AC323" s="55">
        <f>PMSplint!N324</f>
        <v>4.6300895495378454</v>
      </c>
      <c r="AD323" s="55">
        <f>IF(RnSplint!N324&lt;0,0,RnSplint!N324)</f>
        <v>26.291664193846909</v>
      </c>
      <c r="AE323" s="55">
        <f>IF(RnSplint!N324&lt;0,0,RnSplint!N324)</f>
        <v>26.291664193846909</v>
      </c>
      <c r="AF323" s="30"/>
      <c r="AG323" s="30"/>
      <c r="AH323" s="30"/>
      <c r="AI323" s="55"/>
      <c r="AJ323" s="55"/>
      <c r="AK323" s="55"/>
      <c r="AL323" s="55"/>
      <c r="AM323" s="55"/>
      <c r="AN323" s="55">
        <f t="shared" si="106"/>
        <v>121.73275962388894</v>
      </c>
      <c r="AO323" s="55">
        <f t="shared" si="107"/>
        <v>11.033256981684463</v>
      </c>
      <c r="AP323" s="55">
        <f t="shared" si="108"/>
        <v>0.2302130734575</v>
      </c>
      <c r="AQ323" s="55"/>
      <c r="AR323" s="55"/>
      <c r="AS323" s="55"/>
      <c r="AT323" s="55"/>
      <c r="AU323" s="30"/>
      <c r="AV323" s="30"/>
      <c r="AW323" s="2"/>
      <c r="AX323" s="2"/>
    </row>
    <row r="324" spans="1:50" x14ac:dyDescent="0.2">
      <c r="A324" s="2"/>
      <c r="B324" s="61">
        <f t="shared" si="96"/>
        <v>41915</v>
      </c>
      <c r="C324" s="62">
        <f t="shared" si="97"/>
        <v>276</v>
      </c>
      <c r="D324" s="63">
        <f t="shared" si="98"/>
        <v>4.5820056039437764</v>
      </c>
      <c r="G324" s="357" t="str">
        <f>IF(MakeSchedule!C291="","",MakeSchedule!C291)</f>
        <v/>
      </c>
      <c r="H324" s="358"/>
      <c r="I324" s="358"/>
      <c r="J324" s="359" t="str">
        <f>IF(MakeSchedule!B291="","",MakeSchedule!B291)</f>
        <v/>
      </c>
      <c r="K324" s="63">
        <f t="shared" si="89"/>
        <v>4.5820056039437764</v>
      </c>
      <c r="L324" s="63">
        <f t="shared" si="99"/>
        <v>4.5820056039437764</v>
      </c>
      <c r="M324" s="63">
        <f t="shared" si="100"/>
        <v>25.97567864359614</v>
      </c>
      <c r="N324" s="63" t="str">
        <f t="shared" si="90"/>
        <v/>
      </c>
      <c r="O324" s="64">
        <f t="shared" si="101"/>
        <v>0.23282116455426854</v>
      </c>
      <c r="P324" s="63">
        <f t="shared" si="102"/>
        <v>0.91906941038066248</v>
      </c>
      <c r="Q324" s="64">
        <f t="shared" si="91"/>
        <v>0.91906941038066248</v>
      </c>
      <c r="R324" s="63">
        <f t="shared" si="92"/>
        <v>0.91906941038066248</v>
      </c>
      <c r="S324" s="65">
        <f t="shared" si="93"/>
        <v>0.35</v>
      </c>
      <c r="T324" s="65">
        <f t="shared" si="103"/>
        <v>1.2</v>
      </c>
      <c r="U324" s="64">
        <f t="shared" si="104"/>
        <v>1.2</v>
      </c>
      <c r="V324" s="63">
        <f t="shared" si="94"/>
        <v>5.4984067247325319</v>
      </c>
      <c r="W324" s="63" t="str">
        <f t="shared" si="95"/>
        <v/>
      </c>
      <c r="X324" s="63">
        <f t="shared" si="105"/>
        <v>1397.8720767704108</v>
      </c>
      <c r="Y324" s="55"/>
      <c r="Z324" s="55"/>
      <c r="AA324" s="55"/>
      <c r="AB324" s="55">
        <f>PMSplint!N325</f>
        <v>4.5820056039437764</v>
      </c>
      <c r="AC324" s="55">
        <f>PMSplint!N325</f>
        <v>4.5820056039437764</v>
      </c>
      <c r="AD324" s="55">
        <f>IF(RnSplint!N325&lt;0,0,RnSplint!N325)</f>
        <v>25.97567864359614</v>
      </c>
      <c r="AE324" s="55">
        <f>IF(RnSplint!N325&lt;0,0,RnSplint!N325)</f>
        <v>25.97567864359614</v>
      </c>
      <c r="AF324" s="30"/>
      <c r="AG324" s="30"/>
      <c r="AH324" s="30"/>
      <c r="AI324" s="55"/>
      <c r="AJ324" s="55"/>
      <c r="AK324" s="55"/>
      <c r="AL324" s="55"/>
      <c r="AM324" s="55"/>
      <c r="AN324" s="55">
        <f t="shared" si="106"/>
        <v>119.02070511120019</v>
      </c>
      <c r="AO324" s="55">
        <f t="shared" si="107"/>
        <v>10.90966109057473</v>
      </c>
      <c r="AP324" s="55">
        <f t="shared" si="108"/>
        <v>0.23282116455426854</v>
      </c>
      <c r="AQ324" s="55"/>
      <c r="AR324" s="55"/>
      <c r="AS324" s="55"/>
      <c r="AT324" s="55"/>
      <c r="AU324" s="30"/>
      <c r="AV324" s="30"/>
      <c r="AW324" s="2"/>
      <c r="AX324" s="2"/>
    </row>
    <row r="325" spans="1:50" x14ac:dyDescent="0.2">
      <c r="A325" s="2"/>
      <c r="B325" s="61">
        <f t="shared" si="96"/>
        <v>41916</v>
      </c>
      <c r="C325" s="62">
        <f t="shared" si="97"/>
        <v>277</v>
      </c>
      <c r="D325" s="63">
        <f t="shared" si="98"/>
        <v>4.5334200756149645</v>
      </c>
      <c r="G325" s="357" t="str">
        <f>IF(MakeSchedule!C292="","",MakeSchedule!C292)</f>
        <v/>
      </c>
      <c r="H325" s="358"/>
      <c r="I325" s="358"/>
      <c r="J325" s="359" t="str">
        <f>IF(MakeSchedule!B292="","",MakeSchedule!B292)</f>
        <v/>
      </c>
      <c r="K325" s="63">
        <f t="shared" si="89"/>
        <v>4.5334200756149645</v>
      </c>
      <c r="L325" s="63">
        <f t="shared" si="99"/>
        <v>4.5334200756149645</v>
      </c>
      <c r="M325" s="63">
        <f t="shared" si="100"/>
        <v>25.650643101063348</v>
      </c>
      <c r="N325" s="63" t="str">
        <f t="shared" si="90"/>
        <v/>
      </c>
      <c r="O325" s="64">
        <f t="shared" si="101"/>
        <v>0.23554376131082017</v>
      </c>
      <c r="P325" s="63">
        <f t="shared" si="102"/>
        <v>0.89623836015235347</v>
      </c>
      <c r="Q325" s="64">
        <f t="shared" si="91"/>
        <v>0.89623836015235347</v>
      </c>
      <c r="R325" s="63">
        <f t="shared" si="92"/>
        <v>0.89623836015235347</v>
      </c>
      <c r="S325" s="65">
        <f t="shared" si="93"/>
        <v>0.35</v>
      </c>
      <c r="T325" s="65">
        <f t="shared" si="103"/>
        <v>1.2</v>
      </c>
      <c r="U325" s="64">
        <f t="shared" si="104"/>
        <v>1.2</v>
      </c>
      <c r="V325" s="63">
        <f t="shared" si="94"/>
        <v>5.4401040907379574</v>
      </c>
      <c r="W325" s="63" t="str">
        <f t="shared" si="95"/>
        <v/>
      </c>
      <c r="X325" s="63">
        <f t="shared" si="105"/>
        <v>1403.3121808611488</v>
      </c>
      <c r="Y325" s="55"/>
      <c r="Z325" s="55"/>
      <c r="AA325" s="55"/>
      <c r="AB325" s="55">
        <f>PMSplint!N326</f>
        <v>4.5334200756149645</v>
      </c>
      <c r="AC325" s="55">
        <f>PMSplint!N326</f>
        <v>4.5334200756149645</v>
      </c>
      <c r="AD325" s="55">
        <f>IF(RnSplint!N326&lt;0,0,RnSplint!N326)</f>
        <v>25.650643101063348</v>
      </c>
      <c r="AE325" s="55">
        <f>IF(RnSplint!N326&lt;0,0,RnSplint!N326)</f>
        <v>25.650643101063348</v>
      </c>
      <c r="AF325" s="30"/>
      <c r="AG325" s="30"/>
      <c r="AH325" s="30"/>
      <c r="AI325" s="55"/>
      <c r="AJ325" s="55"/>
      <c r="AK325" s="55"/>
      <c r="AL325" s="55"/>
      <c r="AM325" s="55"/>
      <c r="AN325" s="55">
        <f t="shared" si="106"/>
        <v>116.28514038679508</v>
      </c>
      <c r="AO325" s="55">
        <f t="shared" si="107"/>
        <v>10.783558799709633</v>
      </c>
      <c r="AP325" s="55">
        <f t="shared" si="108"/>
        <v>0.23554376131082017</v>
      </c>
      <c r="AQ325" s="55"/>
      <c r="AR325" s="55"/>
      <c r="AS325" s="55"/>
      <c r="AT325" s="55"/>
      <c r="AU325" s="30"/>
      <c r="AV325" s="30"/>
      <c r="AW325" s="2"/>
      <c r="AX325" s="2"/>
    </row>
    <row r="326" spans="1:50" x14ac:dyDescent="0.2">
      <c r="A326" s="2"/>
      <c r="B326" s="61">
        <f t="shared" si="96"/>
        <v>41917</v>
      </c>
      <c r="C326" s="62">
        <f t="shared" si="97"/>
        <v>278</v>
      </c>
      <c r="D326" s="63">
        <f t="shared" si="98"/>
        <v>4.4843120039468545</v>
      </c>
      <c r="G326" s="357" t="str">
        <f>IF(MakeSchedule!C293="","",MakeSchedule!C293)</f>
        <v/>
      </c>
      <c r="H326" s="358"/>
      <c r="I326" s="358"/>
      <c r="J326" s="359" t="str">
        <f>IF(MakeSchedule!B293="","",MakeSchedule!B293)</f>
        <v/>
      </c>
      <c r="K326" s="63">
        <f t="shared" si="89"/>
        <v>4.4843120039468545</v>
      </c>
      <c r="L326" s="63">
        <f t="shared" si="99"/>
        <v>4.4843120039468545</v>
      </c>
      <c r="M326" s="63">
        <f t="shared" si="100"/>
        <v>25.316700500130271</v>
      </c>
      <c r="N326" s="63" t="str">
        <f t="shared" si="90"/>
        <v/>
      </c>
      <c r="O326" s="64">
        <f t="shared" si="101"/>
        <v>0.23838682738817568</v>
      </c>
      <c r="P326" s="63">
        <f t="shared" si="102"/>
        <v>0.87340730992404447</v>
      </c>
      <c r="Q326" s="64">
        <f t="shared" si="91"/>
        <v>0.87340730992404447</v>
      </c>
      <c r="R326" s="63">
        <f t="shared" si="92"/>
        <v>0.87340730992404447</v>
      </c>
      <c r="S326" s="65">
        <f t="shared" si="93"/>
        <v>0.35</v>
      </c>
      <c r="T326" s="65">
        <f t="shared" si="103"/>
        <v>1.2</v>
      </c>
      <c r="U326" s="64">
        <f t="shared" si="104"/>
        <v>1.2</v>
      </c>
      <c r="V326" s="63">
        <f t="shared" si="94"/>
        <v>5.3811744047362255</v>
      </c>
      <c r="W326" s="63" t="str">
        <f t="shared" si="95"/>
        <v/>
      </c>
      <c r="X326" s="63">
        <f t="shared" si="105"/>
        <v>1408.693355265885</v>
      </c>
      <c r="Y326" s="55"/>
      <c r="Z326" s="55"/>
      <c r="AA326" s="55"/>
      <c r="AB326" s="55">
        <f>PMSplint!N327</f>
        <v>4.4843120039468545</v>
      </c>
      <c r="AC326" s="55">
        <f>PMSplint!N327</f>
        <v>4.4843120039468545</v>
      </c>
      <c r="AD326" s="55">
        <f>IF(RnSplint!N327&lt;0,0,RnSplint!N327)</f>
        <v>25.316700500130271</v>
      </c>
      <c r="AE326" s="55">
        <f>IF(RnSplint!N327&lt;0,0,RnSplint!N327)</f>
        <v>25.316700500130271</v>
      </c>
      <c r="AF326" s="30"/>
      <c r="AG326" s="30"/>
      <c r="AH326" s="30"/>
      <c r="AI326" s="55"/>
      <c r="AJ326" s="55"/>
      <c r="AK326" s="55"/>
      <c r="AL326" s="55"/>
      <c r="AM326" s="55"/>
      <c r="AN326" s="55">
        <f t="shared" si="106"/>
        <v>113.52798395306151</v>
      </c>
      <c r="AO326" s="55">
        <f t="shared" si="107"/>
        <v>10.654951147380334</v>
      </c>
      <c r="AP326" s="55">
        <f t="shared" si="108"/>
        <v>0.23838682738817568</v>
      </c>
      <c r="AQ326" s="55"/>
      <c r="AR326" s="55"/>
      <c r="AS326" s="55"/>
      <c r="AT326" s="55"/>
      <c r="AU326" s="30"/>
      <c r="AV326" s="30"/>
      <c r="AW326" s="2"/>
      <c r="AX326" s="2"/>
    </row>
    <row r="327" spans="1:50" x14ac:dyDescent="0.2">
      <c r="A327" s="2"/>
      <c r="B327" s="61">
        <f t="shared" si="96"/>
        <v>41918</v>
      </c>
      <c r="C327" s="62">
        <f t="shared" si="97"/>
        <v>279</v>
      </c>
      <c r="D327" s="63">
        <f t="shared" si="98"/>
        <v>4.4346604283349027</v>
      </c>
      <c r="G327" s="357" t="str">
        <f>IF(MakeSchedule!C294="","",MakeSchedule!C294)</f>
        <v/>
      </c>
      <c r="H327" s="358"/>
      <c r="I327" s="358"/>
      <c r="J327" s="359" t="str">
        <f>IF(MakeSchedule!B294="","",MakeSchedule!B294)</f>
        <v/>
      </c>
      <c r="K327" s="63">
        <f t="shared" si="89"/>
        <v>4.4346604283349027</v>
      </c>
      <c r="L327" s="63">
        <f t="shared" si="99"/>
        <v>4.4346604283349027</v>
      </c>
      <c r="M327" s="63">
        <f t="shared" si="100"/>
        <v>24.973993774678661</v>
      </c>
      <c r="N327" s="63" t="str">
        <f t="shared" si="90"/>
        <v/>
      </c>
      <c r="O327" s="64">
        <f t="shared" si="101"/>
        <v>0.24135679589493575</v>
      </c>
      <c r="P327" s="63">
        <f t="shared" si="102"/>
        <v>0.85057625969573547</v>
      </c>
      <c r="Q327" s="64">
        <f t="shared" si="91"/>
        <v>0.85057625969573547</v>
      </c>
      <c r="R327" s="63">
        <f t="shared" si="92"/>
        <v>0.85057625969573547</v>
      </c>
      <c r="S327" s="65">
        <f t="shared" si="93"/>
        <v>0.35</v>
      </c>
      <c r="T327" s="65">
        <f t="shared" si="103"/>
        <v>1.2</v>
      </c>
      <c r="U327" s="64">
        <f t="shared" si="104"/>
        <v>1.2</v>
      </c>
      <c r="V327" s="63">
        <f t="shared" si="94"/>
        <v>5.3215925140018827</v>
      </c>
      <c r="W327" s="63" t="str">
        <f t="shared" si="95"/>
        <v/>
      </c>
      <c r="X327" s="63">
        <f t="shared" si="105"/>
        <v>1414.0149477798868</v>
      </c>
      <c r="Y327" s="55"/>
      <c r="Z327" s="55"/>
      <c r="AA327" s="55"/>
      <c r="AB327" s="55">
        <f>PMSplint!N328</f>
        <v>4.4346604283349027</v>
      </c>
      <c r="AC327" s="55">
        <f>PMSplint!N328</f>
        <v>4.4346604283349027</v>
      </c>
      <c r="AD327" s="55">
        <f>IF(RnSplint!N328&lt;0,0,RnSplint!N328)</f>
        <v>24.973993774678661</v>
      </c>
      <c r="AE327" s="55">
        <f>IF(RnSplint!N328&lt;0,0,RnSplint!N328)</f>
        <v>24.973993774678661</v>
      </c>
      <c r="AF327" s="30"/>
      <c r="AG327" s="30"/>
      <c r="AH327" s="30"/>
      <c r="AI327" s="55"/>
      <c r="AJ327" s="55"/>
      <c r="AK327" s="55"/>
      <c r="AL327" s="55"/>
      <c r="AM327" s="55"/>
      <c r="AN327" s="55">
        <f t="shared" si="106"/>
        <v>110.75118193004967</v>
      </c>
      <c r="AO327" s="55">
        <f t="shared" si="107"/>
        <v>10.523838744966101</v>
      </c>
      <c r="AP327" s="55">
        <f t="shared" si="108"/>
        <v>0.24135679589493575</v>
      </c>
      <c r="AQ327" s="55"/>
      <c r="AR327" s="55"/>
      <c r="AS327" s="55"/>
      <c r="AT327" s="55"/>
      <c r="AU327" s="30"/>
      <c r="AV327" s="30"/>
      <c r="AW327" s="2"/>
      <c r="AX327" s="2"/>
    </row>
    <row r="328" spans="1:50" x14ac:dyDescent="0.2">
      <c r="A328" s="2"/>
      <c r="B328" s="61">
        <f t="shared" si="96"/>
        <v>41919</v>
      </c>
      <c r="C328" s="62">
        <f t="shared" si="97"/>
        <v>280</v>
      </c>
      <c r="D328" s="63">
        <f t="shared" si="98"/>
        <v>4.3844443881745558</v>
      </c>
      <c r="G328" s="357" t="str">
        <f>IF(MakeSchedule!C295="","",MakeSchedule!C295)</f>
        <v/>
      </c>
      <c r="H328" s="358"/>
      <c r="I328" s="358"/>
      <c r="J328" s="359" t="str">
        <f>IF(MakeSchedule!B295="","",MakeSchedule!B295)</f>
        <v/>
      </c>
      <c r="K328" s="63">
        <f t="shared" si="89"/>
        <v>4.3844443881745558</v>
      </c>
      <c r="L328" s="63">
        <f t="shared" si="99"/>
        <v>4.3844443881745558</v>
      </c>
      <c r="M328" s="63">
        <f t="shared" si="100"/>
        <v>24.62266585859026</v>
      </c>
      <c r="N328" s="63" t="str">
        <f t="shared" si="90"/>
        <v/>
      </c>
      <c r="O328" s="64">
        <f t="shared" si="101"/>
        <v>0.24446061381606229</v>
      </c>
      <c r="P328" s="63">
        <f t="shared" si="102"/>
        <v>0.82774520946742647</v>
      </c>
      <c r="Q328" s="64">
        <f t="shared" si="91"/>
        <v>0.82774520946742647</v>
      </c>
      <c r="R328" s="63">
        <f t="shared" si="92"/>
        <v>0.82774520946742647</v>
      </c>
      <c r="S328" s="65">
        <f t="shared" si="93"/>
        <v>0.35</v>
      </c>
      <c r="T328" s="65">
        <f t="shared" si="103"/>
        <v>1.1777452094674263</v>
      </c>
      <c r="U328" s="64">
        <f t="shared" si="104"/>
        <v>1.1777452094674263</v>
      </c>
      <c r="V328" s="63">
        <f t="shared" si="94"/>
        <v>5.1637583743489239</v>
      </c>
      <c r="W328" s="63" t="str">
        <f t="shared" si="95"/>
        <v/>
      </c>
      <c r="X328" s="63">
        <f t="shared" si="105"/>
        <v>1419.1787061542357</v>
      </c>
      <c r="Y328" s="55"/>
      <c r="Z328" s="55"/>
      <c r="AA328" s="55"/>
      <c r="AB328" s="55">
        <f>PMSplint!N329</f>
        <v>4.3844443881745558</v>
      </c>
      <c r="AC328" s="55">
        <f>PMSplint!N329</f>
        <v>4.3844443881745558</v>
      </c>
      <c r="AD328" s="55">
        <f>IF(RnSplint!N329&lt;0,0,RnSplint!N329)</f>
        <v>24.62266585859026</v>
      </c>
      <c r="AE328" s="55">
        <f>IF(RnSplint!N329&lt;0,0,RnSplint!N329)</f>
        <v>24.62266585859026</v>
      </c>
      <c r="AF328" s="30"/>
      <c r="AG328" s="30"/>
      <c r="AH328" s="30"/>
      <c r="AI328" s="55"/>
      <c r="AJ328" s="55"/>
      <c r="AK328" s="55"/>
      <c r="AL328" s="55"/>
      <c r="AM328" s="55"/>
      <c r="AN328" s="55">
        <f t="shared" si="106"/>
        <v>107.95670914559329</v>
      </c>
      <c r="AO328" s="55">
        <f t="shared" si="107"/>
        <v>10.390221804446394</v>
      </c>
      <c r="AP328" s="55">
        <f t="shared" si="108"/>
        <v>0.24446061381606229</v>
      </c>
      <c r="AQ328" s="55"/>
      <c r="AR328" s="55"/>
      <c r="AS328" s="55"/>
      <c r="AT328" s="55"/>
      <c r="AU328" s="30"/>
      <c r="AV328" s="30"/>
      <c r="AW328" s="2"/>
      <c r="AX328" s="2"/>
    </row>
    <row r="329" spans="1:50" x14ac:dyDescent="0.2">
      <c r="A329" s="2"/>
      <c r="B329" s="61">
        <f t="shared" si="96"/>
        <v>41920</v>
      </c>
      <c r="C329" s="62">
        <f t="shared" si="97"/>
        <v>281</v>
      </c>
      <c r="D329" s="63">
        <f t="shared" si="98"/>
        <v>4.3336429228612676</v>
      </c>
      <c r="G329" s="357" t="str">
        <f>IF(MakeSchedule!C296="","",MakeSchedule!C296)</f>
        <v/>
      </c>
      <c r="H329" s="358"/>
      <c r="I329" s="358"/>
      <c r="J329" s="359" t="str">
        <f>IF(MakeSchedule!B296="","",MakeSchedule!B296)</f>
        <v/>
      </c>
      <c r="K329" s="63">
        <f t="shared" si="89"/>
        <v>4.3336429228612676</v>
      </c>
      <c r="L329" s="63">
        <f t="shared" si="99"/>
        <v>4.3336429228612676</v>
      </c>
      <c r="M329" s="63">
        <f t="shared" si="100"/>
        <v>24.262859685746815</v>
      </c>
      <c r="N329" s="63" t="str">
        <f t="shared" si="90"/>
        <v/>
      </c>
      <c r="O329" s="64">
        <f t="shared" si="101"/>
        <v>0.24770579177800592</v>
      </c>
      <c r="P329" s="63">
        <f t="shared" si="102"/>
        <v>0.80491415923911747</v>
      </c>
      <c r="Q329" s="64">
        <f t="shared" si="91"/>
        <v>0.80491415923911747</v>
      </c>
      <c r="R329" s="63">
        <f t="shared" si="92"/>
        <v>0.80491415923911747</v>
      </c>
      <c r="S329" s="65">
        <f t="shared" si="93"/>
        <v>0.35</v>
      </c>
      <c r="T329" s="65">
        <f t="shared" si="103"/>
        <v>1.1549141592391174</v>
      </c>
      <c r="U329" s="64">
        <f t="shared" si="104"/>
        <v>1.1549141592391174</v>
      </c>
      <c r="V329" s="63">
        <f t="shared" si="94"/>
        <v>5.0049855726988728</v>
      </c>
      <c r="W329" s="63" t="str">
        <f t="shared" si="95"/>
        <v/>
      </c>
      <c r="X329" s="63">
        <f t="shared" si="105"/>
        <v>1424.1836917269345</v>
      </c>
      <c r="Y329" s="55"/>
      <c r="Z329" s="55"/>
      <c r="AA329" s="55"/>
      <c r="AB329" s="55">
        <f>PMSplint!N330</f>
        <v>4.3336429228612676</v>
      </c>
      <c r="AC329" s="55">
        <f>PMSplint!N330</f>
        <v>4.3336429228612676</v>
      </c>
      <c r="AD329" s="55">
        <f>IF(RnSplint!N330&lt;0,0,RnSplint!N330)</f>
        <v>24.262859685746815</v>
      </c>
      <c r="AE329" s="55">
        <f>IF(RnSplint!N330&lt;0,0,RnSplint!N330)</f>
        <v>24.262859685746815</v>
      </c>
      <c r="AF329" s="30"/>
      <c r="AG329" s="30"/>
      <c r="AH329" s="30"/>
      <c r="AI329" s="55"/>
      <c r="AJ329" s="55"/>
      <c r="AK329" s="55"/>
      <c r="AL329" s="55"/>
      <c r="AM329" s="55"/>
      <c r="AN329" s="55">
        <f t="shared" si="106"/>
        <v>105.14657016551264</v>
      </c>
      <c r="AO329" s="55">
        <f t="shared" si="107"/>
        <v>10.254100163618094</v>
      </c>
      <c r="AP329" s="55">
        <f t="shared" si="108"/>
        <v>0.24770579177800592</v>
      </c>
      <c r="AQ329" s="55"/>
      <c r="AR329" s="55"/>
      <c r="AS329" s="55"/>
      <c r="AT329" s="55"/>
      <c r="AU329" s="30"/>
      <c r="AV329" s="30"/>
      <c r="AW329" s="2"/>
      <c r="AX329" s="2"/>
    </row>
    <row r="330" spans="1:50" x14ac:dyDescent="0.2">
      <c r="A330" s="2"/>
      <c r="B330" s="61">
        <f t="shared" si="96"/>
        <v>41921</v>
      </c>
      <c r="C330" s="62">
        <f t="shared" si="97"/>
        <v>282</v>
      </c>
      <c r="D330" s="63">
        <f t="shared" si="98"/>
        <v>4.2822350717904873</v>
      </c>
      <c r="G330" s="357" t="str">
        <f>IF(MakeSchedule!C297="","",MakeSchedule!C297)</f>
        <v/>
      </c>
      <c r="H330" s="358"/>
      <c r="I330" s="358"/>
      <c r="J330" s="359" t="str">
        <f>IF(MakeSchedule!B297="","",MakeSchedule!B297)</f>
        <v/>
      </c>
      <c r="K330" s="63">
        <f t="shared" si="89"/>
        <v>4.2822350717904873</v>
      </c>
      <c r="L330" s="63">
        <f t="shared" si="99"/>
        <v>4.2822350717904873</v>
      </c>
      <c r="M330" s="63">
        <f t="shared" si="100"/>
        <v>23.894718190030069</v>
      </c>
      <c r="N330" s="63" t="str">
        <f t="shared" si="90"/>
        <v/>
      </c>
      <c r="O330" s="64">
        <f t="shared" si="101"/>
        <v>0.2511004599018537</v>
      </c>
      <c r="P330" s="63">
        <f t="shared" si="102"/>
        <v>0.78208310901080846</v>
      </c>
      <c r="Q330" s="64">
        <f t="shared" si="91"/>
        <v>0.78208310901080846</v>
      </c>
      <c r="R330" s="63">
        <f t="shared" si="92"/>
        <v>0.78208310901080846</v>
      </c>
      <c r="S330" s="65">
        <f t="shared" si="93"/>
        <v>0.35</v>
      </c>
      <c r="T330" s="65">
        <f t="shared" si="103"/>
        <v>1.1320831090108086</v>
      </c>
      <c r="U330" s="64">
        <f t="shared" si="104"/>
        <v>1.1320831090108086</v>
      </c>
      <c r="V330" s="63">
        <f t="shared" si="94"/>
        <v>4.8478459935876979</v>
      </c>
      <c r="W330" s="63" t="str">
        <f t="shared" si="95"/>
        <v/>
      </c>
      <c r="X330" s="63">
        <f t="shared" si="105"/>
        <v>1429.0315377205222</v>
      </c>
      <c r="Y330" s="55"/>
      <c r="Z330" s="55"/>
      <c r="AA330" s="55"/>
      <c r="AB330" s="55">
        <f>PMSplint!N331</f>
        <v>4.2822350717904873</v>
      </c>
      <c r="AC330" s="55">
        <f>PMSplint!N331</f>
        <v>4.2822350717904873</v>
      </c>
      <c r="AD330" s="55">
        <f>IF(RnSplint!N331&lt;0,0,RnSplint!N331)</f>
        <v>23.894718190030069</v>
      </c>
      <c r="AE330" s="55">
        <f>IF(RnSplint!N331&lt;0,0,RnSplint!N331)</f>
        <v>23.894718190030069</v>
      </c>
      <c r="AF330" s="30"/>
      <c r="AG330" s="30"/>
      <c r="AH330" s="30"/>
      <c r="AI330" s="55"/>
      <c r="AJ330" s="55"/>
      <c r="AK330" s="55"/>
      <c r="AL330" s="55"/>
      <c r="AM330" s="55"/>
      <c r="AN330" s="55">
        <f t="shared" si="106"/>
        <v>102.32280026389688</v>
      </c>
      <c r="AO330" s="55">
        <f t="shared" si="107"/>
        <v>10.115473308940956</v>
      </c>
      <c r="AP330" s="55">
        <f t="shared" si="108"/>
        <v>0.2511004599018537</v>
      </c>
      <c r="AQ330" s="55"/>
      <c r="AR330" s="55"/>
      <c r="AS330" s="55"/>
      <c r="AT330" s="55"/>
      <c r="AU330" s="30"/>
      <c r="AV330" s="30"/>
      <c r="AW330" s="2"/>
      <c r="AX330" s="2"/>
    </row>
    <row r="331" spans="1:50" x14ac:dyDescent="0.2">
      <c r="A331" s="2"/>
      <c r="B331" s="61">
        <f t="shared" si="96"/>
        <v>41922</v>
      </c>
      <c r="C331" s="62">
        <f t="shared" si="97"/>
        <v>283</v>
      </c>
      <c r="D331" s="63">
        <f t="shared" si="98"/>
        <v>4.2301998743576643</v>
      </c>
      <c r="G331" s="357" t="str">
        <f>IF(MakeSchedule!C298="","",MakeSchedule!C298)</f>
        <v/>
      </c>
      <c r="H331" s="358"/>
      <c r="I331" s="358"/>
      <c r="J331" s="359" t="str">
        <f>IF(MakeSchedule!B298="","",MakeSchedule!B298)</f>
        <v/>
      </c>
      <c r="K331" s="63">
        <f t="shared" si="89"/>
        <v>4.2301998743576643</v>
      </c>
      <c r="L331" s="63">
        <f t="shared" si="99"/>
        <v>4.2301998743576643</v>
      </c>
      <c r="M331" s="63">
        <f t="shared" si="100"/>
        <v>23.518384305321764</v>
      </c>
      <c r="N331" s="63" t="str">
        <f t="shared" si="90"/>
        <v/>
      </c>
      <c r="O331" s="64">
        <f t="shared" si="101"/>
        <v>0.25465343062100826</v>
      </c>
      <c r="P331" s="63">
        <f t="shared" si="102"/>
        <v>0.75925205878249946</v>
      </c>
      <c r="Q331" s="64">
        <f t="shared" si="91"/>
        <v>0.75925205878249946</v>
      </c>
      <c r="R331" s="63">
        <f t="shared" si="92"/>
        <v>0.75925205878249946</v>
      </c>
      <c r="S331" s="65">
        <f t="shared" si="93"/>
        <v>0.35</v>
      </c>
      <c r="T331" s="65">
        <f t="shared" si="103"/>
        <v>1.1092520587824994</v>
      </c>
      <c r="U331" s="64">
        <f t="shared" si="104"/>
        <v>1.1092520587824994</v>
      </c>
      <c r="V331" s="63">
        <f t="shared" si="94"/>
        <v>4.6923579196927099</v>
      </c>
      <c r="W331" s="63" t="str">
        <f t="shared" si="95"/>
        <v/>
      </c>
      <c r="X331" s="63">
        <f t="shared" si="105"/>
        <v>1433.723895640215</v>
      </c>
      <c r="Y331" s="55"/>
      <c r="Z331" s="55"/>
      <c r="AA331" s="55"/>
      <c r="AB331" s="55">
        <f>PMSplint!N332</f>
        <v>4.2301998743576643</v>
      </c>
      <c r="AC331" s="55">
        <f>PMSplint!N332</f>
        <v>4.2301998743576643</v>
      </c>
      <c r="AD331" s="55">
        <f>IF(RnSplint!N332&lt;0,0,RnSplint!N332)</f>
        <v>23.518384305321764</v>
      </c>
      <c r="AE331" s="55">
        <f>IF(RnSplint!N332&lt;0,0,RnSplint!N332)</f>
        <v>23.518384305321764</v>
      </c>
      <c r="AF331" s="30"/>
      <c r="AG331" s="30"/>
      <c r="AH331" s="30"/>
      <c r="AI331" s="55"/>
      <c r="AJ331" s="55"/>
      <c r="AK331" s="55"/>
      <c r="AL331" s="55"/>
      <c r="AM331" s="55"/>
      <c r="AN331" s="55">
        <f t="shared" si="106"/>
        <v>99.487466333467395</v>
      </c>
      <c r="AO331" s="55">
        <f t="shared" si="107"/>
        <v>9.9743403959092642</v>
      </c>
      <c r="AP331" s="55">
        <f t="shared" si="108"/>
        <v>0.25465343062100826</v>
      </c>
      <c r="AQ331" s="55"/>
      <c r="AR331" s="55"/>
      <c r="AS331" s="55"/>
      <c r="AT331" s="55"/>
      <c r="AU331" s="30"/>
      <c r="AV331" s="30"/>
      <c r="AW331" s="2"/>
      <c r="AX331" s="2"/>
    </row>
    <row r="332" spans="1:50" x14ac:dyDescent="0.2">
      <c r="A332" s="2"/>
      <c r="B332" s="61">
        <f t="shared" si="96"/>
        <v>41923</v>
      </c>
      <c r="C332" s="62">
        <f t="shared" si="97"/>
        <v>284</v>
      </c>
      <c r="D332" s="63">
        <f t="shared" si="98"/>
        <v>4.1775163699582532</v>
      </c>
      <c r="G332" s="357" t="str">
        <f>IF(MakeSchedule!C299="","",MakeSchedule!C299)</f>
        <v/>
      </c>
      <c r="H332" s="358"/>
      <c r="I332" s="358"/>
      <c r="J332" s="359" t="str">
        <f>IF(MakeSchedule!B299="","",MakeSchedule!B299)</f>
        <v/>
      </c>
      <c r="K332" s="63">
        <f t="shared" si="89"/>
        <v>4.1775163699582532</v>
      </c>
      <c r="L332" s="63">
        <f t="shared" si="99"/>
        <v>4.1775163699582532</v>
      </c>
      <c r="M332" s="63">
        <f t="shared" si="100"/>
        <v>23.134000965503656</v>
      </c>
      <c r="N332" s="63" t="str">
        <f t="shared" si="90"/>
        <v/>
      </c>
      <c r="O332" s="64">
        <f t="shared" si="101"/>
        <v>0.25837426948854247</v>
      </c>
      <c r="P332" s="63">
        <f t="shared" si="102"/>
        <v>0.73642100855419046</v>
      </c>
      <c r="Q332" s="64">
        <f t="shared" si="91"/>
        <v>0.73642100855419046</v>
      </c>
      <c r="R332" s="63">
        <f t="shared" si="92"/>
        <v>0.73642100855419046</v>
      </c>
      <c r="S332" s="65">
        <f t="shared" si="93"/>
        <v>0.35</v>
      </c>
      <c r="T332" s="65">
        <f t="shared" si="103"/>
        <v>1.0864210085541903</v>
      </c>
      <c r="U332" s="64">
        <f t="shared" si="104"/>
        <v>1.0864210085541903</v>
      </c>
      <c r="V332" s="63">
        <f t="shared" si="94"/>
        <v>4.5385415479016853</v>
      </c>
      <c r="W332" s="63" t="str">
        <f t="shared" si="95"/>
        <v/>
      </c>
      <c r="X332" s="63">
        <f t="shared" si="105"/>
        <v>1438.2624371881168</v>
      </c>
      <c r="Y332" s="55"/>
      <c r="Z332" s="55"/>
      <c r="AA332" s="55"/>
      <c r="AB332" s="55">
        <f>PMSplint!N333</f>
        <v>4.1775163699582532</v>
      </c>
      <c r="AC332" s="55">
        <f>PMSplint!N333</f>
        <v>4.1775163699582532</v>
      </c>
      <c r="AD332" s="55">
        <f>IF(RnSplint!N333&lt;0,0,RnSplint!N333)</f>
        <v>23.134000965503656</v>
      </c>
      <c r="AE332" s="55">
        <f>IF(RnSplint!N333&lt;0,0,RnSplint!N333)</f>
        <v>23.134000965503656</v>
      </c>
      <c r="AF332" s="30"/>
      <c r="AG332" s="30"/>
      <c r="AH332" s="30"/>
      <c r="AI332" s="55"/>
      <c r="AJ332" s="55"/>
      <c r="AK332" s="55"/>
      <c r="AL332" s="55"/>
      <c r="AM332" s="55"/>
      <c r="AN332" s="55">
        <f t="shared" si="106"/>
        <v>96.642667736021551</v>
      </c>
      <c r="AO332" s="55">
        <f t="shared" si="107"/>
        <v>9.8307002668183081</v>
      </c>
      <c r="AP332" s="55">
        <f t="shared" si="108"/>
        <v>0.25837426948854247</v>
      </c>
      <c r="AQ332" s="55"/>
      <c r="AR332" s="55"/>
      <c r="AS332" s="55"/>
      <c r="AT332" s="55"/>
      <c r="AU332" s="30"/>
      <c r="AV332" s="30"/>
      <c r="AW332" s="2"/>
      <c r="AX332" s="2"/>
    </row>
    <row r="333" spans="1:50" x14ac:dyDescent="0.2">
      <c r="A333" s="2"/>
      <c r="B333" s="61">
        <f t="shared" si="96"/>
        <v>41924</v>
      </c>
      <c r="C333" s="62">
        <f t="shared" si="97"/>
        <v>285</v>
      </c>
      <c r="D333" s="63">
        <f t="shared" si="98"/>
        <v>4.1241635979877023</v>
      </c>
      <c r="G333" s="357" t="str">
        <f>IF(MakeSchedule!C300="","",MakeSchedule!C300)</f>
        <v/>
      </c>
      <c r="H333" s="358"/>
      <c r="I333" s="358"/>
      <c r="J333" s="359" t="str">
        <f>IF(MakeSchedule!B300="","",MakeSchedule!B300)</f>
        <v/>
      </c>
      <c r="K333" s="63">
        <f t="shared" si="89"/>
        <v>4.1241635979877023</v>
      </c>
      <c r="L333" s="63">
        <f t="shared" si="99"/>
        <v>4.1241635979877023</v>
      </c>
      <c r="M333" s="63">
        <f t="shared" si="100"/>
        <v>22.741711104457476</v>
      </c>
      <c r="N333" s="63" t="str">
        <f t="shared" si="90"/>
        <v/>
      </c>
      <c r="O333" s="64">
        <f t="shared" si="101"/>
        <v>0.26227337517697258</v>
      </c>
      <c r="P333" s="63">
        <f t="shared" si="102"/>
        <v>0.71358995832588146</v>
      </c>
      <c r="Q333" s="64">
        <f t="shared" si="91"/>
        <v>0.71358995832588146</v>
      </c>
      <c r="R333" s="63">
        <f t="shared" si="92"/>
        <v>0.71358995832588146</v>
      </c>
      <c r="S333" s="65">
        <f t="shared" si="93"/>
        <v>0.35</v>
      </c>
      <c r="T333" s="65">
        <f t="shared" si="103"/>
        <v>1.0635899583258814</v>
      </c>
      <c r="U333" s="64">
        <f t="shared" si="104"/>
        <v>1.0635899583258814</v>
      </c>
      <c r="V333" s="63">
        <f t="shared" si="94"/>
        <v>4.3864189893128573</v>
      </c>
      <c r="W333" s="63" t="str">
        <f t="shared" si="95"/>
        <v/>
      </c>
      <c r="X333" s="63">
        <f t="shared" si="105"/>
        <v>1442.6488561774297</v>
      </c>
      <c r="Y333" s="55"/>
      <c r="Z333" s="55"/>
      <c r="AA333" s="55"/>
      <c r="AB333" s="55">
        <f>PMSplint!N334</f>
        <v>4.1241635979877023</v>
      </c>
      <c r="AC333" s="55">
        <f>PMSplint!N334</f>
        <v>4.1241635979877023</v>
      </c>
      <c r="AD333" s="55">
        <f>IF(RnSplint!N334&lt;0,0,RnSplint!N334)</f>
        <v>22.741711104457476</v>
      </c>
      <c r="AE333" s="55">
        <f>IF(RnSplint!N334&lt;0,0,RnSplint!N334)</f>
        <v>22.741711104457476</v>
      </c>
      <c r="AF333" s="30"/>
      <c r="AG333" s="30"/>
      <c r="AH333" s="30"/>
      <c r="AI333" s="55"/>
      <c r="AJ333" s="55"/>
      <c r="AK333" s="55"/>
      <c r="AL333" s="55"/>
      <c r="AM333" s="55"/>
      <c r="AN333" s="55">
        <f t="shared" si="106"/>
        <v>93.790537092956228</v>
      </c>
      <c r="AO333" s="55">
        <f t="shared" si="107"/>
        <v>9.6845514657601068</v>
      </c>
      <c r="AP333" s="55">
        <f t="shared" si="108"/>
        <v>0.26227337517697258</v>
      </c>
      <c r="AQ333" s="55"/>
      <c r="AR333" s="55"/>
      <c r="AS333" s="55"/>
      <c r="AT333" s="55"/>
      <c r="AU333" s="30"/>
      <c r="AV333" s="30"/>
      <c r="AW333" s="2"/>
      <c r="AX333" s="2"/>
    </row>
    <row r="334" spans="1:50" x14ac:dyDescent="0.2">
      <c r="A334" s="2"/>
      <c r="B334" s="61">
        <f t="shared" si="96"/>
        <v>41925</v>
      </c>
      <c r="C334" s="62">
        <f t="shared" si="97"/>
        <v>286</v>
      </c>
      <c r="D334" s="63">
        <f t="shared" si="98"/>
        <v>4.0701205978414601</v>
      </c>
      <c r="G334" s="357" t="str">
        <f>IF(MakeSchedule!C301="","",MakeSchedule!C301)</f>
        <v/>
      </c>
      <c r="H334" s="358"/>
      <c r="I334" s="358"/>
      <c r="J334" s="359" t="str">
        <f>IF(MakeSchedule!B301="","",MakeSchedule!B301)</f>
        <v/>
      </c>
      <c r="K334" s="63">
        <f t="shared" si="89"/>
        <v>4.0701205978414601</v>
      </c>
      <c r="L334" s="63">
        <f t="shared" si="99"/>
        <v>4.0701205978414601</v>
      </c>
      <c r="M334" s="63">
        <f t="shared" si="100"/>
        <v>22.341657656064974</v>
      </c>
      <c r="N334" s="63" t="str">
        <f t="shared" si="90"/>
        <v/>
      </c>
      <c r="O334" s="64">
        <f t="shared" si="101"/>
        <v>0.2663620700861779</v>
      </c>
      <c r="P334" s="63">
        <f t="shared" si="102"/>
        <v>0.69075890809757245</v>
      </c>
      <c r="Q334" s="64">
        <f t="shared" si="91"/>
        <v>0.69075890809757245</v>
      </c>
      <c r="R334" s="63">
        <f t="shared" si="92"/>
        <v>0.69075890809757245</v>
      </c>
      <c r="S334" s="65">
        <f t="shared" si="93"/>
        <v>0.35</v>
      </c>
      <c r="T334" s="65">
        <f t="shared" si="103"/>
        <v>1.0407589080975725</v>
      </c>
      <c r="U334" s="64">
        <f t="shared" si="104"/>
        <v>1.0407589080975725</v>
      </c>
      <c r="V334" s="63">
        <f t="shared" si="94"/>
        <v>4.236014269234917</v>
      </c>
      <c r="W334" s="63" t="str">
        <f t="shared" si="95"/>
        <v/>
      </c>
      <c r="X334" s="63">
        <f t="shared" si="105"/>
        <v>1446.8848704466645</v>
      </c>
      <c r="Y334" s="55"/>
      <c r="Z334" s="55"/>
      <c r="AA334" s="55"/>
      <c r="AB334" s="55">
        <f>PMSplint!N335</f>
        <v>4.0701205978414601</v>
      </c>
      <c r="AC334" s="55">
        <f>PMSplint!N335</f>
        <v>4.0701205978414601</v>
      </c>
      <c r="AD334" s="55">
        <f>IF(RnSplint!N335&lt;0,0,RnSplint!N335)</f>
        <v>22.341657656064974</v>
      </c>
      <c r="AE334" s="55">
        <f>IF(RnSplint!N335&lt;0,0,RnSplint!N335)</f>
        <v>22.341657656064974</v>
      </c>
      <c r="AF334" s="30"/>
      <c r="AG334" s="30"/>
      <c r="AH334" s="30"/>
      <c r="AI334" s="55"/>
      <c r="AJ334" s="55"/>
      <c r="AK334" s="55"/>
      <c r="AL334" s="55"/>
      <c r="AM334" s="55"/>
      <c r="AN334" s="55">
        <f t="shared" si="106"/>
        <v>90.933241015872412</v>
      </c>
      <c r="AO334" s="55">
        <f t="shared" si="107"/>
        <v>9.5358922506429575</v>
      </c>
      <c r="AP334" s="55">
        <f t="shared" si="108"/>
        <v>0.2663620700861779</v>
      </c>
      <c r="AQ334" s="55"/>
      <c r="AR334" s="55"/>
      <c r="AS334" s="55"/>
      <c r="AT334" s="55"/>
      <c r="AU334" s="30"/>
      <c r="AV334" s="30"/>
      <c r="AW334" s="2"/>
      <c r="AX334" s="2"/>
    </row>
    <row r="335" spans="1:50" x14ac:dyDescent="0.2">
      <c r="A335" s="2"/>
      <c r="B335" s="61">
        <f t="shared" si="96"/>
        <v>41926</v>
      </c>
      <c r="C335" s="62">
        <f t="shared" si="97"/>
        <v>287</v>
      </c>
      <c r="D335" s="63">
        <f t="shared" si="98"/>
        <v>4.0153664089149812</v>
      </c>
      <c r="G335" s="357" t="str">
        <f>IF(MakeSchedule!C302="","",MakeSchedule!C302)</f>
        <v/>
      </c>
      <c r="H335" s="358"/>
      <c r="I335" s="358"/>
      <c r="J335" s="359" t="str">
        <f>IF(MakeSchedule!B302="","",MakeSchedule!B302)</f>
        <v/>
      </c>
      <c r="K335" s="63">
        <f t="shared" si="89"/>
        <v>4.0153664089149812</v>
      </c>
      <c r="L335" s="63">
        <f t="shared" si="99"/>
        <v>4.0153664089149812</v>
      </c>
      <c r="M335" s="63">
        <f t="shared" si="100"/>
        <v>21.933983554207899</v>
      </c>
      <c r="N335" s="63" t="str">
        <f t="shared" si="90"/>
        <v/>
      </c>
      <c r="O335" s="64">
        <f t="shared" si="101"/>
        <v>0.27065270323163843</v>
      </c>
      <c r="P335" s="63">
        <f t="shared" si="102"/>
        <v>0.66792785786926345</v>
      </c>
      <c r="Q335" s="64">
        <f t="shared" si="91"/>
        <v>0.66792785786926345</v>
      </c>
      <c r="R335" s="63">
        <f t="shared" si="92"/>
        <v>0.66792785786926345</v>
      </c>
      <c r="S335" s="65">
        <f t="shared" si="93"/>
        <v>0.35</v>
      </c>
      <c r="T335" s="65">
        <f t="shared" si="103"/>
        <v>1.0179278578692634</v>
      </c>
      <c r="U335" s="64">
        <f t="shared" si="104"/>
        <v>1.0179278578692634</v>
      </c>
      <c r="V335" s="63">
        <f t="shared" si="94"/>
        <v>4.0873533271870235</v>
      </c>
      <c r="W335" s="63" t="str">
        <f t="shared" si="95"/>
        <v/>
      </c>
      <c r="X335" s="63">
        <f t="shared" si="105"/>
        <v>1450.9722237738515</v>
      </c>
      <c r="Y335" s="55"/>
      <c r="Z335" s="55"/>
      <c r="AA335" s="55"/>
      <c r="AB335" s="55">
        <f>PMSplint!N336</f>
        <v>4.0153664089149812</v>
      </c>
      <c r="AC335" s="55">
        <f>PMSplint!N336</f>
        <v>4.0153664089149812</v>
      </c>
      <c r="AD335" s="55">
        <f>IF(RnSplint!N336&lt;0,0,RnSplint!N336)</f>
        <v>21.933983554207899</v>
      </c>
      <c r="AE335" s="55">
        <f>IF(RnSplint!N336&lt;0,0,RnSplint!N336)</f>
        <v>21.933983554207899</v>
      </c>
      <c r="AF335" s="30"/>
      <c r="AG335" s="30"/>
      <c r="AH335" s="30"/>
      <c r="AI335" s="55"/>
      <c r="AJ335" s="55"/>
      <c r="AK335" s="55"/>
      <c r="AL335" s="55"/>
      <c r="AM335" s="55"/>
      <c r="AN335" s="55">
        <f t="shared" si="106"/>
        <v>88.072980777260028</v>
      </c>
      <c r="AO335" s="55">
        <f t="shared" si="107"/>
        <v>9.384720601981714</v>
      </c>
      <c r="AP335" s="55">
        <f t="shared" si="108"/>
        <v>0.27065270323163843</v>
      </c>
      <c r="AQ335" s="55"/>
      <c r="AR335" s="55"/>
      <c r="AS335" s="55"/>
      <c r="AT335" s="55"/>
      <c r="AU335" s="30"/>
      <c r="AV335" s="30"/>
      <c r="AW335" s="2"/>
      <c r="AX335" s="2"/>
    </row>
    <row r="336" spans="1:50" x14ac:dyDescent="0.2">
      <c r="A336" s="2"/>
      <c r="B336" s="61">
        <f t="shared" si="96"/>
        <v>41927</v>
      </c>
      <c r="C336" s="62">
        <f t="shared" si="97"/>
        <v>288</v>
      </c>
      <c r="D336" s="63">
        <f t="shared" si="98"/>
        <v>3.9598800706037145</v>
      </c>
      <c r="G336" s="357" t="str">
        <f>IF(MakeSchedule!C303="","",MakeSchedule!C303)</f>
        <v/>
      </c>
      <c r="H336" s="358"/>
      <c r="I336" s="358"/>
      <c r="J336" s="359" t="str">
        <f>IF(MakeSchedule!B303="","",MakeSchedule!B303)</f>
        <v/>
      </c>
      <c r="K336" s="63">
        <f t="shared" si="89"/>
        <v>3.9598800706037145</v>
      </c>
      <c r="L336" s="63">
        <f t="shared" si="99"/>
        <v>3.9598800706037145</v>
      </c>
      <c r="M336" s="63">
        <f t="shared" si="100"/>
        <v>21.518831732767989</v>
      </c>
      <c r="N336" s="63" t="str">
        <f t="shared" si="90"/>
        <v/>
      </c>
      <c r="O336" s="64">
        <f t="shared" si="101"/>
        <v>0.27515876739515177</v>
      </c>
      <c r="P336" s="63">
        <f t="shared" si="102"/>
        <v>0.64509680764095445</v>
      </c>
      <c r="Q336" s="64">
        <f t="shared" si="91"/>
        <v>0.64509680764095445</v>
      </c>
      <c r="R336" s="63">
        <f t="shared" si="92"/>
        <v>0.64509680764095445</v>
      </c>
      <c r="S336" s="65">
        <f t="shared" si="93"/>
        <v>0.35</v>
      </c>
      <c r="T336" s="65">
        <f t="shared" si="103"/>
        <v>0.99509680764095443</v>
      </c>
      <c r="U336" s="64">
        <f t="shared" si="104"/>
        <v>0.99509680764095443</v>
      </c>
      <c r="V336" s="63">
        <f t="shared" si="94"/>
        <v>3.9404640168987934</v>
      </c>
      <c r="W336" s="63" t="str">
        <f t="shared" si="95"/>
        <v/>
      </c>
      <c r="X336" s="63">
        <f t="shared" si="105"/>
        <v>1454.9126877907504</v>
      </c>
      <c r="Y336" s="55"/>
      <c r="Z336" s="55"/>
      <c r="AA336" s="55"/>
      <c r="AB336" s="55">
        <f>PMSplint!N337</f>
        <v>3.9598800706037145</v>
      </c>
      <c r="AC336" s="55">
        <f>PMSplint!N337</f>
        <v>3.9598800706037145</v>
      </c>
      <c r="AD336" s="55">
        <f>IF(RnSplint!N337&lt;0,0,RnSplint!N337)</f>
        <v>21.518831732767989</v>
      </c>
      <c r="AE336" s="55">
        <f>IF(RnSplint!N337&lt;0,0,RnSplint!N337)</f>
        <v>21.518831732767989</v>
      </c>
      <c r="AF336" s="30"/>
      <c r="AG336" s="30"/>
      <c r="AH336" s="30"/>
      <c r="AI336" s="55"/>
      <c r="AJ336" s="55"/>
      <c r="AK336" s="55"/>
      <c r="AL336" s="55"/>
      <c r="AM336" s="55"/>
      <c r="AN336" s="55">
        <f t="shared" si="106"/>
        <v>85.211992921262762</v>
      </c>
      <c r="AO336" s="55">
        <f t="shared" si="107"/>
        <v>9.2310342281492357</v>
      </c>
      <c r="AP336" s="55">
        <f t="shared" si="108"/>
        <v>0.27515876739515177</v>
      </c>
      <c r="AQ336" s="55"/>
      <c r="AR336" s="55"/>
      <c r="AS336" s="55"/>
      <c r="AT336" s="55"/>
      <c r="AU336" s="30"/>
      <c r="AV336" s="30"/>
      <c r="AW336" s="2"/>
      <c r="AX336" s="2"/>
    </row>
    <row r="337" spans="1:50" x14ac:dyDescent="0.2">
      <c r="A337" s="2"/>
      <c r="B337" s="61">
        <f t="shared" si="96"/>
        <v>41928</v>
      </c>
      <c r="C337" s="62">
        <f t="shared" si="97"/>
        <v>289</v>
      </c>
      <c r="D337" s="63">
        <f t="shared" si="98"/>
        <v>3.9036406223031115</v>
      </c>
      <c r="G337" s="357" t="str">
        <f>IF(MakeSchedule!C304="","",MakeSchedule!C304)</f>
        <v/>
      </c>
      <c r="H337" s="358"/>
      <c r="I337" s="358"/>
      <c r="J337" s="359" t="str">
        <f>IF(MakeSchedule!B304="","",MakeSchedule!B304)</f>
        <v/>
      </c>
      <c r="K337" s="63">
        <f t="shared" si="89"/>
        <v>3.9036406223031115</v>
      </c>
      <c r="L337" s="63">
        <f t="shared" si="99"/>
        <v>3.9036406223031115</v>
      </c>
      <c r="M337" s="63">
        <f t="shared" si="100"/>
        <v>21.096345125627</v>
      </c>
      <c r="N337" s="63" t="str">
        <f t="shared" si="90"/>
        <v/>
      </c>
      <c r="O337" s="64">
        <f t="shared" si="101"/>
        <v>0.27989503289650919</v>
      </c>
      <c r="P337" s="63" t="str">
        <f t="shared" si="102"/>
        <v/>
      </c>
      <c r="Q337" s="64" t="e">
        <f t="shared" si="91"/>
        <v>#N/A</v>
      </c>
      <c r="R337" s="63">
        <f t="shared" si="92"/>
        <v>0.27989503289650919</v>
      </c>
      <c r="S337" s="65">
        <f t="shared" si="93"/>
        <v>0.35</v>
      </c>
      <c r="T337" s="65">
        <f t="shared" si="103"/>
        <v>0.9</v>
      </c>
      <c r="U337" s="64" t="e">
        <f t="shared" si="104"/>
        <v>#N/A</v>
      </c>
      <c r="V337" s="63">
        <f t="shared" si="94"/>
        <v>3.5132765600728004</v>
      </c>
      <c r="W337" s="63" t="str">
        <f t="shared" si="95"/>
        <v/>
      </c>
      <c r="X337" s="63">
        <f t="shared" si="105"/>
        <v>0</v>
      </c>
      <c r="Y337" s="55"/>
      <c r="Z337" s="55"/>
      <c r="AA337" s="55"/>
      <c r="AB337" s="55">
        <f>PMSplint!N338</f>
        <v>3.9036406223031115</v>
      </c>
      <c r="AC337" s="55">
        <f>PMSplint!N338</f>
        <v>3.9036406223031115</v>
      </c>
      <c r="AD337" s="55">
        <f>IF(RnSplint!N338&lt;0,0,RnSplint!N338)</f>
        <v>21.096345125627</v>
      </c>
      <c r="AE337" s="55">
        <f>IF(RnSplint!N338&lt;0,0,RnSplint!N338)</f>
        <v>21.096345125627</v>
      </c>
      <c r="AF337" s="30"/>
      <c r="AG337" s="30"/>
      <c r="AH337" s="30"/>
      <c r="AI337" s="55"/>
      <c r="AJ337" s="55"/>
      <c r="AK337" s="55"/>
      <c r="AL337" s="55"/>
      <c r="AM337" s="55"/>
      <c r="AN337" s="55">
        <f t="shared" si="106"/>
        <v>82.352549814523798</v>
      </c>
      <c r="AO337" s="55">
        <f t="shared" si="107"/>
        <v>9.0748305667116345</v>
      </c>
      <c r="AP337" s="55">
        <f t="shared" si="108"/>
        <v>0.27989503289650919</v>
      </c>
      <c r="AQ337" s="55"/>
      <c r="AR337" s="55"/>
      <c r="AS337" s="55"/>
      <c r="AT337" s="55"/>
      <c r="AU337" s="30"/>
      <c r="AV337" s="30"/>
      <c r="AW337" s="2"/>
      <c r="AX337" s="2"/>
    </row>
    <row r="338" spans="1:50" x14ac:dyDescent="0.2">
      <c r="A338" s="2"/>
      <c r="B338" s="61">
        <f t="shared" si="96"/>
        <v>41929</v>
      </c>
      <c r="C338" s="62">
        <f t="shared" si="97"/>
        <v>290</v>
      </c>
      <c r="D338" s="63">
        <f t="shared" si="98"/>
        <v>3.8466271034086219</v>
      </c>
      <c r="G338" s="357" t="str">
        <f>IF(MakeSchedule!C305="","",MakeSchedule!C305)</f>
        <v/>
      </c>
      <c r="H338" s="358"/>
      <c r="I338" s="358"/>
      <c r="J338" s="359" t="str">
        <f>IF(MakeSchedule!B305="","",MakeSchedule!B305)</f>
        <v/>
      </c>
      <c r="K338" s="63">
        <f t="shared" si="89"/>
        <v>3.8466271034086219</v>
      </c>
      <c r="L338" s="63">
        <f t="shared" si="99"/>
        <v>3.8466271034086219</v>
      </c>
      <c r="M338" s="63">
        <f t="shared" si="100"/>
        <v>20.666666666666668</v>
      </c>
      <c r="N338" s="63" t="str">
        <f t="shared" si="90"/>
        <v/>
      </c>
      <c r="O338" s="64">
        <f t="shared" si="101"/>
        <v>0.28487770080346819</v>
      </c>
      <c r="P338" s="63" t="str">
        <f t="shared" si="102"/>
        <v/>
      </c>
      <c r="Q338" s="64" t="e">
        <f t="shared" si="91"/>
        <v>#N/A</v>
      </c>
      <c r="R338" s="63">
        <f t="shared" si="92"/>
        <v>0.28487770080346819</v>
      </c>
      <c r="S338" s="65">
        <f t="shared" si="93"/>
        <v>0.35</v>
      </c>
      <c r="T338" s="65">
        <f t="shared" si="103"/>
        <v>0.9</v>
      </c>
      <c r="U338" s="64" t="e">
        <f t="shared" si="104"/>
        <v>#N/A</v>
      </c>
      <c r="V338" s="63">
        <f t="shared" si="94"/>
        <v>3.4619643930677597</v>
      </c>
      <c r="W338" s="63" t="str">
        <f t="shared" si="95"/>
        <v/>
      </c>
      <c r="X338" s="63">
        <f t="shared" si="105"/>
        <v>0</v>
      </c>
      <c r="Y338" s="55"/>
      <c r="Z338" s="55"/>
      <c r="AA338" s="55"/>
      <c r="AB338" s="55">
        <f>PMSplint!N339</f>
        <v>3.8466271034086219</v>
      </c>
      <c r="AC338" s="55">
        <f>PMSplint!N339</f>
        <v>3.8466271034086219</v>
      </c>
      <c r="AD338" s="55">
        <f>IF(RnSplint!N339&lt;0,0,RnSplint!N339)</f>
        <v>20.666666666666668</v>
      </c>
      <c r="AE338" s="55">
        <f>IF(RnSplint!N339&lt;0,0,RnSplint!N339)</f>
        <v>20.666666666666668</v>
      </c>
      <c r="AF338" s="30"/>
      <c r="AG338" s="30"/>
      <c r="AH338" s="30"/>
      <c r="AI338" s="55"/>
      <c r="AJ338" s="55"/>
      <c r="AK338" s="55"/>
      <c r="AL338" s="55"/>
      <c r="AM338" s="55"/>
      <c r="AN338" s="55">
        <f t="shared" si="106"/>
        <v>79.496960137111529</v>
      </c>
      <c r="AO338" s="55">
        <f t="shared" si="107"/>
        <v>8.9161067813879136</v>
      </c>
      <c r="AP338" s="55">
        <f t="shared" si="108"/>
        <v>0.28487770080346819</v>
      </c>
      <c r="AQ338" s="55"/>
      <c r="AR338" s="55"/>
      <c r="AS338" s="55"/>
      <c r="AT338" s="55"/>
      <c r="AU338" s="30"/>
      <c r="AV338" s="30"/>
      <c r="AW338" s="2"/>
      <c r="AX338" s="2"/>
    </row>
    <row r="339" spans="1:50" x14ac:dyDescent="0.2">
      <c r="A339" s="2"/>
      <c r="B339" s="61">
        <f t="shared" si="96"/>
        <v>41930</v>
      </c>
      <c r="C339" s="62">
        <f t="shared" si="97"/>
        <v>291</v>
      </c>
      <c r="D339" s="63">
        <f t="shared" si="98"/>
        <v>3.7888343479319908</v>
      </c>
      <c r="G339" s="357" t="str">
        <f>IF(MakeSchedule!C306="","",MakeSchedule!C306)</f>
        <v/>
      </c>
      <c r="H339" s="358"/>
      <c r="I339" s="358"/>
      <c r="J339" s="359" t="str">
        <f>IF(MakeSchedule!B306="","",MakeSchedule!B306)</f>
        <v/>
      </c>
      <c r="K339" s="63">
        <f t="shared" si="89"/>
        <v>3.7888343479319908</v>
      </c>
      <c r="L339" s="63">
        <f t="shared" si="99"/>
        <v>3.7888343479319908</v>
      </c>
      <c r="M339" s="63">
        <f t="shared" si="100"/>
        <v>20.230066340684147</v>
      </c>
      <c r="N339" s="63" t="str">
        <f t="shared" si="90"/>
        <v/>
      </c>
      <c r="O339" s="64">
        <f t="shared" si="101"/>
        <v>0.29012306319927372</v>
      </c>
      <c r="P339" s="63" t="str">
        <f t="shared" si="102"/>
        <v/>
      </c>
      <c r="Q339" s="64" t="e">
        <f t="shared" si="91"/>
        <v>#N/A</v>
      </c>
      <c r="R339" s="63">
        <f t="shared" si="92"/>
        <v>0.29012306319927372</v>
      </c>
      <c r="S339" s="65">
        <f t="shared" si="93"/>
        <v>0.35</v>
      </c>
      <c r="T339" s="65">
        <f t="shared" si="103"/>
        <v>0.9</v>
      </c>
      <c r="U339" s="64" t="e">
        <f t="shared" si="104"/>
        <v>#N/A</v>
      </c>
      <c r="V339" s="63">
        <f t="shared" si="94"/>
        <v>3.409950913138792</v>
      </c>
      <c r="W339" s="63" t="str">
        <f t="shared" si="95"/>
        <v/>
      </c>
      <c r="X339" s="63">
        <f t="shared" si="105"/>
        <v>0</v>
      </c>
      <c r="Y339" s="55"/>
      <c r="Z339" s="55"/>
      <c r="AA339" s="55"/>
      <c r="AB339" s="55">
        <f>PMSplint!N340</f>
        <v>3.7888343479319908</v>
      </c>
      <c r="AC339" s="55">
        <f>PMSplint!N340</f>
        <v>3.7888343479319908</v>
      </c>
      <c r="AD339" s="55">
        <f>IF(RnSplint!N340&lt;0,0,RnSplint!N340)</f>
        <v>20.230066340684147</v>
      </c>
      <c r="AE339" s="55">
        <f>IF(RnSplint!N340&lt;0,0,RnSplint!N340)</f>
        <v>20.230066340684147</v>
      </c>
      <c r="AF339" s="30"/>
      <c r="AG339" s="30"/>
      <c r="AH339" s="30"/>
      <c r="AI339" s="55"/>
      <c r="AJ339" s="55"/>
      <c r="AK339" s="55"/>
      <c r="AL339" s="55"/>
      <c r="AM339" s="55"/>
      <c r="AN339" s="55">
        <f t="shared" si="106"/>
        <v>76.648370212526928</v>
      </c>
      <c r="AO339" s="55">
        <f t="shared" si="107"/>
        <v>8.7549054942087707</v>
      </c>
      <c r="AP339" s="55">
        <f t="shared" si="108"/>
        <v>0.29012306319927372</v>
      </c>
      <c r="AQ339" s="55"/>
      <c r="AR339" s="55"/>
      <c r="AS339" s="55"/>
      <c r="AT339" s="55"/>
      <c r="AU339" s="30"/>
      <c r="AV339" s="30"/>
      <c r="AW339" s="2"/>
      <c r="AX339" s="2"/>
    </row>
    <row r="340" spans="1:50" x14ac:dyDescent="0.2">
      <c r="A340" s="2"/>
      <c r="B340" s="61">
        <f t="shared" si="96"/>
        <v>41931</v>
      </c>
      <c r="C340" s="62">
        <f t="shared" si="97"/>
        <v>292</v>
      </c>
      <c r="D340" s="63">
        <f t="shared" si="98"/>
        <v>3.7303203683501374</v>
      </c>
      <c r="G340" s="357" t="str">
        <f>IF(MakeSchedule!C307="","",MakeSchedule!C307)</f>
        <v/>
      </c>
      <c r="H340" s="358"/>
      <c r="I340" s="358"/>
      <c r="J340" s="359" t="str">
        <f>IF(MakeSchedule!B307="","",MakeSchedule!B307)</f>
        <v/>
      </c>
      <c r="K340" s="63">
        <f t="shared" si="89"/>
        <v>3.7303203683501374</v>
      </c>
      <c r="L340" s="63">
        <f t="shared" si="99"/>
        <v>3.7303203683501374</v>
      </c>
      <c r="M340" s="63">
        <f t="shared" si="100"/>
        <v>19.787322336138253</v>
      </c>
      <c r="N340" s="63" t="str">
        <f t="shared" si="90"/>
        <v/>
      </c>
      <c r="O340" s="64">
        <f t="shared" si="101"/>
        <v>0.29564268412923095</v>
      </c>
      <c r="P340" s="63" t="str">
        <f t="shared" si="102"/>
        <v/>
      </c>
      <c r="Q340" s="64" t="e">
        <f t="shared" si="91"/>
        <v>#N/A</v>
      </c>
      <c r="R340" s="63">
        <f t="shared" si="92"/>
        <v>0.29564268412923095</v>
      </c>
      <c r="S340" s="65">
        <f t="shared" si="93"/>
        <v>0.35</v>
      </c>
      <c r="T340" s="65">
        <f t="shared" si="103"/>
        <v>0.9</v>
      </c>
      <c r="U340" s="64" t="e">
        <f t="shared" si="104"/>
        <v>#N/A</v>
      </c>
      <c r="V340" s="63">
        <f t="shared" si="94"/>
        <v>3.3572883315151238</v>
      </c>
      <c r="W340" s="63" t="str">
        <f t="shared" si="95"/>
        <v/>
      </c>
      <c r="X340" s="63">
        <f t="shared" si="105"/>
        <v>0</v>
      </c>
      <c r="Y340" s="55"/>
      <c r="Z340" s="55"/>
      <c r="AA340" s="55"/>
      <c r="AB340" s="55">
        <f>PMSplint!N341</f>
        <v>3.7303203683501374</v>
      </c>
      <c r="AC340" s="55">
        <f>PMSplint!N341</f>
        <v>3.7303203683501374</v>
      </c>
      <c r="AD340" s="55">
        <f>IF(RnSplint!N341&lt;0,0,RnSplint!N341)</f>
        <v>19.787322336138253</v>
      </c>
      <c r="AE340" s="55">
        <f>IF(RnSplint!N341&lt;0,0,RnSplint!N341)</f>
        <v>19.787322336138253</v>
      </c>
      <c r="AF340" s="30"/>
      <c r="AG340" s="30"/>
      <c r="AH340" s="30"/>
      <c r="AI340" s="55"/>
      <c r="AJ340" s="55"/>
      <c r="AK340" s="55"/>
      <c r="AL340" s="55"/>
      <c r="AM340" s="55"/>
      <c r="AN340" s="55">
        <f t="shared" si="106"/>
        <v>73.813051545606143</v>
      </c>
      <c r="AO340" s="55">
        <f t="shared" si="107"/>
        <v>8.5914522372883013</v>
      </c>
      <c r="AP340" s="55">
        <f t="shared" si="108"/>
        <v>0.29564268412923095</v>
      </c>
      <c r="AQ340" s="55"/>
      <c r="AR340" s="55"/>
      <c r="AS340" s="55"/>
      <c r="AT340" s="55"/>
      <c r="AU340" s="30"/>
      <c r="AV340" s="30"/>
      <c r="AW340" s="2"/>
      <c r="AX340" s="2"/>
    </row>
    <row r="341" spans="1:50" x14ac:dyDescent="0.2">
      <c r="A341" s="2"/>
      <c r="B341" s="61">
        <f t="shared" si="96"/>
        <v>41932</v>
      </c>
      <c r="C341" s="62">
        <f t="shared" si="97"/>
        <v>293</v>
      </c>
      <c r="D341" s="63">
        <f t="shared" si="98"/>
        <v>3.6711589717562756</v>
      </c>
      <c r="G341" s="357" t="str">
        <f>IF(MakeSchedule!C308="","",MakeSchedule!C308)</f>
        <v/>
      </c>
      <c r="H341" s="358"/>
      <c r="I341" s="358"/>
      <c r="J341" s="359" t="str">
        <f>IF(MakeSchedule!B308="","",MakeSchedule!B308)</f>
        <v/>
      </c>
      <c r="K341" s="63">
        <f t="shared" si="89"/>
        <v>3.6711589717562756</v>
      </c>
      <c r="L341" s="63">
        <f t="shared" si="99"/>
        <v>3.6711589717562756</v>
      </c>
      <c r="M341" s="63">
        <f t="shared" si="100"/>
        <v>19.339339892403181</v>
      </c>
      <c r="N341" s="63" t="str">
        <f t="shared" si="90"/>
        <v/>
      </c>
      <c r="O341" s="64">
        <f t="shared" si="101"/>
        <v>0.30144723030613962</v>
      </c>
      <c r="P341" s="63" t="str">
        <f t="shared" si="102"/>
        <v/>
      </c>
      <c r="Q341" s="64" t="e">
        <f t="shared" si="91"/>
        <v>#N/A</v>
      </c>
      <c r="R341" s="63">
        <f t="shared" si="92"/>
        <v>0.30144723030613962</v>
      </c>
      <c r="S341" s="65">
        <f t="shared" si="93"/>
        <v>0.35</v>
      </c>
      <c r="T341" s="65">
        <f t="shared" si="103"/>
        <v>0.9</v>
      </c>
      <c r="U341" s="64" t="e">
        <f t="shared" si="104"/>
        <v>#N/A</v>
      </c>
      <c r="V341" s="63">
        <f t="shared" si="94"/>
        <v>3.3040430745806479</v>
      </c>
      <c r="W341" s="63" t="str">
        <f t="shared" si="95"/>
        <v/>
      </c>
      <c r="X341" s="63">
        <f t="shared" si="105"/>
        <v>0</v>
      </c>
      <c r="Y341" s="55"/>
      <c r="Z341" s="55"/>
      <c r="AA341" s="55"/>
      <c r="AB341" s="55">
        <f>PMSplint!N342</f>
        <v>3.6711589717562756</v>
      </c>
      <c r="AC341" s="55">
        <f>PMSplint!N342</f>
        <v>3.6711589717562756</v>
      </c>
      <c r="AD341" s="55">
        <f>IF(RnSplint!N342&lt;0,0,RnSplint!N342)</f>
        <v>19.339339892403181</v>
      </c>
      <c r="AE341" s="55">
        <f>IF(RnSplint!N342&lt;0,0,RnSplint!N342)</f>
        <v>19.339339892403181</v>
      </c>
      <c r="AF341" s="30"/>
      <c r="AG341" s="30"/>
      <c r="AH341" s="30"/>
      <c r="AI341" s="55"/>
      <c r="AJ341" s="55"/>
      <c r="AK341" s="55"/>
      <c r="AL341" s="55"/>
      <c r="AM341" s="55"/>
      <c r="AN341" s="55">
        <f t="shared" si="106"/>
        <v>70.997791153839984</v>
      </c>
      <c r="AO341" s="55">
        <f t="shared" si="107"/>
        <v>8.4260187012514987</v>
      </c>
      <c r="AP341" s="55">
        <f t="shared" si="108"/>
        <v>0.30144723030613962</v>
      </c>
      <c r="AQ341" s="55"/>
      <c r="AR341" s="55"/>
      <c r="AS341" s="55"/>
      <c r="AT341" s="55"/>
      <c r="AU341" s="30"/>
      <c r="AV341" s="30"/>
      <c r="AW341" s="2"/>
      <c r="AX341" s="2"/>
    </row>
    <row r="342" spans="1:50" x14ac:dyDescent="0.2">
      <c r="A342" s="2"/>
      <c r="B342" s="61">
        <f t="shared" si="96"/>
        <v>41933</v>
      </c>
      <c r="C342" s="62">
        <f t="shared" si="97"/>
        <v>294</v>
      </c>
      <c r="D342" s="63">
        <f t="shared" si="98"/>
        <v>3.6114239652436182</v>
      </c>
      <c r="G342" s="357" t="str">
        <f>IF(MakeSchedule!C309="","",MakeSchedule!C309)</f>
        <v/>
      </c>
      <c r="H342" s="358"/>
      <c r="I342" s="358"/>
      <c r="J342" s="359" t="str">
        <f>IF(MakeSchedule!B309="","",MakeSchedule!B309)</f>
        <v/>
      </c>
      <c r="K342" s="63">
        <f t="shared" si="89"/>
        <v>3.6114239652436182</v>
      </c>
      <c r="L342" s="63">
        <f t="shared" si="99"/>
        <v>3.6114239652436182</v>
      </c>
      <c r="M342" s="63">
        <f t="shared" si="100"/>
        <v>18.887024248853155</v>
      </c>
      <c r="N342" s="63" t="str">
        <f t="shared" si="90"/>
        <v/>
      </c>
      <c r="O342" s="64">
        <f t="shared" si="101"/>
        <v>0.30754786028007514</v>
      </c>
      <c r="P342" s="63" t="str">
        <f t="shared" si="102"/>
        <v/>
      </c>
      <c r="Q342" s="64" t="e">
        <f t="shared" si="91"/>
        <v>#N/A</v>
      </c>
      <c r="R342" s="63">
        <f t="shared" si="92"/>
        <v>0.30754786028007514</v>
      </c>
      <c r="S342" s="65">
        <f t="shared" si="93"/>
        <v>0.35</v>
      </c>
      <c r="T342" s="65">
        <f t="shared" si="103"/>
        <v>0.9</v>
      </c>
      <c r="U342" s="64" t="e">
        <f t="shared" si="104"/>
        <v>#N/A</v>
      </c>
      <c r="V342" s="63">
        <f t="shared" si="94"/>
        <v>3.2502815687192563</v>
      </c>
      <c r="W342" s="63" t="str">
        <f t="shared" si="95"/>
        <v/>
      </c>
      <c r="X342" s="63">
        <f t="shared" si="105"/>
        <v>0</v>
      </c>
      <c r="Y342" s="55"/>
      <c r="Z342" s="55"/>
      <c r="AA342" s="55"/>
      <c r="AB342" s="55">
        <f>PMSplint!N343</f>
        <v>3.6114239652436182</v>
      </c>
      <c r="AC342" s="55">
        <f>PMSplint!N343</f>
        <v>3.6114239652436182</v>
      </c>
      <c r="AD342" s="55">
        <f>IF(RnSplint!N343&lt;0,0,RnSplint!N343)</f>
        <v>18.887024248853155</v>
      </c>
      <c r="AE342" s="55">
        <f>IF(RnSplint!N343&lt;0,0,RnSplint!N343)</f>
        <v>18.887024248853155</v>
      </c>
      <c r="AF342" s="30"/>
      <c r="AG342" s="30"/>
      <c r="AH342" s="30"/>
      <c r="AI342" s="55"/>
      <c r="AJ342" s="55"/>
      <c r="AK342" s="55"/>
      <c r="AL342" s="55"/>
      <c r="AM342" s="55"/>
      <c r="AN342" s="55">
        <f t="shared" si="106"/>
        <v>68.209052004445638</v>
      </c>
      <c r="AO342" s="55">
        <f t="shared" si="107"/>
        <v>8.2588771636612712</v>
      </c>
      <c r="AP342" s="55">
        <f t="shared" si="108"/>
        <v>0.30754786028007514</v>
      </c>
      <c r="AQ342" s="55"/>
      <c r="AR342" s="55"/>
      <c r="AS342" s="55"/>
      <c r="AT342" s="55"/>
      <c r="AU342" s="30"/>
      <c r="AV342" s="30"/>
      <c r="AW342" s="2"/>
      <c r="AX342" s="2"/>
    </row>
    <row r="343" spans="1:50" x14ac:dyDescent="0.2">
      <c r="A343" s="2"/>
      <c r="B343" s="61">
        <f t="shared" si="96"/>
        <v>41934</v>
      </c>
      <c r="C343" s="62">
        <f t="shared" si="97"/>
        <v>295</v>
      </c>
      <c r="D343" s="63">
        <f t="shared" si="98"/>
        <v>3.5511891559053788</v>
      </c>
      <c r="G343" s="357" t="str">
        <f>IF(MakeSchedule!C310="","",MakeSchedule!C310)</f>
        <v/>
      </c>
      <c r="H343" s="358"/>
      <c r="I343" s="358"/>
      <c r="J343" s="359" t="str">
        <f>IF(MakeSchedule!B310="","",MakeSchedule!B310)</f>
        <v/>
      </c>
      <c r="K343" s="63">
        <f t="shared" si="89"/>
        <v>3.5511891559053788</v>
      </c>
      <c r="L343" s="63">
        <f t="shared" si="99"/>
        <v>3.5511891559053788</v>
      </c>
      <c r="M343" s="63">
        <f t="shared" si="100"/>
        <v>18.431280644862394</v>
      </c>
      <c r="N343" s="63" t="str">
        <f t="shared" si="90"/>
        <v/>
      </c>
      <c r="O343" s="64">
        <f t="shared" si="101"/>
        <v>0.31395619551531756</v>
      </c>
      <c r="P343" s="63" t="str">
        <f t="shared" si="102"/>
        <v/>
      </c>
      <c r="Q343" s="64" t="e">
        <f t="shared" si="91"/>
        <v>#N/A</v>
      </c>
      <c r="R343" s="63">
        <f t="shared" si="92"/>
        <v>0.31395619551531756</v>
      </c>
      <c r="S343" s="65">
        <f t="shared" si="93"/>
        <v>0.35</v>
      </c>
      <c r="T343" s="65">
        <f t="shared" si="103"/>
        <v>0.9</v>
      </c>
      <c r="U343" s="64" t="e">
        <f t="shared" si="104"/>
        <v>#N/A</v>
      </c>
      <c r="V343" s="63">
        <f t="shared" si="94"/>
        <v>3.1960702403148411</v>
      </c>
      <c r="W343" s="63" t="str">
        <f t="shared" si="95"/>
        <v/>
      </c>
      <c r="X343" s="63">
        <f t="shared" si="105"/>
        <v>0</v>
      </c>
      <c r="Y343" s="55"/>
      <c r="Z343" s="55"/>
      <c r="AA343" s="55"/>
      <c r="AB343" s="55">
        <f>PMSplint!N344</f>
        <v>3.5511891559053788</v>
      </c>
      <c r="AC343" s="55">
        <f>PMSplint!N344</f>
        <v>3.5511891559053788</v>
      </c>
      <c r="AD343" s="55">
        <f>IF(RnSplint!N344&lt;0,0,RnSplint!N344)</f>
        <v>18.431280644862394</v>
      </c>
      <c r="AE343" s="55">
        <f>IF(RnSplint!N344&lt;0,0,RnSplint!N344)</f>
        <v>18.431280644862394</v>
      </c>
      <c r="AF343" s="30"/>
      <c r="AG343" s="30"/>
      <c r="AH343" s="30"/>
      <c r="AI343" s="55"/>
      <c r="AJ343" s="55"/>
      <c r="AK343" s="55"/>
      <c r="AL343" s="55"/>
      <c r="AM343" s="55"/>
      <c r="AN343" s="55">
        <f t="shared" si="106"/>
        <v>65.452963955484023</v>
      </c>
      <c r="AO343" s="55">
        <f t="shared" si="107"/>
        <v>8.0903006097106189</v>
      </c>
      <c r="AP343" s="55">
        <f t="shared" si="108"/>
        <v>0.31395619551531756</v>
      </c>
      <c r="AQ343" s="55"/>
      <c r="AR343" s="55"/>
      <c r="AS343" s="55"/>
      <c r="AT343" s="55"/>
      <c r="AU343" s="30"/>
      <c r="AV343" s="30"/>
      <c r="AW343" s="2"/>
      <c r="AX343" s="2"/>
    </row>
    <row r="344" spans="1:50" x14ac:dyDescent="0.2">
      <c r="A344" s="2"/>
      <c r="B344" s="61">
        <f t="shared" si="96"/>
        <v>41935</v>
      </c>
      <c r="C344" s="62">
        <f t="shared" si="97"/>
        <v>296</v>
      </c>
      <c r="D344" s="63">
        <f t="shared" si="98"/>
        <v>3.49052835083477</v>
      </c>
      <c r="G344" s="357" t="str">
        <f>IF(MakeSchedule!C311="","",MakeSchedule!C311)</f>
        <v/>
      </c>
      <c r="H344" s="358"/>
      <c r="I344" s="358"/>
      <c r="J344" s="359" t="str">
        <f>IF(MakeSchedule!B311="","",MakeSchedule!B311)</f>
        <v/>
      </c>
      <c r="K344" s="63">
        <f t="shared" si="89"/>
        <v>3.49052835083477</v>
      </c>
      <c r="L344" s="63">
        <f t="shared" si="99"/>
        <v>3.49052835083477</v>
      </c>
      <c r="M344" s="63">
        <f t="shared" si="100"/>
        <v>17.973014319805106</v>
      </c>
      <c r="N344" s="63" t="str">
        <f t="shared" si="90"/>
        <v/>
      </c>
      <c r="O344" s="64">
        <f t="shared" si="101"/>
        <v>0.32068428022248252</v>
      </c>
      <c r="P344" s="63" t="str">
        <f t="shared" si="102"/>
        <v/>
      </c>
      <c r="Q344" s="64" t="e">
        <f t="shared" si="91"/>
        <v>#N/A</v>
      </c>
      <c r="R344" s="63">
        <f t="shared" si="92"/>
        <v>0.32068428022248252</v>
      </c>
      <c r="S344" s="65">
        <f t="shared" si="93"/>
        <v>0.35</v>
      </c>
      <c r="T344" s="65">
        <f t="shared" si="103"/>
        <v>0.9</v>
      </c>
      <c r="U344" s="64" t="e">
        <f t="shared" si="104"/>
        <v>#N/A</v>
      </c>
      <c r="V344" s="63">
        <f t="shared" si="94"/>
        <v>3.141475515751293</v>
      </c>
      <c r="W344" s="63" t="str">
        <f t="shared" si="95"/>
        <v/>
      </c>
      <c r="X344" s="63">
        <f t="shared" si="105"/>
        <v>0</v>
      </c>
      <c r="Y344" s="55"/>
      <c r="Z344" s="55"/>
      <c r="AA344" s="55"/>
      <c r="AB344" s="55">
        <f>PMSplint!N345</f>
        <v>3.49052835083477</v>
      </c>
      <c r="AC344" s="55">
        <f>PMSplint!N345</f>
        <v>3.49052835083477</v>
      </c>
      <c r="AD344" s="55">
        <f>IF(RnSplint!N345&lt;0,0,RnSplint!N345)</f>
        <v>17.973014319805106</v>
      </c>
      <c r="AE344" s="55">
        <f>IF(RnSplint!N345&lt;0,0,RnSplint!N345)</f>
        <v>17.973014319805106</v>
      </c>
      <c r="AF344" s="30"/>
      <c r="AG344" s="30"/>
      <c r="AH344" s="30"/>
      <c r="AI344" s="55"/>
      <c r="AJ344" s="55"/>
      <c r="AK344" s="55"/>
      <c r="AL344" s="55"/>
      <c r="AM344" s="55"/>
      <c r="AN344" s="55">
        <f t="shared" si="106"/>
        <v>62.735316033239023</v>
      </c>
      <c r="AO344" s="55">
        <f t="shared" si="107"/>
        <v>7.9205628608855205</v>
      </c>
      <c r="AP344" s="55">
        <f t="shared" si="108"/>
        <v>0.32068428022248252</v>
      </c>
      <c r="AQ344" s="55"/>
      <c r="AR344" s="55"/>
      <c r="AS344" s="55"/>
      <c r="AT344" s="55"/>
      <c r="AU344" s="30"/>
      <c r="AV344" s="30"/>
      <c r="AW344" s="2"/>
      <c r="AX344" s="2"/>
    </row>
    <row r="345" spans="1:50" x14ac:dyDescent="0.2">
      <c r="A345" s="2"/>
      <c r="B345" s="61">
        <f t="shared" si="96"/>
        <v>41936</v>
      </c>
      <c r="C345" s="62">
        <f t="shared" si="97"/>
        <v>297</v>
      </c>
      <c r="D345" s="63">
        <f t="shared" si="98"/>
        <v>3.4295153571250059</v>
      </c>
      <c r="G345" s="357" t="str">
        <f>IF(MakeSchedule!C312="","",MakeSchedule!C312)</f>
        <v/>
      </c>
      <c r="H345" s="358"/>
      <c r="I345" s="358"/>
      <c r="J345" s="359" t="str">
        <f>IF(MakeSchedule!B312="","",MakeSchedule!B312)</f>
        <v/>
      </c>
      <c r="K345" s="63">
        <f t="shared" si="89"/>
        <v>3.4295153571250059</v>
      </c>
      <c r="L345" s="63">
        <f t="shared" si="99"/>
        <v>3.4295153571250059</v>
      </c>
      <c r="M345" s="63">
        <f t="shared" si="100"/>
        <v>17.513130513055504</v>
      </c>
      <c r="N345" s="63" t="str">
        <f t="shared" si="90"/>
        <v/>
      </c>
      <c r="O345" s="64">
        <f t="shared" si="101"/>
        <v>0.32774452731323356</v>
      </c>
      <c r="P345" s="63" t="str">
        <f t="shared" si="102"/>
        <v/>
      </c>
      <c r="Q345" s="64" t="e">
        <f t="shared" si="91"/>
        <v>#N/A</v>
      </c>
      <c r="R345" s="63">
        <f t="shared" si="92"/>
        <v>0.32774452731323356</v>
      </c>
      <c r="S345" s="65">
        <f t="shared" si="93"/>
        <v>0.35</v>
      </c>
      <c r="T345" s="65">
        <f t="shared" si="103"/>
        <v>0.9</v>
      </c>
      <c r="U345" s="64" t="e">
        <f t="shared" si="104"/>
        <v>#N/A</v>
      </c>
      <c r="V345" s="63">
        <f t="shared" si="94"/>
        <v>3.0865638214125055</v>
      </c>
      <c r="W345" s="63" t="str">
        <f t="shared" si="95"/>
        <v/>
      </c>
      <c r="X345" s="63">
        <f t="shared" si="105"/>
        <v>0</v>
      </c>
      <c r="Y345" s="55"/>
      <c r="Z345" s="55"/>
      <c r="AA345" s="55"/>
      <c r="AB345" s="55">
        <f>PMSplint!N346</f>
        <v>3.4295153571250059</v>
      </c>
      <c r="AC345" s="55">
        <f>PMSplint!N346</f>
        <v>3.4295153571250059</v>
      </c>
      <c r="AD345" s="55">
        <f>IF(RnSplint!N346&lt;0,0,RnSplint!N346)</f>
        <v>17.513130513055504</v>
      </c>
      <c r="AE345" s="55">
        <f>IF(RnSplint!N346&lt;0,0,RnSplint!N346)</f>
        <v>17.513130513055504</v>
      </c>
      <c r="AF345" s="30"/>
      <c r="AG345" s="30"/>
      <c r="AH345" s="30"/>
      <c r="AI345" s="55"/>
      <c r="AJ345" s="55"/>
      <c r="AK345" s="55"/>
      <c r="AL345" s="55"/>
      <c r="AM345" s="55"/>
      <c r="AN345" s="55">
        <f t="shared" si="106"/>
        <v>60.061550045858382</v>
      </c>
      <c r="AO345" s="55">
        <f t="shared" si="107"/>
        <v>7.7499387123936909</v>
      </c>
      <c r="AP345" s="55">
        <f t="shared" si="108"/>
        <v>0.32774452731323356</v>
      </c>
      <c r="AQ345" s="55"/>
      <c r="AR345" s="55"/>
      <c r="AS345" s="55"/>
      <c r="AT345" s="55"/>
      <c r="AU345" s="30"/>
      <c r="AV345" s="30"/>
      <c r="AW345" s="2"/>
      <c r="AX345" s="2"/>
    </row>
    <row r="346" spans="1:50" x14ac:dyDescent="0.2">
      <c r="A346" s="2"/>
      <c r="B346" s="61">
        <f t="shared" si="96"/>
        <v>41937</v>
      </c>
      <c r="C346" s="62">
        <f t="shared" si="97"/>
        <v>298</v>
      </c>
      <c r="D346" s="63">
        <f t="shared" si="98"/>
        <v>3.3682239818692992</v>
      </c>
      <c r="G346" s="357" t="str">
        <f>IF(MakeSchedule!C313="","",MakeSchedule!C313)</f>
        <v/>
      </c>
      <c r="H346" s="358"/>
      <c r="I346" s="358"/>
      <c r="J346" s="359" t="str">
        <f>IF(MakeSchedule!B313="","",MakeSchedule!B313)</f>
        <v/>
      </c>
      <c r="K346" s="63">
        <f t="shared" si="89"/>
        <v>3.3682239818692992</v>
      </c>
      <c r="L346" s="63">
        <f t="shared" si="99"/>
        <v>3.3682239818692992</v>
      </c>
      <c r="M346" s="63">
        <f t="shared" si="100"/>
        <v>17.052534463987797</v>
      </c>
      <c r="N346" s="63" t="str">
        <f t="shared" si="90"/>
        <v/>
      </c>
      <c r="O346" s="64">
        <f t="shared" si="101"/>
        <v>0.33514964737570707</v>
      </c>
      <c r="P346" s="63" t="str">
        <f t="shared" si="102"/>
        <v/>
      </c>
      <c r="Q346" s="64" t="e">
        <f t="shared" si="91"/>
        <v>#N/A</v>
      </c>
      <c r="R346" s="63">
        <f t="shared" si="92"/>
        <v>0.33514964737570707</v>
      </c>
      <c r="S346" s="65">
        <f t="shared" si="93"/>
        <v>0.35</v>
      </c>
      <c r="T346" s="65">
        <f t="shared" si="103"/>
        <v>0.9</v>
      </c>
      <c r="U346" s="64" t="e">
        <f t="shared" si="104"/>
        <v>#N/A</v>
      </c>
      <c r="V346" s="63">
        <f t="shared" si="94"/>
        <v>3.0314015836823693</v>
      </c>
      <c r="W346" s="63" t="str">
        <f t="shared" si="95"/>
        <v/>
      </c>
      <c r="X346" s="63">
        <f t="shared" si="105"/>
        <v>0</v>
      </c>
      <c r="Y346" s="55"/>
      <c r="Z346" s="55"/>
      <c r="AA346" s="55"/>
      <c r="AB346" s="55">
        <f>PMSplint!N347</f>
        <v>3.3682239818692992</v>
      </c>
      <c r="AC346" s="55">
        <f>PMSplint!N347</f>
        <v>3.3682239818692992</v>
      </c>
      <c r="AD346" s="55">
        <f>IF(RnSplint!N347&lt;0,0,RnSplint!N347)</f>
        <v>17.052534463987797</v>
      </c>
      <c r="AE346" s="55">
        <f>IF(RnSplint!N347&lt;0,0,RnSplint!N347)</f>
        <v>17.052534463987797</v>
      </c>
      <c r="AF346" s="30"/>
      <c r="AG346" s="30"/>
      <c r="AH346" s="30"/>
      <c r="AI346" s="55"/>
      <c r="AJ346" s="55"/>
      <c r="AK346" s="55"/>
      <c r="AL346" s="55"/>
      <c r="AM346" s="55"/>
      <c r="AN346" s="55">
        <f t="shared" si="106"/>
        <v>57.436755533256431</v>
      </c>
      <c r="AO346" s="55">
        <f t="shared" si="107"/>
        <v>7.5787040800691265</v>
      </c>
      <c r="AP346" s="55">
        <f t="shared" si="108"/>
        <v>0.33514964737570707</v>
      </c>
      <c r="AQ346" s="55"/>
      <c r="AR346" s="55"/>
      <c r="AS346" s="55"/>
      <c r="AT346" s="55"/>
      <c r="AU346" s="30"/>
      <c r="AV346" s="30"/>
      <c r="AW346" s="2"/>
      <c r="AX346" s="2"/>
    </row>
    <row r="347" spans="1:50" x14ac:dyDescent="0.2">
      <c r="A347" s="2"/>
      <c r="B347" s="61">
        <f t="shared" si="96"/>
        <v>41938</v>
      </c>
      <c r="C347" s="62">
        <f t="shared" si="97"/>
        <v>299</v>
      </c>
      <c r="D347" s="63">
        <f t="shared" si="98"/>
        <v>3.3067280321608634</v>
      </c>
      <c r="G347" s="357" t="str">
        <f>IF(MakeSchedule!C314="","",MakeSchedule!C314)</f>
        <v/>
      </c>
      <c r="H347" s="358"/>
      <c r="I347" s="358"/>
      <c r="J347" s="359" t="str">
        <f>IF(MakeSchedule!B314="","",MakeSchedule!B314)</f>
        <v/>
      </c>
      <c r="K347" s="63">
        <f t="shared" si="89"/>
        <v>3.3067280321608634</v>
      </c>
      <c r="L347" s="63">
        <f t="shared" si="99"/>
        <v>3.3067280321608634</v>
      </c>
      <c r="M347" s="63">
        <f t="shared" si="100"/>
        <v>16.592131411976215</v>
      </c>
      <c r="N347" s="63" t="str">
        <f t="shared" si="90"/>
        <v/>
      </c>
      <c r="O347" s="64">
        <f t="shared" si="101"/>
        <v>0.34291255703261531</v>
      </c>
      <c r="P347" s="63" t="str">
        <f t="shared" si="102"/>
        <v/>
      </c>
      <c r="Q347" s="64" t="e">
        <f t="shared" si="91"/>
        <v>#N/A</v>
      </c>
      <c r="R347" s="63">
        <f t="shared" si="92"/>
        <v>0.34291255703261531</v>
      </c>
      <c r="S347" s="65">
        <f t="shared" si="93"/>
        <v>0.35</v>
      </c>
      <c r="T347" s="65">
        <f t="shared" si="103"/>
        <v>0.9</v>
      </c>
      <c r="U347" s="64" t="e">
        <f t="shared" si="104"/>
        <v>#N/A</v>
      </c>
      <c r="V347" s="63">
        <f t="shared" si="94"/>
        <v>2.976055228944777</v>
      </c>
      <c r="W347" s="63" t="str">
        <f t="shared" si="95"/>
        <v/>
      </c>
      <c r="X347" s="63">
        <f t="shared" si="105"/>
        <v>0</v>
      </c>
      <c r="Y347" s="55"/>
      <c r="Z347" s="55"/>
      <c r="AA347" s="55"/>
      <c r="AB347" s="55">
        <f>PMSplint!N348</f>
        <v>3.3067280321608634</v>
      </c>
      <c r="AC347" s="55">
        <f>PMSplint!N348</f>
        <v>3.3067280321608634</v>
      </c>
      <c r="AD347" s="55">
        <f>IF(RnSplint!N348&lt;0,0,RnSplint!N348)</f>
        <v>16.592131411976215</v>
      </c>
      <c r="AE347" s="55">
        <f>IF(RnSplint!N348&lt;0,0,RnSplint!N348)</f>
        <v>16.592131411976215</v>
      </c>
      <c r="AF347" s="30"/>
      <c r="AG347" s="30"/>
      <c r="AH347" s="30"/>
      <c r="AI347" s="55"/>
      <c r="AJ347" s="55"/>
      <c r="AK347" s="55"/>
      <c r="AL347" s="55"/>
      <c r="AM347" s="55"/>
      <c r="AN347" s="55">
        <f t="shared" si="106"/>
        <v>54.865666053278559</v>
      </c>
      <c r="AO347" s="55">
        <f t="shared" si="107"/>
        <v>7.4071361573335857</v>
      </c>
      <c r="AP347" s="55">
        <f t="shared" si="108"/>
        <v>0.34291255703261531</v>
      </c>
      <c r="AQ347" s="55"/>
      <c r="AR347" s="55"/>
      <c r="AS347" s="55"/>
      <c r="AT347" s="55"/>
      <c r="AU347" s="30"/>
      <c r="AV347" s="30"/>
      <c r="AW347" s="2"/>
      <c r="AX347" s="2"/>
    </row>
    <row r="348" spans="1:50" x14ac:dyDescent="0.2">
      <c r="A348" s="2"/>
      <c r="B348" s="61">
        <f t="shared" si="96"/>
        <v>41939</v>
      </c>
      <c r="C348" s="62">
        <f t="shared" si="97"/>
        <v>300</v>
      </c>
      <c r="D348" s="63">
        <f t="shared" si="98"/>
        <v>3.2451013150929122</v>
      </c>
      <c r="G348" s="357" t="str">
        <f>IF(MakeSchedule!C315="","",MakeSchedule!C315)</f>
        <v/>
      </c>
      <c r="H348" s="358"/>
      <c r="I348" s="358"/>
      <c r="J348" s="359" t="str">
        <f>IF(MakeSchedule!B315="","",MakeSchedule!B315)</f>
        <v/>
      </c>
      <c r="K348" s="63">
        <f t="shared" si="89"/>
        <v>3.2451013150929122</v>
      </c>
      <c r="L348" s="63">
        <f t="shared" si="99"/>
        <v>3.2451013150929122</v>
      </c>
      <c r="M348" s="63">
        <f t="shared" si="100"/>
        <v>16.13282659639496</v>
      </c>
      <c r="N348" s="63" t="str">
        <f t="shared" si="90"/>
        <v/>
      </c>
      <c r="O348" s="64">
        <f t="shared" si="101"/>
        <v>0.35104626243876519</v>
      </c>
      <c r="P348" s="63" t="str">
        <f t="shared" si="102"/>
        <v/>
      </c>
      <c r="Q348" s="64" t="e">
        <f t="shared" si="91"/>
        <v>#N/A</v>
      </c>
      <c r="R348" s="63">
        <f t="shared" si="92"/>
        <v>0.35104626243876519</v>
      </c>
      <c r="S348" s="65">
        <f t="shared" si="93"/>
        <v>0.35</v>
      </c>
      <c r="T348" s="65">
        <f t="shared" si="103"/>
        <v>0.9</v>
      </c>
      <c r="U348" s="64" t="e">
        <f t="shared" si="104"/>
        <v>#N/A</v>
      </c>
      <c r="V348" s="63">
        <f t="shared" si="94"/>
        <v>2.9205911835836211</v>
      </c>
      <c r="W348" s="63" t="str">
        <f t="shared" si="95"/>
        <v/>
      </c>
      <c r="X348" s="63">
        <f t="shared" si="105"/>
        <v>0</v>
      </c>
      <c r="Y348" s="55"/>
      <c r="Z348" s="55"/>
      <c r="AA348" s="55"/>
      <c r="AB348" s="55">
        <f>PMSplint!N349</f>
        <v>3.2451013150929122</v>
      </c>
      <c r="AC348" s="55">
        <f>PMSplint!N349</f>
        <v>3.2451013150929122</v>
      </c>
      <c r="AD348" s="55">
        <f>IF(RnSplint!N349&lt;0,0,RnSplint!N349)</f>
        <v>16.13282659639496</v>
      </c>
      <c r="AE348" s="55">
        <f>IF(RnSplint!N349&lt;0,0,RnSplint!N349)</f>
        <v>16.13282659639496</v>
      </c>
      <c r="AF348" s="30"/>
      <c r="AG348" s="30"/>
      <c r="AH348" s="30"/>
      <c r="AI348" s="55"/>
      <c r="AJ348" s="55"/>
      <c r="AK348" s="55"/>
      <c r="AL348" s="55"/>
      <c r="AM348" s="55"/>
      <c r="AN348" s="55">
        <f t="shared" si="106"/>
        <v>52.352656804127193</v>
      </c>
      <c r="AO348" s="55">
        <f t="shared" si="107"/>
        <v>7.2355135826095438</v>
      </c>
      <c r="AP348" s="55">
        <f t="shared" si="108"/>
        <v>0.35104626243876519</v>
      </c>
      <c r="AQ348" s="55"/>
      <c r="AR348" s="55"/>
      <c r="AS348" s="55"/>
      <c r="AT348" s="55"/>
      <c r="AU348" s="30"/>
      <c r="AV348" s="30"/>
      <c r="AW348" s="2"/>
      <c r="AX348" s="2"/>
    </row>
    <row r="349" spans="1:50" x14ac:dyDescent="0.2">
      <c r="A349" s="2"/>
      <c r="B349" s="61">
        <f t="shared" si="96"/>
        <v>41940</v>
      </c>
      <c r="C349" s="62">
        <f t="shared" si="97"/>
        <v>301</v>
      </c>
      <c r="D349" s="63">
        <f t="shared" si="98"/>
        <v>3.1834176377586587</v>
      </c>
      <c r="G349" s="357" t="str">
        <f>IF(MakeSchedule!C316="","",MakeSchedule!C316)</f>
        <v/>
      </c>
      <c r="H349" s="358"/>
      <c r="I349" s="358"/>
      <c r="J349" s="359" t="str">
        <f>IF(MakeSchedule!B316="","",MakeSchedule!B316)</f>
        <v/>
      </c>
      <c r="K349" s="63">
        <f t="shared" si="89"/>
        <v>3.1834176377586587</v>
      </c>
      <c r="L349" s="63">
        <f t="shared" si="99"/>
        <v>3.1834176377586587</v>
      </c>
      <c r="M349" s="63">
        <f t="shared" si="100"/>
        <v>15.675525256618245</v>
      </c>
      <c r="N349" s="63" t="str">
        <f t="shared" si="90"/>
        <v/>
      </c>
      <c r="O349" s="64">
        <f t="shared" si="101"/>
        <v>0.35956371300178502</v>
      </c>
      <c r="P349" s="63" t="str">
        <f t="shared" si="102"/>
        <v/>
      </c>
      <c r="Q349" s="64" t="e">
        <f t="shared" si="91"/>
        <v>#N/A</v>
      </c>
      <c r="R349" s="63">
        <f t="shared" si="92"/>
        <v>0.35956371300178502</v>
      </c>
      <c r="S349" s="65">
        <f t="shared" si="93"/>
        <v>0.35</v>
      </c>
      <c r="T349" s="65">
        <f t="shared" si="103"/>
        <v>0.9</v>
      </c>
      <c r="U349" s="64" t="e">
        <f t="shared" si="104"/>
        <v>#N/A</v>
      </c>
      <c r="V349" s="63">
        <f t="shared" si="94"/>
        <v>2.8650758739827928</v>
      </c>
      <c r="W349" s="63" t="str">
        <f t="shared" si="95"/>
        <v/>
      </c>
      <c r="X349" s="63">
        <f t="shared" si="105"/>
        <v>0</v>
      </c>
      <c r="Y349" s="55"/>
      <c r="Z349" s="55"/>
      <c r="AA349" s="55"/>
      <c r="AB349" s="55">
        <f>PMSplint!N350</f>
        <v>3.1834176377586587</v>
      </c>
      <c r="AC349" s="55">
        <f>PMSplint!N350</f>
        <v>3.1834176377586587</v>
      </c>
      <c r="AD349" s="55">
        <f>IF(RnSplint!N350&lt;0,0,RnSplint!N350)</f>
        <v>15.675525256618245</v>
      </c>
      <c r="AE349" s="55">
        <f>IF(RnSplint!N350&lt;0,0,RnSplint!N350)</f>
        <v>15.675525256618245</v>
      </c>
      <c r="AF349" s="30"/>
      <c r="AG349" s="30"/>
      <c r="AH349" s="30"/>
      <c r="AI349" s="55"/>
      <c r="AJ349" s="55"/>
      <c r="AK349" s="55"/>
      <c r="AL349" s="55"/>
      <c r="AM349" s="55"/>
      <c r="AN349" s="55">
        <f t="shared" si="106"/>
        <v>49.90174358304985</v>
      </c>
      <c r="AO349" s="55">
        <f t="shared" si="107"/>
        <v>7.064116617316694</v>
      </c>
      <c r="AP349" s="55">
        <f t="shared" si="108"/>
        <v>0.35956371300178502</v>
      </c>
      <c r="AQ349" s="55"/>
      <c r="AR349" s="55"/>
      <c r="AS349" s="55"/>
      <c r="AT349" s="55"/>
      <c r="AU349" s="30"/>
      <c r="AV349" s="30"/>
      <c r="AW349" s="2"/>
      <c r="AX349" s="2"/>
    </row>
    <row r="350" spans="1:50" x14ac:dyDescent="0.2">
      <c r="A350" s="2"/>
      <c r="B350" s="61">
        <f t="shared" si="96"/>
        <v>41941</v>
      </c>
      <c r="C350" s="62">
        <f t="shared" si="97"/>
        <v>302</v>
      </c>
      <c r="D350" s="63">
        <f t="shared" si="98"/>
        <v>3.1217508072513156</v>
      </c>
      <c r="G350" s="357" t="str">
        <f>IF(MakeSchedule!C317="","",MakeSchedule!C317)</f>
        <v/>
      </c>
      <c r="H350" s="358"/>
      <c r="I350" s="358"/>
      <c r="J350" s="359" t="str">
        <f>IF(MakeSchedule!B317="","",MakeSchedule!B317)</f>
        <v/>
      </c>
      <c r="K350" s="63">
        <f t="shared" si="89"/>
        <v>3.1217508072513156</v>
      </c>
      <c r="L350" s="63">
        <f t="shared" si="99"/>
        <v>3.1217508072513156</v>
      </c>
      <c r="M350" s="63">
        <f t="shared" si="100"/>
        <v>15.221132632020291</v>
      </c>
      <c r="N350" s="63" t="str">
        <f t="shared" si="90"/>
        <v/>
      </c>
      <c r="O350" s="64">
        <f t="shared" si="101"/>
        <v>0.3684776196759586</v>
      </c>
      <c r="P350" s="63" t="str">
        <f t="shared" si="102"/>
        <v/>
      </c>
      <c r="Q350" s="64" t="e">
        <f t="shared" si="91"/>
        <v>#N/A</v>
      </c>
      <c r="R350" s="63">
        <f t="shared" si="92"/>
        <v>0.3684776196759586</v>
      </c>
      <c r="S350" s="65">
        <f t="shared" si="93"/>
        <v>0.35</v>
      </c>
      <c r="T350" s="65">
        <f t="shared" si="103"/>
        <v>0.9</v>
      </c>
      <c r="U350" s="64" t="e">
        <f t="shared" si="104"/>
        <v>#N/A</v>
      </c>
      <c r="V350" s="63">
        <f t="shared" si="94"/>
        <v>2.8095757265261843</v>
      </c>
      <c r="W350" s="63" t="str">
        <f t="shared" si="95"/>
        <v/>
      </c>
      <c r="X350" s="63">
        <f t="shared" si="105"/>
        <v>0</v>
      </c>
      <c r="Y350" s="55"/>
      <c r="Z350" s="55"/>
      <c r="AA350" s="55"/>
      <c r="AB350" s="55">
        <f>PMSplint!N351</f>
        <v>3.1217508072513156</v>
      </c>
      <c r="AC350" s="55">
        <f>PMSplint!N351</f>
        <v>3.1217508072513156</v>
      </c>
      <c r="AD350" s="55">
        <f>IF(RnSplint!N351&lt;0,0,RnSplint!N351)</f>
        <v>15.221132632020291</v>
      </c>
      <c r="AE350" s="55">
        <f>IF(RnSplint!N351&lt;0,0,RnSplint!N351)</f>
        <v>15.221132632020291</v>
      </c>
      <c r="AF350" s="30"/>
      <c r="AG350" s="30"/>
      <c r="AH350" s="30"/>
      <c r="AI350" s="55"/>
      <c r="AJ350" s="55"/>
      <c r="AK350" s="55"/>
      <c r="AL350" s="55"/>
      <c r="AM350" s="55"/>
      <c r="AN350" s="55">
        <f t="shared" si="106"/>
        <v>47.516583081288687</v>
      </c>
      <c r="AO350" s="55">
        <f t="shared" si="107"/>
        <v>6.8932273342236936</v>
      </c>
      <c r="AP350" s="55">
        <f t="shared" si="108"/>
        <v>0.3684776196759586</v>
      </c>
      <c r="AQ350" s="55"/>
      <c r="AR350" s="55"/>
      <c r="AS350" s="55"/>
      <c r="AT350" s="55"/>
      <c r="AU350" s="30"/>
      <c r="AV350" s="30"/>
      <c r="AW350" s="2"/>
      <c r="AX350" s="2"/>
    </row>
    <row r="351" spans="1:50" x14ac:dyDescent="0.2">
      <c r="A351" s="2"/>
      <c r="B351" s="61">
        <f t="shared" si="96"/>
        <v>41942</v>
      </c>
      <c r="C351" s="62">
        <f t="shared" si="97"/>
        <v>303</v>
      </c>
      <c r="D351" s="63">
        <f t="shared" si="98"/>
        <v>3.0601746306640973</v>
      </c>
      <c r="G351" s="357" t="str">
        <f>IF(MakeSchedule!C318="","",MakeSchedule!C318)</f>
        <v/>
      </c>
      <c r="H351" s="358"/>
      <c r="I351" s="358"/>
      <c r="J351" s="359" t="str">
        <f>IF(MakeSchedule!B318="","",MakeSchedule!B318)</f>
        <v/>
      </c>
      <c r="K351" s="63">
        <f t="shared" si="89"/>
        <v>3.0601746306640973</v>
      </c>
      <c r="L351" s="63">
        <f t="shared" si="99"/>
        <v>3.0601746306640973</v>
      </c>
      <c r="M351" s="63">
        <f t="shared" si="100"/>
        <v>14.77055396197531</v>
      </c>
      <c r="N351" s="63" t="str">
        <f t="shared" si="90"/>
        <v/>
      </c>
      <c r="O351" s="64">
        <f t="shared" si="101"/>
        <v>0.37780023139904567</v>
      </c>
      <c r="P351" s="63" t="str">
        <f t="shared" si="102"/>
        <v/>
      </c>
      <c r="Q351" s="64" t="e">
        <f t="shared" si="91"/>
        <v>#N/A</v>
      </c>
      <c r="R351" s="63">
        <f t="shared" si="92"/>
        <v>0.37780023139904567</v>
      </c>
      <c r="S351" s="65">
        <f t="shared" si="93"/>
        <v>0.35</v>
      </c>
      <c r="T351" s="65">
        <f t="shared" si="103"/>
        <v>0.9</v>
      </c>
      <c r="U351" s="64" t="e">
        <f t="shared" si="104"/>
        <v>#N/A</v>
      </c>
      <c r="V351" s="63">
        <f t="shared" si="94"/>
        <v>2.7541571675976875</v>
      </c>
      <c r="W351" s="63" t="str">
        <f t="shared" si="95"/>
        <v/>
      </c>
      <c r="X351" s="63">
        <f t="shared" si="105"/>
        <v>0</v>
      </c>
      <c r="Y351" s="55"/>
      <c r="Z351" s="55"/>
      <c r="AA351" s="55"/>
      <c r="AB351" s="55">
        <f>PMSplint!N352</f>
        <v>3.0601746306640973</v>
      </c>
      <c r="AC351" s="55">
        <f>PMSplint!N352</f>
        <v>3.0601746306640973</v>
      </c>
      <c r="AD351" s="55">
        <f>IF(RnSplint!N352&lt;0,0,RnSplint!N352)</f>
        <v>14.77055396197531</v>
      </c>
      <c r="AE351" s="55">
        <f>IF(RnSplint!N352&lt;0,0,RnSplint!N352)</f>
        <v>14.77055396197531</v>
      </c>
      <c r="AF351" s="30"/>
      <c r="AG351" s="30"/>
      <c r="AH351" s="30"/>
      <c r="AI351" s="55"/>
      <c r="AJ351" s="55"/>
      <c r="AK351" s="55"/>
      <c r="AL351" s="55"/>
      <c r="AM351" s="55"/>
      <c r="AN351" s="55">
        <f t="shared" si="106"/>
        <v>45.200474515291916</v>
      </c>
      <c r="AO351" s="55">
        <f t="shared" si="107"/>
        <v>6.7231298154425012</v>
      </c>
      <c r="AP351" s="55">
        <f t="shared" si="108"/>
        <v>0.37780023139904567</v>
      </c>
      <c r="AQ351" s="55"/>
      <c r="AR351" s="55"/>
      <c r="AS351" s="55"/>
      <c r="AT351" s="55"/>
      <c r="AU351" s="30"/>
      <c r="AV351" s="30"/>
      <c r="AW351" s="2"/>
      <c r="AX351" s="2"/>
    </row>
    <row r="352" spans="1:50" x14ac:dyDescent="0.2">
      <c r="A352" s="2"/>
      <c r="B352" s="61">
        <f t="shared" si="96"/>
        <v>41943</v>
      </c>
      <c r="C352" s="62">
        <f t="shared" si="97"/>
        <v>304</v>
      </c>
      <c r="D352" s="63">
        <f t="shared" si="98"/>
        <v>2.9987629150902158</v>
      </c>
      <c r="G352" s="357" t="str">
        <f>IF(MakeSchedule!C319="","",MakeSchedule!C319)</f>
        <v/>
      </c>
      <c r="H352" s="358"/>
      <c r="I352" s="358"/>
      <c r="J352" s="359" t="str">
        <f>IF(MakeSchedule!B319="","",MakeSchedule!B319)</f>
        <v/>
      </c>
      <c r="K352" s="63">
        <f t="shared" si="89"/>
        <v>2.9987629150902158</v>
      </c>
      <c r="L352" s="63">
        <f t="shared" si="99"/>
        <v>2.9987629150902158</v>
      </c>
      <c r="M352" s="63">
        <f t="shared" si="100"/>
        <v>14.32469448585751</v>
      </c>
      <c r="N352" s="63" t="str">
        <f t="shared" si="90"/>
        <v/>
      </c>
      <c r="O352" s="64">
        <f t="shared" si="101"/>
        <v>0.3875430624422434</v>
      </c>
      <c r="P352" s="63" t="str">
        <f t="shared" si="102"/>
        <v/>
      </c>
      <c r="Q352" s="64" t="e">
        <f t="shared" si="91"/>
        <v>#N/A</v>
      </c>
      <c r="R352" s="63">
        <f t="shared" si="92"/>
        <v>0.3875430624422434</v>
      </c>
      <c r="S352" s="65">
        <f t="shared" si="93"/>
        <v>0.35</v>
      </c>
      <c r="T352" s="65">
        <f t="shared" si="103"/>
        <v>0.9</v>
      </c>
      <c r="U352" s="64" t="e">
        <f t="shared" si="104"/>
        <v>#N/A</v>
      </c>
      <c r="V352" s="63">
        <f t="shared" si="94"/>
        <v>2.6988866235811941</v>
      </c>
      <c r="W352" s="63" t="str">
        <f t="shared" si="95"/>
        <v/>
      </c>
      <c r="X352" s="63">
        <f t="shared" si="105"/>
        <v>0</v>
      </c>
      <c r="Y352" s="55"/>
      <c r="Z352" s="55"/>
      <c r="AA352" s="55"/>
      <c r="AB352" s="55">
        <f>PMSplint!N353</f>
        <v>2.9987629150902158</v>
      </c>
      <c r="AC352" s="55">
        <f>PMSplint!N353</f>
        <v>2.9987629150902158</v>
      </c>
      <c r="AD352" s="55">
        <f>IF(RnSplint!N353&lt;0,0,RnSplint!N353)</f>
        <v>14.32469448585751</v>
      </c>
      <c r="AE352" s="55">
        <f>IF(RnSplint!N353&lt;0,0,RnSplint!N353)</f>
        <v>14.32469448585751</v>
      </c>
      <c r="AF352" s="30"/>
      <c r="AG352" s="30"/>
      <c r="AH352" s="30"/>
      <c r="AI352" s="55"/>
      <c r="AJ352" s="55"/>
      <c r="AK352" s="55"/>
      <c r="AL352" s="55"/>
      <c r="AM352" s="55"/>
      <c r="AN352" s="55">
        <f t="shared" si="106"/>
        <v>42.956362594186807</v>
      </c>
      <c r="AO352" s="55">
        <f t="shared" si="107"/>
        <v>6.5541103587128289</v>
      </c>
      <c r="AP352" s="55">
        <f t="shared" si="108"/>
        <v>0.3875430624422434</v>
      </c>
      <c r="AQ352" s="55"/>
      <c r="AR352" s="55"/>
      <c r="AS352" s="55"/>
      <c r="AT352" s="55"/>
      <c r="AU352" s="30"/>
      <c r="AV352" s="30"/>
      <c r="AW352" s="2"/>
      <c r="AX352" s="2"/>
    </row>
    <row r="353" spans="1:50" x14ac:dyDescent="0.2">
      <c r="A353" s="2"/>
      <c r="B353" s="61">
        <f t="shared" si="96"/>
        <v>41944</v>
      </c>
      <c r="C353" s="62">
        <f t="shared" si="97"/>
        <v>305</v>
      </c>
      <c r="D353" s="63">
        <f t="shared" si="98"/>
        <v>2.9375894676228853</v>
      </c>
      <c r="G353" s="357" t="str">
        <f>IF(MakeSchedule!C320="","",MakeSchedule!C320)</f>
        <v/>
      </c>
      <c r="H353" s="358"/>
      <c r="I353" s="358"/>
      <c r="J353" s="359" t="str">
        <f>IF(MakeSchedule!B320="","",MakeSchedule!B320)</f>
        <v/>
      </c>
      <c r="K353" s="63">
        <f t="shared" si="89"/>
        <v>2.9375894676228853</v>
      </c>
      <c r="L353" s="63">
        <f t="shared" si="99"/>
        <v>2.9375894676228853</v>
      </c>
      <c r="M353" s="63">
        <f t="shared" si="100"/>
        <v>13.884459443041113</v>
      </c>
      <c r="N353" s="63" t="str">
        <f t="shared" si="90"/>
        <v/>
      </c>
      <c r="O353" s="64">
        <f t="shared" si="101"/>
        <v>0.39771656266658406</v>
      </c>
      <c r="P353" s="63" t="str">
        <f t="shared" si="102"/>
        <v/>
      </c>
      <c r="Q353" s="64" t="e">
        <f t="shared" si="91"/>
        <v>#N/A</v>
      </c>
      <c r="R353" s="63">
        <f t="shared" si="92"/>
        <v>0.39771656266658406</v>
      </c>
      <c r="S353" s="65">
        <f t="shared" si="93"/>
        <v>0.35</v>
      </c>
      <c r="T353" s="65">
        <f t="shared" si="103"/>
        <v>0.9</v>
      </c>
      <c r="U353" s="64" t="e">
        <f t="shared" si="104"/>
        <v>#N/A</v>
      </c>
      <c r="V353" s="63">
        <f t="shared" si="94"/>
        <v>2.6438305208605968</v>
      </c>
      <c r="W353" s="63" t="str">
        <f t="shared" si="95"/>
        <v/>
      </c>
      <c r="X353" s="63">
        <f t="shared" si="105"/>
        <v>0</v>
      </c>
      <c r="Y353" s="55"/>
      <c r="Z353" s="55"/>
      <c r="AA353" s="55"/>
      <c r="AB353" s="55">
        <f>PMSplint!N354</f>
        <v>2.9375894676228853</v>
      </c>
      <c r="AC353" s="55">
        <f>PMSplint!N354</f>
        <v>2.9375894676228853</v>
      </c>
      <c r="AD353" s="55">
        <f>IF(RnSplint!N354&lt;0,0,RnSplint!N354)</f>
        <v>13.884459443041113</v>
      </c>
      <c r="AE353" s="55">
        <f>IF(RnSplint!N354&lt;0,0,RnSplint!N354)</f>
        <v>13.884459443041113</v>
      </c>
      <c r="AF353" s="30"/>
      <c r="AG353" s="30"/>
      <c r="AH353" s="30"/>
      <c r="AI353" s="55"/>
      <c r="AJ353" s="55"/>
      <c r="AK353" s="55"/>
      <c r="AL353" s="55"/>
      <c r="AM353" s="55"/>
      <c r="AN353" s="55">
        <f t="shared" si="106"/>
        <v>40.786841823514685</v>
      </c>
      <c r="AO353" s="55">
        <f t="shared" si="107"/>
        <v>6.386457689792886</v>
      </c>
      <c r="AP353" s="55">
        <f t="shared" si="108"/>
        <v>0.39771656266658406</v>
      </c>
      <c r="AQ353" s="55"/>
      <c r="AR353" s="55"/>
      <c r="AS353" s="55"/>
      <c r="AT353" s="55"/>
      <c r="AU353" s="30"/>
      <c r="AV353" s="30"/>
      <c r="AW353" s="2"/>
      <c r="AX353" s="2"/>
    </row>
    <row r="354" spans="1:50" x14ac:dyDescent="0.2">
      <c r="A354" s="2"/>
      <c r="B354" s="61">
        <f t="shared" si="96"/>
        <v>41945</v>
      </c>
      <c r="C354" s="62">
        <f t="shared" si="97"/>
        <v>306</v>
      </c>
      <c r="D354" s="63">
        <f t="shared" si="98"/>
        <v>2.8767280953553191</v>
      </c>
      <c r="G354" s="357" t="str">
        <f>IF(MakeSchedule!C321="","",MakeSchedule!C321)</f>
        <v/>
      </c>
      <c r="H354" s="358"/>
      <c r="I354" s="358"/>
      <c r="J354" s="359" t="str">
        <f>IF(MakeSchedule!B321="","",MakeSchedule!B321)</f>
        <v/>
      </c>
      <c r="K354" s="63">
        <f t="shared" si="89"/>
        <v>2.8767280953553191</v>
      </c>
      <c r="L354" s="63">
        <f t="shared" si="99"/>
        <v>2.8767280953553191</v>
      </c>
      <c r="M354" s="63">
        <f t="shared" si="100"/>
        <v>13.450754072900327</v>
      </c>
      <c r="N354" s="63" t="str">
        <f t="shared" si="90"/>
        <v/>
      </c>
      <c r="O354" s="64">
        <f t="shared" si="101"/>
        <v>0.40832972198955875</v>
      </c>
      <c r="P354" s="63" t="str">
        <f t="shared" si="102"/>
        <v/>
      </c>
      <c r="Q354" s="64" t="e">
        <f t="shared" si="91"/>
        <v>#N/A</v>
      </c>
      <c r="R354" s="63">
        <f t="shared" si="92"/>
        <v>0.40832972198955875</v>
      </c>
      <c r="S354" s="65">
        <f t="shared" si="93"/>
        <v>0.35</v>
      </c>
      <c r="T354" s="65">
        <f t="shared" si="103"/>
        <v>0.9</v>
      </c>
      <c r="U354" s="64" t="e">
        <f t="shared" si="104"/>
        <v>#N/A</v>
      </c>
      <c r="V354" s="63">
        <f t="shared" si="94"/>
        <v>2.5890552858197875</v>
      </c>
      <c r="W354" s="63" t="str">
        <f t="shared" si="95"/>
        <v/>
      </c>
      <c r="X354" s="63">
        <f t="shared" si="105"/>
        <v>0</v>
      </c>
      <c r="Y354" s="55"/>
      <c r="Z354" s="55"/>
      <c r="AA354" s="55"/>
      <c r="AB354" s="55">
        <f>PMSplint!N355</f>
        <v>2.8767280953553191</v>
      </c>
      <c r="AC354" s="55">
        <f>PMSplint!N355</f>
        <v>2.8767280953553191</v>
      </c>
      <c r="AD354" s="55">
        <f>IF(RnSplint!N355&lt;0,0,RnSplint!N355)</f>
        <v>13.450754072900327</v>
      </c>
      <c r="AE354" s="55">
        <f>IF(RnSplint!N355&lt;0,0,RnSplint!N355)</f>
        <v>13.450754072900327</v>
      </c>
      <c r="AF354" s="30"/>
      <c r="AG354" s="30"/>
      <c r="AH354" s="30"/>
      <c r="AI354" s="55"/>
      <c r="AJ354" s="55"/>
      <c r="AK354" s="55"/>
      <c r="AL354" s="55"/>
      <c r="AM354" s="55"/>
      <c r="AN354" s="55">
        <f t="shared" si="106"/>
        <v>38.694162145227359</v>
      </c>
      <c r="AO354" s="55">
        <f t="shared" si="107"/>
        <v>6.2204631777085027</v>
      </c>
      <c r="AP354" s="55">
        <f t="shared" si="108"/>
        <v>0.40832972198955875</v>
      </c>
      <c r="AQ354" s="55"/>
      <c r="AR354" s="55"/>
      <c r="AS354" s="55"/>
      <c r="AT354" s="55"/>
      <c r="AU354" s="30"/>
      <c r="AV354" s="30"/>
      <c r="AW354" s="2"/>
      <c r="AX354" s="2"/>
    </row>
    <row r="355" spans="1:50" x14ac:dyDescent="0.2">
      <c r="A355" s="2"/>
      <c r="B355" s="61">
        <f t="shared" si="96"/>
        <v>41946</v>
      </c>
      <c r="C355" s="62">
        <f t="shared" si="97"/>
        <v>307</v>
      </c>
      <c r="D355" s="63">
        <f t="shared" si="98"/>
        <v>2.81625260538073</v>
      </c>
      <c r="G355" s="357" t="str">
        <f>IF(MakeSchedule!C322="","",MakeSchedule!C322)</f>
        <v/>
      </c>
      <c r="H355" s="358"/>
      <c r="I355" s="358"/>
      <c r="J355" s="359" t="str">
        <f>IF(MakeSchedule!B322="","",MakeSchedule!B322)</f>
        <v/>
      </c>
      <c r="K355" s="63">
        <f t="shared" si="89"/>
        <v>2.81625260538073</v>
      </c>
      <c r="L355" s="63">
        <f t="shared" si="99"/>
        <v>2.81625260538073</v>
      </c>
      <c r="M355" s="63">
        <f t="shared" si="100"/>
        <v>13.024483614809368</v>
      </c>
      <c r="N355" s="63" t="str">
        <f t="shared" si="90"/>
        <v/>
      </c>
      <c r="O355" s="64">
        <f t="shared" si="101"/>
        <v>0.41938959985698715</v>
      </c>
      <c r="P355" s="63" t="str">
        <f t="shared" si="102"/>
        <v/>
      </c>
      <c r="Q355" s="64" t="e">
        <f t="shared" si="91"/>
        <v>#N/A</v>
      </c>
      <c r="R355" s="63">
        <f t="shared" si="92"/>
        <v>0.41938959985698715</v>
      </c>
      <c r="S355" s="65">
        <f t="shared" si="93"/>
        <v>0.35</v>
      </c>
      <c r="T355" s="65">
        <f t="shared" si="103"/>
        <v>0.9</v>
      </c>
      <c r="U355" s="64" t="e">
        <f t="shared" si="104"/>
        <v>#N/A</v>
      </c>
      <c r="V355" s="63">
        <f t="shared" si="94"/>
        <v>2.5346273448426571</v>
      </c>
      <c r="W355" s="63" t="str">
        <f t="shared" si="95"/>
        <v/>
      </c>
      <c r="X355" s="63">
        <f t="shared" si="105"/>
        <v>0</v>
      </c>
      <c r="Y355" s="55"/>
      <c r="Z355" s="55"/>
      <c r="AA355" s="55"/>
      <c r="AB355" s="55">
        <f>PMSplint!N356</f>
        <v>2.81625260538073</v>
      </c>
      <c r="AC355" s="55">
        <f>PMSplint!N356</f>
        <v>2.81625260538073</v>
      </c>
      <c r="AD355" s="55">
        <f>IF(RnSplint!N356&lt;0,0,RnSplint!N356)</f>
        <v>13.024483614809368</v>
      </c>
      <c r="AE355" s="55">
        <f>IF(RnSplint!N356&lt;0,0,RnSplint!N356)</f>
        <v>13.024483614809368</v>
      </c>
      <c r="AF355" s="30"/>
      <c r="AG355" s="30"/>
      <c r="AH355" s="30"/>
      <c r="AI355" s="55"/>
      <c r="AJ355" s="55"/>
      <c r="AK355" s="55"/>
      <c r="AL355" s="55"/>
      <c r="AM355" s="55"/>
      <c r="AN355" s="55">
        <f t="shared" si="106"/>
        <v>36.680235913945509</v>
      </c>
      <c r="AO355" s="55">
        <f t="shared" si="107"/>
        <v>6.0564210482714547</v>
      </c>
      <c r="AP355" s="55">
        <f t="shared" si="108"/>
        <v>0.41938959985698715</v>
      </c>
      <c r="AQ355" s="55"/>
      <c r="AR355" s="55"/>
      <c r="AS355" s="55"/>
      <c r="AT355" s="55"/>
      <c r="AU355" s="30"/>
      <c r="AV355" s="30"/>
      <c r="AW355" s="2"/>
      <c r="AX355" s="2"/>
    </row>
    <row r="356" spans="1:50" x14ac:dyDescent="0.2">
      <c r="A356" s="2"/>
      <c r="B356" s="61">
        <f t="shared" si="96"/>
        <v>41947</v>
      </c>
      <c r="C356" s="62">
        <f t="shared" si="97"/>
        <v>308</v>
      </c>
      <c r="D356" s="63">
        <f t="shared" si="98"/>
        <v>2.7562368047923314</v>
      </c>
      <c r="G356" s="357" t="str">
        <f>IF(MakeSchedule!C323="","",MakeSchedule!C323)</f>
        <v/>
      </c>
      <c r="H356" s="358"/>
      <c r="I356" s="358"/>
      <c r="J356" s="359" t="str">
        <f>IF(MakeSchedule!B323="","",MakeSchedule!B323)</f>
        <v/>
      </c>
      <c r="K356" s="63">
        <f t="shared" si="89"/>
        <v>2.7562368047923314</v>
      </c>
      <c r="L356" s="63">
        <f t="shared" si="99"/>
        <v>2.7562368047923314</v>
      </c>
      <c r="M356" s="63">
        <f t="shared" si="100"/>
        <v>12.606553308142452</v>
      </c>
      <c r="N356" s="63" t="str">
        <f t="shared" si="90"/>
        <v/>
      </c>
      <c r="O356" s="64">
        <f t="shared" si="101"/>
        <v>0.43090077031755991</v>
      </c>
      <c r="P356" s="63" t="str">
        <f t="shared" si="102"/>
        <v/>
      </c>
      <c r="Q356" s="64" t="e">
        <f t="shared" si="91"/>
        <v>#N/A</v>
      </c>
      <c r="R356" s="63">
        <f t="shared" si="92"/>
        <v>0.43090077031755991</v>
      </c>
      <c r="S356" s="65">
        <f t="shared" si="93"/>
        <v>0.35</v>
      </c>
      <c r="T356" s="65">
        <f t="shared" si="103"/>
        <v>0.9</v>
      </c>
      <c r="U356" s="64" t="e">
        <f t="shared" si="104"/>
        <v>#N/A</v>
      </c>
      <c r="V356" s="63">
        <f t="shared" si="94"/>
        <v>2.4806131243130984</v>
      </c>
      <c r="W356" s="63" t="str">
        <f t="shared" si="95"/>
        <v/>
      </c>
      <c r="X356" s="63">
        <f t="shared" si="105"/>
        <v>0</v>
      </c>
      <c r="Y356" s="55"/>
      <c r="Z356" s="55"/>
      <c r="AA356" s="55"/>
      <c r="AB356" s="55">
        <f>PMSplint!N357</f>
        <v>2.7562368047923314</v>
      </c>
      <c r="AC356" s="55">
        <f>PMSplint!N357</f>
        <v>2.7562368047923314</v>
      </c>
      <c r="AD356" s="55">
        <f>IF(RnSplint!N357&lt;0,0,RnSplint!N357)</f>
        <v>12.606553308142452</v>
      </c>
      <c r="AE356" s="55">
        <f>IF(RnSplint!N357&lt;0,0,RnSplint!N357)</f>
        <v>12.606553308142452</v>
      </c>
      <c r="AF356" s="30"/>
      <c r="AG356" s="30"/>
      <c r="AH356" s="30"/>
      <c r="AI356" s="55"/>
      <c r="AJ356" s="55"/>
      <c r="AK356" s="55"/>
      <c r="AL356" s="55"/>
      <c r="AM356" s="55"/>
      <c r="AN356" s="55">
        <f t="shared" si="106"/>
        <v>34.746646209478747</v>
      </c>
      <c r="AO356" s="55">
        <f t="shared" si="107"/>
        <v>5.894628589612644</v>
      </c>
      <c r="AP356" s="55">
        <f t="shared" si="108"/>
        <v>0.43090077031755991</v>
      </c>
      <c r="AQ356" s="55"/>
      <c r="AR356" s="55"/>
      <c r="AS356" s="55"/>
      <c r="AT356" s="55"/>
      <c r="AU356" s="30"/>
      <c r="AV356" s="30"/>
      <c r="AW356" s="2"/>
      <c r="AX356" s="2"/>
    </row>
    <row r="357" spans="1:50" x14ac:dyDescent="0.2">
      <c r="A357" s="2"/>
      <c r="B357" s="61">
        <f t="shared" si="96"/>
        <v>41948</v>
      </c>
      <c r="C357" s="62">
        <f t="shared" si="97"/>
        <v>309</v>
      </c>
      <c r="D357" s="63">
        <f t="shared" si="98"/>
        <v>2.6967545006833369</v>
      </c>
      <c r="G357" s="357" t="str">
        <f>IF(MakeSchedule!C324="","",MakeSchedule!C324)</f>
        <v/>
      </c>
      <c r="H357" s="358"/>
      <c r="I357" s="358"/>
      <c r="J357" s="359" t="str">
        <f>IF(MakeSchedule!B324="","",MakeSchedule!B324)</f>
        <v/>
      </c>
      <c r="K357" s="63">
        <f t="shared" si="89"/>
        <v>2.6967545006833369</v>
      </c>
      <c r="L357" s="63">
        <f t="shared" si="99"/>
        <v>2.6967545006833369</v>
      </c>
      <c r="M357" s="63">
        <f t="shared" si="100"/>
        <v>12.19786839227379</v>
      </c>
      <c r="N357" s="63" t="str">
        <f t="shared" si="90"/>
        <v/>
      </c>
      <c r="O357" s="64">
        <f t="shared" si="101"/>
        <v>0.44286467358728682</v>
      </c>
      <c r="P357" s="63" t="str">
        <f t="shared" si="102"/>
        <v/>
      </c>
      <c r="Q357" s="64" t="e">
        <f t="shared" si="91"/>
        <v>#N/A</v>
      </c>
      <c r="R357" s="63">
        <f t="shared" si="92"/>
        <v>0.44286467358728682</v>
      </c>
      <c r="S357" s="65">
        <f t="shared" si="93"/>
        <v>0.35</v>
      </c>
      <c r="T357" s="65">
        <f t="shared" si="103"/>
        <v>0.9</v>
      </c>
      <c r="U357" s="64" t="e">
        <f t="shared" si="104"/>
        <v>#N/A</v>
      </c>
      <c r="V357" s="63">
        <f t="shared" si="94"/>
        <v>2.4270790506150033</v>
      </c>
      <c r="W357" s="63" t="str">
        <f t="shared" si="95"/>
        <v/>
      </c>
      <c r="X357" s="63">
        <f t="shared" si="105"/>
        <v>0</v>
      </c>
      <c r="Y357" s="55"/>
      <c r="Z357" s="55"/>
      <c r="AA357" s="55"/>
      <c r="AB357" s="55">
        <f>PMSplint!N358</f>
        <v>2.6967545006833369</v>
      </c>
      <c r="AC357" s="55">
        <f>PMSplint!N358</f>
        <v>2.6967545006833369</v>
      </c>
      <c r="AD357" s="55">
        <f>IF(RnSplint!N358&lt;0,0,RnSplint!N358)</f>
        <v>12.19786839227379</v>
      </c>
      <c r="AE357" s="55">
        <f>IF(RnSplint!N358&lt;0,0,RnSplint!N358)</f>
        <v>12.19786839227379</v>
      </c>
      <c r="AF357" s="30"/>
      <c r="AG357" s="30"/>
      <c r="AH357" s="30"/>
      <c r="AI357" s="55"/>
      <c r="AJ357" s="55"/>
      <c r="AK357" s="55"/>
      <c r="AL357" s="55"/>
      <c r="AM357" s="55"/>
      <c r="AN357" s="55">
        <f t="shared" si="106"/>
        <v>32.894656485607364</v>
      </c>
      <c r="AO357" s="55">
        <f t="shared" si="107"/>
        <v>5.7353863414426902</v>
      </c>
      <c r="AP357" s="55">
        <f t="shared" si="108"/>
        <v>0.44286467358728682</v>
      </c>
      <c r="AQ357" s="55"/>
      <c r="AR357" s="55"/>
      <c r="AS357" s="55"/>
      <c r="AT357" s="55"/>
      <c r="AU357" s="30"/>
      <c r="AV357" s="30"/>
      <c r="AW357" s="2"/>
      <c r="AX357" s="2"/>
    </row>
    <row r="358" spans="1:50" x14ac:dyDescent="0.2">
      <c r="A358" s="2"/>
      <c r="B358" s="61">
        <f t="shared" si="96"/>
        <v>41949</v>
      </c>
      <c r="C358" s="62">
        <f t="shared" si="97"/>
        <v>310</v>
      </c>
      <c r="D358" s="63">
        <f t="shared" si="98"/>
        <v>2.6378795001469593</v>
      </c>
      <c r="G358" s="357" t="str">
        <f>IF(MakeSchedule!C325="","",MakeSchedule!C325)</f>
        <v/>
      </c>
      <c r="H358" s="358"/>
      <c r="I358" s="358"/>
      <c r="J358" s="359" t="str">
        <f>IF(MakeSchedule!B325="","",MakeSchedule!B325)</f>
        <v/>
      </c>
      <c r="K358" s="63">
        <f t="shared" si="89"/>
        <v>2.6378795001469593</v>
      </c>
      <c r="L358" s="63">
        <f t="shared" si="99"/>
        <v>2.6378795001469593</v>
      </c>
      <c r="M358" s="63">
        <f t="shared" si="100"/>
        <v>11.799334106577598</v>
      </c>
      <c r="N358" s="63" t="str">
        <f t="shared" si="90"/>
        <v/>
      </c>
      <c r="O358" s="64">
        <f t="shared" si="101"/>
        <v>0.4552788659988467</v>
      </c>
      <c r="P358" s="63" t="str">
        <f t="shared" si="102"/>
        <v/>
      </c>
      <c r="Q358" s="64" t="e">
        <f t="shared" si="91"/>
        <v>#N/A</v>
      </c>
      <c r="R358" s="63">
        <f t="shared" si="92"/>
        <v>0.4552788659988467</v>
      </c>
      <c r="S358" s="65">
        <f t="shared" si="93"/>
        <v>0.35</v>
      </c>
      <c r="T358" s="65">
        <f t="shared" si="103"/>
        <v>0.9</v>
      </c>
      <c r="U358" s="64" t="e">
        <f t="shared" si="104"/>
        <v>#N/A</v>
      </c>
      <c r="V358" s="63">
        <f t="shared" si="94"/>
        <v>2.3740915501322633</v>
      </c>
      <c r="W358" s="63" t="str">
        <f t="shared" si="95"/>
        <v/>
      </c>
      <c r="X358" s="63">
        <f t="shared" si="105"/>
        <v>0</v>
      </c>
      <c r="Y358" s="55"/>
      <c r="Z358" s="55"/>
      <c r="AA358" s="55"/>
      <c r="AB358" s="55">
        <f>PMSplint!N359</f>
        <v>2.6378795001469593</v>
      </c>
      <c r="AC358" s="55">
        <f>PMSplint!N359</f>
        <v>2.6378795001469593</v>
      </c>
      <c r="AD358" s="55">
        <f>IF(RnSplint!N359&lt;0,0,RnSplint!N359)</f>
        <v>11.799334106577598</v>
      </c>
      <c r="AE358" s="55">
        <f>IF(RnSplint!N359&lt;0,0,RnSplint!N359)</f>
        <v>11.799334106577598</v>
      </c>
      <c r="AF358" s="30"/>
      <c r="AG358" s="30"/>
      <c r="AH358" s="30"/>
      <c r="AI358" s="55"/>
      <c r="AJ358" s="55"/>
      <c r="AK358" s="55"/>
      <c r="AL358" s="55"/>
      <c r="AM358" s="55"/>
      <c r="AN358" s="55">
        <f t="shared" si="106"/>
        <v>31.125221555125883</v>
      </c>
      <c r="AO358" s="55">
        <f t="shared" si="107"/>
        <v>5.5789982573151864</v>
      </c>
      <c r="AP358" s="55">
        <f t="shared" si="108"/>
        <v>0.4552788659988467</v>
      </c>
      <c r="AQ358" s="55"/>
      <c r="AR358" s="55"/>
      <c r="AS358" s="55"/>
      <c r="AT358" s="55"/>
      <c r="AU358" s="30"/>
      <c r="AV358" s="30"/>
      <c r="AW358" s="2"/>
      <c r="AX358" s="2"/>
    </row>
    <row r="359" spans="1:50" x14ac:dyDescent="0.2">
      <c r="A359" s="2"/>
      <c r="B359" s="61">
        <f t="shared" si="96"/>
        <v>41950</v>
      </c>
      <c r="C359" s="62">
        <f t="shared" si="97"/>
        <v>311</v>
      </c>
      <c r="D359" s="63">
        <f t="shared" si="98"/>
        <v>2.5796856102764125</v>
      </c>
      <c r="G359" s="357" t="str">
        <f>IF(MakeSchedule!C326="","",MakeSchedule!C326)</f>
        <v/>
      </c>
      <c r="H359" s="358"/>
      <c r="I359" s="358"/>
      <c r="J359" s="359" t="str">
        <f>IF(MakeSchedule!B326="","",MakeSchedule!B326)</f>
        <v/>
      </c>
      <c r="K359" s="63">
        <f t="shared" si="89"/>
        <v>2.5796856102764125</v>
      </c>
      <c r="L359" s="63">
        <f t="shared" si="99"/>
        <v>2.5796856102764125</v>
      </c>
      <c r="M359" s="63">
        <f t="shared" si="100"/>
        <v>11.411855690428089</v>
      </c>
      <c r="N359" s="63" t="str">
        <f t="shared" si="90"/>
        <v/>
      </c>
      <c r="O359" s="64">
        <f t="shared" si="101"/>
        <v>0.46813616224786225</v>
      </c>
      <c r="P359" s="63" t="str">
        <f t="shared" si="102"/>
        <v/>
      </c>
      <c r="Q359" s="64" t="e">
        <f t="shared" si="91"/>
        <v>#N/A</v>
      </c>
      <c r="R359" s="63">
        <f t="shared" si="92"/>
        <v>0.46813616224786225</v>
      </c>
      <c r="S359" s="65">
        <f t="shared" si="93"/>
        <v>0.35</v>
      </c>
      <c r="T359" s="65">
        <f t="shared" si="103"/>
        <v>0.9</v>
      </c>
      <c r="U359" s="64" t="e">
        <f t="shared" si="104"/>
        <v>#N/A</v>
      </c>
      <c r="V359" s="63">
        <f t="shared" si="94"/>
        <v>2.3217170492487713</v>
      </c>
      <c r="W359" s="63" t="str">
        <f t="shared" si="95"/>
        <v/>
      </c>
      <c r="X359" s="63">
        <f t="shared" si="105"/>
        <v>0</v>
      </c>
      <c r="Y359" s="55"/>
      <c r="Z359" s="55"/>
      <c r="AA359" s="55"/>
      <c r="AB359" s="55">
        <f>PMSplint!N360</f>
        <v>2.5796856102764125</v>
      </c>
      <c r="AC359" s="55">
        <f>PMSplint!N360</f>
        <v>2.5796856102764125</v>
      </c>
      <c r="AD359" s="55">
        <f>IF(RnSplint!N360&lt;0,0,RnSplint!N360)</f>
        <v>11.411855690428089</v>
      </c>
      <c r="AE359" s="55">
        <f>IF(RnSplint!N360&lt;0,0,RnSplint!N360)</f>
        <v>11.411855690428089</v>
      </c>
      <c r="AF359" s="30"/>
      <c r="AG359" s="30"/>
      <c r="AH359" s="30"/>
      <c r="AI359" s="55"/>
      <c r="AJ359" s="55"/>
      <c r="AK359" s="55"/>
      <c r="AL359" s="55"/>
      <c r="AM359" s="55"/>
      <c r="AN359" s="55">
        <f t="shared" si="106"/>
        <v>29.438999911148336</v>
      </c>
      <c r="AO359" s="55">
        <f t="shared" si="107"/>
        <v>5.4257718263071419</v>
      </c>
      <c r="AP359" s="55">
        <f t="shared" si="108"/>
        <v>0.46813616224786225</v>
      </c>
      <c r="AQ359" s="55"/>
      <c r="AR359" s="55"/>
      <c r="AS359" s="55"/>
      <c r="AT359" s="55"/>
      <c r="AU359" s="30"/>
      <c r="AV359" s="30"/>
      <c r="AW359" s="2"/>
      <c r="AX359" s="2"/>
    </row>
    <row r="360" spans="1:50" x14ac:dyDescent="0.2">
      <c r="A360" s="2"/>
      <c r="B360" s="61">
        <f t="shared" si="96"/>
        <v>41951</v>
      </c>
      <c r="C360" s="62">
        <f t="shared" si="97"/>
        <v>312</v>
      </c>
      <c r="D360" s="63">
        <f t="shared" si="98"/>
        <v>2.5222466381649093</v>
      </c>
      <c r="G360" s="357" t="str">
        <f>IF(MakeSchedule!C327="","",MakeSchedule!C327)</f>
        <v/>
      </c>
      <c r="H360" s="358"/>
      <c r="I360" s="358"/>
      <c r="J360" s="359" t="str">
        <f>IF(MakeSchedule!B327="","",MakeSchedule!B327)</f>
        <v/>
      </c>
      <c r="K360" s="63">
        <f t="shared" si="89"/>
        <v>2.5222466381649093</v>
      </c>
      <c r="L360" s="63">
        <f t="shared" si="99"/>
        <v>2.5222466381649093</v>
      </c>
      <c r="M360" s="63">
        <f t="shared" si="100"/>
        <v>11.036338383199478</v>
      </c>
      <c r="N360" s="63" t="str">
        <f t="shared" si="90"/>
        <v/>
      </c>
      <c r="O360" s="64">
        <f t="shared" si="101"/>
        <v>0.48142366722796559</v>
      </c>
      <c r="P360" s="63" t="str">
        <f t="shared" si="102"/>
        <v/>
      </c>
      <c r="Q360" s="64" t="e">
        <f t="shared" si="91"/>
        <v>#N/A</v>
      </c>
      <c r="R360" s="63">
        <f t="shared" si="92"/>
        <v>0.48142366722796559</v>
      </c>
      <c r="S360" s="65">
        <f t="shared" si="93"/>
        <v>0.35</v>
      </c>
      <c r="T360" s="65">
        <f t="shared" si="103"/>
        <v>0.9</v>
      </c>
      <c r="U360" s="64" t="e">
        <f t="shared" si="104"/>
        <v>#N/A</v>
      </c>
      <c r="V360" s="63">
        <f t="shared" si="94"/>
        <v>2.2700219743484187</v>
      </c>
      <c r="W360" s="63" t="str">
        <f t="shared" si="95"/>
        <v/>
      </c>
      <c r="X360" s="63">
        <f t="shared" si="105"/>
        <v>0</v>
      </c>
      <c r="Y360" s="55"/>
      <c r="Z360" s="55"/>
      <c r="AA360" s="55"/>
      <c r="AB360" s="55">
        <f>PMSplint!N361</f>
        <v>2.5222466381649093</v>
      </c>
      <c r="AC360" s="55">
        <f>PMSplint!N361</f>
        <v>2.5222466381649093</v>
      </c>
      <c r="AD360" s="55">
        <f>IF(RnSplint!N361&lt;0,0,RnSplint!N361)</f>
        <v>11.036338383199478</v>
      </c>
      <c r="AE360" s="55">
        <f>IF(RnSplint!N361&lt;0,0,RnSplint!N361)</f>
        <v>11.036338383199478</v>
      </c>
      <c r="AF360" s="30"/>
      <c r="AG360" s="30"/>
      <c r="AH360" s="30"/>
      <c r="AI360" s="55"/>
      <c r="AJ360" s="55"/>
      <c r="AK360" s="55"/>
      <c r="AL360" s="55"/>
      <c r="AM360" s="55"/>
      <c r="AN360" s="55">
        <f t="shared" si="106"/>
        <v>27.836367384675235</v>
      </c>
      <c r="AO360" s="55">
        <f t="shared" si="107"/>
        <v>5.2760181372579869</v>
      </c>
      <c r="AP360" s="55">
        <f t="shared" si="108"/>
        <v>0.48142366722796559</v>
      </c>
      <c r="AQ360" s="55"/>
      <c r="AR360" s="55"/>
      <c r="AS360" s="55"/>
      <c r="AT360" s="55"/>
      <c r="AU360" s="30"/>
      <c r="AV360" s="30"/>
      <c r="AW360" s="2"/>
      <c r="AX360" s="2"/>
    </row>
    <row r="361" spans="1:50" x14ac:dyDescent="0.2">
      <c r="A361" s="2"/>
      <c r="B361" s="61">
        <f t="shared" si="96"/>
        <v>41952</v>
      </c>
      <c r="C361" s="62">
        <f t="shared" si="97"/>
        <v>313</v>
      </c>
      <c r="D361" s="63">
        <f t="shared" si="98"/>
        <v>2.4656363909056638</v>
      </c>
      <c r="G361" s="357" t="str">
        <f>IF(MakeSchedule!C328="","",MakeSchedule!C328)</f>
        <v/>
      </c>
      <c r="H361" s="358"/>
      <c r="I361" s="358"/>
      <c r="J361" s="359" t="str">
        <f>IF(MakeSchedule!B328="","",MakeSchedule!B328)</f>
        <v/>
      </c>
      <c r="K361" s="63">
        <f t="shared" si="89"/>
        <v>2.4656363909056638</v>
      </c>
      <c r="L361" s="63">
        <f t="shared" si="99"/>
        <v>2.4656363909056638</v>
      </c>
      <c r="M361" s="63">
        <f t="shared" si="100"/>
        <v>10.673687424265982</v>
      </c>
      <c r="N361" s="63" t="str">
        <f t="shared" si="90"/>
        <v/>
      </c>
      <c r="O361" s="64">
        <f t="shared" si="101"/>
        <v>0.49512169989724508</v>
      </c>
      <c r="P361" s="63" t="str">
        <f t="shared" si="102"/>
        <v/>
      </c>
      <c r="Q361" s="64" t="e">
        <f t="shared" si="91"/>
        <v>#N/A</v>
      </c>
      <c r="R361" s="63">
        <f t="shared" si="92"/>
        <v>0.49512169989724508</v>
      </c>
      <c r="S361" s="65">
        <f t="shared" si="93"/>
        <v>0.35</v>
      </c>
      <c r="T361" s="65">
        <f t="shared" si="103"/>
        <v>0.9</v>
      </c>
      <c r="U361" s="64" t="e">
        <f t="shared" si="104"/>
        <v>#N/A</v>
      </c>
      <c r="V361" s="63">
        <f t="shared" si="94"/>
        <v>2.2190727518150974</v>
      </c>
      <c r="W361" s="63" t="str">
        <f t="shared" si="95"/>
        <v/>
      </c>
      <c r="X361" s="63">
        <f t="shared" si="105"/>
        <v>0</v>
      </c>
      <c r="Y361" s="55"/>
      <c r="Z361" s="55"/>
      <c r="AA361" s="55"/>
      <c r="AB361" s="55">
        <f>PMSplint!N362</f>
        <v>2.4656363909056638</v>
      </c>
      <c r="AC361" s="55">
        <f>PMSplint!N362</f>
        <v>2.4656363909056638</v>
      </c>
      <c r="AD361" s="55">
        <f>IF(RnSplint!N362&lt;0,0,RnSplint!N362)</f>
        <v>10.673687424265982</v>
      </c>
      <c r="AE361" s="55">
        <f>IF(RnSplint!N362&lt;0,0,RnSplint!N362)</f>
        <v>10.673687424265982</v>
      </c>
      <c r="AF361" s="30"/>
      <c r="AG361" s="30"/>
      <c r="AH361" s="30"/>
      <c r="AI361" s="55"/>
      <c r="AJ361" s="55"/>
      <c r="AK361" s="55"/>
      <c r="AL361" s="55"/>
      <c r="AM361" s="55"/>
      <c r="AN361" s="55">
        <f t="shared" si="106"/>
        <v>26.317432138422344</v>
      </c>
      <c r="AO361" s="55">
        <f t="shared" si="107"/>
        <v>5.1300518650811266</v>
      </c>
      <c r="AP361" s="55">
        <f t="shared" si="108"/>
        <v>0.49512169989724508</v>
      </c>
      <c r="AQ361" s="55"/>
      <c r="AR361" s="55"/>
      <c r="AS361" s="55"/>
      <c r="AT361" s="55"/>
      <c r="AU361" s="30"/>
      <c r="AV361" s="30"/>
      <c r="AW361" s="2"/>
      <c r="AX361" s="2"/>
    </row>
    <row r="362" spans="1:50" x14ac:dyDescent="0.2">
      <c r="A362" s="2"/>
      <c r="B362" s="61">
        <f t="shared" si="96"/>
        <v>41953</v>
      </c>
      <c r="C362" s="62">
        <f t="shared" si="97"/>
        <v>314</v>
      </c>
      <c r="D362" s="63">
        <f t="shared" si="98"/>
        <v>2.4099286755918885</v>
      </c>
      <c r="G362" s="357" t="str">
        <f>IF(MakeSchedule!C329="","",MakeSchedule!C329)</f>
        <v/>
      </c>
      <c r="H362" s="358"/>
      <c r="I362" s="358"/>
      <c r="J362" s="359" t="str">
        <f>IF(MakeSchedule!B329="","",MakeSchedule!B329)</f>
        <v/>
      </c>
      <c r="K362" s="63">
        <f t="shared" si="89"/>
        <v>2.4099286755918885</v>
      </c>
      <c r="L362" s="63">
        <f t="shared" si="99"/>
        <v>2.4099286755918885</v>
      </c>
      <c r="M362" s="63">
        <f t="shared" si="100"/>
        <v>10.324808053001805</v>
      </c>
      <c r="N362" s="63" t="str">
        <f t="shared" si="90"/>
        <v/>
      </c>
      <c r="O362" s="64">
        <f t="shared" si="101"/>
        <v>0.50920261897971386</v>
      </c>
      <c r="P362" s="63" t="str">
        <f t="shared" si="102"/>
        <v/>
      </c>
      <c r="Q362" s="64" t="e">
        <f t="shared" si="91"/>
        <v>#N/A</v>
      </c>
      <c r="R362" s="63">
        <f t="shared" si="92"/>
        <v>0.50920261897971386</v>
      </c>
      <c r="S362" s="65">
        <f t="shared" si="93"/>
        <v>0.35</v>
      </c>
      <c r="T362" s="65">
        <f t="shared" si="103"/>
        <v>0.9</v>
      </c>
      <c r="U362" s="64" t="e">
        <f t="shared" si="104"/>
        <v>#N/A</v>
      </c>
      <c r="V362" s="63">
        <f t="shared" si="94"/>
        <v>2.1689358080326997</v>
      </c>
      <c r="W362" s="63" t="str">
        <f t="shared" si="95"/>
        <v/>
      </c>
      <c r="X362" s="63">
        <f t="shared" si="105"/>
        <v>0</v>
      </c>
      <c r="Y362" s="55"/>
      <c r="Z362" s="55"/>
      <c r="AA362" s="55"/>
      <c r="AB362" s="55">
        <f>PMSplint!N363</f>
        <v>2.4099286755918885</v>
      </c>
      <c r="AC362" s="55">
        <f>PMSplint!N363</f>
        <v>2.4099286755918885</v>
      </c>
      <c r="AD362" s="55">
        <f>IF(RnSplint!N363&lt;0,0,RnSplint!N363)</f>
        <v>10.324808053001805</v>
      </c>
      <c r="AE362" s="55">
        <f>IF(RnSplint!N363&lt;0,0,RnSplint!N363)</f>
        <v>10.324808053001805</v>
      </c>
      <c r="AF362" s="30"/>
      <c r="AG362" s="30"/>
      <c r="AH362" s="30"/>
      <c r="AI362" s="55"/>
      <c r="AJ362" s="55"/>
      <c r="AK362" s="55"/>
      <c r="AL362" s="55"/>
      <c r="AM362" s="55"/>
      <c r="AN362" s="55">
        <f t="shared" si="106"/>
        <v>24.882050996911104</v>
      </c>
      <c r="AO362" s="55">
        <f t="shared" si="107"/>
        <v>4.9881911548086348</v>
      </c>
      <c r="AP362" s="55">
        <f t="shared" si="108"/>
        <v>0.50920261897971386</v>
      </c>
      <c r="AQ362" s="55"/>
      <c r="AR362" s="55"/>
      <c r="AS362" s="55"/>
      <c r="AT362" s="55"/>
      <c r="AU362" s="30"/>
      <c r="AV362" s="30"/>
      <c r="AW362" s="2"/>
      <c r="AX362" s="2"/>
    </row>
    <row r="363" spans="1:50" x14ac:dyDescent="0.2">
      <c r="A363" s="2"/>
      <c r="B363" s="61">
        <f t="shared" si="96"/>
        <v>41954</v>
      </c>
      <c r="C363" s="62">
        <f t="shared" si="97"/>
        <v>315</v>
      </c>
      <c r="D363" s="63">
        <f t="shared" si="98"/>
        <v>2.3551972993167967</v>
      </c>
      <c r="G363" s="357" t="str">
        <f>IF(MakeSchedule!C330="","",MakeSchedule!C330)</f>
        <v/>
      </c>
      <c r="H363" s="358"/>
      <c r="I363" s="358"/>
      <c r="J363" s="359" t="str">
        <f>IF(MakeSchedule!B330="","",MakeSchedule!B330)</f>
        <v/>
      </c>
      <c r="K363" s="63">
        <f t="shared" si="89"/>
        <v>2.3551972993167967</v>
      </c>
      <c r="L363" s="63">
        <f t="shared" si="99"/>
        <v>2.3551972993167967</v>
      </c>
      <c r="M363" s="63">
        <f t="shared" si="100"/>
        <v>9.9906055087811723</v>
      </c>
      <c r="N363" s="63" t="str">
        <f t="shared" si="90"/>
        <v/>
      </c>
      <c r="O363" s="64">
        <f t="shared" si="101"/>
        <v>0.52362957030148849</v>
      </c>
      <c r="P363" s="63" t="str">
        <f t="shared" si="102"/>
        <v/>
      </c>
      <c r="Q363" s="64" t="e">
        <f t="shared" si="91"/>
        <v>#N/A</v>
      </c>
      <c r="R363" s="63">
        <f t="shared" si="92"/>
        <v>0.52362957030148849</v>
      </c>
      <c r="S363" s="65">
        <f t="shared" si="93"/>
        <v>0.35</v>
      </c>
      <c r="T363" s="65">
        <f t="shared" si="103"/>
        <v>0.9</v>
      </c>
      <c r="U363" s="64" t="e">
        <f t="shared" si="104"/>
        <v>#N/A</v>
      </c>
      <c r="V363" s="63">
        <f t="shared" si="94"/>
        <v>2.1196775693851171</v>
      </c>
      <c r="W363" s="63" t="str">
        <f t="shared" si="95"/>
        <v/>
      </c>
      <c r="X363" s="63">
        <f t="shared" si="105"/>
        <v>0</v>
      </c>
      <c r="Y363" s="55"/>
      <c r="Z363" s="55"/>
      <c r="AA363" s="55"/>
      <c r="AB363" s="55">
        <f>PMSplint!N364</f>
        <v>2.3551972993167967</v>
      </c>
      <c r="AC363" s="55">
        <f>PMSplint!N364</f>
        <v>2.3551972993167967</v>
      </c>
      <c r="AD363" s="55">
        <f>IF(RnSplint!N364&lt;0,0,RnSplint!N364)</f>
        <v>9.9906055087811723</v>
      </c>
      <c r="AE363" s="55">
        <f>IF(RnSplint!N364&lt;0,0,RnSplint!N364)</f>
        <v>9.9906055087811723</v>
      </c>
      <c r="AF363" s="30"/>
      <c r="AG363" s="30"/>
      <c r="AH363" s="30"/>
      <c r="AI363" s="55"/>
      <c r="AJ363" s="55"/>
      <c r="AK363" s="55"/>
      <c r="AL363" s="55"/>
      <c r="AM363" s="55"/>
      <c r="AN363" s="55">
        <f t="shared" si="106"/>
        <v>23.529847112820928</v>
      </c>
      <c r="AO363" s="55">
        <f t="shared" si="107"/>
        <v>4.8507573751756468</v>
      </c>
      <c r="AP363" s="55">
        <f t="shared" si="108"/>
        <v>0.52362957030148849</v>
      </c>
      <c r="AQ363" s="55"/>
      <c r="AR363" s="55"/>
      <c r="AS363" s="55"/>
      <c r="AT363" s="55"/>
      <c r="AU363" s="30"/>
      <c r="AV363" s="30"/>
      <c r="AW363" s="2"/>
      <c r="AX363" s="2"/>
    </row>
    <row r="364" spans="1:50" x14ac:dyDescent="0.2">
      <c r="A364" s="2"/>
      <c r="B364" s="61">
        <f t="shared" si="96"/>
        <v>41955</v>
      </c>
      <c r="C364" s="62">
        <f t="shared" si="97"/>
        <v>316</v>
      </c>
      <c r="D364" s="63">
        <f t="shared" si="98"/>
        <v>2.3015160691736014</v>
      </c>
      <c r="G364" s="357" t="str">
        <f>IF(MakeSchedule!C331="","",MakeSchedule!C331)</f>
        <v/>
      </c>
      <c r="H364" s="358"/>
      <c r="I364" s="358"/>
      <c r="J364" s="359" t="str">
        <f>IF(MakeSchedule!B331="","",MakeSchedule!B331)</f>
        <v/>
      </c>
      <c r="K364" s="63">
        <f t="shared" si="89"/>
        <v>2.3015160691736014</v>
      </c>
      <c r="L364" s="63">
        <f t="shared" si="99"/>
        <v>2.3015160691736014</v>
      </c>
      <c r="M364" s="63">
        <f t="shared" si="100"/>
        <v>9.6719850309782878</v>
      </c>
      <c r="N364" s="63" t="str">
        <f t="shared" si="90"/>
        <v/>
      </c>
      <c r="O364" s="64">
        <f t="shared" si="101"/>
        <v>0.53835518852427655</v>
      </c>
      <c r="P364" s="63" t="str">
        <f t="shared" si="102"/>
        <v/>
      </c>
      <c r="Q364" s="64" t="e">
        <f t="shared" si="91"/>
        <v>#N/A</v>
      </c>
      <c r="R364" s="63">
        <f t="shared" si="92"/>
        <v>0.53835518852427655</v>
      </c>
      <c r="S364" s="65">
        <f t="shared" si="93"/>
        <v>0.35</v>
      </c>
      <c r="T364" s="65">
        <f t="shared" si="103"/>
        <v>0.9</v>
      </c>
      <c r="U364" s="64" t="e">
        <f t="shared" si="104"/>
        <v>#N/A</v>
      </c>
      <c r="V364" s="63">
        <f t="shared" si="94"/>
        <v>2.0713644622562413</v>
      </c>
      <c r="W364" s="63" t="str">
        <f t="shared" si="95"/>
        <v/>
      </c>
      <c r="X364" s="63">
        <f t="shared" si="105"/>
        <v>0</v>
      </c>
      <c r="Y364" s="55"/>
      <c r="Z364" s="55"/>
      <c r="AA364" s="55"/>
      <c r="AB364" s="55">
        <f>PMSplint!N365</f>
        <v>2.3015160691736014</v>
      </c>
      <c r="AC364" s="55">
        <f>PMSplint!N365</f>
        <v>2.3015160691736014</v>
      </c>
      <c r="AD364" s="55">
        <f>IF(RnSplint!N365&lt;0,0,RnSplint!N365)</f>
        <v>9.6719850309782878</v>
      </c>
      <c r="AE364" s="55">
        <f>IF(RnSplint!N365&lt;0,0,RnSplint!N365)</f>
        <v>9.6719850309782878</v>
      </c>
      <c r="AF364" s="30"/>
      <c r="AG364" s="30"/>
      <c r="AH364" s="30"/>
      <c r="AI364" s="55"/>
      <c r="AJ364" s="55"/>
      <c r="AK364" s="55"/>
      <c r="AL364" s="55"/>
      <c r="AM364" s="55"/>
      <c r="AN364" s="55">
        <f t="shared" si="106"/>
        <v>22.260228969603062</v>
      </c>
      <c r="AO364" s="55">
        <f t="shared" si="107"/>
        <v>4.7180747100489056</v>
      </c>
      <c r="AP364" s="55">
        <f t="shared" si="108"/>
        <v>0.53835518852427655</v>
      </c>
      <c r="AQ364" s="55"/>
      <c r="AR364" s="55"/>
      <c r="AS364" s="55"/>
      <c r="AT364" s="55"/>
      <c r="AU364" s="30"/>
      <c r="AV364" s="30"/>
      <c r="AW364" s="2"/>
      <c r="AX364" s="2"/>
    </row>
    <row r="365" spans="1:50" x14ac:dyDescent="0.2">
      <c r="A365" s="2"/>
      <c r="B365" s="61">
        <f t="shared" si="96"/>
        <v>41956</v>
      </c>
      <c r="C365" s="62">
        <f t="shared" si="97"/>
        <v>317</v>
      </c>
      <c r="D365" s="63">
        <f t="shared" si="98"/>
        <v>2.2489587922555168</v>
      </c>
      <c r="G365" s="357" t="str">
        <f>IF(MakeSchedule!C332="","",MakeSchedule!C332)</f>
        <v/>
      </c>
      <c r="H365" s="358"/>
      <c r="I365" s="358"/>
      <c r="J365" s="359" t="str">
        <f>IF(MakeSchedule!B332="","",MakeSchedule!B332)</f>
        <v/>
      </c>
      <c r="K365" s="63">
        <f t="shared" si="89"/>
        <v>2.2489587922555168</v>
      </c>
      <c r="L365" s="63">
        <f t="shared" si="99"/>
        <v>2.2489587922555168</v>
      </c>
      <c r="M365" s="63">
        <f t="shared" si="100"/>
        <v>9.3698518589673743</v>
      </c>
      <c r="N365" s="63" t="str">
        <f t="shared" si="90"/>
        <v/>
      </c>
      <c r="O365" s="64">
        <f t="shared" si="101"/>
        <v>0.55332030208956784</v>
      </c>
      <c r="P365" s="63" t="str">
        <f t="shared" si="102"/>
        <v/>
      </c>
      <c r="Q365" s="64" t="e">
        <f t="shared" si="91"/>
        <v>#N/A</v>
      </c>
      <c r="R365" s="63">
        <f t="shared" si="92"/>
        <v>0.55332030208956784</v>
      </c>
      <c r="S365" s="65">
        <f t="shared" si="93"/>
        <v>0.35</v>
      </c>
      <c r="T365" s="65">
        <f t="shared" si="103"/>
        <v>0.90332030208956782</v>
      </c>
      <c r="U365" s="64" t="e">
        <f t="shared" si="104"/>
        <v>#N/A</v>
      </c>
      <c r="V365" s="63">
        <f t="shared" si="94"/>
        <v>2.0315301356072428</v>
      </c>
      <c r="W365" s="63" t="str">
        <f t="shared" si="95"/>
        <v/>
      </c>
      <c r="X365" s="63">
        <f t="shared" si="105"/>
        <v>0</v>
      </c>
      <c r="Y365" s="55"/>
      <c r="Z365" s="55"/>
      <c r="AA365" s="55"/>
      <c r="AB365" s="55">
        <f>PMSplint!N366</f>
        <v>2.2489587922555168</v>
      </c>
      <c r="AC365" s="55">
        <f>PMSplint!N366</f>
        <v>2.2489587922555168</v>
      </c>
      <c r="AD365" s="55">
        <f>IF(RnSplint!N366&lt;0,0,RnSplint!N366)</f>
        <v>9.3698518589673743</v>
      </c>
      <c r="AE365" s="55">
        <f>IF(RnSplint!N366&lt;0,0,RnSplint!N366)</f>
        <v>9.3698518589673743</v>
      </c>
      <c r="AF365" s="30"/>
      <c r="AG365" s="30"/>
      <c r="AH365" s="30"/>
      <c r="AI365" s="55"/>
      <c r="AJ365" s="55"/>
      <c r="AK365" s="55"/>
      <c r="AL365" s="55"/>
      <c r="AM365" s="55"/>
      <c r="AN365" s="55">
        <f t="shared" si="106"/>
        <v>21.072410720356373</v>
      </c>
      <c r="AO365" s="55">
        <f t="shared" si="107"/>
        <v>4.5904695533634001</v>
      </c>
      <c r="AP365" s="55">
        <f t="shared" si="108"/>
        <v>0.55332030208956784</v>
      </c>
      <c r="AQ365" s="55"/>
      <c r="AR365" s="55"/>
      <c r="AS365" s="55"/>
      <c r="AT365" s="55"/>
      <c r="AU365" s="30"/>
      <c r="AV365" s="30"/>
      <c r="AW365" s="2"/>
      <c r="AX365" s="2"/>
    </row>
    <row r="366" spans="1:50" x14ac:dyDescent="0.2">
      <c r="A366" s="2"/>
      <c r="B366" s="61">
        <f t="shared" si="96"/>
        <v>41957</v>
      </c>
      <c r="C366" s="62">
        <f t="shared" si="97"/>
        <v>318</v>
      </c>
      <c r="D366" s="63">
        <f t="shared" si="98"/>
        <v>2.1975992756557559</v>
      </c>
      <c r="G366" s="357" t="str">
        <f>IF(MakeSchedule!C333="","",MakeSchedule!C333)</f>
        <v/>
      </c>
      <c r="H366" s="358"/>
      <c r="I366" s="358"/>
      <c r="J366" s="359" t="str">
        <f>IF(MakeSchedule!B333="","",MakeSchedule!B333)</f>
        <v/>
      </c>
      <c r="K366" s="63">
        <f t="shared" si="89"/>
        <v>2.1975992756557559</v>
      </c>
      <c r="L366" s="63">
        <f t="shared" si="99"/>
        <v>2.1975992756557559</v>
      </c>
      <c r="M366" s="63">
        <f t="shared" si="100"/>
        <v>9.0851112321226406</v>
      </c>
      <c r="N366" s="63" t="str">
        <f t="shared" si="90"/>
        <v/>
      </c>
      <c r="O366" s="64">
        <f t="shared" si="101"/>
        <v>0.56845270907375678</v>
      </c>
      <c r="P366" s="63" t="str">
        <f t="shared" si="102"/>
        <v/>
      </c>
      <c r="Q366" s="64" t="e">
        <f t="shared" si="91"/>
        <v>#N/A</v>
      </c>
      <c r="R366" s="63">
        <f t="shared" si="92"/>
        <v>0.56845270907375678</v>
      </c>
      <c r="S366" s="65">
        <f t="shared" si="93"/>
        <v>0.35</v>
      </c>
      <c r="T366" s="65">
        <f t="shared" si="103"/>
        <v>0.91845270907375676</v>
      </c>
      <c r="U366" s="64" t="e">
        <f t="shared" si="104"/>
        <v>#N/A</v>
      </c>
      <c r="V366" s="63">
        <f t="shared" si="94"/>
        <v>2.0183910081845546</v>
      </c>
      <c r="W366" s="63" t="str">
        <f t="shared" si="95"/>
        <v/>
      </c>
      <c r="X366" s="63">
        <f t="shared" si="105"/>
        <v>0</v>
      </c>
      <c r="Y366" s="55"/>
      <c r="Z366" s="55"/>
      <c r="AA366" s="55"/>
      <c r="AB366" s="55">
        <f>PMSplint!N367</f>
        <v>2.1975992756557559</v>
      </c>
      <c r="AC366" s="55">
        <f>PMSplint!N367</f>
        <v>2.1975992756557559</v>
      </c>
      <c r="AD366" s="55">
        <f>IF(RnSplint!N367&lt;0,0,RnSplint!N367)</f>
        <v>9.0851112321226406</v>
      </c>
      <c r="AE366" s="55">
        <f>IF(RnSplint!N367&lt;0,0,RnSplint!N367)</f>
        <v>9.0851112321226406</v>
      </c>
      <c r="AF366" s="30"/>
      <c r="AG366" s="30"/>
      <c r="AH366" s="30"/>
      <c r="AI366" s="55"/>
      <c r="AJ366" s="55"/>
      <c r="AK366" s="55"/>
      <c r="AL366" s="55"/>
      <c r="AM366" s="55"/>
      <c r="AN366" s="55">
        <f t="shared" si="106"/>
        <v>19.965433862964687</v>
      </c>
      <c r="AO366" s="55">
        <f t="shared" si="107"/>
        <v>4.4682696721398418</v>
      </c>
      <c r="AP366" s="55">
        <f t="shared" si="108"/>
        <v>0.56845270907375678</v>
      </c>
      <c r="AQ366" s="55"/>
      <c r="AR366" s="55"/>
      <c r="AS366" s="55"/>
      <c r="AT366" s="55"/>
      <c r="AU366" s="30"/>
      <c r="AV366" s="30"/>
      <c r="AW366" s="2"/>
      <c r="AX366" s="2"/>
    </row>
    <row r="367" spans="1:50" x14ac:dyDescent="0.2">
      <c r="A367" s="2"/>
      <c r="B367" s="61">
        <f t="shared" si="96"/>
        <v>41958</v>
      </c>
      <c r="C367" s="62">
        <f t="shared" si="97"/>
        <v>319</v>
      </c>
      <c r="D367" s="63">
        <f t="shared" si="98"/>
        <v>2.1475113264675314</v>
      </c>
      <c r="G367" s="357" t="str">
        <f>IF(MakeSchedule!C334="","",MakeSchedule!C334)</f>
        <v/>
      </c>
      <c r="H367" s="358"/>
      <c r="I367" s="358"/>
      <c r="J367" s="359" t="str">
        <f>IF(MakeSchedule!B334="","",MakeSchedule!B334)</f>
        <v/>
      </c>
      <c r="K367" s="63">
        <f t="shared" si="89"/>
        <v>2.1475113264675314</v>
      </c>
      <c r="L367" s="63">
        <f t="shared" si="99"/>
        <v>2.1475113264675314</v>
      </c>
      <c r="M367" s="63">
        <f t="shared" si="100"/>
        <v>8.8186683898182991</v>
      </c>
      <c r="N367" s="63" t="str">
        <f t="shared" si="90"/>
        <v/>
      </c>
      <c r="O367" s="64">
        <f t="shared" si="101"/>
        <v>0.58366611255143996</v>
      </c>
      <c r="P367" s="63" t="str">
        <f t="shared" si="102"/>
        <v/>
      </c>
      <c r="Q367" s="64" t="e">
        <f t="shared" si="91"/>
        <v>#N/A</v>
      </c>
      <c r="R367" s="63">
        <f t="shared" si="92"/>
        <v>0.58366611255143996</v>
      </c>
      <c r="S367" s="65">
        <f t="shared" si="93"/>
        <v>0.35</v>
      </c>
      <c r="T367" s="65">
        <f t="shared" si="103"/>
        <v>0.93366611255143994</v>
      </c>
      <c r="U367" s="64" t="e">
        <f t="shared" si="104"/>
        <v>#N/A</v>
      </c>
      <c r="V367" s="63">
        <f t="shared" si="94"/>
        <v>2.0050585518431263</v>
      </c>
      <c r="W367" s="63" t="str">
        <f t="shared" si="95"/>
        <v/>
      </c>
      <c r="X367" s="63">
        <f t="shared" si="105"/>
        <v>0</v>
      </c>
      <c r="Y367" s="55"/>
      <c r="Z367" s="55"/>
      <c r="AA367" s="55"/>
      <c r="AB367" s="55">
        <f>PMSplint!N368</f>
        <v>2.1475113264675314</v>
      </c>
      <c r="AC367" s="55">
        <f>PMSplint!N368</f>
        <v>2.1475113264675314</v>
      </c>
      <c r="AD367" s="55">
        <f>IF(RnSplint!N368&lt;0,0,RnSplint!N368)</f>
        <v>8.8186683898182991</v>
      </c>
      <c r="AE367" s="55">
        <f>IF(RnSplint!N368&lt;0,0,RnSplint!N368)</f>
        <v>8.8186683898182991</v>
      </c>
      <c r="AF367" s="30"/>
      <c r="AG367" s="30"/>
      <c r="AH367" s="30"/>
      <c r="AI367" s="55"/>
      <c r="AJ367" s="55"/>
      <c r="AK367" s="55"/>
      <c r="AL367" s="55"/>
      <c r="AM367" s="55"/>
      <c r="AN367" s="55">
        <f t="shared" si="106"/>
        <v>18.938190251495985</v>
      </c>
      <c r="AO367" s="55">
        <f t="shared" si="107"/>
        <v>4.3518031034843458</v>
      </c>
      <c r="AP367" s="55">
        <f t="shared" si="108"/>
        <v>0.58366611255143996</v>
      </c>
      <c r="AQ367" s="55"/>
      <c r="AR367" s="55"/>
      <c r="AS367" s="55"/>
      <c r="AT367" s="55"/>
      <c r="AU367" s="30"/>
      <c r="AV367" s="30"/>
      <c r="AW367" s="2"/>
      <c r="AX367" s="2"/>
    </row>
    <row r="368" spans="1:50" x14ac:dyDescent="0.2">
      <c r="A368" s="2"/>
      <c r="B368" s="61">
        <f t="shared" si="96"/>
        <v>41959</v>
      </c>
      <c r="C368" s="62">
        <f t="shared" si="97"/>
        <v>320</v>
      </c>
      <c r="D368" s="63">
        <f t="shared" si="98"/>
        <v>2.0987687517840574</v>
      </c>
      <c r="G368" s="357" t="str">
        <f>IF(MakeSchedule!C335="","",MakeSchedule!C335)</f>
        <v/>
      </c>
      <c r="H368" s="358"/>
      <c r="I368" s="358"/>
      <c r="J368" s="359" t="str">
        <f>IF(MakeSchedule!B335="","",MakeSchedule!B335)</f>
        <v/>
      </c>
      <c r="K368" s="63">
        <f t="shared" si="89"/>
        <v>2.0987687517840574</v>
      </c>
      <c r="L368" s="63">
        <f t="shared" si="99"/>
        <v>2.0987687517840574</v>
      </c>
      <c r="M368" s="63">
        <f t="shared" si="100"/>
        <v>8.5714285714285712</v>
      </c>
      <c r="N368" s="63" t="str">
        <f t="shared" si="90"/>
        <v/>
      </c>
      <c r="O368" s="64">
        <f t="shared" si="101"/>
        <v>0.59885932535353958</v>
      </c>
      <c r="P368" s="63" t="str">
        <f t="shared" si="102"/>
        <v/>
      </c>
      <c r="Q368" s="64" t="e">
        <f t="shared" si="91"/>
        <v>#N/A</v>
      </c>
      <c r="R368" s="63">
        <f t="shared" si="92"/>
        <v>0.59885932535353958</v>
      </c>
      <c r="S368" s="65">
        <f t="shared" si="93"/>
        <v>0.35</v>
      </c>
      <c r="T368" s="65">
        <f t="shared" si="103"/>
        <v>0.94885932535353956</v>
      </c>
      <c r="U368" s="64" t="e">
        <f t="shared" si="104"/>
        <v>#N/A</v>
      </c>
      <c r="V368" s="63">
        <f t="shared" si="94"/>
        <v>1.9914363018909111</v>
      </c>
      <c r="W368" s="63" t="str">
        <f t="shared" si="95"/>
        <v/>
      </c>
      <c r="X368" s="63">
        <f t="shared" si="105"/>
        <v>0</v>
      </c>
      <c r="Y368" s="55"/>
      <c r="Z368" s="55"/>
      <c r="AA368" s="55"/>
      <c r="AB368" s="55">
        <f>PMSplint!N369</f>
        <v>2.0987687517840574</v>
      </c>
      <c r="AC368" s="55">
        <f>PMSplint!N369</f>
        <v>2.0987687517840574</v>
      </c>
      <c r="AD368" s="55">
        <f>IF(RnSplint!N369&lt;0,0,RnSplint!N369)</f>
        <v>8.5714285714285712</v>
      </c>
      <c r="AE368" s="55">
        <f>IF(RnSplint!N369&lt;0,0,RnSplint!N369)</f>
        <v>8.5714285714285712</v>
      </c>
      <c r="AF368" s="30"/>
      <c r="AG368" s="30"/>
      <c r="AH368" s="30"/>
      <c r="AI368" s="55"/>
      <c r="AJ368" s="55"/>
      <c r="AK368" s="55"/>
      <c r="AL368" s="55"/>
      <c r="AM368" s="55"/>
      <c r="AN368" s="55">
        <f t="shared" si="106"/>
        <v>17.989446443863347</v>
      </c>
      <c r="AO368" s="55">
        <f t="shared" si="107"/>
        <v>4.2413967562423753</v>
      </c>
      <c r="AP368" s="55">
        <f t="shared" si="108"/>
        <v>0.59885932535353958</v>
      </c>
      <c r="AQ368" s="55"/>
      <c r="AR368" s="55"/>
      <c r="AS368" s="55"/>
      <c r="AT368" s="55"/>
      <c r="AU368" s="30"/>
      <c r="AV368" s="30"/>
      <c r="AW368" s="2"/>
      <c r="AX368" s="2"/>
    </row>
    <row r="369" spans="1:50" x14ac:dyDescent="0.2">
      <c r="A369" s="2"/>
      <c r="B369" s="61">
        <f t="shared" si="96"/>
        <v>41960</v>
      </c>
      <c r="C369" s="62">
        <f t="shared" si="97"/>
        <v>321</v>
      </c>
      <c r="D369" s="63">
        <f t="shared" si="98"/>
        <v>2.0514281174789235</v>
      </c>
      <c r="G369" s="357" t="str">
        <f>IF(MakeSchedule!C336="","",MakeSchedule!C336)</f>
        <v/>
      </c>
      <c r="H369" s="358"/>
      <c r="I369" s="358"/>
      <c r="J369" s="359" t="str">
        <f>IF(MakeSchedule!B336="","",MakeSchedule!B336)</f>
        <v/>
      </c>
      <c r="K369" s="63">
        <f t="shared" ref="K369:K432" si="109">IF(G369&lt;&gt;"",G369,IF(D369="","",D369))</f>
        <v>2.0514281174789235</v>
      </c>
      <c r="L369" s="63">
        <f t="shared" si="99"/>
        <v>2.0514281174789235</v>
      </c>
      <c r="M369" s="63">
        <f t="shared" si="100"/>
        <v>8.3439934296915528</v>
      </c>
      <c r="N369" s="63" t="str">
        <f t="shared" ref="N369:N432" si="110">IF(C369=$E$7,O369,"")</f>
        <v/>
      </c>
      <c r="O369" s="64">
        <f t="shared" si="101"/>
        <v>0.61392962126962181</v>
      </c>
      <c r="P369" s="63" t="str">
        <f t="shared" si="102"/>
        <v/>
      </c>
      <c r="Q369" s="64" t="e">
        <f t="shared" ref="Q369:Q432" si="111">IF(AND(C$49:C$625&lt;F$7,$U$44&gt;2),#N/A,IF(P369="",#N/A,P369))</f>
        <v>#N/A</v>
      </c>
      <c r="R369" s="63">
        <f t="shared" ref="R369:R432" si="112">IF(OR(P369="",O369&gt;P369),O369,P369)</f>
        <v>0.61392962126962181</v>
      </c>
      <c r="S369" s="65">
        <f t="shared" ref="S369:S432" si="113">IF(OR(AND(C$49:C$625&gt;=U$6,C$49:C$625&lt;=U$7),AND(C$49:C$625&gt;=U$9,C$49:C$625&lt;=U$10)),0.35,0)</f>
        <v>0.35</v>
      </c>
      <c r="T369" s="65">
        <f t="shared" si="103"/>
        <v>0.96392962126962178</v>
      </c>
      <c r="U369" s="64" t="e">
        <f t="shared" si="104"/>
        <v>#N/A</v>
      </c>
      <c r="V369" s="63">
        <f t="shared" ref="V369:V432" si="114">IF(L369="","",L369*T369)</f>
        <v>1.977432328343312</v>
      </c>
      <c r="W369" s="63" t="str">
        <f t="shared" ref="W369:W432" si="115">IF(AND(B$49:B$625&gt;=E$6,B$49:B$625&lt;=E$7),L369,"")</f>
        <v/>
      </c>
      <c r="X369" s="63">
        <f t="shared" si="105"/>
        <v>0</v>
      </c>
      <c r="Y369" s="55"/>
      <c r="Z369" s="55"/>
      <c r="AA369" s="55"/>
      <c r="AB369" s="55">
        <f>PMSplint!N370</f>
        <v>2.0514281174789235</v>
      </c>
      <c r="AC369" s="55">
        <f>PMSplint!N370</f>
        <v>2.0514281174789235</v>
      </c>
      <c r="AD369" s="55">
        <f>IF(RnSplint!N370&lt;0,0,RnSplint!N370)</f>
        <v>8.3439934296915528</v>
      </c>
      <c r="AE369" s="55">
        <f>IF(RnSplint!N370&lt;0,0,RnSplint!N370)</f>
        <v>8.3439934296915528</v>
      </c>
      <c r="AF369" s="30"/>
      <c r="AG369" s="30"/>
      <c r="AH369" s="30"/>
      <c r="AI369" s="55"/>
      <c r="AJ369" s="55"/>
      <c r="AK369" s="55"/>
      <c r="AL369" s="55"/>
      <c r="AM369" s="55"/>
      <c r="AN369" s="55">
        <f t="shared" si="106"/>
        <v>17.11710273372865</v>
      </c>
      <c r="AO369" s="55">
        <f t="shared" si="107"/>
        <v>4.1372820466737155</v>
      </c>
      <c r="AP369" s="55">
        <f t="shared" si="108"/>
        <v>0.61392962126962181</v>
      </c>
      <c r="AQ369" s="55"/>
      <c r="AR369" s="55"/>
      <c r="AS369" s="55"/>
      <c r="AT369" s="55"/>
      <c r="AU369" s="30"/>
      <c r="AV369" s="30"/>
      <c r="AW369" s="2"/>
      <c r="AX369" s="2"/>
    </row>
    <row r="370" spans="1:50" x14ac:dyDescent="0.2">
      <c r="A370" s="2"/>
      <c r="B370" s="61">
        <f t="shared" ref="B370:B413" si="116">B369+1</f>
        <v>41961</v>
      </c>
      <c r="C370" s="62">
        <f t="shared" ref="C370:C433" si="117">IF(B369=DATE(D$4,12,31),1,C369+1)</f>
        <v>322</v>
      </c>
      <c r="D370" s="63">
        <f t="shared" ref="D370:D433" si="118">IF($B$46=0,IF(ISERROR($AB370),"",$AB370),IF(ISERROR($AC370),"",$AC370))</f>
        <v>2.0054770245472269</v>
      </c>
      <c r="G370" s="357" t="str">
        <f>IF(MakeSchedule!C337="","",MakeSchedule!C337)</f>
        <v/>
      </c>
      <c r="H370" s="358"/>
      <c r="I370" s="358"/>
      <c r="J370" s="359" t="str">
        <f>IF(MakeSchedule!B337="","",MakeSchedule!B337)</f>
        <v/>
      </c>
      <c r="K370" s="63">
        <f t="shared" si="109"/>
        <v>2.0054770245472269</v>
      </c>
      <c r="L370" s="63">
        <f t="shared" ref="L370:L433" si="119">IF($G370&lt;&gt;"",$G370,IF($D370="","",$D370))</f>
        <v>2.0054770245472269</v>
      </c>
      <c r="M370" s="63">
        <f t="shared" ref="M370:M433" si="120">IF(F$3=365,AD370,AE370)</f>
        <v>8.1357502708008855</v>
      </c>
      <c r="N370" s="63" t="str">
        <f t="shared" si="110"/>
        <v/>
      </c>
      <c r="O370" s="64">
        <f t="shared" ref="O370:O433" si="121">AP370</f>
        <v>0.62881959494746198</v>
      </c>
      <c r="P370" s="63" t="str">
        <f t="shared" ref="P370:P433" si="122">IF(B$49:B$625&lt;E$6,"",IF(AND(B$49:B$625&lt;=E$7,B$49:B$625&gt;=E$6),G$7,IF(AND(B$49:B$625&lt;=E$8,B$49:B$625&gt;E$7),P369+H$8,IF(AND(B$49:B$625&lt;=E$9,B$49:B$625&gt;E$8),P369+H$9,IF(AND(B$49:B$625&lt;=E$10,B$49:B$625&gt;E$9),P369+H$10,"")))))</f>
        <v/>
      </c>
      <c r="Q370" s="64" t="e">
        <f t="shared" si="111"/>
        <v>#N/A</v>
      </c>
      <c r="R370" s="63">
        <f t="shared" si="112"/>
        <v>0.62881959494746198</v>
      </c>
      <c r="S370" s="65">
        <f t="shared" si="113"/>
        <v>0.35</v>
      </c>
      <c r="T370" s="65">
        <f t="shared" ref="T370:T433" si="123">IF($J$5&lt;3,R370,IF(R370+S370&gt;1.2,1.2,IF(AND(R370+S370&lt;0.9,S370=0.35),0.9,R370+S370)))</f>
        <v>0.97881959494746196</v>
      </c>
      <c r="U370" s="64" t="e">
        <f t="shared" ref="U370:U433" si="124">IF(P370="",#N/A,IF($J$5&lt;3,R370,IF(R370+S370&gt;1.2,1.2,IF(AND(R370+S370&lt;0.9,S370=0.35),0.9,R370+S370))))</f>
        <v>#N/A</v>
      </c>
      <c r="V370" s="63">
        <f t="shared" si="114"/>
        <v>1.9630002088437579</v>
      </c>
      <c r="W370" s="63" t="str">
        <f t="shared" si="115"/>
        <v/>
      </c>
      <c r="X370" s="63">
        <f t="shared" ref="X370:X433" si="125">IF(B370=$E$6,V370,IF(OR(B370&lt;$E$6,B370&gt;$E$10),0,X369+V370))</f>
        <v>0</v>
      </c>
      <c r="Y370" s="55"/>
      <c r="Z370" s="55"/>
      <c r="AA370" s="55"/>
      <c r="AB370" s="55">
        <f>PMSplint!N371</f>
        <v>2.0054770245472269</v>
      </c>
      <c r="AC370" s="55">
        <f>PMSplint!N371</f>
        <v>2.0054770245472269</v>
      </c>
      <c r="AD370" s="55">
        <f>IF(RnSplint!N371&lt;0,0,RnSplint!N371)</f>
        <v>8.1357502708008855</v>
      </c>
      <c r="AE370" s="55">
        <f>IF(RnSplint!N371&lt;0,0,RnSplint!N371)</f>
        <v>8.1357502708008855</v>
      </c>
      <c r="AF370" s="30"/>
      <c r="AG370" s="30"/>
      <c r="AH370" s="30"/>
      <c r="AI370" s="55"/>
      <c r="AJ370" s="55"/>
      <c r="AK370" s="55"/>
      <c r="AL370" s="55"/>
      <c r="AM370" s="55"/>
      <c r="AN370" s="55">
        <f t="shared" si="106"/>
        <v>16.316060245545057</v>
      </c>
      <c r="AO370" s="55">
        <f t="shared" si="107"/>
        <v>4.0393143286385937</v>
      </c>
      <c r="AP370" s="55">
        <f t="shared" si="108"/>
        <v>0.62881959494746198</v>
      </c>
      <c r="AQ370" s="55"/>
      <c r="AR370" s="55"/>
      <c r="AS370" s="55"/>
      <c r="AT370" s="55"/>
      <c r="AU370" s="30"/>
      <c r="AV370" s="30"/>
      <c r="AW370" s="2"/>
      <c r="AX370" s="2"/>
    </row>
    <row r="371" spans="1:50" x14ac:dyDescent="0.2">
      <c r="A371" s="2"/>
      <c r="B371" s="61">
        <f t="shared" si="116"/>
        <v>41962</v>
      </c>
      <c r="C371" s="62">
        <f t="shared" si="117"/>
        <v>323</v>
      </c>
      <c r="D371" s="63">
        <f t="shared" si="118"/>
        <v>1.9608858327644427</v>
      </c>
      <c r="G371" s="357" t="str">
        <f>IF(MakeSchedule!C338="","",MakeSchedule!C338)</f>
        <v/>
      </c>
      <c r="H371" s="358"/>
      <c r="I371" s="358"/>
      <c r="J371" s="359" t="str">
        <f>IF(MakeSchedule!B338="","",MakeSchedule!B338)</f>
        <v/>
      </c>
      <c r="K371" s="63">
        <f t="shared" si="109"/>
        <v>1.9608858327644427</v>
      </c>
      <c r="L371" s="63">
        <f t="shared" si="119"/>
        <v>1.9608858327644427</v>
      </c>
      <c r="M371" s="63">
        <f t="shared" si="120"/>
        <v>7.9457828143141107</v>
      </c>
      <c r="N371" s="63" t="str">
        <f t="shared" si="110"/>
        <v/>
      </c>
      <c r="O371" s="64">
        <f t="shared" si="121"/>
        <v>0.64348616972715134</v>
      </c>
      <c r="P371" s="63" t="str">
        <f t="shared" si="122"/>
        <v/>
      </c>
      <c r="Q371" s="64" t="e">
        <f t="shared" si="111"/>
        <v>#N/A</v>
      </c>
      <c r="R371" s="63">
        <f t="shared" si="112"/>
        <v>0.64348616972715134</v>
      </c>
      <c r="S371" s="65">
        <f t="shared" si="113"/>
        <v>0.35</v>
      </c>
      <c r="T371" s="65">
        <f t="shared" si="123"/>
        <v>0.99348616972715131</v>
      </c>
      <c r="U371" s="64" t="e">
        <f t="shared" si="124"/>
        <v>#N/A</v>
      </c>
      <c r="V371" s="63">
        <f t="shared" si="114"/>
        <v>1.9481129552653815</v>
      </c>
      <c r="W371" s="63" t="str">
        <f t="shared" si="115"/>
        <v/>
      </c>
      <c r="X371" s="63">
        <f t="shared" si="125"/>
        <v>0</v>
      </c>
      <c r="Y371" s="55"/>
      <c r="Z371" s="55"/>
      <c r="AA371" s="55"/>
      <c r="AB371" s="55">
        <f>PMSplint!N372</f>
        <v>1.9608858327644427</v>
      </c>
      <c r="AC371" s="55">
        <f>PMSplint!N372</f>
        <v>1.9608858327644427</v>
      </c>
      <c r="AD371" s="55">
        <f>IF(RnSplint!N372&lt;0,0,RnSplint!N372)</f>
        <v>7.9457828143141107</v>
      </c>
      <c r="AE371" s="55">
        <f>IF(RnSplint!N372&lt;0,0,RnSplint!N372)</f>
        <v>7.9457828143141107</v>
      </c>
      <c r="AF371" s="30"/>
      <c r="AG371" s="30"/>
      <c r="AH371" s="30"/>
      <c r="AI371" s="55"/>
      <c r="AJ371" s="55"/>
      <c r="AK371" s="55"/>
      <c r="AL371" s="55"/>
      <c r="AM371" s="55"/>
      <c r="AN371" s="55">
        <f t="shared" si="106"/>
        <v>15.580772950811722</v>
      </c>
      <c r="AO371" s="55">
        <f t="shared" si="107"/>
        <v>3.9472487824827716</v>
      </c>
      <c r="AP371" s="55">
        <f t="shared" si="108"/>
        <v>0.64348616972715134</v>
      </c>
      <c r="AQ371" s="55"/>
      <c r="AR371" s="55"/>
      <c r="AS371" s="55"/>
      <c r="AT371" s="55"/>
      <c r="AU371" s="30"/>
      <c r="AV371" s="30"/>
      <c r="AW371" s="2"/>
      <c r="AX371" s="2"/>
    </row>
    <row r="372" spans="1:50" x14ac:dyDescent="0.2">
      <c r="A372" s="2"/>
      <c r="B372" s="61">
        <f t="shared" si="116"/>
        <v>41963</v>
      </c>
      <c r="C372" s="62">
        <f t="shared" si="117"/>
        <v>324</v>
      </c>
      <c r="D372" s="63">
        <f t="shared" si="118"/>
        <v>1.9176249019060438</v>
      </c>
      <c r="G372" s="357" t="str">
        <f>IF(MakeSchedule!C339="","",MakeSchedule!C339)</f>
        <v/>
      </c>
      <c r="H372" s="358"/>
      <c r="I372" s="358"/>
      <c r="J372" s="359" t="str">
        <f>IF(MakeSchedule!B339="","",MakeSchedule!B339)</f>
        <v/>
      </c>
      <c r="K372" s="63">
        <f t="shared" si="109"/>
        <v>1.9176249019060438</v>
      </c>
      <c r="L372" s="63">
        <f t="shared" si="119"/>
        <v>1.9176249019060438</v>
      </c>
      <c r="M372" s="63">
        <f t="shared" si="120"/>
        <v>7.7731747797887554</v>
      </c>
      <c r="N372" s="63" t="str">
        <f t="shared" si="110"/>
        <v/>
      </c>
      <c r="O372" s="64">
        <f t="shared" si="121"/>
        <v>0.65788906787093937</v>
      </c>
      <c r="P372" s="63" t="str">
        <f t="shared" si="122"/>
        <v/>
      </c>
      <c r="Q372" s="64" t="e">
        <f t="shared" si="111"/>
        <v>#N/A</v>
      </c>
      <c r="R372" s="63">
        <f t="shared" si="112"/>
        <v>0.65788906787093937</v>
      </c>
      <c r="S372" s="65">
        <f t="shared" si="113"/>
        <v>0.35</v>
      </c>
      <c r="T372" s="65">
        <f t="shared" si="123"/>
        <v>1.0078890678709393</v>
      </c>
      <c r="U372" s="64" t="e">
        <f t="shared" si="124"/>
        <v>#N/A</v>
      </c>
      <c r="V372" s="63">
        <f t="shared" si="114"/>
        <v>1.9327531749081841</v>
      </c>
      <c r="W372" s="63" t="str">
        <f t="shared" si="115"/>
        <v/>
      </c>
      <c r="X372" s="63">
        <f t="shared" si="125"/>
        <v>0</v>
      </c>
      <c r="Y372" s="55"/>
      <c r="Z372" s="55"/>
      <c r="AA372" s="55"/>
      <c r="AB372" s="55">
        <f>PMSplint!N373</f>
        <v>1.9176249019060438</v>
      </c>
      <c r="AC372" s="55">
        <f>PMSplint!N373</f>
        <v>1.9176249019060438</v>
      </c>
      <c r="AD372" s="55">
        <f>IF(RnSplint!N373&lt;0,0,RnSplint!N373)</f>
        <v>7.7731747797887554</v>
      </c>
      <c r="AE372" s="55">
        <f>IF(RnSplint!N373&lt;0,0,RnSplint!N373)</f>
        <v>7.7731747797887554</v>
      </c>
      <c r="AF372" s="30"/>
      <c r="AG372" s="30"/>
      <c r="AH372" s="30"/>
      <c r="AI372" s="55"/>
      <c r="AJ372" s="55"/>
      <c r="AK372" s="55"/>
      <c r="AL372" s="55"/>
      <c r="AM372" s="55"/>
      <c r="AN372" s="55">
        <f t="shared" si="106"/>
        <v>14.906033524590946</v>
      </c>
      <c r="AO372" s="55">
        <f t="shared" si="107"/>
        <v>3.86083326816776</v>
      </c>
      <c r="AP372" s="55">
        <f t="shared" si="108"/>
        <v>0.65788906787093937</v>
      </c>
      <c r="AQ372" s="55"/>
      <c r="AR372" s="55"/>
      <c r="AS372" s="55"/>
      <c r="AT372" s="55"/>
      <c r="AU372" s="30"/>
      <c r="AV372" s="30"/>
      <c r="AW372" s="2"/>
      <c r="AX372" s="2"/>
    </row>
    <row r="373" spans="1:50" x14ac:dyDescent="0.2">
      <c r="A373" s="2"/>
      <c r="B373" s="61">
        <f t="shared" si="116"/>
        <v>41964</v>
      </c>
      <c r="C373" s="62">
        <f t="shared" si="117"/>
        <v>325</v>
      </c>
      <c r="D373" s="63">
        <f t="shared" si="118"/>
        <v>1.875664591747505</v>
      </c>
      <c r="G373" s="357" t="str">
        <f>IF(MakeSchedule!C340="","",MakeSchedule!C340)</f>
        <v/>
      </c>
      <c r="H373" s="358"/>
      <c r="I373" s="358"/>
      <c r="J373" s="359" t="str">
        <f>IF(MakeSchedule!B340="","",MakeSchedule!B340)</f>
        <v/>
      </c>
      <c r="K373" s="63">
        <f t="shared" si="109"/>
        <v>1.875664591747505</v>
      </c>
      <c r="L373" s="63">
        <f t="shared" si="119"/>
        <v>1.875664591747505</v>
      </c>
      <c r="M373" s="63">
        <f t="shared" si="120"/>
        <v>7.6170098867823537</v>
      </c>
      <c r="N373" s="63" t="str">
        <f t="shared" si="110"/>
        <v/>
      </c>
      <c r="O373" s="64">
        <f t="shared" si="121"/>
        <v>0.67199163501213943</v>
      </c>
      <c r="P373" s="63" t="str">
        <f t="shared" si="122"/>
        <v/>
      </c>
      <c r="Q373" s="64" t="e">
        <f t="shared" si="111"/>
        <v>#N/A</v>
      </c>
      <c r="R373" s="63">
        <f t="shared" si="112"/>
        <v>0.67199163501213943</v>
      </c>
      <c r="S373" s="65">
        <f t="shared" si="113"/>
        <v>0.35</v>
      </c>
      <c r="T373" s="65">
        <f t="shared" si="123"/>
        <v>1.0219916350121394</v>
      </c>
      <c r="U373" s="64" t="e">
        <f t="shared" si="124"/>
        <v>#N/A</v>
      </c>
      <c r="V373" s="63">
        <f t="shared" si="114"/>
        <v>1.9169135228544096</v>
      </c>
      <c r="W373" s="63" t="str">
        <f t="shared" si="115"/>
        <v/>
      </c>
      <c r="X373" s="63">
        <f t="shared" si="125"/>
        <v>0</v>
      </c>
      <c r="Y373" s="55"/>
      <c r="Z373" s="55"/>
      <c r="AA373" s="55"/>
      <c r="AB373" s="55">
        <f>PMSplint!N374</f>
        <v>1.875664591747505</v>
      </c>
      <c r="AC373" s="55">
        <f>PMSplint!N374</f>
        <v>1.875664591747505</v>
      </c>
      <c r="AD373" s="55">
        <f>IF(RnSplint!N374&lt;0,0,RnSplint!N374)</f>
        <v>7.6170098867823537</v>
      </c>
      <c r="AE373" s="55">
        <f>IF(RnSplint!N374&lt;0,0,RnSplint!N374)</f>
        <v>7.6170098867823537</v>
      </c>
      <c r="AF373" s="30"/>
      <c r="AG373" s="30"/>
      <c r="AH373" s="30"/>
      <c r="AI373" s="55"/>
      <c r="AJ373" s="55"/>
      <c r="AK373" s="55"/>
      <c r="AL373" s="55"/>
      <c r="AM373" s="55"/>
      <c r="AN373" s="55">
        <f t="shared" si="106"/>
        <v>14.286955739628333</v>
      </c>
      <c r="AO373" s="55">
        <f t="shared" si="107"/>
        <v>3.779808955440517</v>
      </c>
      <c r="AP373" s="55">
        <f t="shared" si="108"/>
        <v>0.67199163501213943</v>
      </c>
      <c r="AQ373" s="55"/>
      <c r="AR373" s="55"/>
      <c r="AS373" s="55"/>
      <c r="AT373" s="55"/>
      <c r="AU373" s="30"/>
      <c r="AV373" s="30"/>
      <c r="AW373" s="2"/>
      <c r="AX373" s="2"/>
    </row>
    <row r="374" spans="1:50" x14ac:dyDescent="0.2">
      <c r="A374" s="2"/>
      <c r="B374" s="61">
        <f t="shared" si="116"/>
        <v>41965</v>
      </c>
      <c r="C374" s="62">
        <f t="shared" si="117"/>
        <v>326</v>
      </c>
      <c r="D374" s="63">
        <f t="shared" si="118"/>
        <v>1.8349752620642998</v>
      </c>
      <c r="G374" s="357" t="str">
        <f>IF(MakeSchedule!C341="","",MakeSchedule!C341)</f>
        <v/>
      </c>
      <c r="H374" s="358"/>
      <c r="I374" s="358"/>
      <c r="J374" s="359" t="str">
        <f>IF(MakeSchedule!B341="","",MakeSchedule!B341)</f>
        <v/>
      </c>
      <c r="K374" s="63">
        <f t="shared" si="109"/>
        <v>1.8349752620642998</v>
      </c>
      <c r="L374" s="63">
        <f t="shared" si="119"/>
        <v>1.8349752620642998</v>
      </c>
      <c r="M374" s="63">
        <f t="shared" si="120"/>
        <v>7.4763718548524354</v>
      </c>
      <c r="N374" s="63" t="str">
        <f t="shared" si="110"/>
        <v/>
      </c>
      <c r="O374" s="64">
        <f t="shared" si="121"/>
        <v>0.68576160023387378</v>
      </c>
      <c r="P374" s="63" t="str">
        <f t="shared" si="122"/>
        <v/>
      </c>
      <c r="Q374" s="64" t="e">
        <f t="shared" si="111"/>
        <v>#N/A</v>
      </c>
      <c r="R374" s="63">
        <f t="shared" si="112"/>
        <v>0.68576160023387378</v>
      </c>
      <c r="S374" s="65">
        <f t="shared" si="113"/>
        <v>0.35</v>
      </c>
      <c r="T374" s="65">
        <f t="shared" si="123"/>
        <v>1.0357616002338736</v>
      </c>
      <c r="U374" s="64" t="e">
        <f t="shared" si="124"/>
        <v>#N/A</v>
      </c>
      <c r="V374" s="63">
        <f t="shared" si="114"/>
        <v>1.9005969138252909</v>
      </c>
      <c r="W374" s="63" t="str">
        <f t="shared" si="115"/>
        <v/>
      </c>
      <c r="X374" s="63">
        <f t="shared" si="125"/>
        <v>0</v>
      </c>
      <c r="Y374" s="55"/>
      <c r="Z374" s="55"/>
      <c r="AA374" s="55"/>
      <c r="AB374" s="55">
        <f>PMSplint!N375</f>
        <v>1.8349752620642998</v>
      </c>
      <c r="AC374" s="55">
        <f>PMSplint!N375</f>
        <v>1.8349752620642998</v>
      </c>
      <c r="AD374" s="55">
        <f>IF(RnSplint!N375&lt;0,0,RnSplint!N375)</f>
        <v>7.4763718548524354</v>
      </c>
      <c r="AE374" s="55">
        <f>IF(RnSplint!N375&lt;0,0,RnSplint!N375)</f>
        <v>7.4763718548524354</v>
      </c>
      <c r="AF374" s="30"/>
      <c r="AG374" s="30"/>
      <c r="AH374" s="30"/>
      <c r="AI374" s="55"/>
      <c r="AJ374" s="55"/>
      <c r="AK374" s="55"/>
      <c r="AL374" s="55"/>
      <c r="AM374" s="55"/>
      <c r="AN374" s="55">
        <f t="shared" si="106"/>
        <v>13.718957403648004</v>
      </c>
      <c r="AO374" s="55">
        <f t="shared" si="107"/>
        <v>3.703911095537797</v>
      </c>
      <c r="AP374" s="55">
        <f t="shared" si="108"/>
        <v>0.68576160023387378</v>
      </c>
      <c r="AQ374" s="55"/>
      <c r="AR374" s="55"/>
      <c r="AS374" s="55"/>
      <c r="AT374" s="55"/>
      <c r="AU374" s="30"/>
      <c r="AV374" s="30"/>
      <c r="AW374" s="2"/>
      <c r="AX374" s="2"/>
    </row>
    <row r="375" spans="1:50" x14ac:dyDescent="0.2">
      <c r="A375" s="2"/>
      <c r="B375" s="61">
        <f t="shared" si="116"/>
        <v>41966</v>
      </c>
      <c r="C375" s="62">
        <f t="shared" si="117"/>
        <v>327</v>
      </c>
      <c r="D375" s="63">
        <f t="shared" si="118"/>
        <v>1.7955272726319031</v>
      </c>
      <c r="G375" s="357" t="str">
        <f>IF(MakeSchedule!C342="","",MakeSchedule!C342)</f>
        <v/>
      </c>
      <c r="H375" s="358"/>
      <c r="I375" s="358"/>
      <c r="J375" s="359" t="str">
        <f>IF(MakeSchedule!B342="","",MakeSchedule!B342)</f>
        <v/>
      </c>
      <c r="K375" s="63">
        <f t="shared" si="109"/>
        <v>1.7955272726319031</v>
      </c>
      <c r="L375" s="63">
        <f t="shared" si="119"/>
        <v>1.7955272726319031</v>
      </c>
      <c r="M375" s="63">
        <f t="shared" si="120"/>
        <v>7.3503444035565382</v>
      </c>
      <c r="N375" s="63" t="str">
        <f t="shared" si="110"/>
        <v/>
      </c>
      <c r="O375" s="64">
        <f t="shared" si="121"/>
        <v>0.69917174505442259</v>
      </c>
      <c r="P375" s="63" t="str">
        <f t="shared" si="122"/>
        <v/>
      </c>
      <c r="Q375" s="64" t="e">
        <f t="shared" si="111"/>
        <v>#N/A</v>
      </c>
      <c r="R375" s="63">
        <f t="shared" si="112"/>
        <v>0.69917174505442259</v>
      </c>
      <c r="S375" s="65">
        <f t="shared" si="113"/>
        <v>0.35</v>
      </c>
      <c r="T375" s="65">
        <f t="shared" si="123"/>
        <v>1.0491717450544225</v>
      </c>
      <c r="U375" s="64" t="e">
        <f t="shared" si="124"/>
        <v>#N/A</v>
      </c>
      <c r="V375" s="63">
        <f t="shared" si="114"/>
        <v>1.8838164819200216</v>
      </c>
      <c r="W375" s="63" t="str">
        <f t="shared" si="115"/>
        <v/>
      </c>
      <c r="X375" s="63">
        <f t="shared" si="125"/>
        <v>0</v>
      </c>
      <c r="Y375" s="55"/>
      <c r="Z375" s="55"/>
      <c r="AA375" s="55"/>
      <c r="AB375" s="55">
        <f>PMSplint!N376</f>
        <v>1.7955272726319031</v>
      </c>
      <c r="AC375" s="55">
        <f>PMSplint!N376</f>
        <v>1.7955272726319031</v>
      </c>
      <c r="AD375" s="55">
        <f>IF(RnSplint!N376&lt;0,0,RnSplint!N376)</f>
        <v>7.3503444035565382</v>
      </c>
      <c r="AE375" s="55">
        <f>IF(RnSplint!N376&lt;0,0,RnSplint!N376)</f>
        <v>7.3503444035565382</v>
      </c>
      <c r="AF375" s="30"/>
      <c r="AG375" s="30"/>
      <c r="AH375" s="30"/>
      <c r="AI375" s="55"/>
      <c r="AJ375" s="55"/>
      <c r="AK375" s="55"/>
      <c r="AL375" s="55"/>
      <c r="AM375" s="55"/>
      <c r="AN375" s="55">
        <f t="shared" si="106"/>
        <v>13.197743839823044</v>
      </c>
      <c r="AO375" s="55">
        <f t="shared" si="107"/>
        <v>3.632869917822966</v>
      </c>
      <c r="AP375" s="55">
        <f t="shared" si="108"/>
        <v>0.69917174505442259</v>
      </c>
      <c r="AQ375" s="55"/>
      <c r="AR375" s="55"/>
      <c r="AS375" s="55"/>
      <c r="AT375" s="55"/>
      <c r="AU375" s="30"/>
      <c r="AV375" s="30"/>
      <c r="AW375" s="2"/>
      <c r="AX375" s="2"/>
    </row>
    <row r="376" spans="1:50" x14ac:dyDescent="0.2">
      <c r="A376" s="2"/>
      <c r="B376" s="61">
        <f t="shared" si="116"/>
        <v>41967</v>
      </c>
      <c r="C376" s="62">
        <f t="shared" si="117"/>
        <v>328</v>
      </c>
      <c r="D376" s="63">
        <f t="shared" si="118"/>
        <v>1.7572909832257888</v>
      </c>
      <c r="G376" s="357" t="str">
        <f>IF(MakeSchedule!C343="","",MakeSchedule!C343)</f>
        <v/>
      </c>
      <c r="H376" s="358"/>
      <c r="I376" s="358"/>
      <c r="J376" s="359" t="str">
        <f>IF(MakeSchedule!B343="","",MakeSchedule!B343)</f>
        <v/>
      </c>
      <c r="K376" s="63">
        <f t="shared" si="109"/>
        <v>1.7572909832257888</v>
      </c>
      <c r="L376" s="63">
        <f t="shared" si="119"/>
        <v>1.7572909832257888</v>
      </c>
      <c r="M376" s="63">
        <f t="shared" si="120"/>
        <v>7.2380112524521891</v>
      </c>
      <c r="N376" s="63" t="str">
        <f t="shared" si="110"/>
        <v/>
      </c>
      <c r="O376" s="64">
        <f t="shared" si="121"/>
        <v>0.7122004591537261</v>
      </c>
      <c r="P376" s="63" t="str">
        <f t="shared" si="122"/>
        <v/>
      </c>
      <c r="Q376" s="64" t="e">
        <f t="shared" si="111"/>
        <v>#N/A</v>
      </c>
      <c r="R376" s="63">
        <f t="shared" si="112"/>
        <v>0.7122004591537261</v>
      </c>
      <c r="S376" s="65">
        <f t="shared" si="113"/>
        <v>0.35</v>
      </c>
      <c r="T376" s="65">
        <f t="shared" si="123"/>
        <v>1.062200459153726</v>
      </c>
      <c r="U376" s="64" t="e">
        <f t="shared" si="124"/>
        <v>#N/A</v>
      </c>
      <c r="V376" s="63">
        <f t="shared" si="114"/>
        <v>1.8665952892491353</v>
      </c>
      <c r="W376" s="63" t="str">
        <f t="shared" si="115"/>
        <v/>
      </c>
      <c r="X376" s="63">
        <f t="shared" si="125"/>
        <v>0</v>
      </c>
      <c r="Y376" s="55"/>
      <c r="Z376" s="55"/>
      <c r="AA376" s="55"/>
      <c r="AB376" s="55">
        <f>PMSplint!N377</f>
        <v>1.7572909832257888</v>
      </c>
      <c r="AC376" s="55">
        <f>PMSplint!N377</f>
        <v>1.7572909832257888</v>
      </c>
      <c r="AD376" s="55">
        <f>IF(RnSplint!N377&lt;0,0,RnSplint!N377)</f>
        <v>7.2380112524521891</v>
      </c>
      <c r="AE376" s="55">
        <f>IF(RnSplint!N377&lt;0,0,RnSplint!N377)</f>
        <v>7.2380112524521891</v>
      </c>
      <c r="AF376" s="30"/>
      <c r="AG376" s="30"/>
      <c r="AH376" s="30"/>
      <c r="AI376" s="55"/>
      <c r="AJ376" s="55"/>
      <c r="AK376" s="55"/>
      <c r="AL376" s="55"/>
      <c r="AM376" s="55"/>
      <c r="AN376" s="55">
        <f t="shared" si="106"/>
        <v>12.719291910421031</v>
      </c>
      <c r="AO376" s="55">
        <f t="shared" si="107"/>
        <v>3.5664116294142256</v>
      </c>
      <c r="AP376" s="55">
        <f t="shared" si="108"/>
        <v>0.7122004591537261</v>
      </c>
      <c r="AQ376" s="55"/>
      <c r="AR376" s="55"/>
      <c r="AS376" s="55"/>
      <c r="AT376" s="55"/>
      <c r="AU376" s="30"/>
      <c r="AV376" s="30"/>
      <c r="AW376" s="2"/>
      <c r="AX376" s="2"/>
    </row>
    <row r="377" spans="1:50" x14ac:dyDescent="0.2">
      <c r="A377" s="2"/>
      <c r="B377" s="61">
        <f t="shared" si="116"/>
        <v>41968</v>
      </c>
      <c r="C377" s="62">
        <f t="shared" si="117"/>
        <v>329</v>
      </c>
      <c r="D377" s="63">
        <f t="shared" si="118"/>
        <v>1.7202367536214309</v>
      </c>
      <c r="G377" s="357" t="str">
        <f>IF(MakeSchedule!C344="","",MakeSchedule!C344)</f>
        <v/>
      </c>
      <c r="H377" s="358"/>
      <c r="I377" s="358"/>
      <c r="J377" s="359" t="str">
        <f>IF(MakeSchedule!B344="","",MakeSchedule!B344)</f>
        <v/>
      </c>
      <c r="K377" s="63">
        <f t="shared" si="109"/>
        <v>1.7202367536214309</v>
      </c>
      <c r="L377" s="63">
        <f t="shared" si="119"/>
        <v>1.7202367536214309</v>
      </c>
      <c r="M377" s="63">
        <f t="shared" si="120"/>
        <v>7.1384561210969251</v>
      </c>
      <c r="N377" s="63" t="str">
        <f t="shared" si="110"/>
        <v/>
      </c>
      <c r="O377" s="64">
        <f t="shared" si="121"/>
        <v>0.7248321667319062</v>
      </c>
      <c r="P377" s="63" t="str">
        <f t="shared" si="122"/>
        <v/>
      </c>
      <c r="Q377" s="64" t="e">
        <f t="shared" si="111"/>
        <v>#N/A</v>
      </c>
      <c r="R377" s="63">
        <f t="shared" si="112"/>
        <v>0.7248321667319062</v>
      </c>
      <c r="S377" s="65">
        <f t="shared" si="113"/>
        <v>0.35</v>
      </c>
      <c r="T377" s="65">
        <f t="shared" si="123"/>
        <v>1.0748321667319063</v>
      </c>
      <c r="U377" s="64" t="e">
        <f t="shared" si="124"/>
        <v>#N/A</v>
      </c>
      <c r="V377" s="63">
        <f t="shared" si="114"/>
        <v>1.848965797186783</v>
      </c>
      <c r="W377" s="63" t="str">
        <f t="shared" si="115"/>
        <v/>
      </c>
      <c r="X377" s="63">
        <f t="shared" si="125"/>
        <v>0</v>
      </c>
      <c r="Y377" s="55"/>
      <c r="Z377" s="55"/>
      <c r="AA377" s="55"/>
      <c r="AB377" s="55">
        <f>PMSplint!N378</f>
        <v>1.7202367536214309</v>
      </c>
      <c r="AC377" s="55">
        <f>PMSplint!N378</f>
        <v>1.7202367536214309</v>
      </c>
      <c r="AD377" s="55">
        <f>IF(RnSplint!N378&lt;0,0,RnSplint!N378)</f>
        <v>7.1384561210969251</v>
      </c>
      <c r="AE377" s="55">
        <f>IF(RnSplint!N378&lt;0,0,RnSplint!N378)</f>
        <v>7.1384561210969251</v>
      </c>
      <c r="AF377" s="30"/>
      <c r="AG377" s="30"/>
      <c r="AH377" s="30"/>
      <c r="AI377" s="55"/>
      <c r="AJ377" s="55"/>
      <c r="AK377" s="55"/>
      <c r="AL377" s="55"/>
      <c r="AM377" s="55"/>
      <c r="AN377" s="55">
        <f t="shared" si="106"/>
        <v>12.279834583624806</v>
      </c>
      <c r="AO377" s="55">
        <f t="shared" si="107"/>
        <v>3.5042594914795915</v>
      </c>
      <c r="AP377" s="55">
        <f t="shared" si="108"/>
        <v>0.7248321667319062</v>
      </c>
      <c r="AQ377" s="55"/>
      <c r="AR377" s="55"/>
      <c r="AS377" s="55"/>
      <c r="AT377" s="55"/>
      <c r="AU377" s="30"/>
      <c r="AV377" s="30"/>
      <c r="AW377" s="2"/>
      <c r="AX377" s="2"/>
    </row>
    <row r="378" spans="1:50" x14ac:dyDescent="0.2">
      <c r="A378" s="2"/>
      <c r="B378" s="61">
        <f t="shared" si="116"/>
        <v>41969</v>
      </c>
      <c r="C378" s="62">
        <f t="shared" si="117"/>
        <v>330</v>
      </c>
      <c r="D378" s="63">
        <f t="shared" si="118"/>
        <v>1.6843349435943031</v>
      </c>
      <c r="G378" s="357" t="str">
        <f>IF(MakeSchedule!C345="","",MakeSchedule!C345)</f>
        <v/>
      </c>
      <c r="H378" s="358"/>
      <c r="I378" s="358"/>
      <c r="J378" s="359" t="str">
        <f>IF(MakeSchedule!B345="","",MakeSchedule!B345)</f>
        <v/>
      </c>
      <c r="K378" s="63">
        <f t="shared" si="109"/>
        <v>1.6843349435943031</v>
      </c>
      <c r="L378" s="63">
        <f t="shared" si="119"/>
        <v>1.6843349435943031</v>
      </c>
      <c r="M378" s="63">
        <f t="shared" si="120"/>
        <v>7.0507627290482748</v>
      </c>
      <c r="N378" s="63" t="str">
        <f t="shared" si="110"/>
        <v/>
      </c>
      <c r="O378" s="64">
        <f t="shared" si="121"/>
        <v>0.73705761446047857</v>
      </c>
      <c r="P378" s="63" t="str">
        <f t="shared" si="122"/>
        <v/>
      </c>
      <c r="Q378" s="64" t="e">
        <f t="shared" si="111"/>
        <v>#N/A</v>
      </c>
      <c r="R378" s="63">
        <f t="shared" si="112"/>
        <v>0.73705761446047857</v>
      </c>
      <c r="S378" s="65">
        <f t="shared" si="113"/>
        <v>0.35</v>
      </c>
      <c r="T378" s="65">
        <f t="shared" si="123"/>
        <v>1.0870576144604787</v>
      </c>
      <c r="U378" s="64" t="e">
        <f t="shared" si="124"/>
        <v>#N/A</v>
      </c>
      <c r="V378" s="63">
        <f t="shared" si="114"/>
        <v>1.8309691257360481</v>
      </c>
      <c r="W378" s="63" t="str">
        <f t="shared" si="115"/>
        <v/>
      </c>
      <c r="X378" s="63">
        <f t="shared" si="125"/>
        <v>0</v>
      </c>
      <c r="Y378" s="55"/>
      <c r="Z378" s="55"/>
      <c r="AA378" s="55"/>
      <c r="AB378" s="55">
        <f>PMSplint!N379</f>
        <v>1.6843349435943031</v>
      </c>
      <c r="AC378" s="55">
        <f>PMSplint!N379</f>
        <v>1.6843349435943031</v>
      </c>
      <c r="AD378" s="55">
        <f>IF(RnSplint!N379&lt;0,0,RnSplint!N379)</f>
        <v>7.0507627290482748</v>
      </c>
      <c r="AE378" s="55">
        <f>IF(RnSplint!N379&lt;0,0,RnSplint!N379)</f>
        <v>7.0507627290482748</v>
      </c>
      <c r="AF378" s="30"/>
      <c r="AG378" s="30"/>
      <c r="AH378" s="30"/>
      <c r="AI378" s="55"/>
      <c r="AJ378" s="55"/>
      <c r="AK378" s="55"/>
      <c r="AL378" s="55"/>
      <c r="AM378" s="55"/>
      <c r="AN378" s="55">
        <f t="shared" si="106"/>
        <v>11.875846043528341</v>
      </c>
      <c r="AO378" s="55">
        <f t="shared" si="107"/>
        <v>3.4461349427334302</v>
      </c>
      <c r="AP378" s="55">
        <f t="shared" si="108"/>
        <v>0.73705761446047857</v>
      </c>
      <c r="AQ378" s="55"/>
      <c r="AR378" s="55"/>
      <c r="AS378" s="55"/>
      <c r="AT378" s="55"/>
      <c r="AU378" s="30"/>
      <c r="AV378" s="30"/>
      <c r="AW378" s="2"/>
      <c r="AX378" s="2"/>
    </row>
    <row r="379" spans="1:50" x14ac:dyDescent="0.2">
      <c r="A379" s="2"/>
      <c r="B379" s="61">
        <f t="shared" si="116"/>
        <v>41970</v>
      </c>
      <c r="C379" s="62">
        <f t="shared" si="117"/>
        <v>331</v>
      </c>
      <c r="D379" s="63">
        <f t="shared" si="118"/>
        <v>1.6495559129198805</v>
      </c>
      <c r="G379" s="357" t="str">
        <f>IF(MakeSchedule!C346="","",MakeSchedule!C346)</f>
        <v/>
      </c>
      <c r="H379" s="358"/>
      <c r="I379" s="358"/>
      <c r="J379" s="359" t="str">
        <f>IF(MakeSchedule!B346="","",MakeSchedule!B346)</f>
        <v/>
      </c>
      <c r="K379" s="63">
        <f t="shared" si="109"/>
        <v>1.6495559129198805</v>
      </c>
      <c r="L379" s="63">
        <f t="shared" si="119"/>
        <v>1.6495559129198805</v>
      </c>
      <c r="M379" s="63">
        <f t="shared" si="120"/>
        <v>6.9740147958637744</v>
      </c>
      <c r="N379" s="63" t="str">
        <f t="shared" si="110"/>
        <v/>
      </c>
      <c r="O379" s="64">
        <f t="shared" si="121"/>
        <v>0.74887401949445209</v>
      </c>
      <c r="P379" s="63" t="str">
        <f t="shared" si="122"/>
        <v/>
      </c>
      <c r="Q379" s="64" t="e">
        <f t="shared" si="111"/>
        <v>#N/A</v>
      </c>
      <c r="R379" s="63">
        <f t="shared" si="112"/>
        <v>0.74887401949445209</v>
      </c>
      <c r="S379" s="65">
        <f t="shared" si="113"/>
        <v>0.35</v>
      </c>
      <c r="T379" s="65">
        <f t="shared" si="123"/>
        <v>1.0988740194944522</v>
      </c>
      <c r="U379" s="64" t="e">
        <f t="shared" si="124"/>
        <v>#N/A</v>
      </c>
      <c r="V379" s="63">
        <f t="shared" si="114"/>
        <v>1.8126541364111095</v>
      </c>
      <c r="W379" s="63" t="str">
        <f t="shared" si="115"/>
        <v/>
      </c>
      <c r="X379" s="63">
        <f t="shared" si="125"/>
        <v>0</v>
      </c>
      <c r="Y379" s="55"/>
      <c r="Z379" s="55"/>
      <c r="AA379" s="55"/>
      <c r="AB379" s="55">
        <f>PMSplint!N380</f>
        <v>1.6495559129198805</v>
      </c>
      <c r="AC379" s="55">
        <f>PMSplint!N380</f>
        <v>1.6495559129198805</v>
      </c>
      <c r="AD379" s="55">
        <f>IF(RnSplint!N380&lt;0,0,RnSplint!N380)</f>
        <v>6.9740147958637744</v>
      </c>
      <c r="AE379" s="55">
        <f>IF(RnSplint!N380&lt;0,0,RnSplint!N380)</f>
        <v>6.9740147958637744</v>
      </c>
      <c r="AF379" s="30"/>
      <c r="AG379" s="30"/>
      <c r="AH379" s="30"/>
      <c r="AI379" s="55"/>
      <c r="AJ379" s="55"/>
      <c r="AK379" s="55"/>
      <c r="AL379" s="55"/>
      <c r="AM379" s="55"/>
      <c r="AN379" s="55">
        <f t="shared" ref="AN379:AN442" si="126">K379*M379</f>
        <v>11.504027343307822</v>
      </c>
      <c r="AO379" s="55">
        <f t="shared" ref="AO379:AO442" si="127">SQRT(AN379)</f>
        <v>3.3917587389594535</v>
      </c>
      <c r="AP379" s="55">
        <f t="shared" ref="AP379:AP442" si="128">IF(2.54/AO379&gt;1.22,1.22,2.54/AO379)</f>
        <v>0.74887401949445209</v>
      </c>
      <c r="AQ379" s="55"/>
      <c r="AR379" s="55"/>
      <c r="AS379" s="55"/>
      <c r="AT379" s="55"/>
      <c r="AU379" s="30"/>
      <c r="AV379" s="30"/>
      <c r="AW379" s="2"/>
      <c r="AX379" s="2"/>
    </row>
    <row r="380" spans="1:50" x14ac:dyDescent="0.2">
      <c r="A380" s="2"/>
      <c r="B380" s="61">
        <f t="shared" si="116"/>
        <v>41971</v>
      </c>
      <c r="C380" s="62">
        <f t="shared" si="117"/>
        <v>332</v>
      </c>
      <c r="D380" s="63">
        <f t="shared" si="118"/>
        <v>1.6158700213736361</v>
      </c>
      <c r="G380" s="357" t="str">
        <f>IF(MakeSchedule!C347="","",MakeSchedule!C347)</f>
        <v/>
      </c>
      <c r="H380" s="358"/>
      <c r="I380" s="358"/>
      <c r="J380" s="359" t="str">
        <f>IF(MakeSchedule!B347="","",MakeSchedule!B347)</f>
        <v/>
      </c>
      <c r="K380" s="63">
        <f t="shared" si="109"/>
        <v>1.6158700213736361</v>
      </c>
      <c r="L380" s="63">
        <f t="shared" si="119"/>
        <v>1.6158700213736361</v>
      </c>
      <c r="M380" s="63">
        <f t="shared" si="120"/>
        <v>6.9072960411009525</v>
      </c>
      <c r="N380" s="63" t="str">
        <f t="shared" si="110"/>
        <v/>
      </c>
      <c r="O380" s="64">
        <f t="shared" si="121"/>
        <v>0.7602850833633521</v>
      </c>
      <c r="P380" s="63" t="str">
        <f t="shared" si="122"/>
        <v/>
      </c>
      <c r="Q380" s="64" t="e">
        <f t="shared" si="111"/>
        <v>#N/A</v>
      </c>
      <c r="R380" s="63">
        <f t="shared" si="112"/>
        <v>0.7602850833633521</v>
      </c>
      <c r="S380" s="65">
        <f t="shared" si="113"/>
        <v>0.35</v>
      </c>
      <c r="T380" s="65">
        <f t="shared" si="123"/>
        <v>1.110285083363352</v>
      </c>
      <c r="U380" s="64" t="e">
        <f t="shared" si="124"/>
        <v>#N/A</v>
      </c>
      <c r="V380" s="63">
        <f t="shared" si="114"/>
        <v>1.7940763813851688</v>
      </c>
      <c r="W380" s="63" t="str">
        <f t="shared" si="115"/>
        <v/>
      </c>
      <c r="X380" s="63">
        <f t="shared" si="125"/>
        <v>0</v>
      </c>
      <c r="Y380" s="55"/>
      <c r="Z380" s="55"/>
      <c r="AA380" s="55"/>
      <c r="AB380" s="55">
        <f>PMSplint!N381</f>
        <v>1.6158700213736361</v>
      </c>
      <c r="AC380" s="55">
        <f>PMSplint!N381</f>
        <v>1.6158700213736361</v>
      </c>
      <c r="AD380" s="55">
        <f>IF(RnSplint!N381&lt;0,0,RnSplint!N381)</f>
        <v>6.9072960411009525</v>
      </c>
      <c r="AE380" s="55">
        <f>IF(RnSplint!N381&lt;0,0,RnSplint!N381)</f>
        <v>6.9072960411009525</v>
      </c>
      <c r="AF380" s="30"/>
      <c r="AG380" s="30"/>
      <c r="AH380" s="30"/>
      <c r="AI380" s="55"/>
      <c r="AJ380" s="55"/>
      <c r="AK380" s="55"/>
      <c r="AL380" s="55"/>
      <c r="AM380" s="55"/>
      <c r="AN380" s="55">
        <f t="shared" si="126"/>
        <v>11.161292601567828</v>
      </c>
      <c r="AO380" s="55">
        <f t="shared" si="127"/>
        <v>3.3408520771754961</v>
      </c>
      <c r="AP380" s="55">
        <f t="shared" si="128"/>
        <v>0.7602850833633521</v>
      </c>
      <c r="AQ380" s="55"/>
      <c r="AR380" s="55"/>
      <c r="AS380" s="55"/>
      <c r="AT380" s="55"/>
      <c r="AU380" s="30"/>
      <c r="AV380" s="30"/>
      <c r="AW380" s="2"/>
      <c r="AX380" s="2"/>
    </row>
    <row r="381" spans="1:50" x14ac:dyDescent="0.2">
      <c r="A381" s="2"/>
      <c r="B381" s="61">
        <f t="shared" si="116"/>
        <v>41972</v>
      </c>
      <c r="C381" s="62">
        <f t="shared" si="117"/>
        <v>333</v>
      </c>
      <c r="D381" s="63">
        <f t="shared" si="118"/>
        <v>1.5832476287310451</v>
      </c>
      <c r="G381" s="357" t="str">
        <f>IF(MakeSchedule!C348="","",MakeSchedule!C348)</f>
        <v/>
      </c>
      <c r="H381" s="358"/>
      <c r="I381" s="358"/>
      <c r="J381" s="359" t="str">
        <f>IF(MakeSchedule!B348="","",MakeSchedule!B348)</f>
        <v/>
      </c>
      <c r="K381" s="63">
        <f t="shared" si="109"/>
        <v>1.5832476287310451</v>
      </c>
      <c r="L381" s="63">
        <f t="shared" si="119"/>
        <v>1.5832476287310451</v>
      </c>
      <c r="M381" s="63">
        <f t="shared" si="120"/>
        <v>6.8496901843173461</v>
      </c>
      <c r="N381" s="63" t="str">
        <f t="shared" si="110"/>
        <v/>
      </c>
      <c r="O381" s="64">
        <f t="shared" si="121"/>
        <v>0.77130088420720866</v>
      </c>
      <c r="P381" s="63" t="str">
        <f t="shared" si="122"/>
        <v/>
      </c>
      <c r="Q381" s="64" t="e">
        <f t="shared" si="111"/>
        <v>#N/A</v>
      </c>
      <c r="R381" s="63">
        <f t="shared" si="112"/>
        <v>0.77130088420720866</v>
      </c>
      <c r="S381" s="65">
        <f t="shared" si="113"/>
        <v>0.35</v>
      </c>
      <c r="T381" s="65">
        <f t="shared" si="123"/>
        <v>1.1213008842072085</v>
      </c>
      <c r="U381" s="64" t="e">
        <f t="shared" si="124"/>
        <v>#N/A</v>
      </c>
      <c r="V381" s="63">
        <f t="shared" si="114"/>
        <v>1.775296966015087</v>
      </c>
      <c r="W381" s="63" t="str">
        <f t="shared" si="115"/>
        <v/>
      </c>
      <c r="X381" s="63">
        <f t="shared" si="125"/>
        <v>0</v>
      </c>
      <c r="Y381" s="55"/>
      <c r="Z381" s="55"/>
      <c r="AA381" s="55"/>
      <c r="AB381" s="55">
        <f>PMSplint!N382</f>
        <v>1.5832476287310451</v>
      </c>
      <c r="AC381" s="55">
        <f>PMSplint!N382</f>
        <v>1.5832476287310451</v>
      </c>
      <c r="AD381" s="55">
        <f>IF(RnSplint!N382&lt;0,0,RnSplint!N382)</f>
        <v>6.8496901843173461</v>
      </c>
      <c r="AE381" s="55">
        <f>IF(RnSplint!N382&lt;0,0,RnSplint!N382)</f>
        <v>6.8496901843173461</v>
      </c>
      <c r="AF381" s="30"/>
      <c r="AG381" s="30"/>
      <c r="AH381" s="30"/>
      <c r="AI381" s="55"/>
      <c r="AJ381" s="55"/>
      <c r="AK381" s="55"/>
      <c r="AL381" s="55"/>
      <c r="AM381" s="55"/>
      <c r="AN381" s="55">
        <f t="shared" si="126"/>
        <v>10.844755741862754</v>
      </c>
      <c r="AO381" s="55">
        <f t="shared" si="127"/>
        <v>3.2931376742952541</v>
      </c>
      <c r="AP381" s="55">
        <f t="shared" si="128"/>
        <v>0.77130088420720866</v>
      </c>
      <c r="AQ381" s="55"/>
      <c r="AR381" s="55"/>
      <c r="AS381" s="55"/>
      <c r="AT381" s="55"/>
      <c r="AU381" s="30"/>
      <c r="AV381" s="30"/>
      <c r="AW381" s="2"/>
      <c r="AX381" s="2"/>
    </row>
    <row r="382" spans="1:50" x14ac:dyDescent="0.2">
      <c r="A382" s="2"/>
      <c r="B382" s="61">
        <f t="shared" si="116"/>
        <v>41973</v>
      </c>
      <c r="C382" s="62">
        <f t="shared" si="117"/>
        <v>334</v>
      </c>
      <c r="D382" s="63">
        <f t="shared" si="118"/>
        <v>1.5516590947675806</v>
      </c>
      <c r="G382" s="357" t="str">
        <f>IF(MakeSchedule!C349="","",MakeSchedule!C349)</f>
        <v/>
      </c>
      <c r="H382" s="358"/>
      <c r="I382" s="358"/>
      <c r="J382" s="359" t="str">
        <f>IF(MakeSchedule!B349="","",MakeSchedule!B349)</f>
        <v/>
      </c>
      <c r="K382" s="63">
        <f t="shared" si="109"/>
        <v>1.5516590947675806</v>
      </c>
      <c r="L382" s="63">
        <f t="shared" si="119"/>
        <v>1.5516590947675806</v>
      </c>
      <c r="M382" s="63">
        <f t="shared" si="120"/>
        <v>6.8002809450704831</v>
      </c>
      <c r="N382" s="63" t="str">
        <f t="shared" si="110"/>
        <v/>
      </c>
      <c r="O382" s="64">
        <f t="shared" si="121"/>
        <v>0.78193766533671594</v>
      </c>
      <c r="P382" s="63" t="str">
        <f t="shared" si="122"/>
        <v/>
      </c>
      <c r="Q382" s="64" t="e">
        <f t="shared" si="111"/>
        <v>#N/A</v>
      </c>
      <c r="R382" s="63">
        <f t="shared" si="112"/>
        <v>0.78193766533671594</v>
      </c>
      <c r="S382" s="65">
        <f t="shared" si="113"/>
        <v>0.35</v>
      </c>
      <c r="T382" s="65">
        <f t="shared" si="123"/>
        <v>1.1319376653367159</v>
      </c>
      <c r="U382" s="64" t="e">
        <f t="shared" si="124"/>
        <v>#N/A</v>
      </c>
      <c r="V382" s="63">
        <f t="shared" si="114"/>
        <v>1.7563813731296971</v>
      </c>
      <c r="W382" s="63" t="str">
        <f t="shared" si="115"/>
        <v/>
      </c>
      <c r="X382" s="63">
        <f t="shared" si="125"/>
        <v>0</v>
      </c>
      <c r="Y382" s="55"/>
      <c r="Z382" s="55"/>
      <c r="AA382" s="55"/>
      <c r="AB382" s="55">
        <f>PMSplint!N383</f>
        <v>1.5516590947675806</v>
      </c>
      <c r="AC382" s="55">
        <f>PMSplint!N383</f>
        <v>1.5516590947675806</v>
      </c>
      <c r="AD382" s="55">
        <f>IF(RnSplint!N383&lt;0,0,RnSplint!N383)</f>
        <v>6.8002809450704831</v>
      </c>
      <c r="AE382" s="55">
        <f>IF(RnSplint!N383&lt;0,0,RnSplint!N383)</f>
        <v>6.8002809450704831</v>
      </c>
      <c r="AF382" s="30"/>
      <c r="AG382" s="30"/>
      <c r="AH382" s="30"/>
      <c r="AI382" s="55"/>
      <c r="AJ382" s="55"/>
      <c r="AK382" s="55"/>
      <c r="AL382" s="55"/>
      <c r="AM382" s="55"/>
      <c r="AN382" s="55">
        <f t="shared" si="126"/>
        <v>10.551717775393293</v>
      </c>
      <c r="AO382" s="55">
        <f t="shared" si="127"/>
        <v>3.2483407726704558</v>
      </c>
      <c r="AP382" s="55">
        <f t="shared" si="128"/>
        <v>0.78193766533671594</v>
      </c>
      <c r="AQ382" s="55"/>
      <c r="AR382" s="55"/>
      <c r="AS382" s="55"/>
      <c r="AT382" s="55"/>
      <c r="AU382" s="30"/>
      <c r="AV382" s="30"/>
      <c r="AW382" s="2"/>
      <c r="AX382" s="2"/>
    </row>
    <row r="383" spans="1:50" x14ac:dyDescent="0.2">
      <c r="A383" s="2"/>
      <c r="B383" s="61">
        <f t="shared" si="116"/>
        <v>41974</v>
      </c>
      <c r="C383" s="62">
        <f t="shared" si="117"/>
        <v>335</v>
      </c>
      <c r="D383" s="63">
        <f t="shared" si="118"/>
        <v>1.5210747792587174</v>
      </c>
      <c r="G383" s="357" t="str">
        <f>IF(MakeSchedule!C350="","",MakeSchedule!C350)</f>
        <v/>
      </c>
      <c r="H383" s="358"/>
      <c r="I383" s="358"/>
      <c r="J383" s="359" t="str">
        <f>IF(MakeSchedule!B350="","",MakeSchedule!B350)</f>
        <v/>
      </c>
      <c r="K383" s="63">
        <f t="shared" si="109"/>
        <v>1.5210747792587174</v>
      </c>
      <c r="L383" s="63">
        <f t="shared" si="119"/>
        <v>1.5210747792587174</v>
      </c>
      <c r="M383" s="63">
        <f t="shared" si="120"/>
        <v>6.7581520429178994</v>
      </c>
      <c r="N383" s="63" t="str">
        <f t="shared" si="110"/>
        <v/>
      </c>
      <c r="O383" s="64">
        <f t="shared" si="121"/>
        <v>0.79221754219335272</v>
      </c>
      <c r="P383" s="63" t="str">
        <f t="shared" si="122"/>
        <v/>
      </c>
      <c r="Q383" s="64" t="e">
        <f t="shared" si="111"/>
        <v>#N/A</v>
      </c>
      <c r="R383" s="63">
        <f t="shared" si="112"/>
        <v>0.79221754219335272</v>
      </c>
      <c r="S383" s="65">
        <f t="shared" si="113"/>
        <v>0.35</v>
      </c>
      <c r="T383" s="65">
        <f t="shared" si="123"/>
        <v>1.1422175421933527</v>
      </c>
      <c r="U383" s="64" t="e">
        <f t="shared" si="124"/>
        <v>#N/A</v>
      </c>
      <c r="V383" s="63">
        <f t="shared" si="114"/>
        <v>1.7373982958571887</v>
      </c>
      <c r="W383" s="63" t="str">
        <f t="shared" si="115"/>
        <v/>
      </c>
      <c r="X383" s="63">
        <f t="shared" si="125"/>
        <v>0</v>
      </c>
      <c r="Y383" s="55"/>
      <c r="Z383" s="55"/>
      <c r="AA383" s="55"/>
      <c r="AB383" s="55">
        <f>PMSplint!N384</f>
        <v>1.5210747792587174</v>
      </c>
      <c r="AC383" s="55">
        <f>PMSplint!N384</f>
        <v>1.5210747792587174</v>
      </c>
      <c r="AD383" s="55">
        <f>IF(RnSplint!N384&lt;0,0,RnSplint!N384)</f>
        <v>6.7581520429178994</v>
      </c>
      <c r="AE383" s="55">
        <f>IF(RnSplint!N384&lt;0,0,RnSplint!N384)</f>
        <v>6.7581520429178994</v>
      </c>
      <c r="AF383" s="30"/>
      <c r="AG383" s="30"/>
      <c r="AH383" s="30"/>
      <c r="AI383" s="55"/>
      <c r="AJ383" s="55"/>
      <c r="AK383" s="55"/>
      <c r="AL383" s="55"/>
      <c r="AM383" s="55"/>
      <c r="AN383" s="55">
        <f t="shared" si="126"/>
        <v>10.279654626878195</v>
      </c>
      <c r="AO383" s="55">
        <f t="shared" si="127"/>
        <v>3.2061900484653423</v>
      </c>
      <c r="AP383" s="55">
        <f t="shared" si="128"/>
        <v>0.79221754219335272</v>
      </c>
      <c r="AQ383" s="55"/>
      <c r="AR383" s="55"/>
      <c r="AS383" s="55"/>
      <c r="AT383" s="55"/>
      <c r="AU383" s="30"/>
      <c r="AV383" s="30"/>
      <c r="AW383" s="2"/>
      <c r="AX383" s="2"/>
    </row>
    <row r="384" spans="1:50" x14ac:dyDescent="0.2">
      <c r="A384" s="2"/>
      <c r="B384" s="61">
        <f t="shared" si="116"/>
        <v>41975</v>
      </c>
      <c r="C384" s="62">
        <f t="shared" si="117"/>
        <v>336</v>
      </c>
      <c r="D384" s="63">
        <f t="shared" si="118"/>
        <v>1.4914650419799291</v>
      </c>
      <c r="G384" s="357" t="str">
        <f>IF(MakeSchedule!C351="","",MakeSchedule!C351)</f>
        <v/>
      </c>
      <c r="H384" s="358"/>
      <c r="I384" s="358"/>
      <c r="J384" s="359" t="str">
        <f>IF(MakeSchedule!B351="","",MakeSchedule!B351)</f>
        <v/>
      </c>
      <c r="K384" s="63">
        <f t="shared" si="109"/>
        <v>1.4914650419799291</v>
      </c>
      <c r="L384" s="63">
        <f t="shared" si="119"/>
        <v>1.4914650419799291</v>
      </c>
      <c r="M384" s="63">
        <f t="shared" si="120"/>
        <v>6.7223871974171265</v>
      </c>
      <c r="N384" s="63" t="str">
        <f t="shared" si="110"/>
        <v/>
      </c>
      <c r="O384" s="64">
        <f t="shared" si="121"/>
        <v>0.80216815235132988</v>
      </c>
      <c r="P384" s="63" t="str">
        <f t="shared" si="122"/>
        <v/>
      </c>
      <c r="Q384" s="64" t="e">
        <f t="shared" si="111"/>
        <v>#N/A</v>
      </c>
      <c r="R384" s="63">
        <f t="shared" si="112"/>
        <v>0.80216815235132988</v>
      </c>
      <c r="S384" s="65">
        <f t="shared" si="113"/>
        <v>0.35</v>
      </c>
      <c r="T384" s="65">
        <f t="shared" si="123"/>
        <v>1.1521681523513299</v>
      </c>
      <c r="U384" s="64" t="e">
        <f t="shared" si="124"/>
        <v>#N/A</v>
      </c>
      <c r="V384" s="63">
        <f t="shared" si="114"/>
        <v>1.7184185217146135</v>
      </c>
      <c r="W384" s="63" t="str">
        <f t="shared" si="115"/>
        <v/>
      </c>
      <c r="X384" s="63">
        <f t="shared" si="125"/>
        <v>0</v>
      </c>
      <c r="Y384" s="55"/>
      <c r="Z384" s="55"/>
      <c r="AA384" s="55"/>
      <c r="AB384" s="55">
        <f>PMSplint!N385</f>
        <v>1.4914650419799291</v>
      </c>
      <c r="AC384" s="55">
        <f>PMSplint!N385</f>
        <v>1.4914650419799291</v>
      </c>
      <c r="AD384" s="55">
        <f>IF(RnSplint!N385&lt;0,0,RnSplint!N385)</f>
        <v>6.7223871974171265</v>
      </c>
      <c r="AE384" s="55">
        <f>IF(RnSplint!N385&lt;0,0,RnSplint!N385)</f>
        <v>6.7223871974171265</v>
      </c>
      <c r="AF384" s="30"/>
      <c r="AG384" s="30"/>
      <c r="AH384" s="30"/>
      <c r="AI384" s="55"/>
      <c r="AJ384" s="55"/>
      <c r="AK384" s="55"/>
      <c r="AL384" s="55"/>
      <c r="AM384" s="55"/>
      <c r="AN384" s="55">
        <f t="shared" si="126"/>
        <v>10.026205503601073</v>
      </c>
      <c r="AO384" s="55">
        <f t="shared" si="127"/>
        <v>3.1664184031174831</v>
      </c>
      <c r="AP384" s="55">
        <f t="shared" si="128"/>
        <v>0.80216815235132988</v>
      </c>
      <c r="AQ384" s="55"/>
      <c r="AR384" s="55"/>
      <c r="AS384" s="55"/>
      <c r="AT384" s="55"/>
      <c r="AU384" s="30"/>
      <c r="AV384" s="30"/>
      <c r="AW384" s="2"/>
      <c r="AX384" s="2"/>
    </row>
    <row r="385" spans="1:50" x14ac:dyDescent="0.2">
      <c r="A385" s="2"/>
      <c r="B385" s="61">
        <f t="shared" si="116"/>
        <v>41976</v>
      </c>
      <c r="C385" s="62">
        <f t="shared" si="117"/>
        <v>337</v>
      </c>
      <c r="D385" s="63">
        <f t="shared" si="118"/>
        <v>1.4628002427066904</v>
      </c>
      <c r="G385" s="357" t="str">
        <f>IF(MakeSchedule!C352="","",MakeSchedule!C352)</f>
        <v/>
      </c>
      <c r="H385" s="358"/>
      <c r="I385" s="358"/>
      <c r="J385" s="359" t="str">
        <f>IF(MakeSchedule!B352="","",MakeSchedule!B352)</f>
        <v/>
      </c>
      <c r="K385" s="63">
        <f t="shared" si="109"/>
        <v>1.4628002427066904</v>
      </c>
      <c r="L385" s="63">
        <f t="shared" si="119"/>
        <v>1.4628002427066904</v>
      </c>
      <c r="M385" s="63">
        <f t="shared" si="120"/>
        <v>6.692070128125696</v>
      </c>
      <c r="N385" s="63" t="str">
        <f t="shared" si="110"/>
        <v/>
      </c>
      <c r="O385" s="64">
        <f t="shared" si="121"/>
        <v>0.81182227428581077</v>
      </c>
      <c r="P385" s="63" t="str">
        <f t="shared" si="122"/>
        <v/>
      </c>
      <c r="Q385" s="64" t="e">
        <f t="shared" si="111"/>
        <v>#N/A</v>
      </c>
      <c r="R385" s="63">
        <f t="shared" si="112"/>
        <v>0.81182227428581077</v>
      </c>
      <c r="S385" s="65">
        <f t="shared" si="113"/>
        <v>0.35</v>
      </c>
      <c r="T385" s="65">
        <f t="shared" si="123"/>
        <v>1.1618222742858109</v>
      </c>
      <c r="U385" s="64" t="e">
        <f t="shared" si="124"/>
        <v>#N/A</v>
      </c>
      <c r="V385" s="63">
        <f t="shared" si="114"/>
        <v>1.6995139048073231</v>
      </c>
      <c r="W385" s="63" t="str">
        <f t="shared" si="115"/>
        <v/>
      </c>
      <c r="X385" s="63">
        <f t="shared" si="125"/>
        <v>0</v>
      </c>
      <c r="Y385" s="55"/>
      <c r="Z385" s="55"/>
      <c r="AA385" s="55"/>
      <c r="AB385" s="55">
        <f>PMSplint!N386</f>
        <v>1.4628002427066904</v>
      </c>
      <c r="AC385" s="55">
        <f>PMSplint!N386</f>
        <v>1.4628002427066904</v>
      </c>
      <c r="AD385" s="55">
        <f>IF(RnSplint!N386&lt;0,0,RnSplint!N386)</f>
        <v>6.692070128125696</v>
      </c>
      <c r="AE385" s="55">
        <f>IF(RnSplint!N386&lt;0,0,RnSplint!N386)</f>
        <v>6.692070128125696</v>
      </c>
      <c r="AF385" s="30"/>
      <c r="AG385" s="30"/>
      <c r="AH385" s="30"/>
      <c r="AI385" s="55"/>
      <c r="AJ385" s="55"/>
      <c r="AK385" s="55"/>
      <c r="AL385" s="55"/>
      <c r="AM385" s="55"/>
      <c r="AN385" s="55">
        <f t="shared" si="126"/>
        <v>9.7891618076324605</v>
      </c>
      <c r="AO385" s="55">
        <f t="shared" si="127"/>
        <v>3.1287636228440876</v>
      </c>
      <c r="AP385" s="55">
        <f t="shared" si="128"/>
        <v>0.81182227428581077</v>
      </c>
      <c r="AQ385" s="55"/>
      <c r="AR385" s="55"/>
      <c r="AS385" s="55"/>
      <c r="AT385" s="55"/>
      <c r="AU385" s="30"/>
      <c r="AV385" s="30"/>
      <c r="AW385" s="2"/>
      <c r="AX385" s="2"/>
    </row>
    <row r="386" spans="1:50" x14ac:dyDescent="0.2">
      <c r="A386" s="2"/>
      <c r="B386" s="61">
        <f t="shared" si="116"/>
        <v>41977</v>
      </c>
      <c r="C386" s="62">
        <f t="shared" si="117"/>
        <v>338</v>
      </c>
      <c r="D386" s="63">
        <f t="shared" si="118"/>
        <v>1.4350507412144755</v>
      </c>
      <c r="G386" s="357" t="str">
        <f>IF(MakeSchedule!C353="","",MakeSchedule!C353)</f>
        <v/>
      </c>
      <c r="H386" s="358"/>
      <c r="I386" s="358"/>
      <c r="J386" s="359" t="str">
        <f>IF(MakeSchedule!B353="","",MakeSchedule!B353)</f>
        <v/>
      </c>
      <c r="K386" s="63">
        <f t="shared" si="109"/>
        <v>1.4350507412144755</v>
      </c>
      <c r="L386" s="63">
        <f t="shared" si="119"/>
        <v>1.4350507412144755</v>
      </c>
      <c r="M386" s="63">
        <f t="shared" si="120"/>
        <v>6.6662845546011429</v>
      </c>
      <c r="N386" s="63" t="str">
        <f t="shared" si="110"/>
        <v/>
      </c>
      <c r="O386" s="64">
        <f t="shared" si="121"/>
        <v>0.82121744041380584</v>
      </c>
      <c r="P386" s="63" t="str">
        <f t="shared" si="122"/>
        <v/>
      </c>
      <c r="Q386" s="64" t="e">
        <f t="shared" si="111"/>
        <v>#N/A</v>
      </c>
      <c r="R386" s="63">
        <f t="shared" si="112"/>
        <v>0.82121744041380584</v>
      </c>
      <c r="S386" s="65">
        <f t="shared" si="113"/>
        <v>0.35</v>
      </c>
      <c r="T386" s="65">
        <f t="shared" si="123"/>
        <v>1.1712174404138058</v>
      </c>
      <c r="U386" s="64" t="e">
        <f t="shared" si="124"/>
        <v>#N/A</v>
      </c>
      <c r="V386" s="63">
        <f t="shared" si="114"/>
        <v>1.6807564559891528</v>
      </c>
      <c r="W386" s="63" t="str">
        <f t="shared" si="115"/>
        <v/>
      </c>
      <c r="X386" s="63">
        <f t="shared" si="125"/>
        <v>0</v>
      </c>
      <c r="Y386" s="55"/>
      <c r="Z386" s="55"/>
      <c r="AA386" s="55"/>
      <c r="AB386" s="55">
        <f>PMSplint!N387</f>
        <v>1.4350507412144755</v>
      </c>
      <c r="AC386" s="55">
        <f>PMSplint!N387</f>
        <v>1.4350507412144755</v>
      </c>
      <c r="AD386" s="55">
        <f>IF(RnSplint!N387&lt;0,0,RnSplint!N387)</f>
        <v>6.6662845546011429</v>
      </c>
      <c r="AE386" s="55">
        <f>IF(RnSplint!N387&lt;0,0,RnSplint!N387)</f>
        <v>6.6662845546011429</v>
      </c>
      <c r="AF386" s="30"/>
      <c r="AG386" s="30"/>
      <c r="AH386" s="30"/>
      <c r="AI386" s="55"/>
      <c r="AJ386" s="55"/>
      <c r="AK386" s="55"/>
      <c r="AL386" s="55"/>
      <c r="AM386" s="55"/>
      <c r="AN386" s="55">
        <f t="shared" si="126"/>
        <v>9.566456591226979</v>
      </c>
      <c r="AO386" s="55">
        <f t="shared" si="127"/>
        <v>3.0929688959359063</v>
      </c>
      <c r="AP386" s="55">
        <f t="shared" si="128"/>
        <v>0.82121744041380584</v>
      </c>
      <c r="AQ386" s="55"/>
      <c r="AR386" s="55"/>
      <c r="AS386" s="55"/>
      <c r="AT386" s="55"/>
      <c r="AU386" s="30"/>
      <c r="AV386" s="30"/>
      <c r="AW386" s="2"/>
      <c r="AX386" s="2"/>
    </row>
    <row r="387" spans="1:50" x14ac:dyDescent="0.2">
      <c r="A387" s="2"/>
      <c r="B387" s="61">
        <f t="shared" si="116"/>
        <v>41978</v>
      </c>
      <c r="C387" s="62">
        <f t="shared" si="117"/>
        <v>339</v>
      </c>
      <c r="D387" s="63">
        <f t="shared" si="118"/>
        <v>1.4081868972787577</v>
      </c>
      <c r="G387" s="357" t="str">
        <f>IF(MakeSchedule!C354="","",MakeSchedule!C354)</f>
        <v/>
      </c>
      <c r="H387" s="358"/>
      <c r="I387" s="358"/>
      <c r="J387" s="359">
        <f>IF(MakeSchedule!B354="","",MakeSchedule!B354)</f>
        <v>35</v>
      </c>
      <c r="K387" s="63">
        <f t="shared" si="109"/>
        <v>1.4081868972787577</v>
      </c>
      <c r="L387" s="63">
        <f t="shared" si="119"/>
        <v>1.4081868972787577</v>
      </c>
      <c r="M387" s="63">
        <f t="shared" si="120"/>
        <v>6.6441141964009951</v>
      </c>
      <c r="N387" s="63" t="str">
        <f t="shared" si="110"/>
        <v/>
      </c>
      <c r="O387" s="64">
        <f t="shared" si="121"/>
        <v>0.83039556867699849</v>
      </c>
      <c r="P387" s="63" t="str">
        <f t="shared" si="122"/>
        <v/>
      </c>
      <c r="Q387" s="64" t="e">
        <f t="shared" si="111"/>
        <v>#N/A</v>
      </c>
      <c r="R387" s="63">
        <f t="shared" si="112"/>
        <v>0.83039556867699849</v>
      </c>
      <c r="S387" s="65">
        <f t="shared" si="113"/>
        <v>0.35</v>
      </c>
      <c r="T387" s="65">
        <f t="shared" si="123"/>
        <v>1.1803955686769985</v>
      </c>
      <c r="U387" s="64" t="e">
        <f t="shared" si="124"/>
        <v>#N/A</v>
      </c>
      <c r="V387" s="63">
        <f t="shared" si="114"/>
        <v>1.6622175734168572</v>
      </c>
      <c r="W387" s="63" t="str">
        <f t="shared" si="115"/>
        <v/>
      </c>
      <c r="X387" s="63">
        <f t="shared" si="125"/>
        <v>0</v>
      </c>
      <c r="Y387" s="55"/>
      <c r="Z387" s="55"/>
      <c r="AA387" s="55"/>
      <c r="AB387" s="55">
        <f>PMSplint!N388</f>
        <v>1.4081868972787577</v>
      </c>
      <c r="AC387" s="55">
        <f>PMSplint!N388</f>
        <v>1.4081868972787577</v>
      </c>
      <c r="AD387" s="55">
        <f>IF(RnSplint!N388&lt;0,0,RnSplint!N388)</f>
        <v>6.6441141964009951</v>
      </c>
      <c r="AE387" s="55">
        <f>IF(RnSplint!N388&lt;0,0,RnSplint!N388)</f>
        <v>6.6441141964009951</v>
      </c>
      <c r="AF387" s="30"/>
      <c r="AG387" s="30"/>
      <c r="AH387" s="30"/>
      <c r="AI387" s="55"/>
      <c r="AJ387" s="55"/>
      <c r="AK387" s="55"/>
      <c r="AL387" s="55"/>
      <c r="AM387" s="55"/>
      <c r="AN387" s="55">
        <f t="shared" si="126"/>
        <v>9.3561545553956638</v>
      </c>
      <c r="AO387" s="55">
        <f t="shared" si="127"/>
        <v>3.0587831821486895</v>
      </c>
      <c r="AP387" s="55">
        <f t="shared" si="128"/>
        <v>0.83039556867699849</v>
      </c>
      <c r="AQ387" s="55"/>
      <c r="AR387" s="55"/>
      <c r="AS387" s="55"/>
      <c r="AT387" s="55"/>
      <c r="AU387" s="30"/>
      <c r="AV387" s="30"/>
      <c r="AW387" s="2"/>
      <c r="AX387" s="2"/>
    </row>
    <row r="388" spans="1:50" x14ac:dyDescent="0.2">
      <c r="A388" s="2"/>
      <c r="B388" s="61">
        <f t="shared" si="116"/>
        <v>41979</v>
      </c>
      <c r="C388" s="62">
        <f t="shared" si="117"/>
        <v>340</v>
      </c>
      <c r="D388" s="63">
        <f t="shared" si="118"/>
        <v>1.3821790706750117</v>
      </c>
      <c r="G388" s="357" t="str">
        <f>IF(MakeSchedule!C355="","",MakeSchedule!C355)</f>
        <v/>
      </c>
      <c r="H388" s="358"/>
      <c r="I388" s="358"/>
      <c r="J388" s="359" t="str">
        <f>IF(MakeSchedule!B355="","",MakeSchedule!B355)</f>
        <v/>
      </c>
      <c r="K388" s="63">
        <f t="shared" si="109"/>
        <v>1.3821790706750117</v>
      </c>
      <c r="L388" s="63">
        <f t="shared" si="119"/>
        <v>1.3821790706750117</v>
      </c>
      <c r="M388" s="63">
        <f t="shared" si="120"/>
        <v>6.6246427730827904</v>
      </c>
      <c r="N388" s="63" t="str">
        <f t="shared" si="110"/>
        <v/>
      </c>
      <c r="O388" s="64">
        <f t="shared" si="121"/>
        <v>0.83940263501895496</v>
      </c>
      <c r="P388" s="63" t="str">
        <f t="shared" si="122"/>
        <v/>
      </c>
      <c r="Q388" s="64" t="e">
        <f t="shared" si="111"/>
        <v>#N/A</v>
      </c>
      <c r="R388" s="63">
        <f t="shared" si="112"/>
        <v>0.83940263501895496</v>
      </c>
      <c r="S388" s="65">
        <f t="shared" si="113"/>
        <v>0.35</v>
      </c>
      <c r="T388" s="65">
        <f t="shared" si="123"/>
        <v>1.189402635018955</v>
      </c>
      <c r="U388" s="64" t="e">
        <f t="shared" si="124"/>
        <v>#N/A</v>
      </c>
      <c r="V388" s="63">
        <f t="shared" si="114"/>
        <v>1.6439674287289094</v>
      </c>
      <c r="W388" s="63" t="str">
        <f t="shared" si="115"/>
        <v/>
      </c>
      <c r="X388" s="63">
        <f t="shared" si="125"/>
        <v>0</v>
      </c>
      <c r="Y388" s="55"/>
      <c r="Z388" s="55"/>
      <c r="AA388" s="55"/>
      <c r="AB388" s="55">
        <f>PMSplint!N389</f>
        <v>1.3821790706750117</v>
      </c>
      <c r="AC388" s="55">
        <f>PMSplint!N389</f>
        <v>1.3821790706750117</v>
      </c>
      <c r="AD388" s="55">
        <f>IF(RnSplint!N389&lt;0,0,RnSplint!N389)</f>
        <v>6.6246427730827904</v>
      </c>
      <c r="AE388" s="55">
        <f>IF(RnSplint!N389&lt;0,0,RnSplint!N389)</f>
        <v>6.6246427730827904</v>
      </c>
      <c r="AF388" s="30"/>
      <c r="AG388" s="30"/>
      <c r="AH388" s="30"/>
      <c r="AI388" s="55"/>
      <c r="AJ388" s="55"/>
      <c r="AK388" s="55"/>
      <c r="AL388" s="55"/>
      <c r="AM388" s="55"/>
      <c r="AN388" s="55">
        <f t="shared" si="126"/>
        <v>9.1564425916535033</v>
      </c>
      <c r="AO388" s="55">
        <f t="shared" si="127"/>
        <v>3.0259614326117084</v>
      </c>
      <c r="AP388" s="55">
        <f t="shared" si="128"/>
        <v>0.83940263501895496</v>
      </c>
      <c r="AQ388" s="55"/>
      <c r="AR388" s="55"/>
      <c r="AS388" s="55"/>
      <c r="AT388" s="55"/>
      <c r="AU388" s="30"/>
      <c r="AV388" s="30"/>
      <c r="AW388" s="2"/>
      <c r="AX388" s="2"/>
    </row>
    <row r="389" spans="1:50" x14ac:dyDescent="0.2">
      <c r="A389" s="2"/>
      <c r="B389" s="61">
        <f t="shared" si="116"/>
        <v>41980</v>
      </c>
      <c r="C389" s="62">
        <f t="shared" si="117"/>
        <v>341</v>
      </c>
      <c r="D389" s="63">
        <f t="shared" si="118"/>
        <v>1.3569976211787114</v>
      </c>
      <c r="G389" s="357" t="str">
        <f>IF(MakeSchedule!C356="","",MakeSchedule!C356)</f>
        <v/>
      </c>
      <c r="H389" s="358"/>
      <c r="I389" s="358"/>
      <c r="J389" s="359" t="str">
        <f>IF(MakeSchedule!B356="","",MakeSchedule!B356)</f>
        <v/>
      </c>
      <c r="K389" s="63">
        <f t="shared" si="109"/>
        <v>1.3569976211787114</v>
      </c>
      <c r="L389" s="63">
        <f t="shared" si="119"/>
        <v>1.3569976211787114</v>
      </c>
      <c r="M389" s="63">
        <f t="shared" si="120"/>
        <v>6.6069540042040558</v>
      </c>
      <c r="N389" s="63" t="str">
        <f t="shared" si="110"/>
        <v/>
      </c>
      <c r="O389" s="64">
        <f t="shared" si="121"/>
        <v>0.84828840687196383</v>
      </c>
      <c r="P389" s="63" t="str">
        <f t="shared" si="122"/>
        <v/>
      </c>
      <c r="Q389" s="64" t="e">
        <f t="shared" si="111"/>
        <v>#N/A</v>
      </c>
      <c r="R389" s="63">
        <f t="shared" si="112"/>
        <v>0.84828840687196383</v>
      </c>
      <c r="S389" s="65">
        <f t="shared" si="113"/>
        <v>0.35</v>
      </c>
      <c r="T389" s="65">
        <f t="shared" si="123"/>
        <v>1.1982884068719639</v>
      </c>
      <c r="U389" s="64" t="e">
        <f t="shared" si="124"/>
        <v>#N/A</v>
      </c>
      <c r="V389" s="63">
        <f t="shared" si="114"/>
        <v>1.6260745176112827</v>
      </c>
      <c r="W389" s="63" t="str">
        <f t="shared" si="115"/>
        <v/>
      </c>
      <c r="X389" s="63">
        <f t="shared" si="125"/>
        <v>0</v>
      </c>
      <c r="Y389" s="55"/>
      <c r="Z389" s="55"/>
      <c r="AA389" s="55"/>
      <c r="AB389" s="55">
        <f>PMSplint!N390</f>
        <v>1.3569976211787114</v>
      </c>
      <c r="AC389" s="55">
        <f>PMSplint!N390</f>
        <v>1.3569976211787114</v>
      </c>
      <c r="AD389" s="55">
        <f>IF(RnSplint!N390&lt;0,0,RnSplint!N390)</f>
        <v>6.6069540042040558</v>
      </c>
      <c r="AE389" s="55">
        <f>IF(RnSplint!N390&lt;0,0,RnSplint!N390)</f>
        <v>6.6069540042040558</v>
      </c>
      <c r="AF389" s="30"/>
      <c r="AG389" s="30"/>
      <c r="AH389" s="30"/>
      <c r="AI389" s="55"/>
      <c r="AJ389" s="55"/>
      <c r="AK389" s="55"/>
      <c r="AL389" s="55"/>
      <c r="AM389" s="55"/>
      <c r="AN389" s="55">
        <f t="shared" si="126"/>
        <v>8.9656208669420661</v>
      </c>
      <c r="AO389" s="55">
        <f t="shared" si="127"/>
        <v>2.9942646621402833</v>
      </c>
      <c r="AP389" s="55">
        <f t="shared" si="128"/>
        <v>0.84828840687196383</v>
      </c>
      <c r="AQ389" s="55"/>
      <c r="AR389" s="55"/>
      <c r="AS389" s="55"/>
      <c r="AT389" s="55"/>
      <c r="AU389" s="30"/>
      <c r="AV389" s="30"/>
      <c r="AW389" s="2"/>
      <c r="AX389" s="2"/>
    </row>
    <row r="390" spans="1:50" x14ac:dyDescent="0.2">
      <c r="A390" s="2"/>
      <c r="B390" s="61">
        <f t="shared" si="116"/>
        <v>41981</v>
      </c>
      <c r="C390" s="62">
        <f t="shared" si="117"/>
        <v>342</v>
      </c>
      <c r="D390" s="63">
        <f t="shared" si="118"/>
        <v>1.3326129085653315</v>
      </c>
      <c r="G390" s="357" t="str">
        <f>IF(MakeSchedule!C357="","",MakeSchedule!C357)</f>
        <v/>
      </c>
      <c r="H390" s="358"/>
      <c r="I390" s="358"/>
      <c r="J390" s="359" t="str">
        <f>IF(MakeSchedule!B357="","",MakeSchedule!B357)</f>
        <v/>
      </c>
      <c r="K390" s="63">
        <f t="shared" si="109"/>
        <v>1.3326129085653315</v>
      </c>
      <c r="L390" s="63">
        <f t="shared" si="119"/>
        <v>1.3326129085653315</v>
      </c>
      <c r="M390" s="63">
        <f t="shared" si="120"/>
        <v>6.590131609322329</v>
      </c>
      <c r="N390" s="63" t="str">
        <f t="shared" si="110"/>
        <v/>
      </c>
      <c r="O390" s="64">
        <f t="shared" si="121"/>
        <v>0.85710625556023301</v>
      </c>
      <c r="P390" s="63" t="str">
        <f t="shared" si="122"/>
        <v/>
      </c>
      <c r="Q390" s="64" t="e">
        <f t="shared" si="111"/>
        <v>#N/A</v>
      </c>
      <c r="R390" s="63">
        <f t="shared" si="112"/>
        <v>0.85710625556023301</v>
      </c>
      <c r="S390" s="65">
        <f t="shared" si="113"/>
        <v>0.35</v>
      </c>
      <c r="T390" s="65">
        <f t="shared" si="123"/>
        <v>1.2</v>
      </c>
      <c r="U390" s="64" t="e">
        <f t="shared" si="124"/>
        <v>#N/A</v>
      </c>
      <c r="V390" s="63">
        <f t="shared" si="114"/>
        <v>1.5991354902783979</v>
      </c>
      <c r="W390" s="63" t="str">
        <f t="shared" si="115"/>
        <v/>
      </c>
      <c r="X390" s="63">
        <f t="shared" si="125"/>
        <v>0</v>
      </c>
      <c r="Y390" s="55"/>
      <c r="Z390" s="55"/>
      <c r="AA390" s="55"/>
      <c r="AB390" s="55">
        <f>PMSplint!N391</f>
        <v>1.3326129085653315</v>
      </c>
      <c r="AC390" s="55">
        <f>PMSplint!N391</f>
        <v>1.3326129085653315</v>
      </c>
      <c r="AD390" s="55">
        <f>IF(RnSplint!N391&lt;0,0,RnSplint!N391)</f>
        <v>6.590131609322329</v>
      </c>
      <c r="AE390" s="55">
        <f>IF(RnSplint!N391&lt;0,0,RnSplint!N391)</f>
        <v>6.590131609322329</v>
      </c>
      <c r="AF390" s="30"/>
      <c r="AG390" s="30"/>
      <c r="AH390" s="30"/>
      <c r="AI390" s="55"/>
      <c r="AJ390" s="55"/>
      <c r="AK390" s="55"/>
      <c r="AL390" s="55"/>
      <c r="AM390" s="55"/>
      <c r="AN390" s="55">
        <f t="shared" si="126"/>
        <v>8.7820944517273585</v>
      </c>
      <c r="AO390" s="55">
        <f t="shared" si="127"/>
        <v>2.963459878541864</v>
      </c>
      <c r="AP390" s="55">
        <f t="shared" si="128"/>
        <v>0.85710625556023301</v>
      </c>
      <c r="AQ390" s="55"/>
      <c r="AR390" s="55"/>
      <c r="AS390" s="55"/>
      <c r="AT390" s="55"/>
      <c r="AU390" s="30"/>
      <c r="AV390" s="30"/>
      <c r="AW390" s="2"/>
      <c r="AX390" s="2"/>
    </row>
    <row r="391" spans="1:50" x14ac:dyDescent="0.2">
      <c r="A391" s="2"/>
      <c r="B391" s="61">
        <f t="shared" si="116"/>
        <v>41982</v>
      </c>
      <c r="C391" s="62">
        <f t="shared" si="117"/>
        <v>343</v>
      </c>
      <c r="D391" s="63">
        <f t="shared" si="118"/>
        <v>1.3089952926103454</v>
      </c>
      <c r="G391" s="357" t="str">
        <f>IF(MakeSchedule!C358="","",MakeSchedule!C358)</f>
        <v/>
      </c>
      <c r="H391" s="358"/>
      <c r="I391" s="358"/>
      <c r="J391" s="359" t="str">
        <f>IF(MakeSchedule!B358="","",MakeSchedule!B358)</f>
        <v/>
      </c>
      <c r="K391" s="63">
        <f t="shared" si="109"/>
        <v>1.3089952926103454</v>
      </c>
      <c r="L391" s="63">
        <f t="shared" si="119"/>
        <v>1.3089952926103454</v>
      </c>
      <c r="M391" s="63">
        <f t="shared" si="120"/>
        <v>6.5732593079951407</v>
      </c>
      <c r="N391" s="63" t="str">
        <f t="shared" si="110"/>
        <v/>
      </c>
      <c r="O391" s="64">
        <f t="shared" si="121"/>
        <v>0.86591306366642806</v>
      </c>
      <c r="P391" s="63" t="str">
        <f t="shared" si="122"/>
        <v/>
      </c>
      <c r="Q391" s="64" t="e">
        <f t="shared" si="111"/>
        <v>#N/A</v>
      </c>
      <c r="R391" s="63">
        <f t="shared" si="112"/>
        <v>0.86591306366642806</v>
      </c>
      <c r="S391" s="65">
        <f t="shared" si="113"/>
        <v>0.35</v>
      </c>
      <c r="T391" s="65">
        <f t="shared" si="123"/>
        <v>1.2</v>
      </c>
      <c r="U391" s="64" t="e">
        <f t="shared" si="124"/>
        <v>#N/A</v>
      </c>
      <c r="V391" s="63">
        <f t="shared" si="114"/>
        <v>1.5707943511324145</v>
      </c>
      <c r="W391" s="63" t="str">
        <f t="shared" si="115"/>
        <v/>
      </c>
      <c r="X391" s="63">
        <f t="shared" si="125"/>
        <v>0</v>
      </c>
      <c r="Y391" s="55"/>
      <c r="Z391" s="55"/>
      <c r="AA391" s="55"/>
      <c r="AB391" s="55">
        <f>PMSplint!N392</f>
        <v>1.3089952926103454</v>
      </c>
      <c r="AC391" s="55">
        <f>PMSplint!N392</f>
        <v>1.3089952926103454</v>
      </c>
      <c r="AD391" s="55">
        <f>IF(RnSplint!N392&lt;0,0,RnSplint!N392)</f>
        <v>6.5732593079951407</v>
      </c>
      <c r="AE391" s="55">
        <f>IF(RnSplint!N392&lt;0,0,RnSplint!N392)</f>
        <v>6.5732593079951407</v>
      </c>
      <c r="AF391" s="30"/>
      <c r="AG391" s="30"/>
      <c r="AH391" s="30"/>
      <c r="AI391" s="55"/>
      <c r="AJ391" s="55"/>
      <c r="AK391" s="55"/>
      <c r="AL391" s="55"/>
      <c r="AM391" s="55"/>
      <c r="AN391" s="55">
        <f t="shared" si="126"/>
        <v>8.6043654912727749</v>
      </c>
      <c r="AO391" s="55">
        <f t="shared" si="127"/>
        <v>2.9333198753754721</v>
      </c>
      <c r="AP391" s="55">
        <f t="shared" si="128"/>
        <v>0.86591306366642806</v>
      </c>
      <c r="AQ391" s="55"/>
      <c r="AR391" s="55"/>
      <c r="AS391" s="55"/>
      <c r="AT391" s="55"/>
      <c r="AU391" s="30"/>
      <c r="AV391" s="30"/>
      <c r="AW391" s="2"/>
      <c r="AX391" s="2"/>
    </row>
    <row r="392" spans="1:50" x14ac:dyDescent="0.2">
      <c r="A392" s="2"/>
      <c r="B392" s="61">
        <f t="shared" si="116"/>
        <v>41983</v>
      </c>
      <c r="C392" s="62">
        <f t="shared" si="117"/>
        <v>344</v>
      </c>
      <c r="D392" s="63">
        <f t="shared" si="118"/>
        <v>1.2861151330892273</v>
      </c>
      <c r="G392" s="357" t="str">
        <f>IF(MakeSchedule!C359="","",MakeSchedule!C359)</f>
        <v/>
      </c>
      <c r="H392" s="358"/>
      <c r="I392" s="358"/>
      <c r="J392" s="359" t="str">
        <f>IF(MakeSchedule!B359="","",MakeSchedule!B359)</f>
        <v/>
      </c>
      <c r="K392" s="63">
        <f t="shared" si="109"/>
        <v>1.2861151330892273</v>
      </c>
      <c r="L392" s="63">
        <f t="shared" si="119"/>
        <v>1.2861151330892273</v>
      </c>
      <c r="M392" s="63">
        <f t="shared" si="120"/>
        <v>6.5554208197800214</v>
      </c>
      <c r="N392" s="63" t="str">
        <f t="shared" si="110"/>
        <v/>
      </c>
      <c r="O392" s="64">
        <f t="shared" si="121"/>
        <v>0.87476924218142249</v>
      </c>
      <c r="P392" s="63" t="str">
        <f t="shared" si="122"/>
        <v/>
      </c>
      <c r="Q392" s="64" t="e">
        <f t="shared" si="111"/>
        <v>#N/A</v>
      </c>
      <c r="R392" s="63">
        <f t="shared" si="112"/>
        <v>0.87476924218142249</v>
      </c>
      <c r="S392" s="65">
        <f t="shared" si="113"/>
        <v>0.35</v>
      </c>
      <c r="T392" s="65">
        <f t="shared" si="123"/>
        <v>1.2</v>
      </c>
      <c r="U392" s="64" t="e">
        <f t="shared" si="124"/>
        <v>#N/A</v>
      </c>
      <c r="V392" s="63">
        <f t="shared" si="114"/>
        <v>1.5433381597070728</v>
      </c>
      <c r="W392" s="63" t="str">
        <f t="shared" si="115"/>
        <v/>
      </c>
      <c r="X392" s="63">
        <f t="shared" si="125"/>
        <v>0</v>
      </c>
      <c r="Y392" s="55"/>
      <c r="Z392" s="55"/>
      <c r="AA392" s="55"/>
      <c r="AB392" s="55">
        <f>PMSplint!N393</f>
        <v>1.2861151330892273</v>
      </c>
      <c r="AC392" s="55">
        <f>PMSplint!N393</f>
        <v>1.2861151330892273</v>
      </c>
      <c r="AD392" s="55">
        <f>IF(RnSplint!N393&lt;0,0,RnSplint!N393)</f>
        <v>6.5554208197800214</v>
      </c>
      <c r="AE392" s="55">
        <f>IF(RnSplint!N393&lt;0,0,RnSplint!N393)</f>
        <v>6.5554208197800214</v>
      </c>
      <c r="AF392" s="30"/>
      <c r="AG392" s="30"/>
      <c r="AH392" s="30"/>
      <c r="AI392" s="55"/>
      <c r="AJ392" s="55"/>
      <c r="AK392" s="55"/>
      <c r="AL392" s="55"/>
      <c r="AM392" s="55"/>
      <c r="AN392" s="55">
        <f t="shared" si="126"/>
        <v>8.4310259200872739</v>
      </c>
      <c r="AO392" s="55">
        <f t="shared" si="127"/>
        <v>2.9036228956404226</v>
      </c>
      <c r="AP392" s="55">
        <f t="shared" si="128"/>
        <v>0.87476924218142249</v>
      </c>
      <c r="AQ392" s="55"/>
      <c r="AR392" s="55"/>
      <c r="AS392" s="55"/>
      <c r="AT392" s="55"/>
      <c r="AU392" s="30"/>
      <c r="AV392" s="30"/>
      <c r="AW392" s="2"/>
      <c r="AX392" s="2"/>
    </row>
    <row r="393" spans="1:50" x14ac:dyDescent="0.2">
      <c r="A393" s="2"/>
      <c r="B393" s="61">
        <f t="shared" si="116"/>
        <v>41984</v>
      </c>
      <c r="C393" s="62">
        <f t="shared" si="117"/>
        <v>345</v>
      </c>
      <c r="D393" s="63">
        <f t="shared" si="118"/>
        <v>1.2639427897774516</v>
      </c>
      <c r="G393" s="357" t="str">
        <f>IF(MakeSchedule!C360="","",MakeSchedule!C360)</f>
        <v/>
      </c>
      <c r="H393" s="358"/>
      <c r="I393" s="358"/>
      <c r="J393" s="359" t="str">
        <f>IF(MakeSchedule!B360="","",MakeSchedule!B360)</f>
        <v/>
      </c>
      <c r="K393" s="63">
        <f t="shared" si="109"/>
        <v>1.2639427897774516</v>
      </c>
      <c r="L393" s="63">
        <f t="shared" si="119"/>
        <v>1.2639427897774516</v>
      </c>
      <c r="M393" s="63">
        <f t="shared" si="120"/>
        <v>6.5356998642345063</v>
      </c>
      <c r="N393" s="63" t="str">
        <f t="shared" si="110"/>
        <v/>
      </c>
      <c r="O393" s="64">
        <f t="shared" si="121"/>
        <v>0.88373887191511724</v>
      </c>
      <c r="P393" s="63" t="str">
        <f t="shared" si="122"/>
        <v/>
      </c>
      <c r="Q393" s="64" t="e">
        <f t="shared" si="111"/>
        <v>#N/A</v>
      </c>
      <c r="R393" s="63">
        <f t="shared" si="112"/>
        <v>0.88373887191511724</v>
      </c>
      <c r="S393" s="65">
        <f t="shared" si="113"/>
        <v>0.35</v>
      </c>
      <c r="T393" s="65">
        <f t="shared" si="123"/>
        <v>1.2</v>
      </c>
      <c r="U393" s="64" t="e">
        <f t="shared" si="124"/>
        <v>#N/A</v>
      </c>
      <c r="V393" s="63">
        <f t="shared" si="114"/>
        <v>1.5167313477329418</v>
      </c>
      <c r="W393" s="63" t="str">
        <f t="shared" si="115"/>
        <v/>
      </c>
      <c r="X393" s="63">
        <f t="shared" si="125"/>
        <v>0</v>
      </c>
      <c r="Y393" s="55"/>
      <c r="Z393" s="55"/>
      <c r="AA393" s="55"/>
      <c r="AB393" s="55">
        <f>PMSplint!N394</f>
        <v>1.2639427897774516</v>
      </c>
      <c r="AC393" s="55">
        <f>PMSplint!N394</f>
        <v>1.2639427897774516</v>
      </c>
      <c r="AD393" s="55">
        <f>IF(RnSplint!N394&lt;0,0,RnSplint!N394)</f>
        <v>6.5356998642345063</v>
      </c>
      <c r="AE393" s="55">
        <f>IF(RnSplint!N394&lt;0,0,RnSplint!N394)</f>
        <v>6.5356998642345063</v>
      </c>
      <c r="AF393" s="30"/>
      <c r="AG393" s="30"/>
      <c r="AH393" s="30"/>
      <c r="AI393" s="55"/>
      <c r="AJ393" s="55"/>
      <c r="AK393" s="55"/>
      <c r="AL393" s="55"/>
      <c r="AM393" s="55"/>
      <c r="AN393" s="55">
        <f t="shared" si="126"/>
        <v>8.2607507195486729</v>
      </c>
      <c r="AO393" s="55">
        <f t="shared" si="127"/>
        <v>2.8741521740417073</v>
      </c>
      <c r="AP393" s="55">
        <f t="shared" si="128"/>
        <v>0.88373887191511724</v>
      </c>
      <c r="AQ393" s="55"/>
      <c r="AR393" s="55"/>
      <c r="AS393" s="55"/>
      <c r="AT393" s="55"/>
      <c r="AU393" s="30"/>
      <c r="AV393" s="30"/>
      <c r="AW393" s="2"/>
      <c r="AX393" s="2"/>
    </row>
    <row r="394" spans="1:50" x14ac:dyDescent="0.2">
      <c r="A394" s="2"/>
      <c r="B394" s="61">
        <f t="shared" si="116"/>
        <v>41985</v>
      </c>
      <c r="C394" s="62">
        <f t="shared" si="117"/>
        <v>346</v>
      </c>
      <c r="D394" s="63">
        <f t="shared" si="118"/>
        <v>1.2424486224504925</v>
      </c>
      <c r="G394" s="357" t="str">
        <f>IF(MakeSchedule!C361="","",MakeSchedule!C361)</f>
        <v/>
      </c>
      <c r="H394" s="358"/>
      <c r="I394" s="358"/>
      <c r="J394" s="359" t="str">
        <f>IF(MakeSchedule!B361="","",MakeSchedule!B361)</f>
        <v/>
      </c>
      <c r="K394" s="63">
        <f t="shared" si="109"/>
        <v>1.2424486224504925</v>
      </c>
      <c r="L394" s="63">
        <f t="shared" si="119"/>
        <v>1.2424486224504925</v>
      </c>
      <c r="M394" s="63">
        <f t="shared" si="120"/>
        <v>6.5131801609161259</v>
      </c>
      <c r="N394" s="63" t="str">
        <f t="shared" si="110"/>
        <v/>
      </c>
      <c r="O394" s="64">
        <f t="shared" si="121"/>
        <v>0.89288998442515122</v>
      </c>
      <c r="P394" s="63" t="str">
        <f t="shared" si="122"/>
        <v/>
      </c>
      <c r="Q394" s="64" t="e">
        <f t="shared" si="111"/>
        <v>#N/A</v>
      </c>
      <c r="R394" s="63">
        <f t="shared" si="112"/>
        <v>0.89288998442515122</v>
      </c>
      <c r="S394" s="65">
        <f t="shared" si="113"/>
        <v>0.35</v>
      </c>
      <c r="T394" s="65">
        <f t="shared" si="123"/>
        <v>1.2</v>
      </c>
      <c r="U394" s="64" t="e">
        <f t="shared" si="124"/>
        <v>#N/A</v>
      </c>
      <c r="V394" s="63">
        <f t="shared" si="114"/>
        <v>1.490938346940591</v>
      </c>
      <c r="W394" s="63" t="str">
        <f t="shared" si="115"/>
        <v/>
      </c>
      <c r="X394" s="63">
        <f t="shared" si="125"/>
        <v>0</v>
      </c>
      <c r="Y394" s="55"/>
      <c r="Z394" s="55"/>
      <c r="AA394" s="55"/>
      <c r="AB394" s="55">
        <f>PMSplint!N395</f>
        <v>1.2424486224504925</v>
      </c>
      <c r="AC394" s="55">
        <f>PMSplint!N395</f>
        <v>1.2424486224504925</v>
      </c>
      <c r="AD394" s="55">
        <f>IF(RnSplint!N395&lt;0,0,RnSplint!N395)</f>
        <v>6.5131801609161259</v>
      </c>
      <c r="AE394" s="55">
        <f>IF(RnSplint!N395&lt;0,0,RnSplint!N395)</f>
        <v>6.5131801609161259</v>
      </c>
      <c r="AF394" s="30"/>
      <c r="AG394" s="30"/>
      <c r="AH394" s="30"/>
      <c r="AI394" s="55"/>
      <c r="AJ394" s="55"/>
      <c r="AK394" s="55"/>
      <c r="AL394" s="55"/>
      <c r="AM394" s="55"/>
      <c r="AN394" s="55">
        <f t="shared" si="126"/>
        <v>8.0922917187021177</v>
      </c>
      <c r="AO394" s="55">
        <f t="shared" si="127"/>
        <v>2.8446953648329583</v>
      </c>
      <c r="AP394" s="55">
        <f t="shared" si="128"/>
        <v>0.89288998442515122</v>
      </c>
      <c r="AQ394" s="55"/>
      <c r="AR394" s="55"/>
      <c r="AS394" s="55"/>
      <c r="AT394" s="55"/>
      <c r="AU394" s="30"/>
      <c r="AV394" s="30"/>
      <c r="AW394" s="2"/>
      <c r="AX394" s="2"/>
    </row>
    <row r="395" spans="1:50" x14ac:dyDescent="0.2">
      <c r="A395" s="2"/>
      <c r="B395" s="61">
        <f t="shared" si="116"/>
        <v>41986</v>
      </c>
      <c r="C395" s="62">
        <f t="shared" si="117"/>
        <v>347</v>
      </c>
      <c r="D395" s="63">
        <f t="shared" si="118"/>
        <v>1.2216029908838235</v>
      </c>
      <c r="G395" s="357" t="str">
        <f>IF(MakeSchedule!C362="","",MakeSchedule!C362)</f>
        <v/>
      </c>
      <c r="H395" s="358"/>
      <c r="I395" s="358"/>
      <c r="J395" s="359" t="str">
        <f>IF(MakeSchedule!B362="","",MakeSchedule!B362)</f>
        <v/>
      </c>
      <c r="K395" s="63">
        <f t="shared" si="109"/>
        <v>1.2216029908838235</v>
      </c>
      <c r="L395" s="63">
        <f t="shared" si="119"/>
        <v>1.2216029908838235</v>
      </c>
      <c r="M395" s="63">
        <f t="shared" si="120"/>
        <v>6.4869454293824145</v>
      </c>
      <c r="N395" s="63" t="str">
        <f t="shared" si="110"/>
        <v/>
      </c>
      <c r="O395" s="64">
        <f t="shared" si="121"/>
        <v>0.90229499986448258</v>
      </c>
      <c r="P395" s="63" t="str">
        <f t="shared" si="122"/>
        <v/>
      </c>
      <c r="Q395" s="64" t="e">
        <f t="shared" si="111"/>
        <v>#N/A</v>
      </c>
      <c r="R395" s="63">
        <f t="shared" si="112"/>
        <v>0.90229499986448258</v>
      </c>
      <c r="S395" s="65">
        <f t="shared" si="113"/>
        <v>0.35</v>
      </c>
      <c r="T395" s="65">
        <f t="shared" si="123"/>
        <v>1.2</v>
      </c>
      <c r="U395" s="64" t="e">
        <f t="shared" si="124"/>
        <v>#N/A</v>
      </c>
      <c r="V395" s="63">
        <f t="shared" si="114"/>
        <v>1.4659235890605882</v>
      </c>
      <c r="W395" s="63" t="str">
        <f t="shared" si="115"/>
        <v/>
      </c>
      <c r="X395" s="63">
        <f t="shared" si="125"/>
        <v>0</v>
      </c>
      <c r="Y395" s="55"/>
      <c r="Z395" s="55"/>
      <c r="AA395" s="55"/>
      <c r="AB395" s="55">
        <f>PMSplint!N396</f>
        <v>1.2216029908838235</v>
      </c>
      <c r="AC395" s="55">
        <f>PMSplint!N396</f>
        <v>1.2216029908838235</v>
      </c>
      <c r="AD395" s="55">
        <f>IF(RnSplint!N396&lt;0,0,RnSplint!N396)</f>
        <v>6.4869454293824145</v>
      </c>
      <c r="AE395" s="55">
        <f>IF(RnSplint!N396&lt;0,0,RnSplint!N396)</f>
        <v>6.4869454293824145</v>
      </c>
      <c r="AF395" s="30"/>
      <c r="AG395" s="30"/>
      <c r="AH395" s="30"/>
      <c r="AI395" s="55"/>
      <c r="AJ395" s="55"/>
      <c r="AK395" s="55"/>
      <c r="AL395" s="55"/>
      <c r="AM395" s="55"/>
      <c r="AN395" s="55">
        <f t="shared" si="126"/>
        <v>7.9244719382337063</v>
      </c>
      <c r="AO395" s="55">
        <f t="shared" si="127"/>
        <v>2.8150438608010546</v>
      </c>
      <c r="AP395" s="55">
        <f t="shared" si="128"/>
        <v>0.90229499986448258</v>
      </c>
      <c r="AQ395" s="55"/>
      <c r="AR395" s="55"/>
      <c r="AS395" s="55"/>
      <c r="AT395" s="55"/>
      <c r="AU395" s="30"/>
      <c r="AV395" s="30"/>
      <c r="AW395" s="2"/>
      <c r="AX395" s="2"/>
    </row>
    <row r="396" spans="1:50" x14ac:dyDescent="0.2">
      <c r="A396" s="2"/>
      <c r="B396" s="61">
        <f t="shared" si="116"/>
        <v>41987</v>
      </c>
      <c r="C396" s="62">
        <f t="shared" si="117"/>
        <v>348</v>
      </c>
      <c r="D396" s="63">
        <f t="shared" si="118"/>
        <v>1.2013762548529192</v>
      </c>
      <c r="G396" s="357" t="str">
        <f>IF(MakeSchedule!C363="","",MakeSchedule!C363)</f>
        <v/>
      </c>
      <c r="H396" s="358"/>
      <c r="I396" s="358"/>
      <c r="J396" s="359" t="str">
        <f>IF(MakeSchedule!B363="","",MakeSchedule!B363)</f>
        <v/>
      </c>
      <c r="K396" s="63">
        <f t="shared" si="109"/>
        <v>1.2013762548529192</v>
      </c>
      <c r="L396" s="63">
        <f t="shared" si="119"/>
        <v>1.2013762548529192</v>
      </c>
      <c r="M396" s="63">
        <f t="shared" si="120"/>
        <v>6.4560793891909025</v>
      </c>
      <c r="N396" s="63" t="str">
        <f t="shared" si="110"/>
        <v/>
      </c>
      <c r="O396" s="64">
        <f t="shared" si="121"/>
        <v>0.91203134294485666</v>
      </c>
      <c r="P396" s="63" t="str">
        <f t="shared" si="122"/>
        <v/>
      </c>
      <c r="Q396" s="64" t="e">
        <f t="shared" si="111"/>
        <v>#N/A</v>
      </c>
      <c r="R396" s="63">
        <f t="shared" si="112"/>
        <v>0.91203134294485666</v>
      </c>
      <c r="S396" s="65">
        <f t="shared" si="113"/>
        <v>0.35</v>
      </c>
      <c r="T396" s="65">
        <f t="shared" si="123"/>
        <v>1.2</v>
      </c>
      <c r="U396" s="64" t="e">
        <f t="shared" si="124"/>
        <v>#N/A</v>
      </c>
      <c r="V396" s="63">
        <f t="shared" si="114"/>
        <v>1.4416515058235031</v>
      </c>
      <c r="W396" s="63" t="str">
        <f t="shared" si="115"/>
        <v/>
      </c>
      <c r="X396" s="63">
        <f t="shared" si="125"/>
        <v>0</v>
      </c>
      <c r="Y396" s="55"/>
      <c r="Z396" s="55"/>
      <c r="AA396" s="55"/>
      <c r="AB396" s="55">
        <f>PMSplint!N397</f>
        <v>1.2013762548529192</v>
      </c>
      <c r="AC396" s="55">
        <f>PMSplint!N397</f>
        <v>1.2013762548529192</v>
      </c>
      <c r="AD396" s="55">
        <f>IF(RnSplint!N397&lt;0,0,RnSplint!N397)</f>
        <v>6.4560793891909025</v>
      </c>
      <c r="AE396" s="55">
        <f>IF(RnSplint!N397&lt;0,0,RnSplint!N397)</f>
        <v>6.4560793891909025</v>
      </c>
      <c r="AF396" s="30"/>
      <c r="AG396" s="30"/>
      <c r="AH396" s="30"/>
      <c r="AI396" s="55"/>
      <c r="AJ396" s="55"/>
      <c r="AK396" s="55"/>
      <c r="AL396" s="55"/>
      <c r="AM396" s="55"/>
      <c r="AN396" s="55">
        <f t="shared" si="126"/>
        <v>7.7561804776192886</v>
      </c>
      <c r="AO396" s="55">
        <f t="shared" si="127"/>
        <v>2.7849920067424412</v>
      </c>
      <c r="AP396" s="55">
        <f t="shared" si="128"/>
        <v>0.91203134294485666</v>
      </c>
      <c r="AQ396" s="55"/>
      <c r="AR396" s="55"/>
      <c r="AS396" s="55"/>
      <c r="AT396" s="55"/>
      <c r="AU396" s="30"/>
      <c r="AV396" s="30"/>
      <c r="AW396" s="2"/>
      <c r="AX396" s="2"/>
    </row>
    <row r="397" spans="1:50" x14ac:dyDescent="0.2">
      <c r="A397" s="2"/>
      <c r="B397" s="61">
        <f t="shared" si="116"/>
        <v>41988</v>
      </c>
      <c r="C397" s="62">
        <f t="shared" si="117"/>
        <v>349</v>
      </c>
      <c r="D397" s="63">
        <f t="shared" si="118"/>
        <v>1.1817387741332539</v>
      </c>
      <c r="G397" s="357" t="str">
        <f>IF(MakeSchedule!C364="","",MakeSchedule!C364)</f>
        <v/>
      </c>
      <c r="H397" s="358"/>
      <c r="I397" s="358"/>
      <c r="J397" s="359" t="str">
        <f>IF(MakeSchedule!B364="","",MakeSchedule!B364)</f>
        <v/>
      </c>
      <c r="K397" s="63">
        <f t="shared" si="109"/>
        <v>1.1817387741332539</v>
      </c>
      <c r="L397" s="63">
        <f t="shared" si="119"/>
        <v>1.1817387741332539</v>
      </c>
      <c r="M397" s="63">
        <f t="shared" si="120"/>
        <v>6.4196657598991251</v>
      </c>
      <c r="N397" s="63" t="str">
        <f t="shared" si="110"/>
        <v/>
      </c>
      <c r="O397" s="64">
        <f t="shared" si="121"/>
        <v>0.92218226403589865</v>
      </c>
      <c r="P397" s="63" t="str">
        <f t="shared" si="122"/>
        <v/>
      </c>
      <c r="Q397" s="64" t="e">
        <f t="shared" si="111"/>
        <v>#N/A</v>
      </c>
      <c r="R397" s="63">
        <f t="shared" si="112"/>
        <v>0.92218226403589865</v>
      </c>
      <c r="S397" s="65">
        <f t="shared" si="113"/>
        <v>0.35</v>
      </c>
      <c r="T397" s="65">
        <f t="shared" si="123"/>
        <v>1.2</v>
      </c>
      <c r="U397" s="64" t="e">
        <f t="shared" si="124"/>
        <v>#N/A</v>
      </c>
      <c r="V397" s="63">
        <f t="shared" si="114"/>
        <v>1.4180865289599047</v>
      </c>
      <c r="W397" s="63" t="str">
        <f t="shared" si="115"/>
        <v/>
      </c>
      <c r="X397" s="63">
        <f t="shared" si="125"/>
        <v>0</v>
      </c>
      <c r="Y397" s="55"/>
      <c r="Z397" s="55"/>
      <c r="AA397" s="55"/>
      <c r="AB397" s="55">
        <f>PMSplint!N398</f>
        <v>1.1817387741332539</v>
      </c>
      <c r="AC397" s="55">
        <f>PMSplint!N398</f>
        <v>1.1817387741332539</v>
      </c>
      <c r="AD397" s="55">
        <f>IF(RnSplint!N398&lt;0,0,RnSplint!N398)</f>
        <v>6.4196657598991251</v>
      </c>
      <c r="AE397" s="55">
        <f>IF(RnSplint!N398&lt;0,0,RnSplint!N398)</f>
        <v>6.4196657598991251</v>
      </c>
      <c r="AF397" s="30"/>
      <c r="AG397" s="30"/>
      <c r="AH397" s="30"/>
      <c r="AI397" s="55"/>
      <c r="AJ397" s="55"/>
      <c r="AK397" s="55"/>
      <c r="AL397" s="55"/>
      <c r="AM397" s="55"/>
      <c r="AN397" s="55">
        <f t="shared" si="126"/>
        <v>7.5863679454484156</v>
      </c>
      <c r="AO397" s="55">
        <f t="shared" si="127"/>
        <v>2.7543362077728304</v>
      </c>
      <c r="AP397" s="55">
        <f t="shared" si="128"/>
        <v>0.92218226403589865</v>
      </c>
      <c r="AQ397" s="55"/>
      <c r="AR397" s="55"/>
      <c r="AS397" s="55"/>
      <c r="AT397" s="55"/>
      <c r="AU397" s="30"/>
      <c r="AV397" s="30"/>
      <c r="AW397" s="2"/>
      <c r="AX397" s="2"/>
    </row>
    <row r="398" spans="1:50" x14ac:dyDescent="0.2">
      <c r="A398" s="2"/>
      <c r="B398" s="61">
        <f t="shared" si="116"/>
        <v>41989</v>
      </c>
      <c r="C398" s="62">
        <f t="shared" si="117"/>
        <v>350</v>
      </c>
      <c r="D398" s="63">
        <f t="shared" si="118"/>
        <v>1.1626609085003017</v>
      </c>
      <c r="G398" s="357" t="str">
        <f>IF(MakeSchedule!C365="","",MakeSchedule!C365)</f>
        <v/>
      </c>
      <c r="H398" s="358"/>
      <c r="I398" s="358"/>
      <c r="J398" s="359" t="str">
        <f>IF(MakeSchedule!B365="","",MakeSchedule!B365)</f>
        <v/>
      </c>
      <c r="K398" s="63">
        <f t="shared" si="109"/>
        <v>1.1626609085003017</v>
      </c>
      <c r="L398" s="63">
        <f t="shared" si="119"/>
        <v>1.1626609085003017</v>
      </c>
      <c r="M398" s="63">
        <f t="shared" si="120"/>
        <v>6.3767882610646121</v>
      </c>
      <c r="N398" s="63" t="str">
        <f t="shared" si="110"/>
        <v/>
      </c>
      <c r="O398" s="64">
        <f t="shared" si="121"/>
        <v>0.93283790079292817</v>
      </c>
      <c r="P398" s="63" t="str">
        <f t="shared" si="122"/>
        <v/>
      </c>
      <c r="Q398" s="64" t="e">
        <f t="shared" si="111"/>
        <v>#N/A</v>
      </c>
      <c r="R398" s="63">
        <f t="shared" si="112"/>
        <v>0.93283790079292817</v>
      </c>
      <c r="S398" s="65">
        <f t="shared" si="113"/>
        <v>0.35</v>
      </c>
      <c r="T398" s="65">
        <f t="shared" si="123"/>
        <v>1.2</v>
      </c>
      <c r="U398" s="64" t="e">
        <f t="shared" si="124"/>
        <v>#N/A</v>
      </c>
      <c r="V398" s="63">
        <f t="shared" si="114"/>
        <v>1.395193090200362</v>
      </c>
      <c r="W398" s="63" t="str">
        <f t="shared" si="115"/>
        <v/>
      </c>
      <c r="X398" s="63">
        <f t="shared" si="125"/>
        <v>0</v>
      </c>
      <c r="Y398" s="55"/>
      <c r="Z398" s="55"/>
      <c r="AA398" s="55"/>
      <c r="AB398" s="55">
        <f>PMSplint!N399</f>
        <v>1.1626609085003017</v>
      </c>
      <c r="AC398" s="55">
        <f>PMSplint!N399</f>
        <v>1.1626609085003017</v>
      </c>
      <c r="AD398" s="55">
        <f>IF(RnSplint!N399&lt;0,0,RnSplint!N399)</f>
        <v>6.3767882610646121</v>
      </c>
      <c r="AE398" s="55">
        <f>IF(RnSplint!N399&lt;0,0,RnSplint!N399)</f>
        <v>6.3767882610646121</v>
      </c>
      <c r="AF398" s="30"/>
      <c r="AG398" s="30"/>
      <c r="AH398" s="30"/>
      <c r="AI398" s="55"/>
      <c r="AJ398" s="55"/>
      <c r="AK398" s="55"/>
      <c r="AL398" s="55"/>
      <c r="AM398" s="55"/>
      <c r="AN398" s="55">
        <f t="shared" si="126"/>
        <v>7.4140424329234405</v>
      </c>
      <c r="AO398" s="55">
        <f t="shared" si="127"/>
        <v>2.7228739289440926</v>
      </c>
      <c r="AP398" s="55">
        <f t="shared" si="128"/>
        <v>0.93283790079292817</v>
      </c>
      <c r="AQ398" s="55"/>
      <c r="AR398" s="55"/>
      <c r="AS398" s="55"/>
      <c r="AT398" s="55"/>
      <c r="AU398" s="30"/>
      <c r="AV398" s="30"/>
      <c r="AW398" s="2"/>
      <c r="AX398" s="2"/>
    </row>
    <row r="399" spans="1:50" x14ac:dyDescent="0.2">
      <c r="A399" s="2"/>
      <c r="B399" s="61">
        <f t="shared" si="116"/>
        <v>41990</v>
      </c>
      <c r="C399" s="62">
        <f t="shared" si="117"/>
        <v>351</v>
      </c>
      <c r="D399" s="63">
        <f t="shared" si="118"/>
        <v>1.144113017729536</v>
      </c>
      <c r="G399" s="357" t="str">
        <f>IF(MakeSchedule!C366="","",MakeSchedule!C366)</f>
        <v/>
      </c>
      <c r="H399" s="358"/>
      <c r="I399" s="358"/>
      <c r="J399" s="359" t="str">
        <f>IF(MakeSchedule!B366="","",MakeSchedule!B366)</f>
        <v/>
      </c>
      <c r="K399" s="63">
        <f t="shared" si="109"/>
        <v>1.144113017729536</v>
      </c>
      <c r="L399" s="63">
        <f t="shared" si="119"/>
        <v>1.144113017729536</v>
      </c>
      <c r="M399" s="63">
        <f t="shared" si="120"/>
        <v>6.3265306122448974</v>
      </c>
      <c r="N399" s="63" t="str">
        <f t="shared" si="110"/>
        <v/>
      </c>
      <c r="O399" s="64">
        <f t="shared" si="121"/>
        <v>0.94409662738815758</v>
      </c>
      <c r="P399" s="63" t="str">
        <f t="shared" si="122"/>
        <v/>
      </c>
      <c r="Q399" s="64" t="e">
        <f t="shared" si="111"/>
        <v>#N/A</v>
      </c>
      <c r="R399" s="63">
        <f t="shared" si="112"/>
        <v>0.94409662738815758</v>
      </c>
      <c r="S399" s="65">
        <f t="shared" si="113"/>
        <v>0.35</v>
      </c>
      <c r="T399" s="65">
        <f t="shared" si="123"/>
        <v>1.2</v>
      </c>
      <c r="U399" s="64" t="e">
        <f t="shared" si="124"/>
        <v>#N/A</v>
      </c>
      <c r="V399" s="63">
        <f t="shared" si="114"/>
        <v>1.3729356212754431</v>
      </c>
      <c r="W399" s="63" t="str">
        <f t="shared" si="115"/>
        <v/>
      </c>
      <c r="X399" s="63">
        <f t="shared" si="125"/>
        <v>0</v>
      </c>
      <c r="Y399" s="55"/>
      <c r="Z399" s="55"/>
      <c r="AA399" s="55"/>
      <c r="AB399" s="55">
        <f>PMSplint!N400</f>
        <v>1.144113017729536</v>
      </c>
      <c r="AC399" s="55">
        <f>PMSplint!N400</f>
        <v>1.144113017729536</v>
      </c>
      <c r="AD399" s="55">
        <f>IF(RnSplint!N400&lt;0,0,RnSplint!N400)</f>
        <v>6.3265306122448974</v>
      </c>
      <c r="AE399" s="55">
        <f>IF(RnSplint!N400&lt;0,0,RnSplint!N400)</f>
        <v>6.3265306122448974</v>
      </c>
      <c r="AF399" s="30"/>
      <c r="AG399" s="30"/>
      <c r="AH399" s="30"/>
      <c r="AI399" s="55"/>
      <c r="AJ399" s="55"/>
      <c r="AK399" s="55"/>
      <c r="AL399" s="55"/>
      <c r="AM399" s="55"/>
      <c r="AN399" s="55">
        <f t="shared" si="126"/>
        <v>7.2382660305337989</v>
      </c>
      <c r="AO399" s="55">
        <f t="shared" si="127"/>
        <v>2.6904025777815854</v>
      </c>
      <c r="AP399" s="55">
        <f t="shared" si="128"/>
        <v>0.94409662738815758</v>
      </c>
      <c r="AQ399" s="55"/>
      <c r="AR399" s="55"/>
      <c r="AS399" s="55"/>
      <c r="AT399" s="55"/>
      <c r="AU399" s="30"/>
      <c r="AV399" s="30"/>
      <c r="AW399" s="2"/>
      <c r="AX399" s="2"/>
    </row>
    <row r="400" spans="1:50" x14ac:dyDescent="0.2">
      <c r="A400" s="2"/>
      <c r="B400" s="61">
        <f t="shared" si="116"/>
        <v>41991</v>
      </c>
      <c r="C400" s="62">
        <f t="shared" si="117"/>
        <v>352</v>
      </c>
      <c r="D400" s="63">
        <f t="shared" si="118"/>
        <v>1.1260778020710154</v>
      </c>
      <c r="G400" s="357" t="str">
        <f>IF(MakeSchedule!C367="","",MakeSchedule!C367)</f>
        <v/>
      </c>
      <c r="H400" s="358"/>
      <c r="I400" s="358"/>
      <c r="J400" s="359" t="str">
        <f>IF(MakeSchedule!B367="","",MakeSchedule!B367)</f>
        <v/>
      </c>
      <c r="K400" s="63">
        <f t="shared" si="109"/>
        <v>1.1260778020710154</v>
      </c>
      <c r="L400" s="63">
        <f t="shared" si="119"/>
        <v>1.1260778020710154</v>
      </c>
      <c r="M400" s="63">
        <f t="shared" si="120"/>
        <v>6.268225195845468</v>
      </c>
      <c r="N400" s="63" t="str">
        <f t="shared" si="110"/>
        <v/>
      </c>
      <c r="O400" s="64">
        <f t="shared" si="121"/>
        <v>0.95604255198244503</v>
      </c>
      <c r="P400" s="63" t="str">
        <f t="shared" si="122"/>
        <v/>
      </c>
      <c r="Q400" s="64" t="e">
        <f t="shared" si="111"/>
        <v>#N/A</v>
      </c>
      <c r="R400" s="63">
        <f t="shared" si="112"/>
        <v>0.95604255198244503</v>
      </c>
      <c r="S400" s="65">
        <f t="shared" si="113"/>
        <v>0.35</v>
      </c>
      <c r="T400" s="65">
        <f t="shared" si="123"/>
        <v>1.2</v>
      </c>
      <c r="U400" s="64" t="e">
        <f t="shared" si="124"/>
        <v>#N/A</v>
      </c>
      <c r="V400" s="63">
        <f t="shared" si="114"/>
        <v>1.3512933624852184</v>
      </c>
      <c r="W400" s="63" t="str">
        <f t="shared" si="115"/>
        <v/>
      </c>
      <c r="X400" s="63">
        <f t="shared" si="125"/>
        <v>0</v>
      </c>
      <c r="Y400" s="55"/>
      <c r="Z400" s="55"/>
      <c r="AA400" s="55"/>
      <c r="AB400" s="55">
        <f>PMSplint!N401</f>
        <v>1.1260778020710154</v>
      </c>
      <c r="AC400" s="55">
        <f>PMSplint!N401</f>
        <v>1.1260778020710154</v>
      </c>
      <c r="AD400" s="55">
        <f>IF(RnSplint!N401&lt;0,0,RnSplint!N401)</f>
        <v>6.268225195845468</v>
      </c>
      <c r="AE400" s="55">
        <f>IF(RnSplint!N401&lt;0,0,RnSplint!N401)</f>
        <v>6.268225195845468</v>
      </c>
      <c r="AF400" s="30"/>
      <c r="AG400" s="30"/>
      <c r="AH400" s="30"/>
      <c r="AI400" s="55"/>
      <c r="AJ400" s="55"/>
      <c r="AK400" s="55"/>
      <c r="AL400" s="55"/>
      <c r="AM400" s="55"/>
      <c r="AN400" s="55">
        <f t="shared" si="126"/>
        <v>7.0585092514238248</v>
      </c>
      <c r="AO400" s="55">
        <f t="shared" si="127"/>
        <v>2.6567855109932803</v>
      </c>
      <c r="AP400" s="55">
        <f t="shared" si="128"/>
        <v>0.95604255198244503</v>
      </c>
      <c r="AQ400" s="55"/>
      <c r="AR400" s="55"/>
      <c r="AS400" s="55"/>
      <c r="AT400" s="55"/>
      <c r="AU400" s="30"/>
      <c r="AV400" s="30"/>
      <c r="AW400" s="2"/>
      <c r="AX400" s="2"/>
    </row>
    <row r="401" spans="1:50" x14ac:dyDescent="0.2">
      <c r="A401" s="2"/>
      <c r="B401" s="61">
        <f t="shared" si="116"/>
        <v>41992</v>
      </c>
      <c r="C401" s="62">
        <f t="shared" si="117"/>
        <v>353</v>
      </c>
      <c r="D401" s="63">
        <f t="shared" si="118"/>
        <v>1.1085873236731325</v>
      </c>
      <c r="G401" s="357" t="str">
        <f>IF(MakeSchedule!C368="","",MakeSchedule!C368)</f>
        <v/>
      </c>
      <c r="H401" s="358"/>
      <c r="I401" s="358"/>
      <c r="J401" s="359" t="str">
        <f>IF(MakeSchedule!B368="","",MakeSchedule!B368)</f>
        <v/>
      </c>
      <c r="K401" s="63">
        <f t="shared" si="109"/>
        <v>1.1085873236731325</v>
      </c>
      <c r="L401" s="63">
        <f t="shared" si="119"/>
        <v>1.1085873236731325</v>
      </c>
      <c r="M401" s="63">
        <f t="shared" si="120"/>
        <v>6.2021990456636313</v>
      </c>
      <c r="N401" s="63" t="str">
        <f t="shared" si="110"/>
        <v/>
      </c>
      <c r="O401" s="64">
        <f t="shared" si="121"/>
        <v>0.96867014019011166</v>
      </c>
      <c r="P401" s="63" t="str">
        <f t="shared" si="122"/>
        <v/>
      </c>
      <c r="Q401" s="64" t="e">
        <f t="shared" si="111"/>
        <v>#N/A</v>
      </c>
      <c r="R401" s="63">
        <f t="shared" si="112"/>
        <v>0.96867014019011166</v>
      </c>
      <c r="S401" s="65">
        <f t="shared" si="113"/>
        <v>0.35</v>
      </c>
      <c r="T401" s="65">
        <f t="shared" si="123"/>
        <v>1.2</v>
      </c>
      <c r="U401" s="64" t="e">
        <f t="shared" si="124"/>
        <v>#N/A</v>
      </c>
      <c r="V401" s="63">
        <f t="shared" si="114"/>
        <v>1.330304788407759</v>
      </c>
      <c r="W401" s="63" t="str">
        <f t="shared" si="115"/>
        <v/>
      </c>
      <c r="X401" s="63">
        <f t="shared" si="125"/>
        <v>0</v>
      </c>
      <c r="Y401" s="55"/>
      <c r="Z401" s="55"/>
      <c r="AA401" s="55"/>
      <c r="AB401" s="55">
        <f>PMSplint!N402</f>
        <v>1.1085873236731325</v>
      </c>
      <c r="AC401" s="55">
        <f>PMSplint!N402</f>
        <v>1.1085873236731325</v>
      </c>
      <c r="AD401" s="55">
        <f>IF(RnSplint!N402&lt;0,0,RnSplint!N402)</f>
        <v>6.2021990456636313</v>
      </c>
      <c r="AE401" s="55">
        <f>IF(RnSplint!N402&lt;0,0,RnSplint!N402)</f>
        <v>6.2021990456636313</v>
      </c>
      <c r="AF401" s="30"/>
      <c r="AG401" s="30"/>
      <c r="AH401" s="30"/>
      <c r="AI401" s="55"/>
      <c r="AJ401" s="55"/>
      <c r="AK401" s="55"/>
      <c r="AL401" s="55"/>
      <c r="AM401" s="55"/>
      <c r="AN401" s="55">
        <f t="shared" si="126"/>
        <v>6.8756792409203014</v>
      </c>
      <c r="AO401" s="55">
        <f t="shared" si="127"/>
        <v>2.622151643387602</v>
      </c>
      <c r="AP401" s="55">
        <f t="shared" si="128"/>
        <v>0.96867014019011166</v>
      </c>
      <c r="AQ401" s="55"/>
      <c r="AR401" s="55"/>
      <c r="AS401" s="55"/>
      <c r="AT401" s="55"/>
      <c r="AU401" s="30"/>
      <c r="AV401" s="30"/>
      <c r="AW401" s="2"/>
      <c r="AX401" s="2"/>
    </row>
    <row r="402" spans="1:50" x14ac:dyDescent="0.2">
      <c r="A402" s="2"/>
      <c r="B402" s="61">
        <f t="shared" si="116"/>
        <v>41993</v>
      </c>
      <c r="C402" s="62">
        <f t="shared" si="117"/>
        <v>354</v>
      </c>
      <c r="D402" s="63">
        <f t="shared" si="118"/>
        <v>1.0916859851588643</v>
      </c>
      <c r="G402" s="357" t="str">
        <f>IF(MakeSchedule!C369="","",MakeSchedule!C369)</f>
        <v/>
      </c>
      <c r="H402" s="358"/>
      <c r="I402" s="358"/>
      <c r="J402" s="359" t="str">
        <f>IF(MakeSchedule!B369="","",MakeSchedule!B369)</f>
        <v/>
      </c>
      <c r="K402" s="63">
        <f t="shared" si="109"/>
        <v>1.0916859851588643</v>
      </c>
      <c r="L402" s="63">
        <f t="shared" si="119"/>
        <v>1.0916859851588643</v>
      </c>
      <c r="M402" s="63">
        <f t="shared" si="120"/>
        <v>6.1290278583446494</v>
      </c>
      <c r="N402" s="63" t="str">
        <f t="shared" si="110"/>
        <v/>
      </c>
      <c r="O402" s="64">
        <f t="shared" si="121"/>
        <v>0.98194926966778651</v>
      </c>
      <c r="P402" s="63" t="str">
        <f t="shared" si="122"/>
        <v/>
      </c>
      <c r="Q402" s="64" t="e">
        <f t="shared" si="111"/>
        <v>#N/A</v>
      </c>
      <c r="R402" s="63">
        <f t="shared" si="112"/>
        <v>0.98194926966778651</v>
      </c>
      <c r="S402" s="65">
        <f t="shared" si="113"/>
        <v>0.35</v>
      </c>
      <c r="T402" s="65">
        <f t="shared" si="123"/>
        <v>1.2</v>
      </c>
      <c r="U402" s="64" t="e">
        <f t="shared" si="124"/>
        <v>#N/A</v>
      </c>
      <c r="V402" s="63">
        <f t="shared" si="114"/>
        <v>1.3100231821906372</v>
      </c>
      <c r="W402" s="63" t="str">
        <f t="shared" si="115"/>
        <v/>
      </c>
      <c r="X402" s="63">
        <f t="shared" si="125"/>
        <v>0</v>
      </c>
      <c r="Y402" s="55"/>
      <c r="Z402" s="55"/>
      <c r="AA402" s="55"/>
      <c r="AB402" s="55">
        <f>PMSplint!N403</f>
        <v>1.0916859851588643</v>
      </c>
      <c r="AC402" s="55">
        <f>PMSplint!N403</f>
        <v>1.0916859851588643</v>
      </c>
      <c r="AD402" s="55">
        <f>IF(RnSplint!N403&lt;0,0,RnSplint!N403)</f>
        <v>6.1290278583446494</v>
      </c>
      <c r="AE402" s="55">
        <f>IF(RnSplint!N403&lt;0,0,RnSplint!N403)</f>
        <v>6.1290278583446494</v>
      </c>
      <c r="AF402" s="30"/>
      <c r="AG402" s="30"/>
      <c r="AH402" s="30"/>
      <c r="AI402" s="55"/>
      <c r="AJ402" s="55"/>
      <c r="AK402" s="55"/>
      <c r="AL402" s="55"/>
      <c r="AM402" s="55"/>
      <c r="AN402" s="55">
        <f t="shared" si="126"/>
        <v>6.6909738156031029</v>
      </c>
      <c r="AO402" s="55">
        <f t="shared" si="127"/>
        <v>2.5866916738573815</v>
      </c>
      <c r="AP402" s="55">
        <f t="shared" si="128"/>
        <v>0.98194926966778651</v>
      </c>
      <c r="AQ402" s="55"/>
      <c r="AR402" s="55"/>
      <c r="AS402" s="55"/>
      <c r="AT402" s="55"/>
      <c r="AU402" s="30"/>
      <c r="AV402" s="30"/>
      <c r="AW402" s="2"/>
      <c r="AX402" s="2"/>
    </row>
    <row r="403" spans="1:50" x14ac:dyDescent="0.2">
      <c r="A403" s="2"/>
      <c r="B403" s="61">
        <f t="shared" si="116"/>
        <v>41994</v>
      </c>
      <c r="C403" s="62">
        <f t="shared" si="117"/>
        <v>355</v>
      </c>
      <c r="D403" s="63">
        <f t="shared" si="118"/>
        <v>1.0754181891511871</v>
      </c>
      <c r="G403" s="357" t="str">
        <f>IF(MakeSchedule!C370="","",MakeSchedule!C370)</f>
        <v/>
      </c>
      <c r="H403" s="358"/>
      <c r="I403" s="358"/>
      <c r="J403" s="359" t="str">
        <f>IF(MakeSchedule!B370="","",MakeSchedule!B370)</f>
        <v/>
      </c>
      <c r="K403" s="63">
        <f t="shared" si="109"/>
        <v>1.0754181891511871</v>
      </c>
      <c r="L403" s="63">
        <f t="shared" si="119"/>
        <v>1.0754181891511871</v>
      </c>
      <c r="M403" s="63">
        <f t="shared" si="120"/>
        <v>6.0492873305337822</v>
      </c>
      <c r="N403" s="63" t="str">
        <f t="shared" si="110"/>
        <v/>
      </c>
      <c r="O403" s="64">
        <f t="shared" si="121"/>
        <v>0.99584769200223744</v>
      </c>
      <c r="P403" s="63" t="str">
        <f t="shared" si="122"/>
        <v/>
      </c>
      <c r="Q403" s="64" t="e">
        <f t="shared" si="111"/>
        <v>#N/A</v>
      </c>
      <c r="R403" s="63">
        <f t="shared" si="112"/>
        <v>0.99584769200223744</v>
      </c>
      <c r="S403" s="65">
        <f t="shared" si="113"/>
        <v>0.35</v>
      </c>
      <c r="T403" s="65">
        <f t="shared" si="123"/>
        <v>1.2</v>
      </c>
      <c r="U403" s="64" t="e">
        <f t="shared" si="124"/>
        <v>#N/A</v>
      </c>
      <c r="V403" s="63">
        <f t="shared" si="114"/>
        <v>1.2905018269814246</v>
      </c>
      <c r="W403" s="63" t="str">
        <f t="shared" si="115"/>
        <v/>
      </c>
      <c r="X403" s="63">
        <f t="shared" si="125"/>
        <v>0</v>
      </c>
      <c r="Y403" s="55"/>
      <c r="Z403" s="55"/>
      <c r="AA403" s="55"/>
      <c r="AB403" s="55">
        <f>PMSplint!N404</f>
        <v>1.0754181891511871</v>
      </c>
      <c r="AC403" s="55">
        <f>PMSplint!N404</f>
        <v>1.0754181891511871</v>
      </c>
      <c r="AD403" s="55">
        <f>IF(RnSplint!N404&lt;0,0,RnSplint!N404)</f>
        <v>6.0492873305337822</v>
      </c>
      <c r="AE403" s="55">
        <f>IF(RnSplint!N404&lt;0,0,RnSplint!N404)</f>
        <v>6.0492873305337822</v>
      </c>
      <c r="AF403" s="30"/>
      <c r="AG403" s="30"/>
      <c r="AH403" s="30"/>
      <c r="AI403" s="55"/>
      <c r="AJ403" s="55"/>
      <c r="AK403" s="55"/>
      <c r="AL403" s="55"/>
      <c r="AM403" s="55"/>
      <c r="AN403" s="55">
        <f t="shared" si="126"/>
        <v>6.5055136266578586</v>
      </c>
      <c r="AO403" s="55">
        <f t="shared" si="127"/>
        <v>2.5505908387387146</v>
      </c>
      <c r="AP403" s="55">
        <f t="shared" si="128"/>
        <v>0.99584769200223744</v>
      </c>
      <c r="AQ403" s="55"/>
      <c r="AR403" s="55"/>
      <c r="AS403" s="55"/>
      <c r="AT403" s="55"/>
      <c r="AU403" s="30"/>
      <c r="AV403" s="30"/>
      <c r="AW403" s="2"/>
      <c r="AX403" s="2"/>
    </row>
    <row r="404" spans="1:50" x14ac:dyDescent="0.2">
      <c r="A404" s="2"/>
      <c r="B404" s="61">
        <f t="shared" si="116"/>
        <v>41995</v>
      </c>
      <c r="C404" s="62">
        <f t="shared" si="117"/>
        <v>356</v>
      </c>
      <c r="D404" s="63">
        <f t="shared" si="118"/>
        <v>1.059828338273078</v>
      </c>
      <c r="G404" s="357" t="str">
        <f>IF(MakeSchedule!C371="","",MakeSchedule!C371)</f>
        <v/>
      </c>
      <c r="H404" s="358"/>
      <c r="I404" s="358"/>
      <c r="J404" s="359" t="str">
        <f>IF(MakeSchedule!B371="","",MakeSchedule!B371)</f>
        <v/>
      </c>
      <c r="K404" s="63">
        <f t="shared" si="109"/>
        <v>1.059828338273078</v>
      </c>
      <c r="L404" s="63">
        <f t="shared" si="119"/>
        <v>1.059828338273078</v>
      </c>
      <c r="M404" s="63">
        <f t="shared" si="120"/>
        <v>5.9635531588762936</v>
      </c>
      <c r="N404" s="63" t="str">
        <f t="shared" si="110"/>
        <v/>
      </c>
      <c r="O404" s="64">
        <f t="shared" si="121"/>
        <v>1.0103303640817245</v>
      </c>
      <c r="P404" s="63" t="str">
        <f t="shared" si="122"/>
        <v/>
      </c>
      <c r="Q404" s="64" t="e">
        <f t="shared" si="111"/>
        <v>#N/A</v>
      </c>
      <c r="R404" s="63">
        <f t="shared" si="112"/>
        <v>1.0103303640817245</v>
      </c>
      <c r="S404" s="65">
        <f t="shared" si="113"/>
        <v>0.35</v>
      </c>
      <c r="T404" s="65">
        <f t="shared" si="123"/>
        <v>1.2</v>
      </c>
      <c r="U404" s="64" t="e">
        <f t="shared" si="124"/>
        <v>#N/A</v>
      </c>
      <c r="V404" s="63">
        <f t="shared" si="114"/>
        <v>1.2717940059276935</v>
      </c>
      <c r="W404" s="63" t="str">
        <f t="shared" si="115"/>
        <v/>
      </c>
      <c r="X404" s="63">
        <f t="shared" si="125"/>
        <v>0</v>
      </c>
      <c r="Y404" s="55"/>
      <c r="Z404" s="55"/>
      <c r="AA404" s="55"/>
      <c r="AB404" s="55">
        <f>PMSplint!N405</f>
        <v>1.059828338273078</v>
      </c>
      <c r="AC404" s="55">
        <f>PMSplint!N405</f>
        <v>1.059828338273078</v>
      </c>
      <c r="AD404" s="55">
        <f>IF(RnSplint!N405&lt;0,0,RnSplint!N405)</f>
        <v>5.9635531588762936</v>
      </c>
      <c r="AE404" s="55">
        <f>IF(RnSplint!N405&lt;0,0,RnSplint!N405)</f>
        <v>5.9635531588762936</v>
      </c>
      <c r="AF404" s="30"/>
      <c r="AG404" s="30"/>
      <c r="AH404" s="30"/>
      <c r="AI404" s="55"/>
      <c r="AJ404" s="55"/>
      <c r="AK404" s="55"/>
      <c r="AL404" s="55"/>
      <c r="AM404" s="55"/>
      <c r="AN404" s="55">
        <f t="shared" si="126"/>
        <v>6.3203426345750273</v>
      </c>
      <c r="AO404" s="55">
        <f t="shared" si="127"/>
        <v>2.5140291634296981</v>
      </c>
      <c r="AP404" s="55">
        <f t="shared" si="128"/>
        <v>1.0103303640817245</v>
      </c>
      <c r="AQ404" s="55"/>
      <c r="AR404" s="55"/>
      <c r="AS404" s="55"/>
      <c r="AT404" s="55"/>
      <c r="AU404" s="30"/>
      <c r="AV404" s="30"/>
      <c r="AW404" s="2"/>
      <c r="AX404" s="2"/>
    </row>
    <row r="405" spans="1:50" x14ac:dyDescent="0.2">
      <c r="A405" s="2"/>
      <c r="B405" s="61">
        <f t="shared" si="116"/>
        <v>41996</v>
      </c>
      <c r="C405" s="62">
        <f t="shared" si="117"/>
        <v>357</v>
      </c>
      <c r="D405" s="63">
        <f t="shared" si="118"/>
        <v>1.0449608351475135</v>
      </c>
      <c r="G405" s="357" t="str">
        <f>IF(MakeSchedule!C372="","",MakeSchedule!C372)</f>
        <v/>
      </c>
      <c r="H405" s="358"/>
      <c r="I405" s="358"/>
      <c r="J405" s="359" t="str">
        <f>IF(MakeSchedule!B372="","",MakeSchedule!B372)</f>
        <v/>
      </c>
      <c r="K405" s="63">
        <f t="shared" si="109"/>
        <v>1.0449608351475135</v>
      </c>
      <c r="L405" s="63">
        <f t="shared" si="119"/>
        <v>1.0449608351475135</v>
      </c>
      <c r="M405" s="63">
        <f t="shared" si="120"/>
        <v>5.8724010400174453</v>
      </c>
      <c r="N405" s="63" t="str">
        <f t="shared" si="110"/>
        <v/>
      </c>
      <c r="O405" s="64">
        <f t="shared" si="121"/>
        <v>1.0253587843387986</v>
      </c>
      <c r="P405" s="63" t="str">
        <f t="shared" si="122"/>
        <v/>
      </c>
      <c r="Q405" s="64" t="e">
        <f t="shared" si="111"/>
        <v>#N/A</v>
      </c>
      <c r="R405" s="63">
        <f t="shared" si="112"/>
        <v>1.0253587843387986</v>
      </c>
      <c r="S405" s="65">
        <f t="shared" si="113"/>
        <v>0.35</v>
      </c>
      <c r="T405" s="65">
        <f t="shared" si="123"/>
        <v>1.2</v>
      </c>
      <c r="U405" s="64" t="e">
        <f t="shared" si="124"/>
        <v>#N/A</v>
      </c>
      <c r="V405" s="63">
        <f t="shared" si="114"/>
        <v>1.2539530021770162</v>
      </c>
      <c r="W405" s="63" t="str">
        <f t="shared" si="115"/>
        <v/>
      </c>
      <c r="X405" s="63">
        <f t="shared" si="125"/>
        <v>0</v>
      </c>
      <c r="Y405" s="55"/>
      <c r="Z405" s="55"/>
      <c r="AA405" s="55"/>
      <c r="AB405" s="55">
        <f>PMSplint!N406</f>
        <v>1.0449608351475135</v>
      </c>
      <c r="AC405" s="55">
        <f>PMSplint!N406</f>
        <v>1.0449608351475135</v>
      </c>
      <c r="AD405" s="55">
        <f>IF(RnSplint!N406&lt;0,0,RnSplint!N406)</f>
        <v>5.8724010400174453</v>
      </c>
      <c r="AE405" s="55">
        <f>IF(RnSplint!N406&lt;0,0,RnSplint!N406)</f>
        <v>5.8724010400174453</v>
      </c>
      <c r="AF405" s="30"/>
      <c r="AG405" s="30"/>
      <c r="AH405" s="30"/>
      <c r="AI405" s="55"/>
      <c r="AJ405" s="55"/>
      <c r="AK405" s="55"/>
      <c r="AL405" s="55"/>
      <c r="AM405" s="55"/>
      <c r="AN405" s="55">
        <f t="shared" si="126"/>
        <v>6.136429095097756</v>
      </c>
      <c r="AO405" s="55">
        <f t="shared" si="127"/>
        <v>2.4771816839097118</v>
      </c>
      <c r="AP405" s="55">
        <f t="shared" si="128"/>
        <v>1.0253587843387986</v>
      </c>
      <c r="AQ405" s="55"/>
      <c r="AR405" s="55"/>
      <c r="AS405" s="55"/>
      <c r="AT405" s="55"/>
      <c r="AU405" s="30"/>
      <c r="AV405" s="30"/>
      <c r="AW405" s="2"/>
      <c r="AX405" s="2"/>
    </row>
    <row r="406" spans="1:50" x14ac:dyDescent="0.2">
      <c r="A406" s="2"/>
      <c r="B406" s="61">
        <f t="shared" si="116"/>
        <v>41997</v>
      </c>
      <c r="C406" s="62">
        <f t="shared" si="117"/>
        <v>358</v>
      </c>
      <c r="D406" s="63">
        <f t="shared" si="118"/>
        <v>1.0308600823974701</v>
      </c>
      <c r="G406" s="357" t="str">
        <f>IF(MakeSchedule!C373="","",MakeSchedule!C373)</f>
        <v/>
      </c>
      <c r="H406" s="358"/>
      <c r="I406" s="358"/>
      <c r="J406" s="359" t="str">
        <f>IF(MakeSchedule!B373="","",MakeSchedule!B373)</f>
        <v/>
      </c>
      <c r="K406" s="63">
        <f t="shared" si="109"/>
        <v>1.0308600823974701</v>
      </c>
      <c r="L406" s="63">
        <f t="shared" si="119"/>
        <v>1.0308600823974701</v>
      </c>
      <c r="M406" s="63">
        <f t="shared" si="120"/>
        <v>5.7764066706024968</v>
      </c>
      <c r="N406" s="63" t="str">
        <f t="shared" si="110"/>
        <v/>
      </c>
      <c r="O406" s="64">
        <f t="shared" si="121"/>
        <v>1.0408903319884266</v>
      </c>
      <c r="P406" s="63" t="str">
        <f t="shared" si="122"/>
        <v/>
      </c>
      <c r="Q406" s="64" t="e">
        <f t="shared" si="111"/>
        <v>#N/A</v>
      </c>
      <c r="R406" s="63">
        <f t="shared" si="112"/>
        <v>1.0408903319884266</v>
      </c>
      <c r="S406" s="65">
        <f t="shared" si="113"/>
        <v>0.35</v>
      </c>
      <c r="T406" s="65">
        <f t="shared" si="123"/>
        <v>1.2</v>
      </c>
      <c r="U406" s="64" t="e">
        <f t="shared" si="124"/>
        <v>#N/A</v>
      </c>
      <c r="V406" s="63">
        <f t="shared" si="114"/>
        <v>1.2370320988769641</v>
      </c>
      <c r="W406" s="63" t="str">
        <f t="shared" si="115"/>
        <v/>
      </c>
      <c r="X406" s="63">
        <f t="shared" si="125"/>
        <v>0</v>
      </c>
      <c r="Y406" s="55"/>
      <c r="Z406" s="55"/>
      <c r="AA406" s="55"/>
      <c r="AB406" s="55">
        <f>PMSplint!N407</f>
        <v>1.0308600823974701</v>
      </c>
      <c r="AC406" s="55">
        <f>PMSplint!N407</f>
        <v>1.0308600823974701</v>
      </c>
      <c r="AD406" s="55">
        <f>IF(RnSplint!N407&lt;0,0,RnSplint!N407)</f>
        <v>5.7764066706024968</v>
      </c>
      <c r="AE406" s="55">
        <f>IF(RnSplint!N407&lt;0,0,RnSplint!N407)</f>
        <v>5.7764066706024968</v>
      </c>
      <c r="AF406" s="30"/>
      <c r="AG406" s="30"/>
      <c r="AH406" s="30"/>
      <c r="AI406" s="55"/>
      <c r="AJ406" s="55"/>
      <c r="AK406" s="55"/>
      <c r="AL406" s="55"/>
      <c r="AM406" s="55"/>
      <c r="AN406" s="55">
        <f t="shared" si="126"/>
        <v>5.954667056418586</v>
      </c>
      <c r="AO406" s="55">
        <f t="shared" si="127"/>
        <v>2.4402186493055464</v>
      </c>
      <c r="AP406" s="55">
        <f t="shared" si="128"/>
        <v>1.0408903319884266</v>
      </c>
      <c r="AQ406" s="55"/>
      <c r="AR406" s="55"/>
      <c r="AS406" s="55"/>
      <c r="AT406" s="55"/>
      <c r="AU406" s="30"/>
      <c r="AV406" s="30"/>
      <c r="AW406" s="2"/>
      <c r="AX406" s="2"/>
    </row>
    <row r="407" spans="1:50" x14ac:dyDescent="0.2">
      <c r="A407" s="2"/>
      <c r="B407" s="61">
        <f t="shared" si="116"/>
        <v>41998</v>
      </c>
      <c r="C407" s="62">
        <f t="shared" si="117"/>
        <v>359</v>
      </c>
      <c r="D407" s="63">
        <f t="shared" si="118"/>
        <v>1.0175704826459249</v>
      </c>
      <c r="G407" s="357" t="str">
        <f>IF(MakeSchedule!C374="","",MakeSchedule!C374)</f>
        <v/>
      </c>
      <c r="H407" s="358"/>
      <c r="I407" s="358"/>
      <c r="J407" s="359" t="str">
        <f>IF(MakeSchedule!B374="","",MakeSchedule!B374)</f>
        <v/>
      </c>
      <c r="K407" s="63">
        <f t="shared" si="109"/>
        <v>1.0175704826459249</v>
      </c>
      <c r="L407" s="63">
        <f t="shared" si="119"/>
        <v>1.0175704826459249</v>
      </c>
      <c r="M407" s="63">
        <f t="shared" si="120"/>
        <v>5.6761457472767134</v>
      </c>
      <c r="N407" s="63" t="str">
        <f t="shared" si="110"/>
        <v/>
      </c>
      <c r="O407" s="64">
        <f t="shared" si="121"/>
        <v>1.0568776092095362</v>
      </c>
      <c r="P407" s="63" t="str">
        <f t="shared" si="122"/>
        <v/>
      </c>
      <c r="Q407" s="64" t="e">
        <f t="shared" si="111"/>
        <v>#N/A</v>
      </c>
      <c r="R407" s="63">
        <f t="shared" si="112"/>
        <v>1.0568776092095362</v>
      </c>
      <c r="S407" s="65">
        <f t="shared" si="113"/>
        <v>0.35</v>
      </c>
      <c r="T407" s="65">
        <f t="shared" si="123"/>
        <v>1.2</v>
      </c>
      <c r="U407" s="64" t="e">
        <f t="shared" si="124"/>
        <v>#N/A</v>
      </c>
      <c r="V407" s="63">
        <f t="shared" si="114"/>
        <v>1.2210845791751097</v>
      </c>
      <c r="W407" s="63" t="str">
        <f t="shared" si="115"/>
        <v/>
      </c>
      <c r="X407" s="63">
        <f t="shared" si="125"/>
        <v>0</v>
      </c>
      <c r="Y407" s="55"/>
      <c r="Z407" s="55"/>
      <c r="AA407" s="55"/>
      <c r="AB407" s="55">
        <f>PMSplint!N408</f>
        <v>1.0175704826459249</v>
      </c>
      <c r="AC407" s="55">
        <f>PMSplint!N408</f>
        <v>1.0175704826459249</v>
      </c>
      <c r="AD407" s="55">
        <f>IF(RnSplint!N408&lt;0,0,RnSplint!N408)</f>
        <v>5.6761457472767134</v>
      </c>
      <c r="AE407" s="55">
        <f>IF(RnSplint!N408&lt;0,0,RnSplint!N408)</f>
        <v>5.6761457472767134</v>
      </c>
      <c r="AF407" s="30"/>
      <c r="AG407" s="30"/>
      <c r="AH407" s="30"/>
      <c r="AI407" s="55"/>
      <c r="AJ407" s="55"/>
      <c r="AK407" s="55"/>
      <c r="AL407" s="55"/>
      <c r="AM407" s="55"/>
      <c r="AN407" s="55">
        <f t="shared" si="126"/>
        <v>5.775878367624979</v>
      </c>
      <c r="AO407" s="55">
        <f t="shared" si="127"/>
        <v>2.4033057166380183</v>
      </c>
      <c r="AP407" s="55">
        <f t="shared" si="128"/>
        <v>1.0568776092095362</v>
      </c>
      <c r="AQ407" s="55"/>
      <c r="AR407" s="55"/>
      <c r="AS407" s="55"/>
      <c r="AT407" s="55"/>
      <c r="AU407" s="30"/>
      <c r="AV407" s="30"/>
      <c r="AW407" s="2"/>
      <c r="AX407" s="2"/>
    </row>
    <row r="408" spans="1:50" x14ac:dyDescent="0.2">
      <c r="A408" s="2"/>
      <c r="B408" s="61">
        <f t="shared" si="116"/>
        <v>41999</v>
      </c>
      <c r="C408" s="62">
        <f t="shared" si="117"/>
        <v>360</v>
      </c>
      <c r="D408" s="63">
        <f t="shared" si="118"/>
        <v>1.0021258947344049</v>
      </c>
      <c r="G408" s="357" t="str">
        <f>IF(MakeSchedule!C375="","",MakeSchedule!C375)</f>
        <v/>
      </c>
      <c r="H408" s="358"/>
      <c r="I408" s="358"/>
      <c r="J408" s="359" t="str">
        <f>IF(MakeSchedule!B375="","",MakeSchedule!B375)</f>
        <v/>
      </c>
      <c r="K408" s="63">
        <f t="shared" si="109"/>
        <v>1.0021258947344049</v>
      </c>
      <c r="L408" s="63">
        <f t="shared" si="119"/>
        <v>1.0021258947344049</v>
      </c>
      <c r="M408" s="63">
        <f t="shared" si="120"/>
        <v>5.4977627930621171</v>
      </c>
      <c r="N408" s="63" t="str">
        <f t="shared" si="110"/>
        <v/>
      </c>
      <c r="O408" s="64">
        <f t="shared" si="121"/>
        <v>1.0821303447076969</v>
      </c>
      <c r="P408" s="63" t="str">
        <f t="shared" si="122"/>
        <v/>
      </c>
      <c r="Q408" s="64" t="e">
        <f t="shared" si="111"/>
        <v>#N/A</v>
      </c>
      <c r="R408" s="63">
        <f t="shared" si="112"/>
        <v>1.0821303447076969</v>
      </c>
      <c r="S408" s="65">
        <f t="shared" si="113"/>
        <v>0.35</v>
      </c>
      <c r="T408" s="65">
        <f t="shared" si="123"/>
        <v>1.2</v>
      </c>
      <c r="U408" s="64" t="e">
        <f t="shared" si="124"/>
        <v>#N/A</v>
      </c>
      <c r="V408" s="63">
        <f t="shared" si="114"/>
        <v>1.2025510736812859</v>
      </c>
      <c r="W408" s="63" t="str">
        <f t="shared" si="115"/>
        <v/>
      </c>
      <c r="X408" s="63">
        <f t="shared" si="125"/>
        <v>0</v>
      </c>
      <c r="Y408" s="55"/>
      <c r="Z408" s="55"/>
      <c r="AA408" s="55"/>
      <c r="AB408" s="55">
        <f>PMSplint!N409</f>
        <v>1.0021258947344049</v>
      </c>
      <c r="AC408" s="55">
        <f>PMSplint!N409</f>
        <v>1.0021258947344049</v>
      </c>
      <c r="AD408" s="55">
        <f>IF(RnSplint!N409&lt;0,0,RnSplint!N409)</f>
        <v>5.4977627930621171</v>
      </c>
      <c r="AE408" s="55">
        <f>IF(RnSplint!N409&lt;0,0,RnSplint!N409)</f>
        <v>5.4977627930621171</v>
      </c>
      <c r="AF408" s="30"/>
      <c r="AG408" s="30"/>
      <c r="AH408" s="30"/>
      <c r="AI408" s="55"/>
      <c r="AJ408" s="55"/>
      <c r="AK408" s="55"/>
      <c r="AL408" s="55"/>
      <c r="AM408" s="55"/>
      <c r="AN408" s="55">
        <f t="shared" si="126"/>
        <v>5.5094504580348955</v>
      </c>
      <c r="AO408" s="55">
        <f t="shared" si="127"/>
        <v>2.3472218595682208</v>
      </c>
      <c r="AP408" s="55">
        <f t="shared" si="128"/>
        <v>1.0821303447076969</v>
      </c>
      <c r="AQ408" s="55"/>
      <c r="AR408" s="55"/>
      <c r="AS408" s="55"/>
      <c r="AT408" s="55"/>
      <c r="AU408" s="30"/>
      <c r="AV408" s="30"/>
      <c r="AW408" s="2"/>
      <c r="AX408" s="2"/>
    </row>
    <row r="409" spans="1:50" x14ac:dyDescent="0.2">
      <c r="A409" s="2"/>
      <c r="B409" s="61">
        <f t="shared" si="116"/>
        <v>42000</v>
      </c>
      <c r="C409" s="62">
        <f t="shared" si="117"/>
        <v>361</v>
      </c>
      <c r="D409" s="63">
        <f t="shared" si="118"/>
        <v>0.98668130682288502</v>
      </c>
      <c r="G409" s="357" t="str">
        <f>IF(MakeSchedule!C376="","",MakeSchedule!C376)</f>
        <v/>
      </c>
      <c r="H409" s="358"/>
      <c r="I409" s="358"/>
      <c r="J409" s="359" t="str">
        <f>IF(MakeSchedule!B376="","",MakeSchedule!B376)</f>
        <v/>
      </c>
      <c r="K409" s="63">
        <f t="shared" si="109"/>
        <v>0.98668130682288502</v>
      </c>
      <c r="L409" s="63">
        <f t="shared" si="119"/>
        <v>0.98668130682288502</v>
      </c>
      <c r="M409" s="63">
        <f t="shared" si="120"/>
        <v>5.3193798388475209</v>
      </c>
      <c r="N409" s="63" t="str">
        <f t="shared" si="110"/>
        <v/>
      </c>
      <c r="O409" s="64">
        <f t="shared" si="121"/>
        <v>1.1087018315746116</v>
      </c>
      <c r="P409" s="63" t="str">
        <f t="shared" si="122"/>
        <v/>
      </c>
      <c r="Q409" s="64" t="e">
        <f t="shared" si="111"/>
        <v>#N/A</v>
      </c>
      <c r="R409" s="63">
        <f t="shared" si="112"/>
        <v>1.1087018315746116</v>
      </c>
      <c r="S409" s="65">
        <f t="shared" si="113"/>
        <v>0.35</v>
      </c>
      <c r="T409" s="65">
        <f t="shared" si="123"/>
        <v>1.2</v>
      </c>
      <c r="U409" s="64" t="e">
        <f t="shared" si="124"/>
        <v>#N/A</v>
      </c>
      <c r="V409" s="63">
        <f t="shared" si="114"/>
        <v>1.1840175681874621</v>
      </c>
      <c r="W409" s="63" t="str">
        <f t="shared" si="115"/>
        <v/>
      </c>
      <c r="X409" s="63">
        <f t="shared" si="125"/>
        <v>0</v>
      </c>
      <c r="Y409" s="55"/>
      <c r="Z409" s="55"/>
      <c r="AA409" s="55"/>
      <c r="AB409" s="55">
        <f>PMSplint!N410</f>
        <v>0.98668130682288502</v>
      </c>
      <c r="AC409" s="55">
        <f>PMSplint!N410</f>
        <v>0.98668130682288502</v>
      </c>
      <c r="AD409" s="55">
        <f>IF(RnSplint!N410&lt;0,0,RnSplint!N410)</f>
        <v>5.3193798388475209</v>
      </c>
      <c r="AE409" s="55">
        <f>IF(RnSplint!N410&lt;0,0,RnSplint!N410)</f>
        <v>5.3193798388475209</v>
      </c>
      <c r="AF409" s="30"/>
      <c r="AG409" s="30"/>
      <c r="AH409" s="30"/>
      <c r="AI409" s="55"/>
      <c r="AJ409" s="55"/>
      <c r="AK409" s="55"/>
      <c r="AL409" s="55"/>
      <c r="AM409" s="55"/>
      <c r="AN409" s="55">
        <f t="shared" si="126"/>
        <v>5.248532650881379</v>
      </c>
      <c r="AO409" s="55">
        <f t="shared" si="127"/>
        <v>2.2909676232721794</v>
      </c>
      <c r="AP409" s="55">
        <f t="shared" si="128"/>
        <v>1.1087018315746116</v>
      </c>
      <c r="AQ409" s="55"/>
      <c r="AR409" s="55"/>
      <c r="AS409" s="55"/>
      <c r="AT409" s="55"/>
      <c r="AU409" s="30"/>
      <c r="AV409" s="30"/>
      <c r="AW409" s="2"/>
      <c r="AX409" s="2"/>
    </row>
    <row r="410" spans="1:50" x14ac:dyDescent="0.2">
      <c r="A410" s="2"/>
      <c r="B410" s="61">
        <f t="shared" si="116"/>
        <v>42001</v>
      </c>
      <c r="C410" s="62">
        <f t="shared" si="117"/>
        <v>362</v>
      </c>
      <c r="D410" s="63">
        <f t="shared" si="118"/>
        <v>0.97123671891136509</v>
      </c>
      <c r="G410" s="357" t="str">
        <f>IF(MakeSchedule!C377="","",MakeSchedule!C377)</f>
        <v/>
      </c>
      <c r="H410" s="358"/>
      <c r="I410" s="358"/>
      <c r="J410" s="359" t="str">
        <f>IF(MakeSchedule!B377="","",MakeSchedule!B377)</f>
        <v/>
      </c>
      <c r="K410" s="63">
        <f t="shared" si="109"/>
        <v>0.97123671891136509</v>
      </c>
      <c r="L410" s="63">
        <f t="shared" si="119"/>
        <v>0.97123671891136509</v>
      </c>
      <c r="M410" s="63">
        <f t="shared" si="120"/>
        <v>5.1409968846329246</v>
      </c>
      <c r="N410" s="63" t="str">
        <f t="shared" si="110"/>
        <v/>
      </c>
      <c r="O410" s="64">
        <f t="shared" si="121"/>
        <v>1.1367042917142098</v>
      </c>
      <c r="P410" s="63" t="str">
        <f t="shared" si="122"/>
        <v/>
      </c>
      <c r="Q410" s="64" t="e">
        <f t="shared" si="111"/>
        <v>#N/A</v>
      </c>
      <c r="R410" s="63">
        <f t="shared" si="112"/>
        <v>1.1367042917142098</v>
      </c>
      <c r="S410" s="65">
        <f t="shared" si="113"/>
        <v>0.35</v>
      </c>
      <c r="T410" s="65">
        <f t="shared" si="123"/>
        <v>1.2</v>
      </c>
      <c r="U410" s="64" t="e">
        <f t="shared" si="124"/>
        <v>#N/A</v>
      </c>
      <c r="V410" s="63">
        <f t="shared" si="114"/>
        <v>1.165484062693638</v>
      </c>
      <c r="W410" s="63" t="str">
        <f t="shared" si="115"/>
        <v/>
      </c>
      <c r="X410" s="63">
        <f t="shared" si="125"/>
        <v>0</v>
      </c>
      <c r="Y410" s="55"/>
      <c r="Z410" s="55"/>
      <c r="AA410" s="55"/>
      <c r="AB410" s="55">
        <f>PMSplint!N411</f>
        <v>0.97123671891136509</v>
      </c>
      <c r="AC410" s="55">
        <f>PMSplint!N411</f>
        <v>0.97123671891136509</v>
      </c>
      <c r="AD410" s="55">
        <f>IF(RnSplint!N411&lt;0,0,RnSplint!N411)</f>
        <v>5.1409968846329246</v>
      </c>
      <c r="AE410" s="55">
        <f>IF(RnSplint!N411&lt;0,0,RnSplint!N411)</f>
        <v>5.1409968846329246</v>
      </c>
      <c r="AF410" s="30"/>
      <c r="AG410" s="30"/>
      <c r="AH410" s="30"/>
      <c r="AI410" s="55"/>
      <c r="AJ410" s="55"/>
      <c r="AK410" s="55"/>
      <c r="AL410" s="55"/>
      <c r="AM410" s="55"/>
      <c r="AN410" s="55">
        <f t="shared" si="126"/>
        <v>4.9931249461644311</v>
      </c>
      <c r="AO410" s="55">
        <f t="shared" si="127"/>
        <v>2.2345301399096034</v>
      </c>
      <c r="AP410" s="55">
        <f t="shared" si="128"/>
        <v>1.1367042917142098</v>
      </c>
      <c r="AQ410" s="55"/>
      <c r="AR410" s="55"/>
      <c r="AS410" s="55"/>
      <c r="AT410" s="55"/>
      <c r="AU410" s="30"/>
      <c r="AV410" s="30"/>
      <c r="AW410" s="2"/>
      <c r="AX410" s="2"/>
    </row>
    <row r="411" spans="1:50" x14ac:dyDescent="0.2">
      <c r="A411" s="2"/>
      <c r="B411" s="61">
        <f t="shared" si="116"/>
        <v>42002</v>
      </c>
      <c r="C411" s="62">
        <f t="shared" si="117"/>
        <v>363</v>
      </c>
      <c r="D411" s="63">
        <f t="shared" si="118"/>
        <v>0.95579213099984517</v>
      </c>
      <c r="G411" s="357" t="str">
        <f>IF(MakeSchedule!C378="","",MakeSchedule!C378)</f>
        <v/>
      </c>
      <c r="H411" s="358"/>
      <c r="I411" s="358"/>
      <c r="J411" s="359" t="str">
        <f>IF(MakeSchedule!B378="","",MakeSchedule!B378)</f>
        <v/>
      </c>
      <c r="K411" s="63">
        <f t="shared" si="109"/>
        <v>0.95579213099984517</v>
      </c>
      <c r="L411" s="63">
        <f t="shared" si="119"/>
        <v>0.95579213099984517</v>
      </c>
      <c r="M411" s="63">
        <f t="shared" si="120"/>
        <v>4.9626139304183283</v>
      </c>
      <c r="N411" s="63" t="str">
        <f t="shared" si="110"/>
        <v/>
      </c>
      <c r="O411" s="64">
        <f t="shared" si="121"/>
        <v>1.1662636670417306</v>
      </c>
      <c r="P411" s="63" t="str">
        <f t="shared" si="122"/>
        <v/>
      </c>
      <c r="Q411" s="64" t="e">
        <f t="shared" si="111"/>
        <v>#N/A</v>
      </c>
      <c r="R411" s="63">
        <f t="shared" si="112"/>
        <v>1.1662636670417306</v>
      </c>
      <c r="S411" s="65">
        <f t="shared" si="113"/>
        <v>0.35</v>
      </c>
      <c r="T411" s="65">
        <f t="shared" si="123"/>
        <v>1.2</v>
      </c>
      <c r="U411" s="64" t="e">
        <f t="shared" si="124"/>
        <v>#N/A</v>
      </c>
      <c r="V411" s="63">
        <f t="shared" si="114"/>
        <v>1.1469505571998142</v>
      </c>
      <c r="W411" s="63" t="str">
        <f t="shared" si="115"/>
        <v/>
      </c>
      <c r="X411" s="63">
        <f t="shared" si="125"/>
        <v>0</v>
      </c>
      <c r="Y411" s="55"/>
      <c r="Z411" s="55"/>
      <c r="AA411" s="55"/>
      <c r="AB411" s="55">
        <f>PMSplint!N412</f>
        <v>0.95579213099984517</v>
      </c>
      <c r="AC411" s="55">
        <f>PMSplint!N412</f>
        <v>0.95579213099984517</v>
      </c>
      <c r="AD411" s="55">
        <f>IF(RnSplint!N412&lt;0,0,RnSplint!N412)</f>
        <v>4.9626139304183283</v>
      </c>
      <c r="AE411" s="55">
        <f>IF(RnSplint!N412&lt;0,0,RnSplint!N412)</f>
        <v>4.9626139304183283</v>
      </c>
      <c r="AF411" s="30"/>
      <c r="AG411" s="30"/>
      <c r="AH411" s="30"/>
      <c r="AI411" s="55"/>
      <c r="AJ411" s="55"/>
      <c r="AK411" s="55"/>
      <c r="AL411" s="55"/>
      <c r="AM411" s="55"/>
      <c r="AN411" s="55">
        <f t="shared" si="126"/>
        <v>4.7432273438840511</v>
      </c>
      <c r="AO411" s="55">
        <f t="shared" si="127"/>
        <v>2.1778951636578037</v>
      </c>
      <c r="AP411" s="55">
        <f t="shared" si="128"/>
        <v>1.1662636670417306</v>
      </c>
      <c r="AQ411" s="55"/>
      <c r="AR411" s="55"/>
      <c r="AS411" s="55"/>
      <c r="AT411" s="55"/>
      <c r="AU411" s="30"/>
      <c r="AV411" s="30"/>
      <c r="AW411" s="2"/>
      <c r="AX411" s="2"/>
    </row>
    <row r="412" spans="1:50" x14ac:dyDescent="0.2">
      <c r="A412" s="2"/>
      <c r="B412" s="61">
        <f t="shared" si="116"/>
        <v>42003</v>
      </c>
      <c r="C412" s="62">
        <f t="shared" si="117"/>
        <v>364</v>
      </c>
      <c r="D412" s="63">
        <f t="shared" si="118"/>
        <v>0.94034754308832524</v>
      </c>
      <c r="G412" s="357" t="str">
        <f>IF(MakeSchedule!C379="","",MakeSchedule!C379)</f>
        <v/>
      </c>
      <c r="H412" s="358"/>
      <c r="I412" s="358"/>
      <c r="J412" s="359" t="str">
        <f>IF(MakeSchedule!B379="","",MakeSchedule!B379)</f>
        <v/>
      </c>
      <c r="K412" s="63">
        <f t="shared" si="109"/>
        <v>0.94034754308832524</v>
      </c>
      <c r="L412" s="63">
        <f t="shared" si="119"/>
        <v>0.94034754308832524</v>
      </c>
      <c r="M412" s="63">
        <f t="shared" si="120"/>
        <v>4.7842309762037321</v>
      </c>
      <c r="N412" s="63" t="str">
        <f t="shared" si="110"/>
        <v/>
      </c>
      <c r="O412" s="64">
        <f t="shared" si="121"/>
        <v>1.1975218607737486</v>
      </c>
      <c r="P412" s="63" t="str">
        <f t="shared" si="122"/>
        <v/>
      </c>
      <c r="Q412" s="64" t="e">
        <f t="shared" si="111"/>
        <v>#N/A</v>
      </c>
      <c r="R412" s="63">
        <f t="shared" si="112"/>
        <v>1.1975218607737486</v>
      </c>
      <c r="S412" s="65">
        <f t="shared" si="113"/>
        <v>0.35</v>
      </c>
      <c r="T412" s="65">
        <f t="shared" si="123"/>
        <v>1.2</v>
      </c>
      <c r="U412" s="64" t="e">
        <f t="shared" si="124"/>
        <v>#N/A</v>
      </c>
      <c r="V412" s="63">
        <f t="shared" si="114"/>
        <v>1.1284170517059902</v>
      </c>
      <c r="W412" s="63" t="str">
        <f t="shared" si="115"/>
        <v/>
      </c>
      <c r="X412" s="63">
        <f t="shared" si="125"/>
        <v>0</v>
      </c>
      <c r="Y412" s="55"/>
      <c r="Z412" s="55"/>
      <c r="AA412" s="55"/>
      <c r="AB412" s="55">
        <f>PMSplint!N413</f>
        <v>0.94034754308832524</v>
      </c>
      <c r="AC412" s="55">
        <f>PMSplint!N413</f>
        <v>0.94034754308832524</v>
      </c>
      <c r="AD412" s="55">
        <f>IF(RnSplint!N413&lt;0,0,RnSplint!N413)</f>
        <v>4.7842309762037321</v>
      </c>
      <c r="AE412" s="55">
        <f>IF(RnSplint!N413&lt;0,0,RnSplint!N413)</f>
        <v>4.7842309762037321</v>
      </c>
      <c r="AF412" s="30"/>
      <c r="AG412" s="30"/>
      <c r="AH412" s="30"/>
      <c r="AI412" s="55"/>
      <c r="AJ412" s="55"/>
      <c r="AK412" s="55"/>
      <c r="AL412" s="55"/>
      <c r="AM412" s="55"/>
      <c r="AN412" s="55">
        <f t="shared" si="126"/>
        <v>4.4988398440402388</v>
      </c>
      <c r="AO412" s="55">
        <f t="shared" si="127"/>
        <v>2.1210468745504514</v>
      </c>
      <c r="AP412" s="55">
        <f t="shared" si="128"/>
        <v>1.1975218607737486</v>
      </c>
      <c r="AQ412" s="55"/>
      <c r="AR412" s="55"/>
      <c r="AS412" s="55"/>
      <c r="AT412" s="55"/>
      <c r="AU412" s="30"/>
      <c r="AV412" s="30"/>
      <c r="AW412" s="2"/>
      <c r="AX412" s="2"/>
    </row>
    <row r="413" spans="1:50" x14ac:dyDescent="0.2">
      <c r="A413" s="2"/>
      <c r="B413" s="61">
        <f t="shared" si="116"/>
        <v>42004</v>
      </c>
      <c r="C413" s="62">
        <f t="shared" si="117"/>
        <v>365</v>
      </c>
      <c r="D413" s="63">
        <f t="shared" si="118"/>
        <v>0.94034754308832524</v>
      </c>
      <c r="G413" s="357" t="str">
        <f>IF(MakeSchedule!C380="","",MakeSchedule!C380)</f>
        <v/>
      </c>
      <c r="H413" s="358"/>
      <c r="I413" s="358"/>
      <c r="J413" s="359" t="str">
        <f>IF(MakeSchedule!B380="","",MakeSchedule!B380)</f>
        <v/>
      </c>
      <c r="K413" s="63">
        <f t="shared" si="109"/>
        <v>0.94034754308832524</v>
      </c>
      <c r="L413" s="63">
        <f t="shared" si="119"/>
        <v>0.94034754308832524</v>
      </c>
      <c r="M413" s="63">
        <f t="shared" si="120"/>
        <v>4.7842309762037329</v>
      </c>
      <c r="N413" s="63" t="str">
        <f t="shared" si="110"/>
        <v/>
      </c>
      <c r="O413" s="64">
        <f t="shared" si="121"/>
        <v>1.1975218607737483</v>
      </c>
      <c r="P413" s="63" t="str">
        <f t="shared" si="122"/>
        <v/>
      </c>
      <c r="Q413" s="64" t="e">
        <f t="shared" si="111"/>
        <v>#N/A</v>
      </c>
      <c r="R413" s="63">
        <f t="shared" si="112"/>
        <v>1.1975218607737483</v>
      </c>
      <c r="S413" s="65">
        <f t="shared" si="113"/>
        <v>0.35</v>
      </c>
      <c r="T413" s="65">
        <f t="shared" si="123"/>
        <v>1.2</v>
      </c>
      <c r="U413" s="64" t="e">
        <f t="shared" si="124"/>
        <v>#N/A</v>
      </c>
      <c r="V413" s="63">
        <f t="shared" si="114"/>
        <v>1.1284170517059902</v>
      </c>
      <c r="W413" s="63" t="str">
        <f t="shared" si="115"/>
        <v/>
      </c>
      <c r="X413" s="63">
        <f t="shared" si="125"/>
        <v>0</v>
      </c>
      <c r="Y413" s="55"/>
      <c r="Z413" s="55"/>
      <c r="AA413" s="55"/>
      <c r="AB413" s="55">
        <f>PMSplint!N414</f>
        <v>0.94034754308832524</v>
      </c>
      <c r="AC413" s="55">
        <f>PMSplint!N414</f>
        <v>0.94034754308832524</v>
      </c>
      <c r="AD413" s="55">
        <f>IF(RnSplint!N414&lt;0,0,RnSplint!N414)</f>
        <v>4.7842309762037329</v>
      </c>
      <c r="AE413" s="55">
        <f>IF(RnSplint!N414&lt;0,0,RnSplint!N414)</f>
        <v>4.7842309762037329</v>
      </c>
      <c r="AF413" s="30"/>
      <c r="AG413" s="30"/>
      <c r="AH413" s="30"/>
      <c r="AI413" s="55"/>
      <c r="AJ413" s="55"/>
      <c r="AK413" s="55"/>
      <c r="AL413" s="55"/>
      <c r="AM413" s="55"/>
      <c r="AN413" s="55">
        <f t="shared" si="126"/>
        <v>4.4988398440402397</v>
      </c>
      <c r="AO413" s="55">
        <f t="shared" si="127"/>
        <v>2.1210468745504518</v>
      </c>
      <c r="AP413" s="55">
        <f t="shared" si="128"/>
        <v>1.1975218607737483</v>
      </c>
      <c r="AQ413" s="55"/>
      <c r="AR413" s="55"/>
      <c r="AS413" s="55"/>
      <c r="AT413" s="55"/>
      <c r="AU413" s="30"/>
      <c r="AV413" s="30"/>
      <c r="AW413" s="2"/>
      <c r="AX413" s="2"/>
    </row>
    <row r="414" spans="1:50" x14ac:dyDescent="0.2">
      <c r="A414" s="2"/>
      <c r="B414" s="61">
        <f>B413+1</f>
        <v>42005</v>
      </c>
      <c r="C414" s="62">
        <f t="shared" si="117"/>
        <v>1</v>
      </c>
      <c r="D414" s="63">
        <f t="shared" si="118"/>
        <v>0.94034754308832524</v>
      </c>
      <c r="G414" s="357" t="str">
        <f>IF(MakeSchedule!C381="","",MakeSchedule!C381)</f>
        <v/>
      </c>
      <c r="H414" s="358"/>
      <c r="I414" s="358"/>
      <c r="J414" s="359" t="str">
        <f>IF(MakeSchedule!B381="","",MakeSchedule!B381)</f>
        <v/>
      </c>
      <c r="K414" s="63">
        <f t="shared" si="109"/>
        <v>0.94034754308832524</v>
      </c>
      <c r="L414" s="63">
        <f t="shared" si="119"/>
        <v>0.94034754308832524</v>
      </c>
      <c r="M414" s="63">
        <f t="shared" si="120"/>
        <v>4.7842309762037329</v>
      </c>
      <c r="N414" s="63" t="str">
        <f t="shared" si="110"/>
        <v/>
      </c>
      <c r="O414" s="64">
        <f t="shared" si="121"/>
        <v>1.1975218607737483</v>
      </c>
      <c r="P414" s="63" t="str">
        <f t="shared" si="122"/>
        <v/>
      </c>
      <c r="Q414" s="64" t="e">
        <f t="shared" si="111"/>
        <v>#N/A</v>
      </c>
      <c r="R414" s="63">
        <f t="shared" si="112"/>
        <v>1.1975218607737483</v>
      </c>
      <c r="S414" s="65">
        <f t="shared" si="113"/>
        <v>0.35</v>
      </c>
      <c r="T414" s="65">
        <f t="shared" si="123"/>
        <v>1.2</v>
      </c>
      <c r="U414" s="64" t="e">
        <f t="shared" si="124"/>
        <v>#N/A</v>
      </c>
      <c r="V414" s="63">
        <f t="shared" si="114"/>
        <v>1.1284170517059902</v>
      </c>
      <c r="W414" s="63" t="str">
        <f t="shared" si="115"/>
        <v/>
      </c>
      <c r="X414" s="63">
        <f t="shared" si="125"/>
        <v>0</v>
      </c>
      <c r="Y414" s="55"/>
      <c r="Z414" s="55"/>
      <c r="AA414" s="55"/>
      <c r="AB414" s="55">
        <f>PMSplint!N50</f>
        <v>0.94034754308832524</v>
      </c>
      <c r="AC414" s="55">
        <f>AC413</f>
        <v>0.94034754308832524</v>
      </c>
      <c r="AD414" s="55">
        <f>IF(RnSplint!N50&lt;0,0,RnSplint!N50)</f>
        <v>4.7842309762037329</v>
      </c>
      <c r="AE414" s="55">
        <f>AE413</f>
        <v>4.7842309762037329</v>
      </c>
      <c r="AF414" s="30"/>
      <c r="AG414" s="30"/>
      <c r="AH414" s="30"/>
      <c r="AI414" s="55"/>
      <c r="AJ414" s="55"/>
      <c r="AK414" s="55"/>
      <c r="AL414" s="55"/>
      <c r="AM414" s="55"/>
      <c r="AN414" s="55">
        <f t="shared" si="126"/>
        <v>4.4988398440402397</v>
      </c>
      <c r="AO414" s="55">
        <f t="shared" si="127"/>
        <v>2.1210468745504518</v>
      </c>
      <c r="AP414" s="55">
        <f t="shared" si="128"/>
        <v>1.1975218607737483</v>
      </c>
      <c r="AQ414" s="55"/>
      <c r="AR414" s="55"/>
      <c r="AS414" s="55"/>
      <c r="AT414" s="55"/>
      <c r="AU414" s="30"/>
      <c r="AV414" s="30"/>
      <c r="AW414" s="2"/>
      <c r="AX414" s="2"/>
    </row>
    <row r="415" spans="1:50" x14ac:dyDescent="0.2">
      <c r="A415" s="2"/>
      <c r="B415" s="61">
        <f t="shared" ref="B415:B478" si="129">B414+1</f>
        <v>42006</v>
      </c>
      <c r="C415" s="62">
        <f t="shared" si="117"/>
        <v>2</v>
      </c>
      <c r="D415" s="63">
        <f t="shared" si="118"/>
        <v>0.94034754308832524</v>
      </c>
      <c r="G415" s="357" t="str">
        <f>IF(MakeSchedule!C382="","",MakeSchedule!C382)</f>
        <v/>
      </c>
      <c r="H415" s="358"/>
      <c r="I415" s="358"/>
      <c r="J415" s="359" t="str">
        <f>IF(MakeSchedule!B382="","",MakeSchedule!B382)</f>
        <v/>
      </c>
      <c r="K415" s="63">
        <f t="shared" si="109"/>
        <v>0.94034754308832524</v>
      </c>
      <c r="L415" s="63">
        <f t="shared" si="119"/>
        <v>0.94034754308832524</v>
      </c>
      <c r="M415" s="63">
        <f t="shared" si="120"/>
        <v>4.7842309762037329</v>
      </c>
      <c r="N415" s="63" t="str">
        <f t="shared" si="110"/>
        <v/>
      </c>
      <c r="O415" s="64">
        <f t="shared" si="121"/>
        <v>1.1975218607737483</v>
      </c>
      <c r="P415" s="63" t="str">
        <f t="shared" si="122"/>
        <v/>
      </c>
      <c r="Q415" s="64" t="e">
        <f t="shared" si="111"/>
        <v>#N/A</v>
      </c>
      <c r="R415" s="63">
        <f t="shared" si="112"/>
        <v>1.1975218607737483</v>
      </c>
      <c r="S415" s="65">
        <f t="shared" si="113"/>
        <v>0.35</v>
      </c>
      <c r="T415" s="65">
        <f t="shared" si="123"/>
        <v>1.2</v>
      </c>
      <c r="U415" s="64" t="e">
        <f t="shared" si="124"/>
        <v>#N/A</v>
      </c>
      <c r="V415" s="63">
        <f t="shared" si="114"/>
        <v>1.1284170517059902</v>
      </c>
      <c r="W415" s="63" t="str">
        <f t="shared" si="115"/>
        <v/>
      </c>
      <c r="X415" s="63">
        <f t="shared" si="125"/>
        <v>0</v>
      </c>
      <c r="Y415" s="30"/>
      <c r="Z415" s="30"/>
      <c r="AA415" s="30"/>
      <c r="AB415" s="55">
        <f>PMSplint!N51</f>
        <v>0.93755718163841528</v>
      </c>
      <c r="AC415" s="55">
        <f>PMSplint!N50</f>
        <v>0.94034754308832524</v>
      </c>
      <c r="AD415" s="55">
        <f>IF(RnSplint!N51&lt;0,0,RnSplint!N51)</f>
        <v>4.6443836123315343</v>
      </c>
      <c r="AE415" s="55">
        <f>IF(RnSplint!N50&lt;0,0,RnSplint!N50)</f>
        <v>4.7842309762037329</v>
      </c>
      <c r="AF415" s="30"/>
      <c r="AG415" s="30"/>
      <c r="AH415" s="30"/>
      <c r="AI415" s="30"/>
      <c r="AJ415" s="30"/>
      <c r="AK415" s="30"/>
      <c r="AL415" s="30"/>
      <c r="AM415" s="30"/>
      <c r="AN415" s="55">
        <f t="shared" si="126"/>
        <v>4.4988398440402397</v>
      </c>
      <c r="AO415" s="55">
        <f t="shared" si="127"/>
        <v>2.1210468745504518</v>
      </c>
      <c r="AP415" s="55">
        <f t="shared" si="128"/>
        <v>1.1975218607737483</v>
      </c>
      <c r="AQ415" s="55"/>
      <c r="AR415" s="55"/>
      <c r="AS415" s="55"/>
      <c r="AT415" s="55"/>
      <c r="AU415" s="30"/>
      <c r="AV415" s="30"/>
      <c r="AW415" s="2"/>
      <c r="AX415" s="2"/>
    </row>
    <row r="416" spans="1:50" x14ac:dyDescent="0.2">
      <c r="A416" s="2"/>
      <c r="B416" s="61">
        <f t="shared" si="129"/>
        <v>42007</v>
      </c>
      <c r="C416" s="62">
        <f t="shared" si="117"/>
        <v>3</v>
      </c>
      <c r="D416" s="63">
        <f t="shared" si="118"/>
        <v>0.93755718163841528</v>
      </c>
      <c r="G416" s="357" t="str">
        <f>IF(MakeSchedule!C383="","",MakeSchedule!C383)</f>
        <v/>
      </c>
      <c r="H416" s="358"/>
      <c r="I416" s="358"/>
      <c r="J416" s="359" t="str">
        <f>IF(MakeSchedule!B383="","",MakeSchedule!B383)</f>
        <v/>
      </c>
      <c r="K416" s="63">
        <f t="shared" si="109"/>
        <v>0.93755718163841528</v>
      </c>
      <c r="L416" s="63">
        <f t="shared" si="119"/>
        <v>0.93755718163841528</v>
      </c>
      <c r="M416" s="63">
        <f t="shared" si="120"/>
        <v>4.6443836123315343</v>
      </c>
      <c r="N416" s="63" t="str">
        <f t="shared" si="110"/>
        <v/>
      </c>
      <c r="O416" s="64">
        <f t="shared" si="121"/>
        <v>1.2172248000600492</v>
      </c>
      <c r="P416" s="63" t="str">
        <f t="shared" si="122"/>
        <v/>
      </c>
      <c r="Q416" s="64" t="e">
        <f t="shared" si="111"/>
        <v>#N/A</v>
      </c>
      <c r="R416" s="63">
        <f t="shared" si="112"/>
        <v>1.2172248000600492</v>
      </c>
      <c r="S416" s="65">
        <f t="shared" si="113"/>
        <v>0.35</v>
      </c>
      <c r="T416" s="65">
        <f t="shared" si="123"/>
        <v>1.2</v>
      </c>
      <c r="U416" s="64" t="e">
        <f t="shared" si="124"/>
        <v>#N/A</v>
      </c>
      <c r="V416" s="63">
        <f t="shared" si="114"/>
        <v>1.1250686179660982</v>
      </c>
      <c r="W416" s="63" t="str">
        <f t="shared" si="115"/>
        <v/>
      </c>
      <c r="X416" s="63">
        <f t="shared" si="125"/>
        <v>0</v>
      </c>
      <c r="Y416" s="30"/>
      <c r="Z416" s="30"/>
      <c r="AA416" s="30"/>
      <c r="AB416" s="55">
        <f>PMSplint!N52</f>
        <v>0.93476682018850532</v>
      </c>
      <c r="AC416" s="55">
        <f>PMSplint!N51</f>
        <v>0.93755718163841528</v>
      </c>
      <c r="AD416" s="55">
        <f>IF(RnSplint!N52&lt;0,0,RnSplint!N52)</f>
        <v>4.5045362484593356</v>
      </c>
      <c r="AE416" s="55">
        <f>IF(RnSplint!N51&lt;0,0,RnSplint!N51)</f>
        <v>4.6443836123315343</v>
      </c>
      <c r="AF416" s="30"/>
      <c r="AG416" s="30"/>
      <c r="AH416" s="30"/>
      <c r="AI416" s="30"/>
      <c r="AJ416" s="30"/>
      <c r="AK416" s="30"/>
      <c r="AL416" s="30"/>
      <c r="AM416" s="30"/>
      <c r="AN416" s="55">
        <f t="shared" si="126"/>
        <v>4.3543752100251956</v>
      </c>
      <c r="AO416" s="55">
        <f t="shared" si="127"/>
        <v>2.0867139741769103</v>
      </c>
      <c r="AP416" s="55">
        <f t="shared" si="128"/>
        <v>1.2172248000600492</v>
      </c>
      <c r="AQ416" s="55"/>
      <c r="AR416" s="55"/>
      <c r="AS416" s="55"/>
      <c r="AT416" s="55"/>
      <c r="AU416" s="30"/>
      <c r="AV416" s="30"/>
      <c r="AW416" s="2"/>
      <c r="AX416" s="2"/>
    </row>
    <row r="417" spans="1:50" x14ac:dyDescent="0.2">
      <c r="A417" s="2"/>
      <c r="B417" s="61">
        <f t="shared" si="129"/>
        <v>42008</v>
      </c>
      <c r="C417" s="62">
        <f t="shared" si="117"/>
        <v>4</v>
      </c>
      <c r="D417" s="63">
        <f t="shared" si="118"/>
        <v>0.93476682018850532</v>
      </c>
      <c r="G417" s="357" t="str">
        <f>IF(MakeSchedule!C384="","",MakeSchedule!C384)</f>
        <v/>
      </c>
      <c r="H417" s="358"/>
      <c r="I417" s="358"/>
      <c r="J417" s="359" t="str">
        <f>IF(MakeSchedule!B384="","",MakeSchedule!B384)</f>
        <v/>
      </c>
      <c r="K417" s="63">
        <f t="shared" si="109"/>
        <v>0.93476682018850532</v>
      </c>
      <c r="L417" s="63">
        <f t="shared" si="119"/>
        <v>0.93476682018850532</v>
      </c>
      <c r="M417" s="63">
        <f t="shared" si="120"/>
        <v>4.5045362484593356</v>
      </c>
      <c r="N417" s="63" t="str">
        <f t="shared" si="110"/>
        <v/>
      </c>
      <c r="O417" s="64">
        <f t="shared" si="121"/>
        <v>1.22</v>
      </c>
      <c r="P417" s="63" t="str">
        <f t="shared" si="122"/>
        <v/>
      </c>
      <c r="Q417" s="64" t="e">
        <f t="shared" si="111"/>
        <v>#N/A</v>
      </c>
      <c r="R417" s="63">
        <f t="shared" si="112"/>
        <v>1.22</v>
      </c>
      <c r="S417" s="65">
        <f t="shared" si="113"/>
        <v>0.35</v>
      </c>
      <c r="T417" s="65">
        <f t="shared" si="123"/>
        <v>1.2</v>
      </c>
      <c r="U417" s="64" t="e">
        <f t="shared" si="124"/>
        <v>#N/A</v>
      </c>
      <c r="V417" s="63">
        <f t="shared" si="114"/>
        <v>1.1217201842262063</v>
      </c>
      <c r="W417" s="63" t="str">
        <f t="shared" si="115"/>
        <v/>
      </c>
      <c r="X417" s="63">
        <f t="shared" si="125"/>
        <v>0</v>
      </c>
      <c r="Y417" s="30"/>
      <c r="Z417" s="30"/>
      <c r="AA417" s="30"/>
      <c r="AB417" s="55">
        <f>PMSplint!N53</f>
        <v>0.93197645873859536</v>
      </c>
      <c r="AC417" s="55">
        <f>PMSplint!N52</f>
        <v>0.93476682018850532</v>
      </c>
      <c r="AD417" s="55">
        <f>IF(RnSplint!N53&lt;0,0,RnSplint!N53)</f>
        <v>4.364688884587137</v>
      </c>
      <c r="AE417" s="55">
        <f>IF(RnSplint!N52&lt;0,0,RnSplint!N52)</f>
        <v>4.5045362484593356</v>
      </c>
      <c r="AF417" s="30"/>
      <c r="AG417" s="30"/>
      <c r="AH417" s="30"/>
      <c r="AI417" s="30"/>
      <c r="AJ417" s="30"/>
      <c r="AK417" s="30"/>
      <c r="AL417" s="30"/>
      <c r="AM417" s="30"/>
      <c r="AN417" s="55">
        <f t="shared" si="126"/>
        <v>4.2106910253961924</v>
      </c>
      <c r="AO417" s="55">
        <f t="shared" si="127"/>
        <v>2.0519968385443952</v>
      </c>
      <c r="AP417" s="55">
        <f t="shared" si="128"/>
        <v>1.22</v>
      </c>
      <c r="AQ417" s="55"/>
      <c r="AR417" s="55"/>
      <c r="AS417" s="55"/>
      <c r="AT417" s="55"/>
      <c r="AU417" s="30"/>
      <c r="AV417" s="30"/>
      <c r="AW417" s="2"/>
      <c r="AX417" s="2"/>
    </row>
    <row r="418" spans="1:50" x14ac:dyDescent="0.2">
      <c r="A418" s="2"/>
      <c r="B418" s="61">
        <f t="shared" si="129"/>
        <v>42009</v>
      </c>
      <c r="C418" s="62">
        <f t="shared" si="117"/>
        <v>5</v>
      </c>
      <c r="D418" s="63">
        <f t="shared" si="118"/>
        <v>0.93197645873859536</v>
      </c>
      <c r="G418" s="357" t="str">
        <f>IF(MakeSchedule!C385="","",MakeSchedule!C385)</f>
        <v/>
      </c>
      <c r="H418" s="358"/>
      <c r="I418" s="358"/>
      <c r="J418" s="359" t="str">
        <f>IF(MakeSchedule!B385="","",MakeSchedule!B385)</f>
        <v/>
      </c>
      <c r="K418" s="63">
        <f t="shared" si="109"/>
        <v>0.93197645873859536</v>
      </c>
      <c r="L418" s="63">
        <f t="shared" si="119"/>
        <v>0.93197645873859536</v>
      </c>
      <c r="M418" s="63">
        <f t="shared" si="120"/>
        <v>4.364688884587137</v>
      </c>
      <c r="N418" s="63" t="str">
        <f t="shared" si="110"/>
        <v/>
      </c>
      <c r="O418" s="64">
        <f t="shared" si="121"/>
        <v>1.22</v>
      </c>
      <c r="P418" s="63" t="str">
        <f t="shared" si="122"/>
        <v/>
      </c>
      <c r="Q418" s="64" t="e">
        <f t="shared" si="111"/>
        <v>#N/A</v>
      </c>
      <c r="R418" s="63">
        <f t="shared" si="112"/>
        <v>1.22</v>
      </c>
      <c r="S418" s="65">
        <f t="shared" si="113"/>
        <v>0.35</v>
      </c>
      <c r="T418" s="65">
        <f t="shared" si="123"/>
        <v>1.2</v>
      </c>
      <c r="U418" s="64" t="e">
        <f t="shared" si="124"/>
        <v>#N/A</v>
      </c>
      <c r="V418" s="63">
        <f t="shared" si="114"/>
        <v>1.1183717504863144</v>
      </c>
      <c r="W418" s="63" t="str">
        <f t="shared" si="115"/>
        <v/>
      </c>
      <c r="X418" s="63">
        <f t="shared" si="125"/>
        <v>0</v>
      </c>
      <c r="Y418" s="30"/>
      <c r="Z418" s="30"/>
      <c r="AA418" s="30"/>
      <c r="AB418" s="55">
        <f>PMSplint!N54</f>
        <v>0.9291860972886854</v>
      </c>
      <c r="AC418" s="55">
        <f>PMSplint!N53</f>
        <v>0.93197645873859536</v>
      </c>
      <c r="AD418" s="55">
        <f>IF(RnSplint!N54&lt;0,0,RnSplint!N54)</f>
        <v>4.2248415207149383</v>
      </c>
      <c r="AE418" s="55">
        <f>IF(RnSplint!N53&lt;0,0,RnSplint!N53)</f>
        <v>4.364688884587137</v>
      </c>
      <c r="AF418" s="30"/>
      <c r="AG418" s="30"/>
      <c r="AH418" s="30"/>
      <c r="AI418" s="30"/>
      <c r="AJ418" s="30"/>
      <c r="AK418" s="30"/>
      <c r="AL418" s="30"/>
      <c r="AM418" s="30"/>
      <c r="AN418" s="55">
        <f t="shared" si="126"/>
        <v>4.0677872901532295</v>
      </c>
      <c r="AO418" s="55">
        <f t="shared" si="127"/>
        <v>2.0168756258513389</v>
      </c>
      <c r="AP418" s="55">
        <f t="shared" si="128"/>
        <v>1.22</v>
      </c>
      <c r="AQ418" s="55"/>
      <c r="AR418" s="55"/>
      <c r="AS418" s="55"/>
      <c r="AT418" s="55"/>
      <c r="AU418" s="30"/>
      <c r="AV418" s="30"/>
      <c r="AW418" s="2"/>
      <c r="AX418" s="2"/>
    </row>
    <row r="419" spans="1:50" x14ac:dyDescent="0.2">
      <c r="A419" s="2"/>
      <c r="B419" s="61">
        <f t="shared" si="129"/>
        <v>42010</v>
      </c>
      <c r="C419" s="62">
        <f t="shared" si="117"/>
        <v>6</v>
      </c>
      <c r="D419" s="63">
        <f t="shared" si="118"/>
        <v>0.9291860972886854</v>
      </c>
      <c r="G419" s="357" t="str">
        <f>IF(MakeSchedule!C386="","",MakeSchedule!C386)</f>
        <v/>
      </c>
      <c r="H419" s="358"/>
      <c r="I419" s="358"/>
      <c r="J419" s="359" t="str">
        <f>IF(MakeSchedule!B386="","",MakeSchedule!B386)</f>
        <v/>
      </c>
      <c r="K419" s="63">
        <f t="shared" si="109"/>
        <v>0.9291860972886854</v>
      </c>
      <c r="L419" s="63">
        <f t="shared" si="119"/>
        <v>0.9291860972886854</v>
      </c>
      <c r="M419" s="63">
        <f t="shared" si="120"/>
        <v>4.2248415207149383</v>
      </c>
      <c r="N419" s="63" t="str">
        <f t="shared" si="110"/>
        <v/>
      </c>
      <c r="O419" s="64">
        <f t="shared" si="121"/>
        <v>1.22</v>
      </c>
      <c r="P419" s="63" t="str">
        <f t="shared" si="122"/>
        <v/>
      </c>
      <c r="Q419" s="64" t="e">
        <f t="shared" si="111"/>
        <v>#N/A</v>
      </c>
      <c r="R419" s="63">
        <f t="shared" si="112"/>
        <v>1.22</v>
      </c>
      <c r="S419" s="65">
        <f t="shared" si="113"/>
        <v>0.35</v>
      </c>
      <c r="T419" s="65">
        <f t="shared" si="123"/>
        <v>1.2</v>
      </c>
      <c r="U419" s="64" t="e">
        <f t="shared" si="124"/>
        <v>#N/A</v>
      </c>
      <c r="V419" s="63">
        <f t="shared" si="114"/>
        <v>1.1150233167464225</v>
      </c>
      <c r="W419" s="63" t="str">
        <f t="shared" si="115"/>
        <v/>
      </c>
      <c r="X419" s="63">
        <f t="shared" si="125"/>
        <v>0</v>
      </c>
      <c r="Y419" s="30"/>
      <c r="Z419" s="30"/>
      <c r="AA419" s="30"/>
      <c r="AB419" s="55">
        <f>PMSplint!N55</f>
        <v>0.92639573583877521</v>
      </c>
      <c r="AC419" s="55">
        <f>PMSplint!N54</f>
        <v>0.9291860972886854</v>
      </c>
      <c r="AD419" s="55">
        <f>IF(RnSplint!N55&lt;0,0,RnSplint!N55)</f>
        <v>4.0849941568427415</v>
      </c>
      <c r="AE419" s="55">
        <f>IF(RnSplint!N54&lt;0,0,RnSplint!N54)</f>
        <v>4.2248415207149383</v>
      </c>
      <c r="AF419" s="30"/>
      <c r="AG419" s="30"/>
      <c r="AH419" s="30"/>
      <c r="AI419" s="30"/>
      <c r="AJ419" s="30"/>
      <c r="AK419" s="30"/>
      <c r="AL419" s="30"/>
      <c r="AM419" s="30"/>
      <c r="AN419" s="55">
        <f t="shared" si="126"/>
        <v>3.9256640042963085</v>
      </c>
      <c r="AO419" s="55">
        <f t="shared" si="127"/>
        <v>1.981328848095719</v>
      </c>
      <c r="AP419" s="55">
        <f t="shared" si="128"/>
        <v>1.22</v>
      </c>
      <c r="AQ419" s="55"/>
      <c r="AR419" s="55"/>
      <c r="AS419" s="55"/>
      <c r="AT419" s="55"/>
      <c r="AU419" s="30"/>
      <c r="AV419" s="30"/>
      <c r="AW419" s="2"/>
      <c r="AX419" s="2"/>
    </row>
    <row r="420" spans="1:50" x14ac:dyDescent="0.2">
      <c r="A420" s="2"/>
      <c r="B420" s="61">
        <f t="shared" si="129"/>
        <v>42011</v>
      </c>
      <c r="C420" s="62">
        <f t="shared" si="117"/>
        <v>7</v>
      </c>
      <c r="D420" s="63">
        <f t="shared" si="118"/>
        <v>0.92639573583877521</v>
      </c>
      <c r="G420" s="357" t="str">
        <f>IF(MakeSchedule!C387="","",MakeSchedule!C387)</f>
        <v/>
      </c>
      <c r="H420" s="358"/>
      <c r="I420" s="358"/>
      <c r="J420" s="359" t="str">
        <f>IF(MakeSchedule!B387="","",MakeSchedule!B387)</f>
        <v/>
      </c>
      <c r="K420" s="63">
        <f t="shared" si="109"/>
        <v>0.92639573583877521</v>
      </c>
      <c r="L420" s="63">
        <f t="shared" si="119"/>
        <v>0.92639573583877521</v>
      </c>
      <c r="M420" s="63">
        <f t="shared" si="120"/>
        <v>4.0849941568427415</v>
      </c>
      <c r="N420" s="63" t="str">
        <f t="shared" si="110"/>
        <v/>
      </c>
      <c r="O420" s="64">
        <f t="shared" si="121"/>
        <v>1.22</v>
      </c>
      <c r="P420" s="63" t="str">
        <f t="shared" si="122"/>
        <v/>
      </c>
      <c r="Q420" s="64" t="e">
        <f t="shared" si="111"/>
        <v>#N/A</v>
      </c>
      <c r="R420" s="63">
        <f t="shared" si="112"/>
        <v>1.22</v>
      </c>
      <c r="S420" s="65">
        <f t="shared" si="113"/>
        <v>0.35</v>
      </c>
      <c r="T420" s="65">
        <f t="shared" si="123"/>
        <v>1.2</v>
      </c>
      <c r="U420" s="64" t="e">
        <f t="shared" si="124"/>
        <v>#N/A</v>
      </c>
      <c r="V420" s="63">
        <f t="shared" si="114"/>
        <v>1.1116748830065302</v>
      </c>
      <c r="W420" s="63" t="str">
        <f t="shared" si="115"/>
        <v/>
      </c>
      <c r="X420" s="63">
        <f t="shared" si="125"/>
        <v>0</v>
      </c>
      <c r="Y420" s="30"/>
      <c r="Z420" s="30"/>
      <c r="AA420" s="30"/>
      <c r="AB420" s="55">
        <f>PMSplint!N56</f>
        <v>0.93077895058450666</v>
      </c>
      <c r="AC420" s="55">
        <f>PMSplint!N55</f>
        <v>0.92639573583877521</v>
      </c>
      <c r="AD420" s="55">
        <f>IF(RnSplint!N56&lt;0,0,RnSplint!N56)</f>
        <v>4.0061983096909835</v>
      </c>
      <c r="AE420" s="55">
        <f>IF(RnSplint!N55&lt;0,0,RnSplint!N55)</f>
        <v>4.0849941568427415</v>
      </c>
      <c r="AF420" s="30"/>
      <c r="AG420" s="30"/>
      <c r="AH420" s="30"/>
      <c r="AI420" s="30"/>
      <c r="AJ420" s="30"/>
      <c r="AK420" s="30"/>
      <c r="AL420" s="30"/>
      <c r="AM420" s="30"/>
      <c r="AN420" s="55">
        <f t="shared" si="126"/>
        <v>3.7843211678254285</v>
      </c>
      <c r="AO420" s="55">
        <f t="shared" si="127"/>
        <v>1.945333176560105</v>
      </c>
      <c r="AP420" s="55">
        <f t="shared" si="128"/>
        <v>1.22</v>
      </c>
      <c r="AQ420" s="55"/>
      <c r="AR420" s="55"/>
      <c r="AS420" s="55"/>
      <c r="AT420" s="55"/>
      <c r="AU420" s="30"/>
      <c r="AV420" s="30"/>
      <c r="AW420" s="2"/>
      <c r="AX420" s="2"/>
    </row>
    <row r="421" spans="1:50" x14ac:dyDescent="0.2">
      <c r="A421" s="2"/>
      <c r="B421" s="61">
        <f t="shared" si="129"/>
        <v>42012</v>
      </c>
      <c r="C421" s="62">
        <f t="shared" si="117"/>
        <v>8</v>
      </c>
      <c r="D421" s="63">
        <f t="shared" si="118"/>
        <v>0.93077895058450666</v>
      </c>
      <c r="G421" s="357" t="str">
        <f>IF(MakeSchedule!C388="","",MakeSchedule!C388)</f>
        <v/>
      </c>
      <c r="H421" s="358"/>
      <c r="I421" s="358"/>
      <c r="J421" s="359" t="str">
        <f>IF(MakeSchedule!B388="","",MakeSchedule!B388)</f>
        <v/>
      </c>
      <c r="K421" s="63">
        <f t="shared" si="109"/>
        <v>0.93077895058450666</v>
      </c>
      <c r="L421" s="63">
        <f t="shared" si="119"/>
        <v>0.93077895058450666</v>
      </c>
      <c r="M421" s="63">
        <f t="shared" si="120"/>
        <v>4.0061983096909835</v>
      </c>
      <c r="N421" s="63" t="str">
        <f t="shared" si="110"/>
        <v/>
      </c>
      <c r="O421" s="64">
        <f t="shared" si="121"/>
        <v>1.22</v>
      </c>
      <c r="P421" s="63" t="str">
        <f t="shared" si="122"/>
        <v/>
      </c>
      <c r="Q421" s="64" t="e">
        <f t="shared" si="111"/>
        <v>#N/A</v>
      </c>
      <c r="R421" s="63">
        <f t="shared" si="112"/>
        <v>1.22</v>
      </c>
      <c r="S421" s="65">
        <f t="shared" si="113"/>
        <v>0.35</v>
      </c>
      <c r="T421" s="65">
        <f t="shared" si="123"/>
        <v>1.2</v>
      </c>
      <c r="U421" s="64" t="e">
        <f t="shared" si="124"/>
        <v>#N/A</v>
      </c>
      <c r="V421" s="63">
        <f t="shared" si="114"/>
        <v>1.1169347407014079</v>
      </c>
      <c r="W421" s="63" t="str">
        <f t="shared" si="115"/>
        <v/>
      </c>
      <c r="X421" s="63">
        <f t="shared" si="125"/>
        <v>0</v>
      </c>
      <c r="Y421" s="30"/>
      <c r="Z421" s="30"/>
      <c r="AA421" s="30"/>
      <c r="AB421" s="55">
        <f>PMSplint!N57</f>
        <v>0.93632780254464432</v>
      </c>
      <c r="AC421" s="55">
        <f>PMSplint!N56</f>
        <v>0.93077895058450666</v>
      </c>
      <c r="AD421" s="55">
        <f>IF(RnSplint!N57&lt;0,0,RnSplint!N57)</f>
        <v>3.9329894120428111</v>
      </c>
      <c r="AE421" s="55">
        <f>IF(RnSplint!N56&lt;0,0,RnSplint!N56)</f>
        <v>4.0061983096909835</v>
      </c>
      <c r="AF421" s="30"/>
      <c r="AG421" s="30"/>
      <c r="AH421" s="30"/>
      <c r="AI421" s="30"/>
      <c r="AJ421" s="30"/>
      <c r="AK421" s="30"/>
      <c r="AL421" s="30"/>
      <c r="AM421" s="30"/>
      <c r="AN421" s="55">
        <f t="shared" si="126"/>
        <v>3.7288850585275979</v>
      </c>
      <c r="AO421" s="55">
        <f t="shared" si="127"/>
        <v>1.9310321226037639</v>
      </c>
      <c r="AP421" s="55">
        <f t="shared" si="128"/>
        <v>1.22</v>
      </c>
      <c r="AQ421" s="55"/>
      <c r="AR421" s="55"/>
      <c r="AS421" s="55"/>
      <c r="AT421" s="55"/>
      <c r="AU421" s="30"/>
      <c r="AV421" s="30"/>
      <c r="AW421" s="2"/>
      <c r="AX421" s="2"/>
    </row>
    <row r="422" spans="1:50" x14ac:dyDescent="0.2">
      <c r="A422" s="2"/>
      <c r="B422" s="61">
        <f t="shared" si="129"/>
        <v>42013</v>
      </c>
      <c r="C422" s="62">
        <f t="shared" si="117"/>
        <v>9</v>
      </c>
      <c r="D422" s="63">
        <f t="shared" si="118"/>
        <v>0.93632780254464432</v>
      </c>
      <c r="G422" s="357" t="str">
        <f>IF(MakeSchedule!C389="","",MakeSchedule!C389)</f>
        <v/>
      </c>
      <c r="H422" s="358"/>
      <c r="I422" s="358"/>
      <c r="J422" s="359" t="str">
        <f>IF(MakeSchedule!B389="","",MakeSchedule!B389)</f>
        <v/>
      </c>
      <c r="K422" s="63">
        <f t="shared" si="109"/>
        <v>0.93632780254464432</v>
      </c>
      <c r="L422" s="63">
        <f t="shared" si="119"/>
        <v>0.93632780254464432</v>
      </c>
      <c r="M422" s="63">
        <f t="shared" si="120"/>
        <v>3.9329894120428111</v>
      </c>
      <c r="N422" s="63" t="str">
        <f t="shared" si="110"/>
        <v/>
      </c>
      <c r="O422" s="64">
        <f t="shared" si="121"/>
        <v>1.22</v>
      </c>
      <c r="P422" s="63" t="str">
        <f t="shared" si="122"/>
        <v/>
      </c>
      <c r="Q422" s="64" t="e">
        <f t="shared" si="111"/>
        <v>#N/A</v>
      </c>
      <c r="R422" s="63">
        <f t="shared" si="112"/>
        <v>1.22</v>
      </c>
      <c r="S422" s="65">
        <f t="shared" si="113"/>
        <v>0.35</v>
      </c>
      <c r="T422" s="65">
        <f t="shared" si="123"/>
        <v>1.2</v>
      </c>
      <c r="U422" s="64" t="e">
        <f t="shared" si="124"/>
        <v>#N/A</v>
      </c>
      <c r="V422" s="63">
        <f t="shared" si="114"/>
        <v>1.123593363053573</v>
      </c>
      <c r="W422" s="63" t="str">
        <f t="shared" si="115"/>
        <v/>
      </c>
      <c r="X422" s="63">
        <f t="shared" si="125"/>
        <v>0</v>
      </c>
      <c r="Y422" s="30"/>
      <c r="Z422" s="30"/>
      <c r="AA422" s="30"/>
      <c r="AB422" s="55">
        <f>PMSplint!N58</f>
        <v>0.94300294252322692</v>
      </c>
      <c r="AC422" s="55">
        <f>PMSplint!N57</f>
        <v>0.93632780254464432</v>
      </c>
      <c r="AD422" s="55">
        <f>IF(RnSplint!N58&lt;0,0,RnSplint!N58)</f>
        <v>3.8656971001861367</v>
      </c>
      <c r="AE422" s="55">
        <f>IF(RnSplint!N57&lt;0,0,RnSplint!N57)</f>
        <v>3.9329894120428111</v>
      </c>
      <c r="AF422" s="30"/>
      <c r="AG422" s="30"/>
      <c r="AH422" s="30"/>
      <c r="AI422" s="30"/>
      <c r="AJ422" s="30"/>
      <c r="AK422" s="30"/>
      <c r="AL422" s="30"/>
      <c r="AM422" s="30"/>
      <c r="AN422" s="55">
        <f t="shared" si="126"/>
        <v>3.682567333609398</v>
      </c>
      <c r="AO422" s="55">
        <f t="shared" si="127"/>
        <v>1.9190016502362361</v>
      </c>
      <c r="AP422" s="55">
        <f t="shared" si="128"/>
        <v>1.22</v>
      </c>
      <c r="AQ422" s="55"/>
      <c r="AR422" s="55"/>
      <c r="AS422" s="55"/>
      <c r="AT422" s="55"/>
      <c r="AU422" s="30"/>
      <c r="AV422" s="30"/>
      <c r="AW422" s="2"/>
      <c r="AX422" s="2"/>
    </row>
    <row r="423" spans="1:50" x14ac:dyDescent="0.2">
      <c r="A423" s="2"/>
      <c r="B423" s="61">
        <f t="shared" si="129"/>
        <v>42014</v>
      </c>
      <c r="C423" s="62">
        <f t="shared" si="117"/>
        <v>10</v>
      </c>
      <c r="D423" s="63">
        <f t="shared" si="118"/>
        <v>0.94300294252322692</v>
      </c>
      <c r="G423" s="357" t="str">
        <f>IF(MakeSchedule!C390="","",MakeSchedule!C390)</f>
        <v/>
      </c>
      <c r="H423" s="358"/>
      <c r="I423" s="358"/>
      <c r="J423" s="359" t="str">
        <f>IF(MakeSchedule!B390="","",MakeSchedule!B390)</f>
        <v/>
      </c>
      <c r="K423" s="63">
        <f t="shared" si="109"/>
        <v>0.94300294252322692</v>
      </c>
      <c r="L423" s="63">
        <f t="shared" si="119"/>
        <v>0.94300294252322692</v>
      </c>
      <c r="M423" s="63">
        <f t="shared" si="120"/>
        <v>3.8656971001861367</v>
      </c>
      <c r="N423" s="63" t="str">
        <f t="shared" si="110"/>
        <v/>
      </c>
      <c r="O423" s="64">
        <f t="shared" si="121"/>
        <v>1.22</v>
      </c>
      <c r="P423" s="63" t="str">
        <f t="shared" si="122"/>
        <v/>
      </c>
      <c r="Q423" s="64" t="e">
        <f t="shared" si="111"/>
        <v>#N/A</v>
      </c>
      <c r="R423" s="63">
        <f t="shared" si="112"/>
        <v>1.22</v>
      </c>
      <c r="S423" s="65">
        <f t="shared" si="113"/>
        <v>0.35</v>
      </c>
      <c r="T423" s="65">
        <f t="shared" si="123"/>
        <v>1.2</v>
      </c>
      <c r="U423" s="64" t="e">
        <f t="shared" si="124"/>
        <v>#N/A</v>
      </c>
      <c r="V423" s="63">
        <f t="shared" si="114"/>
        <v>1.1316035310278723</v>
      </c>
      <c r="W423" s="63" t="str">
        <f t="shared" si="115"/>
        <v/>
      </c>
      <c r="X423" s="63">
        <f t="shared" si="125"/>
        <v>0</v>
      </c>
      <c r="Y423" s="30"/>
      <c r="Z423" s="30"/>
      <c r="AA423" s="30"/>
      <c r="AB423" s="55">
        <f>PMSplint!N59</f>
        <v>0.95076502132429297</v>
      </c>
      <c r="AC423" s="55">
        <f>PMSplint!N58</f>
        <v>0.94300294252322692</v>
      </c>
      <c r="AD423" s="55">
        <f>IF(RnSplint!N59&lt;0,0,RnSplint!N59)</f>
        <v>3.8046510104088762</v>
      </c>
      <c r="AE423" s="55">
        <f>IF(RnSplint!N58&lt;0,0,RnSplint!N58)</f>
        <v>3.8656971001861367</v>
      </c>
      <c r="AF423" s="30"/>
      <c r="AG423" s="30"/>
      <c r="AH423" s="30"/>
      <c r="AI423" s="30"/>
      <c r="AJ423" s="30"/>
      <c r="AK423" s="30"/>
      <c r="AL423" s="30"/>
      <c r="AM423" s="30"/>
      <c r="AN423" s="55">
        <f t="shared" si="126"/>
        <v>3.6453637403790324</v>
      </c>
      <c r="AO423" s="55">
        <f t="shared" si="127"/>
        <v>1.9092835673045092</v>
      </c>
      <c r="AP423" s="55">
        <f t="shared" si="128"/>
        <v>1.22</v>
      </c>
      <c r="AQ423" s="55"/>
      <c r="AR423" s="55"/>
      <c r="AS423" s="55"/>
      <c r="AT423" s="55"/>
      <c r="AU423" s="30"/>
      <c r="AV423" s="30"/>
      <c r="AW423" s="2"/>
      <c r="AX423" s="2"/>
    </row>
    <row r="424" spans="1:50" x14ac:dyDescent="0.2">
      <c r="A424" s="2"/>
      <c r="B424" s="61">
        <f t="shared" si="129"/>
        <v>42015</v>
      </c>
      <c r="C424" s="62">
        <f t="shared" si="117"/>
        <v>11</v>
      </c>
      <c r="D424" s="63">
        <f t="shared" si="118"/>
        <v>0.95076502132429297</v>
      </c>
      <c r="G424" s="357" t="str">
        <f>IF(MakeSchedule!C391="","",MakeSchedule!C391)</f>
        <v/>
      </c>
      <c r="H424" s="358"/>
      <c r="I424" s="358"/>
      <c r="J424" s="359" t="str">
        <f>IF(MakeSchedule!B391="","",MakeSchedule!B391)</f>
        <v/>
      </c>
      <c r="K424" s="63">
        <f t="shared" si="109"/>
        <v>0.95076502132429297</v>
      </c>
      <c r="L424" s="63">
        <f t="shared" si="119"/>
        <v>0.95076502132429297</v>
      </c>
      <c r="M424" s="63">
        <f t="shared" si="120"/>
        <v>3.8046510104088762</v>
      </c>
      <c r="N424" s="63" t="str">
        <f t="shared" si="110"/>
        <v/>
      </c>
      <c r="O424" s="64">
        <f t="shared" si="121"/>
        <v>1.22</v>
      </c>
      <c r="P424" s="63" t="str">
        <f t="shared" si="122"/>
        <v/>
      </c>
      <c r="Q424" s="64" t="e">
        <f t="shared" si="111"/>
        <v>#N/A</v>
      </c>
      <c r="R424" s="63">
        <f t="shared" si="112"/>
        <v>1.22</v>
      </c>
      <c r="S424" s="65">
        <f t="shared" si="113"/>
        <v>0.35</v>
      </c>
      <c r="T424" s="65">
        <f t="shared" si="123"/>
        <v>1.2</v>
      </c>
      <c r="U424" s="64" t="e">
        <f t="shared" si="124"/>
        <v>#N/A</v>
      </c>
      <c r="V424" s="63">
        <f t="shared" si="114"/>
        <v>1.1409180255891516</v>
      </c>
      <c r="W424" s="63" t="str">
        <f t="shared" si="115"/>
        <v/>
      </c>
      <c r="X424" s="63">
        <f t="shared" si="125"/>
        <v>0</v>
      </c>
      <c r="Y424" s="30"/>
      <c r="Z424" s="30"/>
      <c r="AA424" s="30"/>
      <c r="AB424" s="55">
        <f>PMSplint!N60</f>
        <v>0.95957468975188176</v>
      </c>
      <c r="AC424" s="55">
        <f>PMSplint!N59</f>
        <v>0.95076502132429297</v>
      </c>
      <c r="AD424" s="55">
        <f>IF(RnSplint!N60&lt;0,0,RnSplint!N60)</f>
        <v>3.7501807789989381</v>
      </c>
      <c r="AE424" s="55">
        <f>IF(RnSplint!N59&lt;0,0,RnSplint!N59)</f>
        <v>3.8046510104088762</v>
      </c>
      <c r="AF424" s="30"/>
      <c r="AG424" s="30"/>
      <c r="AH424" s="30"/>
      <c r="AI424" s="30"/>
      <c r="AJ424" s="30"/>
      <c r="AK424" s="30"/>
      <c r="AL424" s="30"/>
      <c r="AM424" s="30"/>
      <c r="AN424" s="55">
        <f t="shared" si="126"/>
        <v>3.6173290990428879</v>
      </c>
      <c r="AO424" s="55">
        <f t="shared" si="127"/>
        <v>1.9019277323397143</v>
      </c>
      <c r="AP424" s="55">
        <f t="shared" si="128"/>
        <v>1.22</v>
      </c>
      <c r="AQ424" s="55"/>
      <c r="AR424" s="55"/>
      <c r="AS424" s="55"/>
      <c r="AT424" s="55"/>
      <c r="AU424" s="30"/>
      <c r="AV424" s="30"/>
      <c r="AW424" s="2"/>
      <c r="AX424" s="2"/>
    </row>
    <row r="425" spans="1:50" x14ac:dyDescent="0.2">
      <c r="A425" s="2"/>
      <c r="B425" s="61">
        <f t="shared" si="129"/>
        <v>42016</v>
      </c>
      <c r="C425" s="62">
        <f t="shared" si="117"/>
        <v>12</v>
      </c>
      <c r="D425" s="63">
        <f t="shared" si="118"/>
        <v>0.95957468975188176</v>
      </c>
      <c r="G425" s="357" t="str">
        <f>IF(MakeSchedule!C392="","",MakeSchedule!C392)</f>
        <v/>
      </c>
      <c r="H425" s="358"/>
      <c r="I425" s="358"/>
      <c r="J425" s="359" t="str">
        <f>IF(MakeSchedule!B392="","",MakeSchedule!B392)</f>
        <v/>
      </c>
      <c r="K425" s="63">
        <f t="shared" si="109"/>
        <v>0.95957468975188176</v>
      </c>
      <c r="L425" s="63">
        <f t="shared" si="119"/>
        <v>0.95957468975188176</v>
      </c>
      <c r="M425" s="63">
        <f t="shared" si="120"/>
        <v>3.7501807789989381</v>
      </c>
      <c r="N425" s="63" t="str">
        <f t="shared" si="110"/>
        <v/>
      </c>
      <c r="O425" s="64">
        <f t="shared" si="121"/>
        <v>1.22</v>
      </c>
      <c r="P425" s="63" t="str">
        <f t="shared" si="122"/>
        <v/>
      </c>
      <c r="Q425" s="64" t="e">
        <f t="shared" si="111"/>
        <v>#N/A</v>
      </c>
      <c r="R425" s="63">
        <f t="shared" si="112"/>
        <v>1.22</v>
      </c>
      <c r="S425" s="65">
        <f t="shared" si="113"/>
        <v>0.35</v>
      </c>
      <c r="T425" s="65">
        <f t="shared" si="123"/>
        <v>1.2</v>
      </c>
      <c r="U425" s="64" t="e">
        <f t="shared" si="124"/>
        <v>#N/A</v>
      </c>
      <c r="V425" s="63">
        <f t="shared" si="114"/>
        <v>1.1514896277022582</v>
      </c>
      <c r="W425" s="63" t="str">
        <f t="shared" si="115"/>
        <v/>
      </c>
      <c r="X425" s="63">
        <f t="shared" si="125"/>
        <v>0</v>
      </c>
      <c r="Y425" s="30"/>
      <c r="Z425" s="30"/>
      <c r="AA425" s="30"/>
      <c r="AB425" s="55">
        <f>PMSplint!N61</f>
        <v>0.9693925986100318</v>
      </c>
      <c r="AC425" s="55">
        <f>PMSplint!N60</f>
        <v>0.95957468975188176</v>
      </c>
      <c r="AD425" s="55">
        <f>IF(RnSplint!N61&lt;0,0,RnSplint!N61)</f>
        <v>3.7026160422442396</v>
      </c>
      <c r="AE425" s="55">
        <f>IF(RnSplint!N60&lt;0,0,RnSplint!N60)</f>
        <v>3.7501807789989381</v>
      </c>
      <c r="AF425" s="30"/>
      <c r="AG425" s="30"/>
      <c r="AH425" s="30"/>
      <c r="AI425" s="30"/>
      <c r="AJ425" s="30"/>
      <c r="AK425" s="30"/>
      <c r="AL425" s="30"/>
      <c r="AM425" s="30"/>
      <c r="AN425" s="55">
        <f t="shared" si="126"/>
        <v>3.5985785575213765</v>
      </c>
      <c r="AO425" s="55">
        <f t="shared" si="127"/>
        <v>1.8969919761352119</v>
      </c>
      <c r="AP425" s="55">
        <f t="shared" si="128"/>
        <v>1.22</v>
      </c>
      <c r="AQ425" s="55"/>
      <c r="AR425" s="55"/>
      <c r="AS425" s="55"/>
      <c r="AT425" s="55"/>
      <c r="AU425" s="30"/>
      <c r="AV425" s="30"/>
      <c r="AW425" s="2"/>
      <c r="AX425" s="2"/>
    </row>
    <row r="426" spans="1:50" x14ac:dyDescent="0.2">
      <c r="A426" s="2"/>
      <c r="B426" s="61">
        <f t="shared" si="129"/>
        <v>42017</v>
      </c>
      <c r="C426" s="62">
        <f t="shared" si="117"/>
        <v>13</v>
      </c>
      <c r="D426" s="63">
        <f t="shared" si="118"/>
        <v>0.9693925986100318</v>
      </c>
      <c r="G426" s="357" t="str">
        <f>IF(MakeSchedule!C393="","",MakeSchedule!C393)</f>
        <v/>
      </c>
      <c r="H426" s="358"/>
      <c r="I426" s="358"/>
      <c r="J426" s="359" t="str">
        <f>IF(MakeSchedule!B393="","",MakeSchedule!B393)</f>
        <v/>
      </c>
      <c r="K426" s="63">
        <f t="shared" si="109"/>
        <v>0.9693925986100318</v>
      </c>
      <c r="L426" s="63">
        <f t="shared" si="119"/>
        <v>0.9693925986100318</v>
      </c>
      <c r="M426" s="63">
        <f t="shared" si="120"/>
        <v>3.7026160422442396</v>
      </c>
      <c r="N426" s="63" t="str">
        <f t="shared" si="110"/>
        <v/>
      </c>
      <c r="O426" s="64">
        <f t="shared" si="121"/>
        <v>1.22</v>
      </c>
      <c r="P426" s="63" t="str">
        <f t="shared" si="122"/>
        <v/>
      </c>
      <c r="Q426" s="64" t="e">
        <f t="shared" si="111"/>
        <v>#N/A</v>
      </c>
      <c r="R426" s="63">
        <f t="shared" si="112"/>
        <v>1.22</v>
      </c>
      <c r="S426" s="65">
        <f t="shared" si="113"/>
        <v>0.35</v>
      </c>
      <c r="T426" s="65">
        <f t="shared" si="123"/>
        <v>1.2</v>
      </c>
      <c r="U426" s="64" t="e">
        <f t="shared" si="124"/>
        <v>#N/A</v>
      </c>
      <c r="V426" s="63">
        <f t="shared" si="114"/>
        <v>1.1632711183320381</v>
      </c>
      <c r="W426" s="63" t="str">
        <f t="shared" si="115"/>
        <v/>
      </c>
      <c r="X426" s="63">
        <f t="shared" si="125"/>
        <v>0</v>
      </c>
      <c r="Y426" s="30"/>
      <c r="Z426" s="30"/>
      <c r="AA426" s="30"/>
      <c r="AB426" s="55">
        <f>PMSplint!N62</f>
        <v>0.98017939870278192</v>
      </c>
      <c r="AC426" s="55">
        <f>PMSplint!N61</f>
        <v>0.9693925986100318</v>
      </c>
      <c r="AD426" s="55">
        <f>IF(RnSplint!N62&lt;0,0,RnSplint!N62)</f>
        <v>3.6622864364326908</v>
      </c>
      <c r="AE426" s="55">
        <f>IF(RnSplint!N61&lt;0,0,RnSplint!N61)</f>
        <v>3.7026160422442396</v>
      </c>
      <c r="AF426" s="30"/>
      <c r="AG426" s="30"/>
      <c r="AH426" s="30"/>
      <c r="AI426" s="30"/>
      <c r="AJ426" s="30"/>
      <c r="AK426" s="30"/>
      <c r="AL426" s="30"/>
      <c r="AM426" s="30"/>
      <c r="AN426" s="55">
        <f t="shared" si="126"/>
        <v>3.5892885868463345</v>
      </c>
      <c r="AO426" s="55">
        <f t="shared" si="127"/>
        <v>1.8945417880971469</v>
      </c>
      <c r="AP426" s="55">
        <f t="shared" si="128"/>
        <v>1.22</v>
      </c>
      <c r="AQ426" s="55"/>
      <c r="AR426" s="55"/>
      <c r="AS426" s="55"/>
      <c r="AT426" s="55"/>
      <c r="AU426" s="30"/>
      <c r="AV426" s="30"/>
      <c r="AW426" s="2"/>
      <c r="AX426" s="2"/>
    </row>
    <row r="427" spans="1:50" x14ac:dyDescent="0.2">
      <c r="A427" s="2"/>
      <c r="B427" s="61">
        <f t="shared" si="129"/>
        <v>42018</v>
      </c>
      <c r="C427" s="62">
        <f t="shared" si="117"/>
        <v>14</v>
      </c>
      <c r="D427" s="63">
        <f t="shared" si="118"/>
        <v>0.98017939870278192</v>
      </c>
      <c r="G427" s="357" t="str">
        <f>IF(MakeSchedule!C394="","",MakeSchedule!C394)</f>
        <v/>
      </c>
      <c r="H427" s="358"/>
      <c r="I427" s="358"/>
      <c r="J427" s="359" t="str">
        <f>IF(MakeSchedule!B394="","",MakeSchedule!B394)</f>
        <v/>
      </c>
      <c r="K427" s="63">
        <f t="shared" si="109"/>
        <v>0.98017939870278192</v>
      </c>
      <c r="L427" s="63">
        <f t="shared" si="119"/>
        <v>0.98017939870278192</v>
      </c>
      <c r="M427" s="63">
        <f t="shared" si="120"/>
        <v>3.6622864364326908</v>
      </c>
      <c r="N427" s="63" t="str">
        <f t="shared" si="110"/>
        <v/>
      </c>
      <c r="O427" s="64">
        <f t="shared" si="121"/>
        <v>1.22</v>
      </c>
      <c r="P427" s="63" t="str">
        <f t="shared" si="122"/>
        <v/>
      </c>
      <c r="Q427" s="64" t="e">
        <f t="shared" si="111"/>
        <v>#N/A</v>
      </c>
      <c r="R427" s="63">
        <f t="shared" si="112"/>
        <v>1.22</v>
      </c>
      <c r="S427" s="65">
        <f t="shared" si="113"/>
        <v>0.35</v>
      </c>
      <c r="T427" s="65">
        <f t="shared" si="123"/>
        <v>1.2</v>
      </c>
      <c r="U427" s="64" t="e">
        <f t="shared" si="124"/>
        <v>#N/A</v>
      </c>
      <c r="V427" s="63">
        <f t="shared" si="114"/>
        <v>1.1762152784433382</v>
      </c>
      <c r="W427" s="63" t="str">
        <f t="shared" si="115"/>
        <v/>
      </c>
      <c r="X427" s="63">
        <f t="shared" si="125"/>
        <v>0</v>
      </c>
      <c r="Y427" s="30"/>
      <c r="Z427" s="30"/>
      <c r="AA427" s="30"/>
      <c r="AB427" s="55">
        <f>PMSplint!N63</f>
        <v>0.99189574083417142</v>
      </c>
      <c r="AC427" s="55">
        <f>PMSplint!N62</f>
        <v>0.98017939870278192</v>
      </c>
      <c r="AD427" s="55">
        <f>IF(RnSplint!N63&lt;0,0,RnSplint!N63)</f>
        <v>3.629521597852206</v>
      </c>
      <c r="AE427" s="55">
        <f>IF(RnSplint!N62&lt;0,0,RnSplint!N62)</f>
        <v>3.6622864364326908</v>
      </c>
      <c r="AF427" s="30"/>
      <c r="AG427" s="30"/>
      <c r="AH427" s="30"/>
      <c r="AI427" s="30"/>
      <c r="AJ427" s="30"/>
      <c r="AK427" s="30"/>
      <c r="AL427" s="30"/>
      <c r="AM427" s="30"/>
      <c r="AN427" s="55">
        <f t="shared" si="126"/>
        <v>3.5896977171399489</v>
      </c>
      <c r="AO427" s="55">
        <f t="shared" si="127"/>
        <v>1.8946497610745763</v>
      </c>
      <c r="AP427" s="55">
        <f t="shared" si="128"/>
        <v>1.22</v>
      </c>
      <c r="AQ427" s="55"/>
      <c r="AR427" s="55"/>
      <c r="AS427" s="55"/>
      <c r="AT427" s="55"/>
      <c r="AU427" s="30"/>
      <c r="AV427" s="30"/>
      <c r="AW427" s="2"/>
      <c r="AX427" s="2"/>
    </row>
    <row r="428" spans="1:50" x14ac:dyDescent="0.2">
      <c r="A428" s="2"/>
      <c r="B428" s="61">
        <f t="shared" si="129"/>
        <v>42019</v>
      </c>
      <c r="C428" s="62">
        <f t="shared" si="117"/>
        <v>15</v>
      </c>
      <c r="D428" s="63">
        <f t="shared" si="118"/>
        <v>0.99189574083417142</v>
      </c>
      <c r="G428" s="357" t="str">
        <f>IF(MakeSchedule!C395="","",MakeSchedule!C395)</f>
        <v/>
      </c>
      <c r="H428" s="358"/>
      <c r="I428" s="358"/>
      <c r="J428" s="359" t="str">
        <f>IF(MakeSchedule!B395="","",MakeSchedule!B395)</f>
        <v/>
      </c>
      <c r="K428" s="63">
        <f t="shared" si="109"/>
        <v>0.99189574083417142</v>
      </c>
      <c r="L428" s="63">
        <f t="shared" si="119"/>
        <v>0.99189574083417142</v>
      </c>
      <c r="M428" s="63">
        <f t="shared" si="120"/>
        <v>3.629521597852206</v>
      </c>
      <c r="N428" s="63" t="str">
        <f t="shared" si="110"/>
        <v/>
      </c>
      <c r="O428" s="64">
        <f t="shared" si="121"/>
        <v>1.22</v>
      </c>
      <c r="P428" s="63" t="str">
        <f t="shared" si="122"/>
        <v/>
      </c>
      <c r="Q428" s="64" t="e">
        <f t="shared" si="111"/>
        <v>#N/A</v>
      </c>
      <c r="R428" s="63">
        <f t="shared" si="112"/>
        <v>1.22</v>
      </c>
      <c r="S428" s="65">
        <f t="shared" si="113"/>
        <v>0.35</v>
      </c>
      <c r="T428" s="65">
        <f t="shared" si="123"/>
        <v>1.2</v>
      </c>
      <c r="U428" s="64" t="e">
        <f t="shared" si="124"/>
        <v>#N/A</v>
      </c>
      <c r="V428" s="63">
        <f t="shared" si="114"/>
        <v>1.1902748890010058</v>
      </c>
      <c r="W428" s="63" t="str">
        <f t="shared" si="115"/>
        <v/>
      </c>
      <c r="X428" s="63">
        <f t="shared" si="125"/>
        <v>0</v>
      </c>
      <c r="Y428" s="30"/>
      <c r="Z428" s="30"/>
      <c r="AA428" s="30"/>
      <c r="AB428" s="55">
        <f>PMSplint!N64</f>
        <v>1.0045022758082387</v>
      </c>
      <c r="AC428" s="55">
        <f>PMSplint!N63</f>
        <v>0.99189574083417142</v>
      </c>
      <c r="AD428" s="55">
        <f>IF(RnSplint!N64&lt;0,0,RnSplint!N64)</f>
        <v>3.6046511627906979</v>
      </c>
      <c r="AE428" s="55">
        <f>IF(RnSplint!N63&lt;0,0,RnSplint!N63)</f>
        <v>3.629521597852206</v>
      </c>
      <c r="AF428" s="30"/>
      <c r="AG428" s="30"/>
      <c r="AH428" s="30"/>
      <c r="AI428" s="30"/>
      <c r="AJ428" s="30"/>
      <c r="AK428" s="30"/>
      <c r="AL428" s="30"/>
      <c r="AM428" s="30"/>
      <c r="AN428" s="55">
        <f t="shared" si="126"/>
        <v>3.6001070141752396</v>
      </c>
      <c r="AO428" s="55">
        <f t="shared" si="127"/>
        <v>1.8973947966027629</v>
      </c>
      <c r="AP428" s="55">
        <f t="shared" si="128"/>
        <v>1.22</v>
      </c>
      <c r="AQ428" s="55"/>
      <c r="AR428" s="55"/>
      <c r="AS428" s="55"/>
      <c r="AT428" s="55"/>
      <c r="AU428" s="30"/>
      <c r="AV428" s="30"/>
      <c r="AW428" s="2"/>
      <c r="AX428" s="2"/>
    </row>
    <row r="429" spans="1:50" x14ac:dyDescent="0.2">
      <c r="A429" s="2"/>
      <c r="B429" s="61">
        <f t="shared" si="129"/>
        <v>42020</v>
      </c>
      <c r="C429" s="62">
        <f t="shared" si="117"/>
        <v>16</v>
      </c>
      <c r="D429" s="63">
        <f t="shared" si="118"/>
        <v>1.0045022758082387</v>
      </c>
      <c r="G429" s="357" t="str">
        <f>IF(MakeSchedule!C396="","",MakeSchedule!C396)</f>
        <v/>
      </c>
      <c r="H429" s="358"/>
      <c r="I429" s="358"/>
      <c r="J429" s="359" t="str">
        <f>IF(MakeSchedule!B396="","",MakeSchedule!B396)</f>
        <v/>
      </c>
      <c r="K429" s="63">
        <f t="shared" si="109"/>
        <v>1.0045022758082387</v>
      </c>
      <c r="L429" s="63">
        <f t="shared" si="119"/>
        <v>1.0045022758082387</v>
      </c>
      <c r="M429" s="63">
        <f t="shared" si="120"/>
        <v>3.6046511627906979</v>
      </c>
      <c r="N429" s="63" t="str">
        <f t="shared" si="110"/>
        <v/>
      </c>
      <c r="O429" s="64">
        <f t="shared" si="121"/>
        <v>1.22</v>
      </c>
      <c r="P429" s="63" t="str">
        <f t="shared" si="122"/>
        <v/>
      </c>
      <c r="Q429" s="64" t="e">
        <f t="shared" si="111"/>
        <v>#N/A</v>
      </c>
      <c r="R429" s="63">
        <f t="shared" si="112"/>
        <v>1.22</v>
      </c>
      <c r="S429" s="65">
        <f t="shared" si="113"/>
        <v>0.35</v>
      </c>
      <c r="T429" s="65">
        <f t="shared" si="123"/>
        <v>1.2</v>
      </c>
      <c r="U429" s="64" t="e">
        <f t="shared" si="124"/>
        <v>#N/A</v>
      </c>
      <c r="V429" s="63">
        <f t="shared" si="114"/>
        <v>1.2054027309698865</v>
      </c>
      <c r="W429" s="63" t="str">
        <f t="shared" si="115"/>
        <v/>
      </c>
      <c r="X429" s="63">
        <f t="shared" si="125"/>
        <v>0</v>
      </c>
      <c r="Y429" s="30"/>
      <c r="Z429" s="30"/>
      <c r="AA429" s="30"/>
      <c r="AB429" s="55">
        <f>PMSplint!N65</f>
        <v>1.0179620672571157</v>
      </c>
      <c r="AC429" s="55">
        <f>PMSplint!N64</f>
        <v>1.0045022758082387</v>
      </c>
      <c r="AD429" s="55">
        <f>IF(RnSplint!N65&lt;0,0,RnSplint!N65)</f>
        <v>3.5878624394806118</v>
      </c>
      <c r="AE429" s="55">
        <f>IF(RnSplint!N64&lt;0,0,RnSplint!N64)</f>
        <v>3.6046511627906979</v>
      </c>
      <c r="AF429" s="30"/>
      <c r="AG429" s="30"/>
      <c r="AH429" s="30"/>
      <c r="AI429" s="30"/>
      <c r="AJ429" s="30"/>
      <c r="AK429" s="30"/>
      <c r="AL429" s="30"/>
      <c r="AM429" s="30"/>
      <c r="AN429" s="55">
        <f t="shared" si="126"/>
        <v>3.6208802965180698</v>
      </c>
      <c r="AO429" s="55">
        <f t="shared" si="127"/>
        <v>1.9028610817708342</v>
      </c>
      <c r="AP429" s="55">
        <f t="shared" si="128"/>
        <v>1.22</v>
      </c>
      <c r="AQ429" s="55"/>
      <c r="AR429" s="55"/>
      <c r="AS429" s="55"/>
      <c r="AT429" s="55"/>
      <c r="AU429" s="30"/>
      <c r="AV429" s="30"/>
      <c r="AW429" s="2"/>
      <c r="AX429" s="2"/>
    </row>
    <row r="430" spans="1:50" x14ac:dyDescent="0.2">
      <c r="A430" s="2"/>
      <c r="B430" s="61">
        <f t="shared" si="129"/>
        <v>42021</v>
      </c>
      <c r="C430" s="62">
        <f t="shared" si="117"/>
        <v>17</v>
      </c>
      <c r="D430" s="63">
        <f t="shared" si="118"/>
        <v>1.0179620672571157</v>
      </c>
      <c r="G430" s="357" t="str">
        <f>IF(MakeSchedule!C397="","",MakeSchedule!C397)</f>
        <v/>
      </c>
      <c r="H430" s="358"/>
      <c r="I430" s="358"/>
      <c r="J430" s="359" t="str">
        <f>IF(MakeSchedule!B397="","",MakeSchedule!B397)</f>
        <v/>
      </c>
      <c r="K430" s="63">
        <f t="shared" si="109"/>
        <v>1.0179620672571157</v>
      </c>
      <c r="L430" s="63">
        <f t="shared" si="119"/>
        <v>1.0179620672571157</v>
      </c>
      <c r="M430" s="63">
        <f t="shared" si="120"/>
        <v>3.5878624394806118</v>
      </c>
      <c r="N430" s="63" t="str">
        <f t="shared" si="110"/>
        <v/>
      </c>
      <c r="O430" s="64">
        <f t="shared" si="121"/>
        <v>1.22</v>
      </c>
      <c r="P430" s="63" t="str">
        <f t="shared" si="122"/>
        <v/>
      </c>
      <c r="Q430" s="64" t="e">
        <f t="shared" si="111"/>
        <v>#N/A</v>
      </c>
      <c r="R430" s="63">
        <f t="shared" si="112"/>
        <v>1.22</v>
      </c>
      <c r="S430" s="65">
        <f t="shared" si="113"/>
        <v>0.35</v>
      </c>
      <c r="T430" s="65">
        <f t="shared" si="123"/>
        <v>1.2</v>
      </c>
      <c r="U430" s="64" t="e">
        <f t="shared" si="124"/>
        <v>#N/A</v>
      </c>
      <c r="V430" s="63">
        <f t="shared" si="114"/>
        <v>1.2215544807085388</v>
      </c>
      <c r="W430" s="63" t="str">
        <f t="shared" si="115"/>
        <v/>
      </c>
      <c r="X430" s="63">
        <f t="shared" si="125"/>
        <v>0</v>
      </c>
      <c r="Y430" s="30"/>
      <c r="Z430" s="30"/>
      <c r="AA430" s="30"/>
      <c r="AB430" s="55">
        <f>PMSplint!N66</f>
        <v>1.032247830125304</v>
      </c>
      <c r="AC430" s="55">
        <f>PMSplint!N65</f>
        <v>1.0179620672571157</v>
      </c>
      <c r="AD430" s="55">
        <f>IF(RnSplint!N66&lt;0,0,RnSplint!N66)</f>
        <v>3.5787734239325166</v>
      </c>
      <c r="AE430" s="55">
        <f>IF(RnSplint!N65&lt;0,0,RnSplint!N65)</f>
        <v>3.5878624394806118</v>
      </c>
      <c r="AF430" s="30"/>
      <c r="AG430" s="30"/>
      <c r="AH430" s="30"/>
      <c r="AI430" s="30"/>
      <c r="AJ430" s="30"/>
      <c r="AK430" s="30"/>
      <c r="AL430" s="30"/>
      <c r="AM430" s="30"/>
      <c r="AN430" s="55">
        <f t="shared" si="126"/>
        <v>3.6523078659278418</v>
      </c>
      <c r="AO430" s="55">
        <f t="shared" si="127"/>
        <v>1.9111012181273501</v>
      </c>
      <c r="AP430" s="55">
        <f t="shared" si="128"/>
        <v>1.22</v>
      </c>
      <c r="AQ430" s="55"/>
      <c r="AR430" s="55"/>
      <c r="AS430" s="55"/>
      <c r="AT430" s="55"/>
      <c r="AU430" s="30"/>
      <c r="AV430" s="30"/>
      <c r="AW430" s="2"/>
      <c r="AX430" s="2"/>
    </row>
    <row r="431" spans="1:50" x14ac:dyDescent="0.2">
      <c r="A431" s="2"/>
      <c r="B431" s="61">
        <f t="shared" si="129"/>
        <v>42022</v>
      </c>
      <c r="C431" s="62">
        <f t="shared" si="117"/>
        <v>18</v>
      </c>
      <c r="D431" s="63">
        <f t="shared" si="118"/>
        <v>1.032247830125304</v>
      </c>
      <c r="G431" s="357" t="str">
        <f>IF(MakeSchedule!C398="","",MakeSchedule!C398)</f>
        <v/>
      </c>
      <c r="H431" s="358"/>
      <c r="I431" s="358"/>
      <c r="J431" s="359" t="str">
        <f>IF(MakeSchedule!B398="","",MakeSchedule!B398)</f>
        <v/>
      </c>
      <c r="K431" s="63">
        <f t="shared" si="109"/>
        <v>1.032247830125304</v>
      </c>
      <c r="L431" s="63">
        <f t="shared" si="119"/>
        <v>1.032247830125304</v>
      </c>
      <c r="M431" s="63">
        <f t="shared" si="120"/>
        <v>3.5787734239325166</v>
      </c>
      <c r="N431" s="63" t="str">
        <f t="shared" si="110"/>
        <v/>
      </c>
      <c r="O431" s="64">
        <f t="shared" si="121"/>
        <v>1.22</v>
      </c>
      <c r="P431" s="63" t="str">
        <f t="shared" si="122"/>
        <v/>
      </c>
      <c r="Q431" s="64" t="e">
        <f t="shared" si="111"/>
        <v>#N/A</v>
      </c>
      <c r="R431" s="63">
        <f t="shared" si="112"/>
        <v>1.22</v>
      </c>
      <c r="S431" s="65">
        <f t="shared" si="113"/>
        <v>0.35</v>
      </c>
      <c r="T431" s="65">
        <f t="shared" si="123"/>
        <v>1.2</v>
      </c>
      <c r="U431" s="64" t="e">
        <f t="shared" si="124"/>
        <v>#N/A</v>
      </c>
      <c r="V431" s="63">
        <f t="shared" si="114"/>
        <v>1.2386973961503647</v>
      </c>
      <c r="W431" s="63" t="str">
        <f t="shared" si="115"/>
        <v/>
      </c>
      <c r="X431" s="63">
        <f t="shared" si="125"/>
        <v>0</v>
      </c>
      <c r="Y431" s="30"/>
      <c r="Z431" s="30"/>
      <c r="AA431" s="30"/>
      <c r="AB431" s="55">
        <f>PMSplint!N67</f>
        <v>1.047334692185399</v>
      </c>
      <c r="AC431" s="55">
        <f>PMSplint!N66</f>
        <v>1.032247830125304</v>
      </c>
      <c r="AD431" s="55">
        <f>IF(RnSplint!N67&lt;0,0,RnSplint!N67)</f>
        <v>3.5768597841015191</v>
      </c>
      <c r="AE431" s="55">
        <f>IF(RnSplint!N66&lt;0,0,RnSplint!N66)</f>
        <v>3.5787734239325166</v>
      </c>
      <c r="AF431" s="30"/>
      <c r="AG431" s="30"/>
      <c r="AH431" s="30"/>
      <c r="AI431" s="30"/>
      <c r="AJ431" s="30"/>
      <c r="AK431" s="30"/>
      <c r="AL431" s="30"/>
      <c r="AM431" s="30"/>
      <c r="AN431" s="55">
        <f t="shared" si="126"/>
        <v>3.6941811013644448</v>
      </c>
      <c r="AO431" s="55">
        <f t="shared" si="127"/>
        <v>1.9220252603346411</v>
      </c>
      <c r="AP431" s="55">
        <f t="shared" si="128"/>
        <v>1.22</v>
      </c>
      <c r="AQ431" s="55"/>
      <c r="AR431" s="55"/>
      <c r="AS431" s="55"/>
      <c r="AT431" s="55"/>
      <c r="AU431" s="30"/>
      <c r="AV431" s="30"/>
      <c r="AW431" s="2"/>
      <c r="AX431" s="2"/>
    </row>
    <row r="432" spans="1:50" x14ac:dyDescent="0.2">
      <c r="A432" s="2"/>
      <c r="B432" s="61">
        <f t="shared" si="129"/>
        <v>42023</v>
      </c>
      <c r="C432" s="62">
        <f t="shared" si="117"/>
        <v>19</v>
      </c>
      <c r="D432" s="63">
        <f t="shared" si="118"/>
        <v>1.047334692185399</v>
      </c>
      <c r="G432" s="357" t="str">
        <f>IF(MakeSchedule!C399="","",MakeSchedule!C399)</f>
        <v/>
      </c>
      <c r="H432" s="358"/>
      <c r="I432" s="358"/>
      <c r="J432" s="359" t="str">
        <f>IF(MakeSchedule!B399="","",MakeSchedule!B399)</f>
        <v/>
      </c>
      <c r="K432" s="63">
        <f t="shared" si="109"/>
        <v>1.047334692185399</v>
      </c>
      <c r="L432" s="63">
        <f t="shared" si="119"/>
        <v>1.047334692185399</v>
      </c>
      <c r="M432" s="63">
        <f t="shared" si="120"/>
        <v>3.5768597841015191</v>
      </c>
      <c r="N432" s="63" t="str">
        <f t="shared" si="110"/>
        <v/>
      </c>
      <c r="O432" s="64">
        <f t="shared" si="121"/>
        <v>1.22</v>
      </c>
      <c r="P432" s="63" t="str">
        <f t="shared" si="122"/>
        <v/>
      </c>
      <c r="Q432" s="64" t="e">
        <f t="shared" si="111"/>
        <v>#N/A</v>
      </c>
      <c r="R432" s="63">
        <f t="shared" si="112"/>
        <v>1.22</v>
      </c>
      <c r="S432" s="65">
        <f t="shared" si="113"/>
        <v>0.35</v>
      </c>
      <c r="T432" s="65">
        <f t="shared" si="123"/>
        <v>1.2</v>
      </c>
      <c r="U432" s="64" t="e">
        <f t="shared" si="124"/>
        <v>#N/A</v>
      </c>
      <c r="V432" s="63">
        <f t="shared" si="114"/>
        <v>1.2568016306224787</v>
      </c>
      <c r="W432" s="63" t="str">
        <f t="shared" si="115"/>
        <v/>
      </c>
      <c r="X432" s="63">
        <f t="shared" si="125"/>
        <v>0</v>
      </c>
      <c r="Y432" s="30"/>
      <c r="Z432" s="30"/>
      <c r="AA432" s="30"/>
      <c r="AB432" s="55">
        <f>PMSplint!N68</f>
        <v>1.0631977812099955</v>
      </c>
      <c r="AC432" s="55">
        <f>PMSplint!N67</f>
        <v>1.047334692185399</v>
      </c>
      <c r="AD432" s="55">
        <f>IF(RnSplint!N68&lt;0,0,RnSplint!N68)</f>
        <v>3.5815971879427195</v>
      </c>
      <c r="AE432" s="55">
        <f>IF(RnSplint!N67&lt;0,0,RnSplint!N67)</f>
        <v>3.5768597841015191</v>
      </c>
      <c r="AF432" s="30"/>
      <c r="AG432" s="30"/>
      <c r="AH432" s="30"/>
      <c r="AI432" s="30"/>
      <c r="AJ432" s="30"/>
      <c r="AK432" s="30"/>
      <c r="AL432" s="30"/>
      <c r="AM432" s="30"/>
      <c r="AN432" s="55">
        <f t="shared" si="126"/>
        <v>3.7461693409722971</v>
      </c>
      <c r="AO432" s="55">
        <f t="shared" si="127"/>
        <v>1.9355023484801812</v>
      </c>
      <c r="AP432" s="55">
        <f t="shared" si="128"/>
        <v>1.22</v>
      </c>
      <c r="AQ432" s="55"/>
      <c r="AR432" s="55"/>
      <c r="AS432" s="55"/>
      <c r="AT432" s="55"/>
      <c r="AU432" s="30"/>
      <c r="AV432" s="30"/>
      <c r="AW432" s="2"/>
      <c r="AX432" s="2"/>
    </row>
    <row r="433" spans="1:50" x14ac:dyDescent="0.2">
      <c r="A433" s="2"/>
      <c r="B433" s="61">
        <f t="shared" si="129"/>
        <v>42024</v>
      </c>
      <c r="C433" s="62">
        <f t="shared" si="117"/>
        <v>20</v>
      </c>
      <c r="D433" s="63">
        <f t="shared" si="118"/>
        <v>1.0631977812099955</v>
      </c>
      <c r="G433" s="357" t="str">
        <f>IF(MakeSchedule!C400="","",MakeSchedule!C400)</f>
        <v/>
      </c>
      <c r="H433" s="358"/>
      <c r="I433" s="358"/>
      <c r="J433" s="359" t="str">
        <f>IF(MakeSchedule!B400="","",MakeSchedule!B400)</f>
        <v/>
      </c>
      <c r="K433" s="63">
        <f t="shared" ref="K433:K496" si="130">IF(G433&lt;&gt;"",G433,IF(D433="","",D433))</f>
        <v>1.0631977812099955</v>
      </c>
      <c r="L433" s="63">
        <f t="shared" si="119"/>
        <v>1.0631977812099955</v>
      </c>
      <c r="M433" s="63">
        <f t="shared" si="120"/>
        <v>3.5815971879427195</v>
      </c>
      <c r="N433" s="63" t="str">
        <f t="shared" ref="N433:N496" si="131">IF(C433=$E$7,O433,"")</f>
        <v/>
      </c>
      <c r="O433" s="64">
        <f t="shared" si="121"/>
        <v>1.22</v>
      </c>
      <c r="P433" s="63" t="str">
        <f t="shared" si="122"/>
        <v/>
      </c>
      <c r="Q433" s="64" t="e">
        <f t="shared" ref="Q433:Q496" si="132">IF(AND(C$49:C$625&lt;F$7,$U$44&gt;2),#N/A,IF(P433="",#N/A,P433))</f>
        <v>#N/A</v>
      </c>
      <c r="R433" s="63">
        <f t="shared" ref="R433:R496" si="133">IF(OR(P433="",O433&gt;P433),O433,P433)</f>
        <v>1.22</v>
      </c>
      <c r="S433" s="65">
        <f t="shared" ref="S433:S496" si="134">IF(OR(AND(C$49:C$625&gt;=U$6,C$49:C$625&lt;=U$7),AND(C$49:C$625&gt;=U$9,C$49:C$625&lt;=U$10)),0.35,0)</f>
        <v>0.35</v>
      </c>
      <c r="T433" s="65">
        <f t="shared" si="123"/>
        <v>1.2</v>
      </c>
      <c r="U433" s="64" t="e">
        <f t="shared" si="124"/>
        <v>#N/A</v>
      </c>
      <c r="V433" s="63">
        <f t="shared" ref="V433:V496" si="135">IF(L433="","",L433*T433)</f>
        <v>1.2758373374519947</v>
      </c>
      <c r="W433" s="63" t="str">
        <f t="shared" ref="W433:W496" si="136">IF(AND(B$49:B$625&gt;=E$6,B$49:B$625&lt;=E$7),L433,"")</f>
        <v/>
      </c>
      <c r="X433" s="63">
        <f t="shared" si="125"/>
        <v>0</v>
      </c>
      <c r="Y433" s="30"/>
      <c r="Z433" s="30"/>
      <c r="AA433" s="30"/>
      <c r="AB433" s="55">
        <f>PMSplint!N69</f>
        <v>1.0798122249716882</v>
      </c>
      <c r="AC433" s="55">
        <f>PMSplint!N68</f>
        <v>1.0631977812099955</v>
      </c>
      <c r="AD433" s="55">
        <f>IF(RnSplint!N69&lt;0,0,RnSplint!N69)</f>
        <v>3.5924613034112216</v>
      </c>
      <c r="AE433" s="55">
        <f>IF(RnSplint!N68&lt;0,0,RnSplint!N68)</f>
        <v>3.5815971879427195</v>
      </c>
      <c r="AF433" s="30"/>
      <c r="AG433" s="30"/>
      <c r="AH433" s="30"/>
      <c r="AI433" s="30"/>
      <c r="AJ433" s="30"/>
      <c r="AK433" s="30"/>
      <c r="AL433" s="30"/>
      <c r="AM433" s="30"/>
      <c r="AN433" s="55">
        <f t="shared" si="126"/>
        <v>3.8079461834086588</v>
      </c>
      <c r="AO433" s="55">
        <f t="shared" si="127"/>
        <v>1.9513959576182018</v>
      </c>
      <c r="AP433" s="55">
        <f t="shared" si="128"/>
        <v>1.22</v>
      </c>
      <c r="AQ433" s="55"/>
      <c r="AR433" s="55"/>
      <c r="AS433" s="55"/>
      <c r="AT433" s="55"/>
      <c r="AU433" s="30"/>
      <c r="AV433" s="30"/>
      <c r="AW433" s="2"/>
      <c r="AX433" s="2"/>
    </row>
    <row r="434" spans="1:50" x14ac:dyDescent="0.2">
      <c r="A434" s="2"/>
      <c r="B434" s="61">
        <f t="shared" si="129"/>
        <v>42025</v>
      </c>
      <c r="C434" s="62">
        <f t="shared" ref="C434:C497" si="137">IF(B433=DATE(D$4,12,31),1,C433+1)</f>
        <v>21</v>
      </c>
      <c r="D434" s="63">
        <f t="shared" ref="D434:D497" si="138">IF($B$46=0,IF(ISERROR($AB434),"",$AB434),IF(ISERROR($AC434),"",$AC434))</f>
        <v>1.0798122249716882</v>
      </c>
      <c r="G434" s="357" t="str">
        <f>IF(MakeSchedule!C401="","",MakeSchedule!C401)</f>
        <v/>
      </c>
      <c r="H434" s="358"/>
      <c r="I434" s="358"/>
      <c r="J434" s="359" t="str">
        <f>IF(MakeSchedule!B401="","",MakeSchedule!B401)</f>
        <v/>
      </c>
      <c r="K434" s="63">
        <f t="shared" si="130"/>
        <v>1.0798122249716882</v>
      </c>
      <c r="L434" s="63">
        <f t="shared" ref="L434:L497" si="139">IF($G434&lt;&gt;"",$G434,IF($D434="","",$D434))</f>
        <v>1.0798122249716882</v>
      </c>
      <c r="M434" s="63">
        <f t="shared" ref="M434:M497" si="140">IF(F$3=365,AD434,AE434)</f>
        <v>3.5924613034112216</v>
      </c>
      <c r="N434" s="63" t="str">
        <f t="shared" si="131"/>
        <v/>
      </c>
      <c r="O434" s="64">
        <f t="shared" ref="O434:O497" si="141">AP434</f>
        <v>1.22</v>
      </c>
      <c r="P434" s="63" t="str">
        <f t="shared" ref="P434:P497" si="142">IF(B$49:B$625&lt;E$6,"",IF(AND(B$49:B$625&lt;=E$7,B$49:B$625&gt;=E$6),G$7,IF(AND(B$49:B$625&lt;=E$8,B$49:B$625&gt;E$7),P433+H$8,IF(AND(B$49:B$625&lt;=E$9,B$49:B$625&gt;E$8),P433+H$9,IF(AND(B$49:B$625&lt;=E$10,B$49:B$625&gt;E$9),P433+H$10,"")))))</f>
        <v/>
      </c>
      <c r="Q434" s="64" t="e">
        <f t="shared" si="132"/>
        <v>#N/A</v>
      </c>
      <c r="R434" s="63">
        <f t="shared" si="133"/>
        <v>1.22</v>
      </c>
      <c r="S434" s="65">
        <f t="shared" si="134"/>
        <v>0.35</v>
      </c>
      <c r="T434" s="65">
        <f t="shared" ref="T434:T497" si="143">IF($J$5&lt;3,R434,IF(R434+S434&gt;1.2,1.2,IF(AND(R434+S434&lt;0.9,S434=0.35),0.9,R434+S434)))</f>
        <v>1.2</v>
      </c>
      <c r="U434" s="64" t="e">
        <f t="shared" ref="U434:U497" si="144">IF(P434="",#N/A,IF($J$5&lt;3,R434,IF(R434+S434&gt;1.2,1.2,IF(AND(R434+S434&lt;0.9,S434=0.35),0.9,R434+S434))))</f>
        <v>#N/A</v>
      </c>
      <c r="V434" s="63">
        <f t="shared" si="135"/>
        <v>1.2957746699660257</v>
      </c>
      <c r="W434" s="63" t="str">
        <f t="shared" si="136"/>
        <v/>
      </c>
      <c r="X434" s="63">
        <f t="shared" ref="X434:X497" si="145">IF(B434=$E$6,V434,IF(OR(B434&lt;$E$6,B434&gt;$E$10),0,X433+V434))</f>
        <v>0</v>
      </c>
      <c r="Y434" s="30"/>
      <c r="Z434" s="30"/>
      <c r="AA434" s="30"/>
      <c r="AB434" s="55">
        <f>PMSplint!N70</f>
        <v>1.0971531512430717</v>
      </c>
      <c r="AC434" s="55">
        <f>PMSplint!N69</f>
        <v>1.0798122249716882</v>
      </c>
      <c r="AD434" s="55">
        <f>IF(RnSplint!N70&lt;0,0,RnSplint!N70)</f>
        <v>3.6089277984621271</v>
      </c>
      <c r="AE434" s="55">
        <f>IF(RnSplint!N69&lt;0,0,RnSplint!N69)</f>
        <v>3.5924613034112216</v>
      </c>
      <c r="AF434" s="30"/>
      <c r="AG434" s="30"/>
      <c r="AH434" s="30"/>
      <c r="AI434" s="30"/>
      <c r="AJ434" s="30"/>
      <c r="AK434" s="30"/>
      <c r="AL434" s="30"/>
      <c r="AM434" s="30"/>
      <c r="AN434" s="55">
        <f t="shared" si="126"/>
        <v>3.879183633161162</v>
      </c>
      <c r="AO434" s="55">
        <f t="shared" si="127"/>
        <v>1.9695643257231183</v>
      </c>
      <c r="AP434" s="55">
        <f t="shared" si="128"/>
        <v>1.22</v>
      </c>
      <c r="AQ434" s="55"/>
      <c r="AR434" s="55"/>
      <c r="AS434" s="55"/>
      <c r="AT434" s="55"/>
      <c r="AU434" s="30"/>
      <c r="AV434" s="30"/>
      <c r="AW434" s="2"/>
      <c r="AX434" s="2"/>
    </row>
    <row r="435" spans="1:50" x14ac:dyDescent="0.2">
      <c r="A435" s="2"/>
      <c r="B435" s="61">
        <f t="shared" si="129"/>
        <v>42026</v>
      </c>
      <c r="C435" s="62">
        <f t="shared" si="137"/>
        <v>22</v>
      </c>
      <c r="D435" s="63">
        <f t="shared" si="138"/>
        <v>1.0971531512430717</v>
      </c>
      <c r="G435" s="357" t="str">
        <f>IF(MakeSchedule!C402="","",MakeSchedule!C402)</f>
        <v/>
      </c>
      <c r="H435" s="358"/>
      <c r="I435" s="358"/>
      <c r="J435" s="359" t="str">
        <f>IF(MakeSchedule!B402="","",MakeSchedule!B402)</f>
        <v/>
      </c>
      <c r="K435" s="63">
        <f t="shared" si="130"/>
        <v>1.0971531512430717</v>
      </c>
      <c r="L435" s="63">
        <f t="shared" si="139"/>
        <v>1.0971531512430717</v>
      </c>
      <c r="M435" s="63">
        <f t="shared" si="140"/>
        <v>3.6089277984621271</v>
      </c>
      <c r="N435" s="63" t="str">
        <f t="shared" si="131"/>
        <v/>
      </c>
      <c r="O435" s="64">
        <f t="shared" si="141"/>
        <v>1.22</v>
      </c>
      <c r="P435" s="63" t="str">
        <f t="shared" si="142"/>
        <v/>
      </c>
      <c r="Q435" s="64" t="e">
        <f t="shared" si="132"/>
        <v>#N/A</v>
      </c>
      <c r="R435" s="63">
        <f t="shared" si="133"/>
        <v>1.22</v>
      </c>
      <c r="S435" s="65">
        <f t="shared" si="134"/>
        <v>0.35</v>
      </c>
      <c r="T435" s="65">
        <f t="shared" si="143"/>
        <v>1.2</v>
      </c>
      <c r="U435" s="64" t="e">
        <f t="shared" si="144"/>
        <v>#N/A</v>
      </c>
      <c r="V435" s="63">
        <f t="shared" si="135"/>
        <v>1.3165837814916859</v>
      </c>
      <c r="W435" s="63" t="str">
        <f t="shared" si="136"/>
        <v/>
      </c>
      <c r="X435" s="63">
        <f t="shared" si="145"/>
        <v>0</v>
      </c>
      <c r="Y435" s="30"/>
      <c r="Z435" s="30"/>
      <c r="AA435" s="30"/>
      <c r="AB435" s="55">
        <f>PMSplint!N71</f>
        <v>1.1151956877967413</v>
      </c>
      <c r="AC435" s="55">
        <f>PMSplint!N70</f>
        <v>1.0971531512430717</v>
      </c>
      <c r="AD435" s="55">
        <f>IF(RnSplint!N71&lt;0,0,RnSplint!N71)</f>
        <v>3.6304723410505408</v>
      </c>
      <c r="AE435" s="55">
        <f>IF(RnSplint!N70&lt;0,0,RnSplint!N70)</f>
        <v>3.6089277984621271</v>
      </c>
      <c r="AF435" s="30"/>
      <c r="AG435" s="30"/>
      <c r="AH435" s="30"/>
      <c r="AI435" s="30"/>
      <c r="AJ435" s="30"/>
      <c r="AK435" s="30"/>
      <c r="AL435" s="30"/>
      <c r="AM435" s="30"/>
      <c r="AN435" s="55">
        <f t="shared" si="126"/>
        <v>3.9595465066914439</v>
      </c>
      <c r="AO435" s="55">
        <f t="shared" si="127"/>
        <v>1.9898609264698486</v>
      </c>
      <c r="AP435" s="55">
        <f t="shared" si="128"/>
        <v>1.22</v>
      </c>
      <c r="AQ435" s="55"/>
      <c r="AR435" s="55"/>
      <c r="AS435" s="55"/>
      <c r="AT435" s="55"/>
      <c r="AU435" s="30"/>
      <c r="AV435" s="30"/>
      <c r="AW435" s="2"/>
      <c r="AX435" s="2"/>
    </row>
    <row r="436" spans="1:50" x14ac:dyDescent="0.2">
      <c r="A436" s="2"/>
      <c r="B436" s="61">
        <f t="shared" si="129"/>
        <v>42027</v>
      </c>
      <c r="C436" s="62">
        <f t="shared" si="137"/>
        <v>23</v>
      </c>
      <c r="D436" s="63">
        <f t="shared" si="138"/>
        <v>1.1151956877967413</v>
      </c>
      <c r="G436" s="357" t="str">
        <f>IF(MakeSchedule!C403="","",MakeSchedule!C403)</f>
        <v/>
      </c>
      <c r="H436" s="358"/>
      <c r="I436" s="358"/>
      <c r="J436" s="359" t="str">
        <f>IF(MakeSchedule!B403="","",MakeSchedule!B403)</f>
        <v/>
      </c>
      <c r="K436" s="63">
        <f t="shared" si="130"/>
        <v>1.1151956877967413</v>
      </c>
      <c r="L436" s="63">
        <f t="shared" si="139"/>
        <v>1.1151956877967413</v>
      </c>
      <c r="M436" s="63">
        <f t="shared" si="140"/>
        <v>3.6304723410505408</v>
      </c>
      <c r="N436" s="63" t="str">
        <f t="shared" si="131"/>
        <v/>
      </c>
      <c r="O436" s="64">
        <f t="shared" si="141"/>
        <v>1.22</v>
      </c>
      <c r="P436" s="63" t="str">
        <f t="shared" si="142"/>
        <v/>
      </c>
      <c r="Q436" s="64" t="e">
        <f t="shared" si="132"/>
        <v>#N/A</v>
      </c>
      <c r="R436" s="63">
        <f t="shared" si="133"/>
        <v>1.22</v>
      </c>
      <c r="S436" s="65">
        <f t="shared" si="134"/>
        <v>0.35</v>
      </c>
      <c r="T436" s="65">
        <f t="shared" si="143"/>
        <v>1.2</v>
      </c>
      <c r="U436" s="64" t="e">
        <f t="shared" si="144"/>
        <v>#N/A</v>
      </c>
      <c r="V436" s="63">
        <f t="shared" si="135"/>
        <v>1.3382348253560894</v>
      </c>
      <c r="W436" s="63" t="str">
        <f t="shared" si="136"/>
        <v/>
      </c>
      <c r="X436" s="63">
        <f t="shared" si="145"/>
        <v>0</v>
      </c>
      <c r="Y436" s="30"/>
      <c r="Z436" s="30"/>
      <c r="AA436" s="30"/>
      <c r="AB436" s="55">
        <f>PMSplint!N72</f>
        <v>1.133914962405292</v>
      </c>
      <c r="AC436" s="55">
        <f>PMSplint!N71</f>
        <v>1.1151956877967413</v>
      </c>
      <c r="AD436" s="55">
        <f>IF(RnSplint!N72&lt;0,0,RnSplint!N72)</f>
        <v>3.6565705991315651</v>
      </c>
      <c r="AE436" s="55">
        <f>IF(RnSplint!N71&lt;0,0,RnSplint!N71)</f>
        <v>3.6304723410505408</v>
      </c>
      <c r="AF436" s="30"/>
      <c r="AG436" s="30"/>
      <c r="AH436" s="30"/>
      <c r="AI436" s="30"/>
      <c r="AJ436" s="30"/>
      <c r="AK436" s="30"/>
      <c r="AL436" s="30"/>
      <c r="AM436" s="30"/>
      <c r="AN436" s="55">
        <f t="shared" si="126"/>
        <v>4.0486870994049031</v>
      </c>
      <c r="AO436" s="55">
        <f t="shared" si="127"/>
        <v>2.0121349605344325</v>
      </c>
      <c r="AP436" s="55">
        <f t="shared" si="128"/>
        <v>1.22</v>
      </c>
      <c r="AQ436" s="55"/>
      <c r="AR436" s="55"/>
      <c r="AS436" s="55"/>
      <c r="AT436" s="55"/>
      <c r="AU436" s="30"/>
      <c r="AV436" s="30"/>
      <c r="AW436" s="2"/>
      <c r="AX436" s="2"/>
    </row>
    <row r="437" spans="1:50" x14ac:dyDescent="0.2">
      <c r="A437" s="2"/>
      <c r="B437" s="61">
        <f t="shared" si="129"/>
        <v>42028</v>
      </c>
      <c r="C437" s="62">
        <f t="shared" si="137"/>
        <v>24</v>
      </c>
      <c r="D437" s="63">
        <f t="shared" si="138"/>
        <v>1.133914962405292</v>
      </c>
      <c r="G437" s="357" t="str">
        <f>IF(MakeSchedule!C404="","",MakeSchedule!C404)</f>
        <v/>
      </c>
      <c r="H437" s="358"/>
      <c r="I437" s="358"/>
      <c r="J437" s="359" t="str">
        <f>IF(MakeSchedule!B404="","",MakeSchedule!B404)</f>
        <v/>
      </c>
      <c r="K437" s="63">
        <f t="shared" si="130"/>
        <v>1.133914962405292</v>
      </c>
      <c r="L437" s="63">
        <f t="shared" si="139"/>
        <v>1.133914962405292</v>
      </c>
      <c r="M437" s="63">
        <f t="shared" si="140"/>
        <v>3.6565705991315651</v>
      </c>
      <c r="N437" s="63" t="str">
        <f t="shared" si="131"/>
        <v/>
      </c>
      <c r="O437" s="64">
        <f t="shared" si="141"/>
        <v>1.22</v>
      </c>
      <c r="P437" s="63" t="str">
        <f t="shared" si="142"/>
        <v/>
      </c>
      <c r="Q437" s="64" t="e">
        <f t="shared" si="132"/>
        <v>#N/A</v>
      </c>
      <c r="R437" s="63">
        <f t="shared" si="133"/>
        <v>1.22</v>
      </c>
      <c r="S437" s="65">
        <f t="shared" si="134"/>
        <v>0.35</v>
      </c>
      <c r="T437" s="65">
        <f t="shared" si="143"/>
        <v>1.2</v>
      </c>
      <c r="U437" s="64" t="e">
        <f t="shared" si="144"/>
        <v>#N/A</v>
      </c>
      <c r="V437" s="63">
        <f t="shared" si="135"/>
        <v>1.3606979548863503</v>
      </c>
      <c r="W437" s="63" t="str">
        <f t="shared" si="136"/>
        <v/>
      </c>
      <c r="X437" s="63">
        <f t="shared" si="145"/>
        <v>0</v>
      </c>
      <c r="Y437" s="30"/>
      <c r="Z437" s="30"/>
      <c r="AA437" s="30"/>
      <c r="AB437" s="55">
        <f>PMSplint!N73</f>
        <v>1.1532861028413177</v>
      </c>
      <c r="AC437" s="55">
        <f>PMSplint!N72</f>
        <v>1.133914962405292</v>
      </c>
      <c r="AD437" s="55">
        <f>IF(RnSplint!N73&lt;0,0,RnSplint!N73)</f>
        <v>3.6866982406603026</v>
      </c>
      <c r="AE437" s="55">
        <f>IF(RnSplint!N72&lt;0,0,RnSplint!N72)</f>
        <v>3.6565705991315651</v>
      </c>
      <c r="AF437" s="30"/>
      <c r="AG437" s="30"/>
      <c r="AH437" s="30"/>
      <c r="AI437" s="30"/>
      <c r="AJ437" s="30"/>
      <c r="AK437" s="30"/>
      <c r="AL437" s="30"/>
      <c r="AM437" s="30"/>
      <c r="AN437" s="55">
        <f t="shared" si="126"/>
        <v>4.1462401134465647</v>
      </c>
      <c r="AO437" s="55">
        <f t="shared" si="127"/>
        <v>2.0362318417720919</v>
      </c>
      <c r="AP437" s="55">
        <f t="shared" si="128"/>
        <v>1.22</v>
      </c>
      <c r="AQ437" s="55"/>
      <c r="AR437" s="55"/>
      <c r="AS437" s="55"/>
      <c r="AT437" s="55"/>
      <c r="AU437" s="30"/>
      <c r="AV437" s="30"/>
      <c r="AW437" s="2"/>
      <c r="AX437" s="2"/>
    </row>
    <row r="438" spans="1:50" x14ac:dyDescent="0.2">
      <c r="A438" s="2"/>
      <c r="B438" s="61">
        <f t="shared" si="129"/>
        <v>42029</v>
      </c>
      <c r="C438" s="62">
        <f t="shared" si="137"/>
        <v>25</v>
      </c>
      <c r="D438" s="63">
        <f t="shared" si="138"/>
        <v>1.1532861028413177</v>
      </c>
      <c r="G438" s="357" t="str">
        <f>IF(MakeSchedule!C405="","",MakeSchedule!C405)</f>
        <v/>
      </c>
      <c r="H438" s="358"/>
      <c r="I438" s="358"/>
      <c r="J438" s="359" t="str">
        <f>IF(MakeSchedule!B405="","",MakeSchedule!B405)</f>
        <v/>
      </c>
      <c r="K438" s="63">
        <f t="shared" si="130"/>
        <v>1.1532861028413177</v>
      </c>
      <c r="L438" s="63">
        <f t="shared" si="139"/>
        <v>1.1532861028413177</v>
      </c>
      <c r="M438" s="63">
        <f t="shared" si="140"/>
        <v>3.6866982406603026</v>
      </c>
      <c r="N438" s="63" t="str">
        <f t="shared" si="131"/>
        <v/>
      </c>
      <c r="O438" s="64">
        <f t="shared" si="141"/>
        <v>1.22</v>
      </c>
      <c r="P438" s="63" t="str">
        <f t="shared" si="142"/>
        <v/>
      </c>
      <c r="Q438" s="64" t="e">
        <f t="shared" si="132"/>
        <v>#N/A</v>
      </c>
      <c r="R438" s="63">
        <f t="shared" si="133"/>
        <v>1.22</v>
      </c>
      <c r="S438" s="65">
        <f t="shared" si="134"/>
        <v>0.35</v>
      </c>
      <c r="T438" s="65">
        <f t="shared" si="143"/>
        <v>1.2</v>
      </c>
      <c r="U438" s="64" t="e">
        <f t="shared" si="144"/>
        <v>#N/A</v>
      </c>
      <c r="V438" s="63">
        <f t="shared" si="135"/>
        <v>1.3839433234095813</v>
      </c>
      <c r="W438" s="63" t="str">
        <f t="shared" si="136"/>
        <v/>
      </c>
      <c r="X438" s="63">
        <f t="shared" si="145"/>
        <v>0</v>
      </c>
      <c r="Y438" s="30"/>
      <c r="Z438" s="30"/>
      <c r="AA438" s="30"/>
      <c r="AB438" s="55">
        <f>PMSplint!N74</f>
        <v>1.1732842368774141</v>
      </c>
      <c r="AC438" s="55">
        <f>PMSplint!N73</f>
        <v>1.1532861028413177</v>
      </c>
      <c r="AD438" s="55">
        <f>IF(RnSplint!N74&lt;0,0,RnSplint!N74)</f>
        <v>3.7203309335918551</v>
      </c>
      <c r="AE438" s="55">
        <f>IF(RnSplint!N73&lt;0,0,RnSplint!N73)</f>
        <v>3.6866982406603026</v>
      </c>
      <c r="AF438" s="30"/>
      <c r="AG438" s="30"/>
      <c r="AH438" s="30"/>
      <c r="AI438" s="30"/>
      <c r="AJ438" s="30"/>
      <c r="AK438" s="30"/>
      <c r="AL438" s="30"/>
      <c r="AM438" s="30"/>
      <c r="AN438" s="55">
        <f t="shared" si="126"/>
        <v>4.2518178463230631</v>
      </c>
      <c r="AO438" s="55">
        <f t="shared" si="127"/>
        <v>2.061993658167518</v>
      </c>
      <c r="AP438" s="55">
        <f t="shared" si="128"/>
        <v>1.22</v>
      </c>
      <c r="AQ438" s="55"/>
      <c r="AR438" s="55"/>
      <c r="AS438" s="55"/>
      <c r="AT438" s="55"/>
      <c r="AU438" s="30"/>
      <c r="AV438" s="30"/>
      <c r="AW438" s="2"/>
      <c r="AX438" s="2"/>
    </row>
    <row r="439" spans="1:50" x14ac:dyDescent="0.2">
      <c r="A439" s="2"/>
      <c r="B439" s="61">
        <f t="shared" si="129"/>
        <v>42030</v>
      </c>
      <c r="C439" s="62">
        <f t="shared" si="137"/>
        <v>26</v>
      </c>
      <c r="D439" s="63">
        <f t="shared" si="138"/>
        <v>1.1732842368774141</v>
      </c>
      <c r="G439" s="357" t="str">
        <f>IF(MakeSchedule!C406="","",MakeSchedule!C406)</f>
        <v/>
      </c>
      <c r="H439" s="358"/>
      <c r="I439" s="358"/>
      <c r="J439" s="359" t="str">
        <f>IF(MakeSchedule!B406="","",MakeSchedule!B406)</f>
        <v/>
      </c>
      <c r="K439" s="63">
        <f t="shared" si="130"/>
        <v>1.1732842368774141</v>
      </c>
      <c r="L439" s="63">
        <f t="shared" si="139"/>
        <v>1.1732842368774141</v>
      </c>
      <c r="M439" s="63">
        <f t="shared" si="140"/>
        <v>3.7203309335918551</v>
      </c>
      <c r="N439" s="63" t="str">
        <f t="shared" si="131"/>
        <v/>
      </c>
      <c r="O439" s="64">
        <f t="shared" si="141"/>
        <v>1.2157416964498184</v>
      </c>
      <c r="P439" s="63" t="str">
        <f t="shared" si="142"/>
        <v/>
      </c>
      <c r="Q439" s="64" t="e">
        <f t="shared" si="132"/>
        <v>#N/A</v>
      </c>
      <c r="R439" s="63">
        <f t="shared" si="133"/>
        <v>1.2157416964498184</v>
      </c>
      <c r="S439" s="65">
        <f t="shared" si="134"/>
        <v>0.35</v>
      </c>
      <c r="T439" s="65">
        <f t="shared" si="143"/>
        <v>1.2</v>
      </c>
      <c r="U439" s="64" t="e">
        <f t="shared" si="144"/>
        <v>#N/A</v>
      </c>
      <c r="V439" s="63">
        <f t="shared" si="135"/>
        <v>1.407941084252897</v>
      </c>
      <c r="W439" s="63" t="str">
        <f t="shared" si="136"/>
        <v/>
      </c>
      <c r="X439" s="63">
        <f t="shared" si="145"/>
        <v>0</v>
      </c>
      <c r="Y439" s="30"/>
      <c r="Z439" s="30"/>
      <c r="AA439" s="30"/>
      <c r="AB439" s="55">
        <f>PMSplint!N75</f>
        <v>1.193884492286176</v>
      </c>
      <c r="AC439" s="55">
        <f>PMSplint!N74</f>
        <v>1.1732842368774141</v>
      </c>
      <c r="AD439" s="55">
        <f>IF(RnSplint!N75&lt;0,0,RnSplint!N75)</f>
        <v>3.7569443458813279</v>
      </c>
      <c r="AE439" s="55">
        <f>IF(RnSplint!N74&lt;0,0,RnSplint!N74)</f>
        <v>3.7203309335918551</v>
      </c>
      <c r="AF439" s="30"/>
      <c r="AG439" s="30"/>
      <c r="AH439" s="30"/>
      <c r="AI439" s="30"/>
      <c r="AJ439" s="30"/>
      <c r="AK439" s="30"/>
      <c r="AL439" s="30"/>
      <c r="AM439" s="30"/>
      <c r="AN439" s="55">
        <f t="shared" si="126"/>
        <v>4.3650056403507573</v>
      </c>
      <c r="AO439" s="55">
        <f t="shared" si="127"/>
        <v>2.0892595914224632</v>
      </c>
      <c r="AP439" s="55">
        <f t="shared" si="128"/>
        <v>1.2157416964498184</v>
      </c>
      <c r="AQ439" s="55"/>
      <c r="AR439" s="55"/>
      <c r="AS439" s="55"/>
      <c r="AT439" s="55"/>
      <c r="AU439" s="30"/>
      <c r="AV439" s="30"/>
      <c r="AW439" s="2"/>
      <c r="AX439" s="2"/>
    </row>
    <row r="440" spans="1:50" x14ac:dyDescent="0.2">
      <c r="A440" s="2"/>
      <c r="B440" s="61">
        <f t="shared" si="129"/>
        <v>42031</v>
      </c>
      <c r="C440" s="62">
        <f t="shared" si="137"/>
        <v>27</v>
      </c>
      <c r="D440" s="63">
        <f t="shared" si="138"/>
        <v>1.193884492286176</v>
      </c>
      <c r="G440" s="357" t="str">
        <f>IF(MakeSchedule!C407="","",MakeSchedule!C407)</f>
        <v/>
      </c>
      <c r="H440" s="358"/>
      <c r="I440" s="358"/>
      <c r="J440" s="359" t="str">
        <f>IF(MakeSchedule!B407="","",MakeSchedule!B407)</f>
        <v/>
      </c>
      <c r="K440" s="63">
        <f t="shared" si="130"/>
        <v>1.193884492286176</v>
      </c>
      <c r="L440" s="63">
        <f t="shared" si="139"/>
        <v>1.193884492286176</v>
      </c>
      <c r="M440" s="63">
        <f t="shared" si="140"/>
        <v>3.7569443458813279</v>
      </c>
      <c r="N440" s="63" t="str">
        <f t="shared" si="131"/>
        <v/>
      </c>
      <c r="O440" s="64">
        <f t="shared" si="141"/>
        <v>1.1993202877416496</v>
      </c>
      <c r="P440" s="63" t="str">
        <f t="shared" si="142"/>
        <v/>
      </c>
      <c r="Q440" s="64" t="e">
        <f t="shared" si="132"/>
        <v>#N/A</v>
      </c>
      <c r="R440" s="63">
        <f t="shared" si="133"/>
        <v>1.1993202877416496</v>
      </c>
      <c r="S440" s="65">
        <f t="shared" si="134"/>
        <v>0.35</v>
      </c>
      <c r="T440" s="65">
        <f t="shared" si="143"/>
        <v>1.2</v>
      </c>
      <c r="U440" s="64" t="e">
        <f t="shared" si="144"/>
        <v>#N/A</v>
      </c>
      <c r="V440" s="63">
        <f t="shared" si="135"/>
        <v>1.4326613907434111</v>
      </c>
      <c r="W440" s="63" t="str">
        <f t="shared" si="136"/>
        <v/>
      </c>
      <c r="X440" s="63">
        <f t="shared" si="145"/>
        <v>0</v>
      </c>
      <c r="Y440" s="30"/>
      <c r="Z440" s="30"/>
      <c r="AA440" s="30"/>
      <c r="AB440" s="55">
        <f>PMSplint!N76</f>
        <v>1.2150619968401979</v>
      </c>
      <c r="AC440" s="55">
        <f>PMSplint!N75</f>
        <v>1.193884492286176</v>
      </c>
      <c r="AD440" s="55">
        <f>IF(RnSplint!N76&lt;0,0,RnSplint!N76)</f>
        <v>3.7960141454838223</v>
      </c>
      <c r="AE440" s="55">
        <f>IF(RnSplint!N75&lt;0,0,RnSplint!N75)</f>
        <v>3.7569443458813279</v>
      </c>
      <c r="AF440" s="30"/>
      <c r="AG440" s="30"/>
      <c r="AH440" s="30"/>
      <c r="AI440" s="30"/>
      <c r="AJ440" s="30"/>
      <c r="AK440" s="30"/>
      <c r="AL440" s="30"/>
      <c r="AM440" s="30"/>
      <c r="AN440" s="55">
        <f t="shared" si="126"/>
        <v>4.4853575929299483</v>
      </c>
      <c r="AO440" s="55">
        <f t="shared" si="127"/>
        <v>2.1178662830617867</v>
      </c>
      <c r="AP440" s="55">
        <f t="shared" si="128"/>
        <v>1.1993202877416496</v>
      </c>
      <c r="AQ440" s="55"/>
      <c r="AR440" s="55"/>
      <c r="AS440" s="55"/>
      <c r="AT440" s="55"/>
      <c r="AU440" s="30"/>
      <c r="AV440" s="30"/>
      <c r="AW440" s="2"/>
      <c r="AX440" s="2"/>
    </row>
    <row r="441" spans="1:50" x14ac:dyDescent="0.2">
      <c r="A441" s="2"/>
      <c r="B441" s="61">
        <f t="shared" si="129"/>
        <v>42032</v>
      </c>
      <c r="C441" s="62">
        <f t="shared" si="137"/>
        <v>28</v>
      </c>
      <c r="D441" s="63">
        <f t="shared" si="138"/>
        <v>1.2150619968401979</v>
      </c>
      <c r="G441" s="357" t="str">
        <f>IF(MakeSchedule!C408="","",MakeSchedule!C408)</f>
        <v/>
      </c>
      <c r="H441" s="358"/>
      <c r="I441" s="358"/>
      <c r="J441" s="359" t="str">
        <f>IF(MakeSchedule!B408="","",MakeSchedule!B408)</f>
        <v/>
      </c>
      <c r="K441" s="63">
        <f t="shared" si="130"/>
        <v>1.2150619968401979</v>
      </c>
      <c r="L441" s="63">
        <f t="shared" si="139"/>
        <v>1.2150619968401979</v>
      </c>
      <c r="M441" s="63">
        <f t="shared" si="140"/>
        <v>3.7960141454838223</v>
      </c>
      <c r="N441" s="63" t="str">
        <f t="shared" si="131"/>
        <v/>
      </c>
      <c r="O441" s="64">
        <f t="shared" si="141"/>
        <v>1.1826890793861613</v>
      </c>
      <c r="P441" s="63" t="str">
        <f t="shared" si="142"/>
        <v/>
      </c>
      <c r="Q441" s="64" t="e">
        <f t="shared" si="132"/>
        <v>#N/A</v>
      </c>
      <c r="R441" s="63">
        <f t="shared" si="133"/>
        <v>1.1826890793861613</v>
      </c>
      <c r="S441" s="65">
        <f t="shared" si="134"/>
        <v>0.35</v>
      </c>
      <c r="T441" s="65">
        <f t="shared" si="143"/>
        <v>1.2</v>
      </c>
      <c r="U441" s="64" t="e">
        <f t="shared" si="144"/>
        <v>#N/A</v>
      </c>
      <c r="V441" s="63">
        <f t="shared" si="135"/>
        <v>1.4580743962082374</v>
      </c>
      <c r="W441" s="63" t="str">
        <f t="shared" si="136"/>
        <v/>
      </c>
      <c r="X441" s="63">
        <f t="shared" si="145"/>
        <v>0</v>
      </c>
      <c r="Y441" s="30"/>
      <c r="Z441" s="30"/>
      <c r="AA441" s="30"/>
      <c r="AB441" s="55">
        <f>PMSplint!N77</f>
        <v>1.236791878312075</v>
      </c>
      <c r="AC441" s="55">
        <f>PMSplint!N76</f>
        <v>1.2150619968401979</v>
      </c>
      <c r="AD441" s="55">
        <f>IF(RnSplint!N77&lt;0,0,RnSplint!N77)</f>
        <v>3.837016000354442</v>
      </c>
      <c r="AE441" s="55">
        <f>IF(RnSplint!N76&lt;0,0,RnSplint!N76)</f>
        <v>3.7960141454838223</v>
      </c>
      <c r="AF441" s="30"/>
      <c r="AG441" s="30"/>
      <c r="AH441" s="30"/>
      <c r="AI441" s="30"/>
      <c r="AJ441" s="30"/>
      <c r="AK441" s="30"/>
      <c r="AL441" s="30"/>
      <c r="AM441" s="30"/>
      <c r="AN441" s="55">
        <f t="shared" si="126"/>
        <v>4.6123925276452109</v>
      </c>
      <c r="AO441" s="55">
        <f t="shared" si="127"/>
        <v>2.1476481386961903</v>
      </c>
      <c r="AP441" s="55">
        <f t="shared" si="128"/>
        <v>1.1826890793861613</v>
      </c>
      <c r="AQ441" s="55"/>
      <c r="AR441" s="55"/>
      <c r="AS441" s="55"/>
      <c r="AT441" s="55"/>
      <c r="AU441" s="30"/>
      <c r="AV441" s="30"/>
      <c r="AW441" s="2"/>
      <c r="AX441" s="2"/>
    </row>
    <row r="442" spans="1:50" x14ac:dyDescent="0.2">
      <c r="A442" s="2"/>
      <c r="B442" s="61">
        <f t="shared" si="129"/>
        <v>42033</v>
      </c>
      <c r="C442" s="62">
        <f t="shared" si="137"/>
        <v>29</v>
      </c>
      <c r="D442" s="63">
        <f t="shared" si="138"/>
        <v>1.236791878312075</v>
      </c>
      <c r="G442" s="357" t="str">
        <f>IF(MakeSchedule!C409="","",MakeSchedule!C409)</f>
        <v/>
      </c>
      <c r="H442" s="358"/>
      <c r="I442" s="358"/>
      <c r="J442" s="359" t="str">
        <f>IF(MakeSchedule!B409="","",MakeSchedule!B409)</f>
        <v/>
      </c>
      <c r="K442" s="63">
        <f t="shared" si="130"/>
        <v>1.236791878312075</v>
      </c>
      <c r="L442" s="63">
        <f t="shared" si="139"/>
        <v>1.236791878312075</v>
      </c>
      <c r="M442" s="63">
        <f t="shared" si="140"/>
        <v>3.837016000354442</v>
      </c>
      <c r="N442" s="63" t="str">
        <f t="shared" si="131"/>
        <v/>
      </c>
      <c r="O442" s="64">
        <f t="shared" si="141"/>
        <v>1.1659732830464802</v>
      </c>
      <c r="P442" s="63" t="str">
        <f t="shared" si="142"/>
        <v/>
      </c>
      <c r="Q442" s="64" t="e">
        <f t="shared" si="132"/>
        <v>#N/A</v>
      </c>
      <c r="R442" s="63">
        <f t="shared" si="133"/>
        <v>1.1659732830464802</v>
      </c>
      <c r="S442" s="65">
        <f t="shared" si="134"/>
        <v>0.35</v>
      </c>
      <c r="T442" s="65">
        <f t="shared" si="143"/>
        <v>1.2</v>
      </c>
      <c r="U442" s="64" t="e">
        <f t="shared" si="144"/>
        <v>#N/A</v>
      </c>
      <c r="V442" s="63">
        <f t="shared" si="135"/>
        <v>1.48415025397449</v>
      </c>
      <c r="W442" s="63" t="str">
        <f t="shared" si="136"/>
        <v/>
      </c>
      <c r="X442" s="63">
        <f t="shared" si="145"/>
        <v>0</v>
      </c>
      <c r="Y442" s="30"/>
      <c r="Z442" s="30"/>
      <c r="AA442" s="30"/>
      <c r="AB442" s="55">
        <f>PMSplint!N78</f>
        <v>1.2590492644744016</v>
      </c>
      <c r="AC442" s="55">
        <f>PMSplint!N77</f>
        <v>1.236791878312075</v>
      </c>
      <c r="AD442" s="55">
        <f>IF(RnSplint!N78&lt;0,0,RnSplint!N78)</f>
        <v>3.8794255784482887</v>
      </c>
      <c r="AE442" s="55">
        <f>IF(RnSplint!N77&lt;0,0,RnSplint!N77)</f>
        <v>3.837016000354442</v>
      </c>
      <c r="AF442" s="30"/>
      <c r="AG442" s="30"/>
      <c r="AH442" s="30"/>
      <c r="AI442" s="30"/>
      <c r="AJ442" s="30"/>
      <c r="AK442" s="30"/>
      <c r="AL442" s="30"/>
      <c r="AM442" s="30"/>
      <c r="AN442" s="55">
        <f t="shared" si="126"/>
        <v>4.7455902261918563</v>
      </c>
      <c r="AO442" s="55">
        <f t="shared" si="127"/>
        <v>2.1784375653646482</v>
      </c>
      <c r="AP442" s="55">
        <f t="shared" si="128"/>
        <v>1.1659732830464802</v>
      </c>
      <c r="AQ442" s="55"/>
      <c r="AR442" s="55"/>
      <c r="AS442" s="55"/>
      <c r="AT442" s="55"/>
      <c r="AU442" s="30"/>
      <c r="AV442" s="30"/>
      <c r="AW442" s="2"/>
      <c r="AX442" s="2"/>
    </row>
    <row r="443" spans="1:50" x14ac:dyDescent="0.2">
      <c r="A443" s="2"/>
      <c r="B443" s="61">
        <f t="shared" si="129"/>
        <v>42034</v>
      </c>
      <c r="C443" s="62">
        <f t="shared" si="137"/>
        <v>30</v>
      </c>
      <c r="D443" s="63">
        <f t="shared" si="138"/>
        <v>1.2590492644744016</v>
      </c>
      <c r="G443" s="357" t="str">
        <f>IF(MakeSchedule!C410="","",MakeSchedule!C410)</f>
        <v/>
      </c>
      <c r="H443" s="358"/>
      <c r="I443" s="358"/>
      <c r="J443" s="359" t="str">
        <f>IF(MakeSchedule!B410="","",MakeSchedule!B410)</f>
        <v/>
      </c>
      <c r="K443" s="63">
        <f t="shared" si="130"/>
        <v>1.2590492644744016</v>
      </c>
      <c r="L443" s="63">
        <f t="shared" si="139"/>
        <v>1.2590492644744016</v>
      </c>
      <c r="M443" s="63">
        <f t="shared" si="140"/>
        <v>3.8794255784482887</v>
      </c>
      <c r="N443" s="63" t="str">
        <f t="shared" si="131"/>
        <v/>
      </c>
      <c r="O443" s="64">
        <f t="shared" si="141"/>
        <v>1.149287391817714</v>
      </c>
      <c r="P443" s="63" t="str">
        <f t="shared" si="142"/>
        <v/>
      </c>
      <c r="Q443" s="64" t="e">
        <f t="shared" si="132"/>
        <v>#N/A</v>
      </c>
      <c r="R443" s="63">
        <f t="shared" si="133"/>
        <v>1.149287391817714</v>
      </c>
      <c r="S443" s="65">
        <f t="shared" si="134"/>
        <v>0.35</v>
      </c>
      <c r="T443" s="65">
        <f t="shared" si="143"/>
        <v>1.2</v>
      </c>
      <c r="U443" s="64" t="e">
        <f t="shared" si="144"/>
        <v>#N/A</v>
      </c>
      <c r="V443" s="63">
        <f t="shared" si="135"/>
        <v>1.5108591173692818</v>
      </c>
      <c r="W443" s="63" t="str">
        <f t="shared" si="136"/>
        <v/>
      </c>
      <c r="X443" s="63">
        <f t="shared" si="145"/>
        <v>0</v>
      </c>
      <c r="Y443" s="30"/>
      <c r="Z443" s="30"/>
      <c r="AA443" s="30"/>
      <c r="AB443" s="55">
        <f>PMSplint!N79</f>
        <v>1.2818092830997729</v>
      </c>
      <c r="AC443" s="55">
        <f>PMSplint!N78</f>
        <v>1.2590492644744016</v>
      </c>
      <c r="AD443" s="55">
        <f>IF(RnSplint!N79&lt;0,0,RnSplint!N79)</f>
        <v>3.9227185477204669</v>
      </c>
      <c r="AE443" s="55">
        <f>IF(RnSplint!N78&lt;0,0,RnSplint!N78)</f>
        <v>3.8794255784482887</v>
      </c>
      <c r="AF443" s="30"/>
      <c r="AG443" s="30"/>
      <c r="AH443" s="30"/>
      <c r="AI443" s="30"/>
      <c r="AJ443" s="30"/>
      <c r="AK443" s="30"/>
      <c r="AL443" s="30"/>
      <c r="AM443" s="30"/>
      <c r="AN443" s="55">
        <f t="shared" ref="AN443:AN506" si="146">K443*M443</f>
        <v>4.8843879211284982</v>
      </c>
      <c r="AO443" s="55">
        <f t="shared" ref="AO443:AO506" si="147">SQRT(AN443)</f>
        <v>2.2100651395668178</v>
      </c>
      <c r="AP443" s="55">
        <f t="shared" ref="AP443:AP506" si="148">IF(2.54/AO443&gt;1.22,1.22,2.54/AO443)</f>
        <v>1.149287391817714</v>
      </c>
      <c r="AQ443" s="55"/>
      <c r="AR443" s="55"/>
      <c r="AS443" s="55"/>
      <c r="AT443" s="55"/>
      <c r="AU443" s="30"/>
      <c r="AV443" s="30"/>
      <c r="AW443" s="2"/>
      <c r="AX443" s="2"/>
    </row>
    <row r="444" spans="1:50" x14ac:dyDescent="0.2">
      <c r="A444" s="2"/>
      <c r="B444" s="61">
        <f t="shared" si="129"/>
        <v>42035</v>
      </c>
      <c r="C444" s="62">
        <f t="shared" si="137"/>
        <v>31</v>
      </c>
      <c r="D444" s="63">
        <f t="shared" si="138"/>
        <v>1.2818092830997729</v>
      </c>
      <c r="G444" s="357" t="str">
        <f>IF(MakeSchedule!C411="","",MakeSchedule!C411)</f>
        <v/>
      </c>
      <c r="H444" s="358"/>
      <c r="I444" s="358"/>
      <c r="J444" s="359" t="str">
        <f>IF(MakeSchedule!B411="","",MakeSchedule!B411)</f>
        <v/>
      </c>
      <c r="K444" s="63">
        <f t="shared" si="130"/>
        <v>1.2818092830997729</v>
      </c>
      <c r="L444" s="63">
        <f t="shared" si="139"/>
        <v>1.2818092830997729</v>
      </c>
      <c r="M444" s="63">
        <f t="shared" si="140"/>
        <v>3.9227185477204669</v>
      </c>
      <c r="N444" s="63" t="str">
        <f t="shared" si="131"/>
        <v/>
      </c>
      <c r="O444" s="64">
        <f t="shared" si="141"/>
        <v>1.1327353027335305</v>
      </c>
      <c r="P444" s="63" t="str">
        <f t="shared" si="142"/>
        <v/>
      </c>
      <c r="Q444" s="64" t="e">
        <f t="shared" si="132"/>
        <v>#N/A</v>
      </c>
      <c r="R444" s="63">
        <f t="shared" si="133"/>
        <v>1.1327353027335305</v>
      </c>
      <c r="S444" s="65">
        <f t="shared" si="134"/>
        <v>0.35</v>
      </c>
      <c r="T444" s="65">
        <f t="shared" si="143"/>
        <v>1.2</v>
      </c>
      <c r="U444" s="64" t="e">
        <f t="shared" si="144"/>
        <v>#N/A</v>
      </c>
      <c r="V444" s="63">
        <f t="shared" si="135"/>
        <v>1.5381711397197275</v>
      </c>
      <c r="W444" s="63" t="str">
        <f t="shared" si="136"/>
        <v/>
      </c>
      <c r="X444" s="63">
        <f t="shared" si="145"/>
        <v>0</v>
      </c>
      <c r="Y444" s="30"/>
      <c r="Z444" s="30"/>
      <c r="AA444" s="30"/>
      <c r="AB444" s="55">
        <f>PMSplint!N80</f>
        <v>1.3050470619607843</v>
      </c>
      <c r="AC444" s="55">
        <f>PMSplint!N79</f>
        <v>1.2818092830997729</v>
      </c>
      <c r="AD444" s="55">
        <f>IF(RnSplint!N80&lt;0,0,RnSplint!N80)</f>
        <v>3.9663705761260792</v>
      </c>
      <c r="AE444" s="55">
        <f>IF(RnSplint!N79&lt;0,0,RnSplint!N79)</f>
        <v>3.9227185477204669</v>
      </c>
      <c r="AF444" s="30"/>
      <c r="AG444" s="30"/>
      <c r="AH444" s="30"/>
      <c r="AI444" s="30"/>
      <c r="AJ444" s="30"/>
      <c r="AK444" s="30"/>
      <c r="AL444" s="30"/>
      <c r="AM444" s="30"/>
      <c r="AN444" s="55">
        <f t="shared" si="146"/>
        <v>5.0281770494557545</v>
      </c>
      <c r="AO444" s="55">
        <f t="shared" si="147"/>
        <v>2.2423597056350602</v>
      </c>
      <c r="AP444" s="55">
        <f t="shared" si="148"/>
        <v>1.1327353027335305</v>
      </c>
      <c r="AQ444" s="55"/>
      <c r="AR444" s="55"/>
      <c r="AS444" s="55"/>
      <c r="AT444" s="55"/>
      <c r="AU444" s="30"/>
      <c r="AV444" s="30"/>
      <c r="AW444" s="2"/>
      <c r="AX444" s="2"/>
    </row>
    <row r="445" spans="1:50" x14ac:dyDescent="0.2">
      <c r="A445" s="2"/>
      <c r="B445" s="61">
        <f t="shared" si="129"/>
        <v>42036</v>
      </c>
      <c r="C445" s="62">
        <f t="shared" si="137"/>
        <v>32</v>
      </c>
      <c r="D445" s="63">
        <f t="shared" si="138"/>
        <v>1.3050470619607843</v>
      </c>
      <c r="G445" s="357" t="str">
        <f>IF(MakeSchedule!C412="","",MakeSchedule!C412)</f>
        <v/>
      </c>
      <c r="H445" s="358"/>
      <c r="I445" s="358"/>
      <c r="J445" s="359" t="str">
        <f>IF(MakeSchedule!B412="","",MakeSchedule!B412)</f>
        <v/>
      </c>
      <c r="K445" s="63">
        <f t="shared" si="130"/>
        <v>1.3050470619607843</v>
      </c>
      <c r="L445" s="63">
        <f t="shared" si="139"/>
        <v>1.3050470619607843</v>
      </c>
      <c r="M445" s="63">
        <f t="shared" si="140"/>
        <v>3.9663705761260792</v>
      </c>
      <c r="N445" s="63" t="str">
        <f t="shared" si="131"/>
        <v/>
      </c>
      <c r="O445" s="64">
        <f t="shared" si="141"/>
        <v>1.1164106894594865</v>
      </c>
      <c r="P445" s="63" t="str">
        <f t="shared" si="142"/>
        <v/>
      </c>
      <c r="Q445" s="64" t="e">
        <f t="shared" si="132"/>
        <v>#N/A</v>
      </c>
      <c r="R445" s="63">
        <f t="shared" si="133"/>
        <v>1.1164106894594865</v>
      </c>
      <c r="S445" s="65">
        <f t="shared" si="134"/>
        <v>0.35</v>
      </c>
      <c r="T445" s="65">
        <f t="shared" si="143"/>
        <v>1.2</v>
      </c>
      <c r="U445" s="64" t="e">
        <f t="shared" si="144"/>
        <v>#N/A</v>
      </c>
      <c r="V445" s="63">
        <f t="shared" si="135"/>
        <v>1.5660564743529413</v>
      </c>
      <c r="W445" s="63" t="str">
        <f t="shared" si="136"/>
        <v/>
      </c>
      <c r="X445" s="63">
        <f t="shared" si="145"/>
        <v>0</v>
      </c>
      <c r="Y445" s="30"/>
      <c r="Z445" s="30"/>
      <c r="AA445" s="30"/>
      <c r="AB445" s="55">
        <f>PMSplint!N81</f>
        <v>1.3287377288300295</v>
      </c>
      <c r="AC445" s="55">
        <f>PMSplint!N80</f>
        <v>1.3050470619607843</v>
      </c>
      <c r="AD445" s="55">
        <f>IF(RnSplint!N81&lt;0,0,RnSplint!N81)</f>
        <v>4.0098573316202275</v>
      </c>
      <c r="AE445" s="55">
        <f>IF(RnSplint!N80&lt;0,0,RnSplint!N80)</f>
        <v>3.9663705761260792</v>
      </c>
      <c r="AF445" s="30"/>
      <c r="AG445" s="30"/>
      <c r="AH445" s="30"/>
      <c r="AI445" s="30"/>
      <c r="AJ445" s="30"/>
      <c r="AK445" s="30"/>
      <c r="AL445" s="30"/>
      <c r="AM445" s="30"/>
      <c r="AN445" s="55">
        <f t="shared" si="146"/>
        <v>5.176300267021043</v>
      </c>
      <c r="AO445" s="55">
        <f t="shared" si="147"/>
        <v>2.2751484054938138</v>
      </c>
      <c r="AP445" s="55">
        <f t="shared" si="148"/>
        <v>1.1164106894594865</v>
      </c>
      <c r="AQ445" s="55"/>
      <c r="AR445" s="55"/>
      <c r="AS445" s="55"/>
      <c r="AT445" s="55"/>
      <c r="AU445" s="30"/>
      <c r="AV445" s="30"/>
      <c r="AW445" s="2"/>
      <c r="AX445" s="2"/>
    </row>
    <row r="446" spans="1:50" x14ac:dyDescent="0.2">
      <c r="A446" s="2"/>
      <c r="B446" s="61">
        <f t="shared" si="129"/>
        <v>42037</v>
      </c>
      <c r="C446" s="62">
        <f t="shared" si="137"/>
        <v>33</v>
      </c>
      <c r="D446" s="63">
        <f t="shared" si="138"/>
        <v>1.3287377288300295</v>
      </c>
      <c r="G446" s="357" t="str">
        <f>IF(MakeSchedule!C413="","",MakeSchedule!C413)</f>
        <v/>
      </c>
      <c r="H446" s="358"/>
      <c r="I446" s="358"/>
      <c r="J446" s="359" t="str">
        <f>IF(MakeSchedule!B413="","",MakeSchedule!B413)</f>
        <v/>
      </c>
      <c r="K446" s="63">
        <f t="shared" si="130"/>
        <v>1.3287377288300295</v>
      </c>
      <c r="L446" s="63">
        <f t="shared" si="139"/>
        <v>1.3287377288300295</v>
      </c>
      <c r="M446" s="63">
        <f t="shared" si="140"/>
        <v>4.0098573316202275</v>
      </c>
      <c r="N446" s="63" t="str">
        <f t="shared" si="131"/>
        <v/>
      </c>
      <c r="O446" s="64">
        <f t="shared" si="141"/>
        <v>1.1003975702535531</v>
      </c>
      <c r="P446" s="63" t="str">
        <f t="shared" si="142"/>
        <v/>
      </c>
      <c r="Q446" s="64" t="e">
        <f t="shared" si="132"/>
        <v>#N/A</v>
      </c>
      <c r="R446" s="63">
        <f t="shared" si="133"/>
        <v>1.1003975702535531</v>
      </c>
      <c r="S446" s="65">
        <f t="shared" si="134"/>
        <v>0.35</v>
      </c>
      <c r="T446" s="65">
        <f t="shared" si="143"/>
        <v>1.2</v>
      </c>
      <c r="U446" s="64" t="e">
        <f t="shared" si="144"/>
        <v>#N/A</v>
      </c>
      <c r="V446" s="63">
        <f t="shared" si="135"/>
        <v>1.5944852745960354</v>
      </c>
      <c r="W446" s="63" t="str">
        <f t="shared" si="136"/>
        <v/>
      </c>
      <c r="X446" s="63">
        <f t="shared" si="145"/>
        <v>0</v>
      </c>
      <c r="Y446" s="30"/>
      <c r="Z446" s="30"/>
      <c r="AA446" s="30"/>
      <c r="AB446" s="55">
        <f>PMSplint!N82</f>
        <v>1.3528564114801045</v>
      </c>
      <c r="AC446" s="55">
        <f>PMSplint!N81</f>
        <v>1.3287377288300295</v>
      </c>
      <c r="AD446" s="55">
        <f>IF(RnSplint!N82&lt;0,0,RnSplint!N82)</f>
        <v>4.0526544821580162</v>
      </c>
      <c r="AE446" s="55">
        <f>IF(RnSplint!N81&lt;0,0,RnSplint!N81)</f>
        <v>4.0098573316202275</v>
      </c>
      <c r="AF446" s="30"/>
      <c r="AG446" s="30"/>
      <c r="AH446" s="30"/>
      <c r="AI446" s="30"/>
      <c r="AJ446" s="30"/>
      <c r="AK446" s="30"/>
      <c r="AL446" s="30"/>
      <c r="AM446" s="30"/>
      <c r="AN446" s="55">
        <f t="shared" si="146"/>
        <v>5.3280487237495038</v>
      </c>
      <c r="AO446" s="55">
        <f t="shared" si="147"/>
        <v>2.3082566416561012</v>
      </c>
      <c r="AP446" s="55">
        <f t="shared" si="148"/>
        <v>1.1003975702535531</v>
      </c>
      <c r="AQ446" s="55"/>
      <c r="AR446" s="55"/>
      <c r="AS446" s="55"/>
      <c r="AT446" s="55"/>
      <c r="AU446" s="30"/>
      <c r="AV446" s="30"/>
      <c r="AW446" s="2"/>
      <c r="AX446" s="2"/>
    </row>
    <row r="447" spans="1:50" x14ac:dyDescent="0.2">
      <c r="A447" s="2"/>
      <c r="B447" s="61">
        <f t="shared" si="129"/>
        <v>42038</v>
      </c>
      <c r="C447" s="62">
        <f t="shared" si="137"/>
        <v>34</v>
      </c>
      <c r="D447" s="63">
        <f t="shared" si="138"/>
        <v>1.3528564114801045</v>
      </c>
      <c r="G447" s="357" t="str">
        <f>IF(MakeSchedule!C414="","",MakeSchedule!C414)</f>
        <v/>
      </c>
      <c r="H447" s="358"/>
      <c r="I447" s="358"/>
      <c r="J447" s="359" t="str">
        <f>IF(MakeSchedule!B414="","",MakeSchedule!B414)</f>
        <v/>
      </c>
      <c r="K447" s="63">
        <f t="shared" si="130"/>
        <v>1.3528564114801045</v>
      </c>
      <c r="L447" s="63">
        <f t="shared" si="139"/>
        <v>1.3528564114801045</v>
      </c>
      <c r="M447" s="63">
        <f t="shared" si="140"/>
        <v>4.0526544821580162</v>
      </c>
      <c r="N447" s="63" t="str">
        <f t="shared" si="131"/>
        <v/>
      </c>
      <c r="O447" s="64">
        <f t="shared" si="141"/>
        <v>1.0847710221323028</v>
      </c>
      <c r="P447" s="63" t="str">
        <f t="shared" si="142"/>
        <v/>
      </c>
      <c r="Q447" s="64" t="e">
        <f t="shared" si="132"/>
        <v>#N/A</v>
      </c>
      <c r="R447" s="63">
        <f t="shared" si="133"/>
        <v>1.0847710221323028</v>
      </c>
      <c r="S447" s="65">
        <f t="shared" si="134"/>
        <v>0.35</v>
      </c>
      <c r="T447" s="65">
        <f t="shared" si="143"/>
        <v>1.2</v>
      </c>
      <c r="U447" s="64" t="e">
        <f t="shared" si="144"/>
        <v>#N/A</v>
      </c>
      <c r="V447" s="63">
        <f t="shared" si="135"/>
        <v>1.6234276937761254</v>
      </c>
      <c r="W447" s="63" t="str">
        <f t="shared" si="136"/>
        <v/>
      </c>
      <c r="X447" s="63">
        <f t="shared" si="145"/>
        <v>0</v>
      </c>
      <c r="Y447" s="30"/>
      <c r="Z447" s="30"/>
      <c r="AA447" s="30"/>
      <c r="AB447" s="55">
        <f>PMSplint!N83</f>
        <v>1.377378237683603</v>
      </c>
      <c r="AC447" s="55">
        <f>PMSplint!N82</f>
        <v>1.3528564114801045</v>
      </c>
      <c r="AD447" s="55">
        <f>IF(RnSplint!N83&lt;0,0,RnSplint!N83)</f>
        <v>4.094237695694547</v>
      </c>
      <c r="AE447" s="55">
        <f>IF(RnSplint!N82&lt;0,0,RnSplint!N82)</f>
        <v>4.0526544821580162</v>
      </c>
      <c r="AF447" s="30"/>
      <c r="AG447" s="30"/>
      <c r="AH447" s="30"/>
      <c r="AI447" s="30"/>
      <c r="AJ447" s="30"/>
      <c r="AK447" s="30"/>
      <c r="AL447" s="30"/>
      <c r="AM447" s="30"/>
      <c r="AN447" s="55">
        <f t="shared" si="146"/>
        <v>5.482659599701055</v>
      </c>
      <c r="AO447" s="55">
        <f t="shared" si="147"/>
        <v>2.3415079755792112</v>
      </c>
      <c r="AP447" s="55">
        <f t="shared" si="148"/>
        <v>1.0847710221323028</v>
      </c>
      <c r="AQ447" s="55"/>
      <c r="AR447" s="55"/>
      <c r="AS447" s="55"/>
      <c r="AT447" s="55"/>
      <c r="AU447" s="30"/>
      <c r="AV447" s="30"/>
      <c r="AW447" s="2"/>
      <c r="AX447" s="2"/>
    </row>
    <row r="448" spans="1:50" x14ac:dyDescent="0.2">
      <c r="A448" s="2"/>
      <c r="B448" s="61">
        <f t="shared" si="129"/>
        <v>42039</v>
      </c>
      <c r="C448" s="62">
        <f t="shared" si="137"/>
        <v>35</v>
      </c>
      <c r="D448" s="63">
        <f t="shared" si="138"/>
        <v>1.377378237683603</v>
      </c>
      <c r="G448" s="357" t="str">
        <f>IF(MakeSchedule!C415="","",MakeSchedule!C415)</f>
        <v/>
      </c>
      <c r="H448" s="358"/>
      <c r="I448" s="358"/>
      <c r="J448" s="359" t="str">
        <f>IF(MakeSchedule!B415="","",MakeSchedule!B415)</f>
        <v/>
      </c>
      <c r="K448" s="63">
        <f t="shared" si="130"/>
        <v>1.377378237683603</v>
      </c>
      <c r="L448" s="63">
        <f t="shared" si="139"/>
        <v>1.377378237683603</v>
      </c>
      <c r="M448" s="63">
        <f t="shared" si="140"/>
        <v>4.094237695694547</v>
      </c>
      <c r="N448" s="63" t="str">
        <f t="shared" si="131"/>
        <v/>
      </c>
      <c r="O448" s="64">
        <f t="shared" si="141"/>
        <v>1.0695979992772713</v>
      </c>
      <c r="P448" s="63" t="str">
        <f t="shared" si="142"/>
        <v/>
      </c>
      <c r="Q448" s="64" t="e">
        <f t="shared" si="132"/>
        <v>#N/A</v>
      </c>
      <c r="R448" s="63">
        <f t="shared" si="133"/>
        <v>1.0695979992772713</v>
      </c>
      <c r="S448" s="65">
        <f t="shared" si="134"/>
        <v>0.35</v>
      </c>
      <c r="T448" s="65">
        <f t="shared" si="143"/>
        <v>1.2</v>
      </c>
      <c r="U448" s="64" t="e">
        <f t="shared" si="144"/>
        <v>#N/A</v>
      </c>
      <c r="V448" s="63">
        <f t="shared" si="135"/>
        <v>1.6528538852203236</v>
      </c>
      <c r="W448" s="63" t="str">
        <f t="shared" si="136"/>
        <v/>
      </c>
      <c r="X448" s="63">
        <f t="shared" si="145"/>
        <v>0</v>
      </c>
      <c r="Y448" s="30"/>
      <c r="Z448" s="30"/>
      <c r="AA448" s="30"/>
      <c r="AB448" s="55">
        <f>PMSplint!N84</f>
        <v>1.4022783352131207</v>
      </c>
      <c r="AC448" s="55">
        <f>PMSplint!N83</f>
        <v>1.377378237683603</v>
      </c>
      <c r="AD448" s="55">
        <f>IF(RnSplint!N84&lt;0,0,RnSplint!N84)</f>
        <v>4.1340826401849231</v>
      </c>
      <c r="AE448" s="55">
        <f>IF(RnSplint!N83&lt;0,0,RnSplint!N83)</f>
        <v>4.094237695694547</v>
      </c>
      <c r="AF448" s="30"/>
      <c r="AG448" s="30"/>
      <c r="AH448" s="30"/>
      <c r="AI448" s="30"/>
      <c r="AJ448" s="30"/>
      <c r="AK448" s="30"/>
      <c r="AL448" s="30"/>
      <c r="AM448" s="30"/>
      <c r="AN448" s="55">
        <f t="shared" si="146"/>
        <v>5.639313901953531</v>
      </c>
      <c r="AO448" s="55">
        <f t="shared" si="147"/>
        <v>2.3747239633173223</v>
      </c>
      <c r="AP448" s="55">
        <f t="shared" si="148"/>
        <v>1.0695979992772713</v>
      </c>
      <c r="AQ448" s="55"/>
      <c r="AR448" s="55"/>
      <c r="AS448" s="55"/>
      <c r="AT448" s="55"/>
      <c r="AU448" s="30"/>
      <c r="AV448" s="30"/>
      <c r="AW448" s="2"/>
      <c r="AX448" s="2"/>
    </row>
    <row r="449" spans="1:50" x14ac:dyDescent="0.2">
      <c r="A449" s="2"/>
      <c r="B449" s="61">
        <f t="shared" si="129"/>
        <v>42040</v>
      </c>
      <c r="C449" s="62">
        <f t="shared" si="137"/>
        <v>36</v>
      </c>
      <c r="D449" s="63">
        <f t="shared" si="138"/>
        <v>1.4022783352131207</v>
      </c>
      <c r="G449" s="357" t="str">
        <f>IF(MakeSchedule!C416="","",MakeSchedule!C416)</f>
        <v/>
      </c>
      <c r="H449" s="358"/>
      <c r="I449" s="358"/>
      <c r="J449" s="359" t="str">
        <f>IF(MakeSchedule!B416="","",MakeSchedule!B416)</f>
        <v/>
      </c>
      <c r="K449" s="63">
        <f t="shared" si="130"/>
        <v>1.4022783352131207</v>
      </c>
      <c r="L449" s="63">
        <f t="shared" si="139"/>
        <v>1.4022783352131207</v>
      </c>
      <c r="M449" s="63">
        <f t="shared" si="140"/>
        <v>4.1340826401849231</v>
      </c>
      <c r="N449" s="63" t="str">
        <f t="shared" si="131"/>
        <v/>
      </c>
      <c r="O449" s="64">
        <f t="shared" si="141"/>
        <v>1.0549382213314888</v>
      </c>
      <c r="P449" s="63" t="str">
        <f t="shared" si="142"/>
        <v/>
      </c>
      <c r="Q449" s="64" t="e">
        <f t="shared" si="132"/>
        <v>#N/A</v>
      </c>
      <c r="R449" s="63">
        <f t="shared" si="133"/>
        <v>1.0549382213314888</v>
      </c>
      <c r="S449" s="65">
        <f t="shared" si="134"/>
        <v>0.35</v>
      </c>
      <c r="T449" s="65">
        <f t="shared" si="143"/>
        <v>1.2</v>
      </c>
      <c r="U449" s="64" t="e">
        <f t="shared" si="144"/>
        <v>#N/A</v>
      </c>
      <c r="V449" s="63">
        <f t="shared" si="135"/>
        <v>1.6827340022557449</v>
      </c>
      <c r="W449" s="63" t="str">
        <f t="shared" si="136"/>
        <v/>
      </c>
      <c r="X449" s="63">
        <f t="shared" si="145"/>
        <v>0</v>
      </c>
      <c r="Y449" s="30"/>
      <c r="Z449" s="30"/>
      <c r="AA449" s="30"/>
      <c r="AB449" s="55">
        <f>PMSplint!N85</f>
        <v>1.4275318318412524</v>
      </c>
      <c r="AC449" s="55">
        <f>PMSplint!N84</f>
        <v>1.4022783352131207</v>
      </c>
      <c r="AD449" s="55">
        <f>IF(RnSplint!N85&lt;0,0,RnSplint!N85)</f>
        <v>4.1716649835842476</v>
      </c>
      <c r="AE449" s="55">
        <f>IF(RnSplint!N84&lt;0,0,RnSplint!N84)</f>
        <v>4.1340826401849231</v>
      </c>
      <c r="AF449" s="30"/>
      <c r="AG449" s="30"/>
      <c r="AH449" s="30"/>
      <c r="AI449" s="30"/>
      <c r="AJ449" s="30"/>
      <c r="AK449" s="30"/>
      <c r="AL449" s="30"/>
      <c r="AM449" s="30"/>
      <c r="AN449" s="55">
        <f t="shared" si="146"/>
        <v>5.7971345223119766</v>
      </c>
      <c r="AO449" s="55">
        <f t="shared" si="147"/>
        <v>2.4077239298374673</v>
      </c>
      <c r="AP449" s="55">
        <f t="shared" si="148"/>
        <v>1.0549382213314888</v>
      </c>
      <c r="AQ449" s="55"/>
      <c r="AR449" s="55"/>
      <c r="AS449" s="55"/>
      <c r="AT449" s="55"/>
      <c r="AU449" s="30"/>
      <c r="AV449" s="30"/>
      <c r="AW449" s="2"/>
      <c r="AX449" s="2"/>
    </row>
    <row r="450" spans="1:50" x14ac:dyDescent="0.2">
      <c r="A450" s="2"/>
      <c r="B450" s="61">
        <f t="shared" si="129"/>
        <v>42041</v>
      </c>
      <c r="C450" s="62">
        <f t="shared" si="137"/>
        <v>37</v>
      </c>
      <c r="D450" s="63">
        <f t="shared" si="138"/>
        <v>1.4275318318412524</v>
      </c>
      <c r="G450" s="357" t="str">
        <f>IF(MakeSchedule!C417="","",MakeSchedule!C417)</f>
        <v/>
      </c>
      <c r="H450" s="358"/>
      <c r="I450" s="358"/>
      <c r="J450" s="359" t="str">
        <f>IF(MakeSchedule!B417="","",MakeSchedule!B417)</f>
        <v/>
      </c>
      <c r="K450" s="63">
        <f t="shared" si="130"/>
        <v>1.4275318318412524</v>
      </c>
      <c r="L450" s="63">
        <f t="shared" si="139"/>
        <v>1.4275318318412524</v>
      </c>
      <c r="M450" s="63">
        <f t="shared" si="140"/>
        <v>4.1716649835842476</v>
      </c>
      <c r="N450" s="63" t="str">
        <f t="shared" si="131"/>
        <v/>
      </c>
      <c r="O450" s="64">
        <f t="shared" si="141"/>
        <v>1.0408451048551224</v>
      </c>
      <c r="P450" s="63" t="str">
        <f t="shared" si="142"/>
        <v/>
      </c>
      <c r="Q450" s="64" t="e">
        <f t="shared" si="132"/>
        <v>#N/A</v>
      </c>
      <c r="R450" s="63">
        <f t="shared" si="133"/>
        <v>1.0408451048551224</v>
      </c>
      <c r="S450" s="65">
        <f t="shared" si="134"/>
        <v>0.35</v>
      </c>
      <c r="T450" s="65">
        <f t="shared" si="143"/>
        <v>1.2</v>
      </c>
      <c r="U450" s="64" t="e">
        <f t="shared" si="144"/>
        <v>#N/A</v>
      </c>
      <c r="V450" s="63">
        <f t="shared" si="135"/>
        <v>1.7130381982095029</v>
      </c>
      <c r="W450" s="63" t="str">
        <f t="shared" si="136"/>
        <v/>
      </c>
      <c r="X450" s="63">
        <f t="shared" si="145"/>
        <v>0</v>
      </c>
      <c r="Y450" s="30"/>
      <c r="Z450" s="30"/>
      <c r="AA450" s="30"/>
      <c r="AB450" s="55">
        <f>PMSplint!N86</f>
        <v>1.4531138553405927</v>
      </c>
      <c r="AC450" s="55">
        <f>PMSplint!N85</f>
        <v>1.4275318318412524</v>
      </c>
      <c r="AD450" s="55">
        <f>IF(RnSplint!N86&lt;0,0,RnSplint!N86)</f>
        <v>4.2064603938476246</v>
      </c>
      <c r="AE450" s="55">
        <f>IF(RnSplint!N85&lt;0,0,RnSplint!N85)</f>
        <v>4.1716649835842476</v>
      </c>
      <c r="AF450" s="30"/>
      <c r="AG450" s="30"/>
      <c r="AH450" s="30"/>
      <c r="AI450" s="30"/>
      <c r="AJ450" s="30"/>
      <c r="AK450" s="30"/>
      <c r="AL450" s="30"/>
      <c r="AM450" s="30"/>
      <c r="AN450" s="55">
        <f t="shared" si="146"/>
        <v>5.9551845558440295</v>
      </c>
      <c r="AO450" s="55">
        <f t="shared" si="147"/>
        <v>2.4403246824642064</v>
      </c>
      <c r="AP450" s="55">
        <f t="shared" si="148"/>
        <v>1.0408451048551224</v>
      </c>
      <c r="AQ450" s="55"/>
      <c r="AR450" s="55"/>
      <c r="AS450" s="55"/>
      <c r="AT450" s="55"/>
      <c r="AU450" s="30"/>
      <c r="AV450" s="30"/>
      <c r="AW450" s="2"/>
      <c r="AX450" s="2"/>
    </row>
    <row r="451" spans="1:50" x14ac:dyDescent="0.2">
      <c r="A451" s="2"/>
      <c r="B451" s="61">
        <f t="shared" si="129"/>
        <v>42042</v>
      </c>
      <c r="C451" s="62">
        <f t="shared" si="137"/>
        <v>38</v>
      </c>
      <c r="D451" s="63">
        <f t="shared" si="138"/>
        <v>1.4531138553405927</v>
      </c>
      <c r="G451" s="357" t="str">
        <f>IF(MakeSchedule!C418="","",MakeSchedule!C418)</f>
        <v/>
      </c>
      <c r="H451" s="358"/>
      <c r="I451" s="358"/>
      <c r="J451" s="359" t="str">
        <f>IF(MakeSchedule!B418="","",MakeSchedule!B418)</f>
        <v/>
      </c>
      <c r="K451" s="63">
        <f t="shared" si="130"/>
        <v>1.4531138553405927</v>
      </c>
      <c r="L451" s="63">
        <f t="shared" si="139"/>
        <v>1.4531138553405927</v>
      </c>
      <c r="M451" s="63">
        <f t="shared" si="140"/>
        <v>4.2064603938476246</v>
      </c>
      <c r="N451" s="63" t="str">
        <f t="shared" si="131"/>
        <v/>
      </c>
      <c r="O451" s="64">
        <f t="shared" si="141"/>
        <v>1.0273667185006667</v>
      </c>
      <c r="P451" s="63" t="str">
        <f t="shared" si="142"/>
        <v/>
      </c>
      <c r="Q451" s="64" t="e">
        <f t="shared" si="132"/>
        <v>#N/A</v>
      </c>
      <c r="R451" s="63">
        <f t="shared" si="133"/>
        <v>1.0273667185006667</v>
      </c>
      <c r="S451" s="65">
        <f t="shared" si="134"/>
        <v>0.35</v>
      </c>
      <c r="T451" s="65">
        <f t="shared" si="143"/>
        <v>1.2</v>
      </c>
      <c r="U451" s="64" t="e">
        <f t="shared" si="144"/>
        <v>#N/A</v>
      </c>
      <c r="V451" s="63">
        <f t="shared" si="135"/>
        <v>1.7437366264087111</v>
      </c>
      <c r="W451" s="63" t="str">
        <f t="shared" si="136"/>
        <v/>
      </c>
      <c r="X451" s="63">
        <f t="shared" si="145"/>
        <v>0</v>
      </c>
      <c r="Y451" s="30"/>
      <c r="Z451" s="30"/>
      <c r="AA451" s="30"/>
      <c r="AB451" s="55">
        <f>PMSplint!N87</f>
        <v>1.4789995334837365</v>
      </c>
      <c r="AC451" s="55">
        <f>PMSplint!N86</f>
        <v>1.4531138553405927</v>
      </c>
      <c r="AD451" s="55">
        <f>IF(RnSplint!N87&lt;0,0,RnSplint!N87)</f>
        <v>4.2379445389301544</v>
      </c>
      <c r="AE451" s="55">
        <f>IF(RnSplint!N86&lt;0,0,RnSplint!N86)</f>
        <v>4.2064603938476246</v>
      </c>
      <c r="AF451" s="30"/>
      <c r="AG451" s="30"/>
      <c r="AH451" s="30"/>
      <c r="AI451" s="30"/>
      <c r="AJ451" s="30"/>
      <c r="AK451" s="30"/>
      <c r="AL451" s="30"/>
      <c r="AM451" s="30"/>
      <c r="AN451" s="55">
        <f t="shared" si="146"/>
        <v>6.1124658802414293</v>
      </c>
      <c r="AO451" s="55">
        <f t="shared" si="147"/>
        <v>2.4723401627287109</v>
      </c>
      <c r="AP451" s="55">
        <f t="shared" si="148"/>
        <v>1.0273667185006667</v>
      </c>
      <c r="AQ451" s="55"/>
      <c r="AR451" s="55"/>
      <c r="AS451" s="55"/>
      <c r="AT451" s="55"/>
      <c r="AU451" s="30"/>
      <c r="AV451" s="30"/>
      <c r="AW451" s="2"/>
      <c r="AX451" s="2"/>
    </row>
    <row r="452" spans="1:50" x14ac:dyDescent="0.2">
      <c r="A452" s="2"/>
      <c r="B452" s="61">
        <f t="shared" si="129"/>
        <v>42043</v>
      </c>
      <c r="C452" s="62">
        <f t="shared" si="137"/>
        <v>39</v>
      </c>
      <c r="D452" s="63">
        <f t="shared" si="138"/>
        <v>1.4789995334837365</v>
      </c>
      <c r="G452" s="357" t="str">
        <f>IF(MakeSchedule!C419="","",MakeSchedule!C419)</f>
        <v/>
      </c>
      <c r="H452" s="358"/>
      <c r="I452" s="358"/>
      <c r="J452" s="359" t="str">
        <f>IF(MakeSchedule!B419="","",MakeSchedule!B419)</f>
        <v/>
      </c>
      <c r="K452" s="63">
        <f t="shared" si="130"/>
        <v>1.4789995334837365</v>
      </c>
      <c r="L452" s="63">
        <f t="shared" si="139"/>
        <v>1.4789995334837365</v>
      </c>
      <c r="M452" s="63">
        <f t="shared" si="140"/>
        <v>4.2379445389301544</v>
      </c>
      <c r="N452" s="63" t="str">
        <f t="shared" si="131"/>
        <v/>
      </c>
      <c r="O452" s="64">
        <f t="shared" si="141"/>
        <v>1.0145467492599651</v>
      </c>
      <c r="P452" s="63" t="str">
        <f t="shared" si="142"/>
        <v/>
      </c>
      <c r="Q452" s="64" t="e">
        <f t="shared" si="132"/>
        <v>#N/A</v>
      </c>
      <c r="R452" s="63">
        <f t="shared" si="133"/>
        <v>1.0145467492599651</v>
      </c>
      <c r="S452" s="65">
        <f t="shared" si="134"/>
        <v>0.35</v>
      </c>
      <c r="T452" s="65">
        <f t="shared" si="143"/>
        <v>1.2</v>
      </c>
      <c r="U452" s="64" t="e">
        <f t="shared" si="144"/>
        <v>#N/A</v>
      </c>
      <c r="V452" s="63">
        <f t="shared" si="135"/>
        <v>1.7747994401804836</v>
      </c>
      <c r="W452" s="63" t="str">
        <f t="shared" si="136"/>
        <v/>
      </c>
      <c r="X452" s="63">
        <f t="shared" si="145"/>
        <v>0</v>
      </c>
      <c r="Y452" s="30"/>
      <c r="Z452" s="30"/>
      <c r="AA452" s="30"/>
      <c r="AB452" s="55">
        <f>PMSplint!N88</f>
        <v>1.5051639940432782</v>
      </c>
      <c r="AC452" s="55">
        <f>PMSplint!N87</f>
        <v>1.4789995334837365</v>
      </c>
      <c r="AD452" s="55">
        <f>IF(RnSplint!N88&lt;0,0,RnSplint!N88)</f>
        <v>4.2655930867869429</v>
      </c>
      <c r="AE452" s="55">
        <f>IF(RnSplint!N87&lt;0,0,RnSplint!N87)</f>
        <v>4.2379445389301544</v>
      </c>
      <c r="AF452" s="30"/>
      <c r="AG452" s="30"/>
      <c r="AH452" s="30"/>
      <c r="AI452" s="30"/>
      <c r="AJ452" s="30"/>
      <c r="AK452" s="30"/>
      <c r="AL452" s="30"/>
      <c r="AM452" s="30"/>
      <c r="AN452" s="55">
        <f t="shared" si="146"/>
        <v>6.2679179960076468</v>
      </c>
      <c r="AO452" s="55">
        <f t="shared" si="147"/>
        <v>2.5035810344399971</v>
      </c>
      <c r="AP452" s="55">
        <f t="shared" si="148"/>
        <v>1.0145467492599651</v>
      </c>
      <c r="AQ452" s="55"/>
      <c r="AR452" s="55"/>
      <c r="AS452" s="55"/>
      <c r="AT452" s="55"/>
      <c r="AU452" s="30"/>
      <c r="AV452" s="30"/>
      <c r="AW452" s="2"/>
      <c r="AX452" s="2"/>
    </row>
    <row r="453" spans="1:50" x14ac:dyDescent="0.2">
      <c r="A453" s="2"/>
      <c r="B453" s="61">
        <f t="shared" si="129"/>
        <v>42044</v>
      </c>
      <c r="C453" s="62">
        <f t="shared" si="137"/>
        <v>40</v>
      </c>
      <c r="D453" s="63">
        <f t="shared" si="138"/>
        <v>1.5051639940432782</v>
      </c>
      <c r="G453" s="357" t="str">
        <f>IF(MakeSchedule!C420="","",MakeSchedule!C420)</f>
        <v/>
      </c>
      <c r="H453" s="358"/>
      <c r="I453" s="358"/>
      <c r="J453" s="359" t="str">
        <f>IF(MakeSchedule!B420="","",MakeSchedule!B420)</f>
        <v/>
      </c>
      <c r="K453" s="63">
        <f t="shared" si="130"/>
        <v>1.5051639940432782</v>
      </c>
      <c r="L453" s="63">
        <f t="shared" si="139"/>
        <v>1.5051639940432782</v>
      </c>
      <c r="M453" s="63">
        <f t="shared" si="140"/>
        <v>4.2655930867869429</v>
      </c>
      <c r="N453" s="63" t="str">
        <f t="shared" si="131"/>
        <v/>
      </c>
      <c r="O453" s="64">
        <f t="shared" si="141"/>
        <v>1.0024254733845457</v>
      </c>
      <c r="P453" s="63" t="str">
        <f t="shared" si="142"/>
        <v/>
      </c>
      <c r="Q453" s="64" t="e">
        <f t="shared" si="132"/>
        <v>#N/A</v>
      </c>
      <c r="R453" s="63">
        <f t="shared" si="133"/>
        <v>1.0024254733845457</v>
      </c>
      <c r="S453" s="65">
        <f t="shared" si="134"/>
        <v>0.35</v>
      </c>
      <c r="T453" s="65">
        <f t="shared" si="143"/>
        <v>1.2</v>
      </c>
      <c r="U453" s="64" t="e">
        <f t="shared" si="144"/>
        <v>#N/A</v>
      </c>
      <c r="V453" s="63">
        <f t="shared" si="135"/>
        <v>1.8061967928519338</v>
      </c>
      <c r="W453" s="63" t="str">
        <f t="shared" si="136"/>
        <v/>
      </c>
      <c r="X453" s="63">
        <f t="shared" si="145"/>
        <v>0</v>
      </c>
      <c r="Y453" s="30"/>
      <c r="Z453" s="30"/>
      <c r="AA453" s="30"/>
      <c r="AB453" s="55">
        <f>PMSplint!N89</f>
        <v>1.5315823647918134</v>
      </c>
      <c r="AC453" s="55">
        <f>PMSplint!N88</f>
        <v>1.5051639940432782</v>
      </c>
      <c r="AD453" s="55">
        <f>IF(RnSplint!N89&lt;0,0,RnSplint!N89)</f>
        <v>4.2888817053730905</v>
      </c>
      <c r="AE453" s="55">
        <f>IF(RnSplint!N88&lt;0,0,RnSplint!N88)</f>
        <v>4.2655930867869429</v>
      </c>
      <c r="AF453" s="30"/>
      <c r="AG453" s="30"/>
      <c r="AH453" s="30"/>
      <c r="AI453" s="30"/>
      <c r="AJ453" s="30"/>
      <c r="AK453" s="30"/>
      <c r="AL453" s="30"/>
      <c r="AM453" s="30"/>
      <c r="AN453" s="55">
        <f t="shared" si="146"/>
        <v>6.4204171274716311</v>
      </c>
      <c r="AO453" s="55">
        <f t="shared" si="147"/>
        <v>2.5338542040677146</v>
      </c>
      <c r="AP453" s="55">
        <f t="shared" si="148"/>
        <v>1.0024254733845457</v>
      </c>
      <c r="AQ453" s="55"/>
      <c r="AR453" s="55"/>
      <c r="AS453" s="55"/>
      <c r="AT453" s="55"/>
      <c r="AU453" s="30"/>
      <c r="AV453" s="30"/>
      <c r="AW453" s="2"/>
      <c r="AX453" s="2"/>
    </row>
    <row r="454" spans="1:50" x14ac:dyDescent="0.2">
      <c r="A454" s="2"/>
      <c r="B454" s="61">
        <f t="shared" si="129"/>
        <v>42045</v>
      </c>
      <c r="C454" s="62">
        <f t="shared" si="137"/>
        <v>41</v>
      </c>
      <c r="D454" s="63">
        <f t="shared" si="138"/>
        <v>1.5315823647918134</v>
      </c>
      <c r="G454" s="357" t="str">
        <f>IF(MakeSchedule!C421="","",MakeSchedule!C421)</f>
        <v/>
      </c>
      <c r="H454" s="358"/>
      <c r="I454" s="358"/>
      <c r="J454" s="359" t="str">
        <f>IF(MakeSchedule!B421="","",MakeSchedule!B421)</f>
        <v/>
      </c>
      <c r="K454" s="63">
        <f t="shared" si="130"/>
        <v>1.5315823647918134</v>
      </c>
      <c r="L454" s="63">
        <f t="shared" si="139"/>
        <v>1.5315823647918134</v>
      </c>
      <c r="M454" s="63">
        <f t="shared" si="140"/>
        <v>4.2888817053730905</v>
      </c>
      <c r="N454" s="63" t="str">
        <f t="shared" si="131"/>
        <v/>
      </c>
      <c r="O454" s="64">
        <f t="shared" si="141"/>
        <v>0.99104073134787518</v>
      </c>
      <c r="P454" s="63" t="str">
        <f t="shared" si="142"/>
        <v/>
      </c>
      <c r="Q454" s="64" t="e">
        <f t="shared" si="132"/>
        <v>#N/A</v>
      </c>
      <c r="R454" s="63">
        <f t="shared" si="133"/>
        <v>0.99104073134787518</v>
      </c>
      <c r="S454" s="65">
        <f t="shared" si="134"/>
        <v>0.35</v>
      </c>
      <c r="T454" s="65">
        <f t="shared" si="143"/>
        <v>1.2</v>
      </c>
      <c r="U454" s="64" t="e">
        <f t="shared" si="144"/>
        <v>#N/A</v>
      </c>
      <c r="V454" s="63">
        <f t="shared" si="135"/>
        <v>1.8378988377501759</v>
      </c>
      <c r="W454" s="63" t="str">
        <f t="shared" si="136"/>
        <v/>
      </c>
      <c r="X454" s="63">
        <f t="shared" si="145"/>
        <v>0</v>
      </c>
      <c r="Y454" s="30"/>
      <c r="Z454" s="30"/>
      <c r="AA454" s="30"/>
      <c r="AB454" s="55">
        <f>PMSplint!N90</f>
        <v>1.5582297735019368</v>
      </c>
      <c r="AC454" s="55">
        <f>PMSplint!N89</f>
        <v>1.5315823647918134</v>
      </c>
      <c r="AD454" s="55">
        <f>IF(RnSplint!N90&lt;0,0,RnSplint!N90)</f>
        <v>4.3072860626437013</v>
      </c>
      <c r="AE454" s="55">
        <f>IF(RnSplint!N89&lt;0,0,RnSplint!N89)</f>
        <v>4.2888817053730905</v>
      </c>
      <c r="AF454" s="30"/>
      <c r="AG454" s="30"/>
      <c r="AH454" s="30"/>
      <c r="AI454" s="30"/>
      <c r="AJ454" s="30"/>
      <c r="AK454" s="30"/>
      <c r="AL454" s="30"/>
      <c r="AM454" s="30"/>
      <c r="AN454" s="55">
        <f t="shared" si="146"/>
        <v>6.5687755846276632</v>
      </c>
      <c r="AO454" s="55">
        <f t="shared" si="147"/>
        <v>2.5629622674997896</v>
      </c>
      <c r="AP454" s="55">
        <f t="shared" si="148"/>
        <v>0.99104073134787518</v>
      </c>
      <c r="AQ454" s="55"/>
      <c r="AR454" s="55"/>
      <c r="AS454" s="55"/>
      <c r="AT454" s="55"/>
      <c r="AU454" s="30"/>
      <c r="AV454" s="30"/>
      <c r="AW454" s="2"/>
      <c r="AX454" s="2"/>
    </row>
    <row r="455" spans="1:50" x14ac:dyDescent="0.2">
      <c r="A455" s="2"/>
      <c r="B455" s="61">
        <f t="shared" si="129"/>
        <v>42046</v>
      </c>
      <c r="C455" s="62">
        <f t="shared" si="137"/>
        <v>42</v>
      </c>
      <c r="D455" s="63">
        <f t="shared" si="138"/>
        <v>1.5582297735019368</v>
      </c>
      <c r="G455" s="357" t="str">
        <f>IF(MakeSchedule!C422="","",MakeSchedule!C422)</f>
        <v/>
      </c>
      <c r="H455" s="358"/>
      <c r="I455" s="358"/>
      <c r="J455" s="359" t="str">
        <f>IF(MakeSchedule!B422="","",MakeSchedule!B422)</f>
        <v/>
      </c>
      <c r="K455" s="63">
        <f t="shared" si="130"/>
        <v>1.5582297735019368</v>
      </c>
      <c r="L455" s="63">
        <f t="shared" si="139"/>
        <v>1.5582297735019368</v>
      </c>
      <c r="M455" s="63">
        <f t="shared" si="140"/>
        <v>4.3072860626437013</v>
      </c>
      <c r="N455" s="63" t="str">
        <f t="shared" si="131"/>
        <v/>
      </c>
      <c r="O455" s="64">
        <f t="shared" si="141"/>
        <v>0.9804289116475754</v>
      </c>
      <c r="P455" s="63" t="str">
        <f t="shared" si="142"/>
        <v/>
      </c>
      <c r="Q455" s="64" t="e">
        <f t="shared" si="132"/>
        <v>#N/A</v>
      </c>
      <c r="R455" s="63">
        <f t="shared" si="133"/>
        <v>0.9804289116475754</v>
      </c>
      <c r="S455" s="65">
        <f t="shared" si="134"/>
        <v>0.35</v>
      </c>
      <c r="T455" s="65">
        <f t="shared" si="143"/>
        <v>1.2</v>
      </c>
      <c r="U455" s="64" t="e">
        <f t="shared" si="144"/>
        <v>#N/A</v>
      </c>
      <c r="V455" s="63">
        <f t="shared" si="135"/>
        <v>1.8698757282023242</v>
      </c>
      <c r="W455" s="63" t="str">
        <f t="shared" si="136"/>
        <v/>
      </c>
      <c r="X455" s="63">
        <f t="shared" si="145"/>
        <v>0</v>
      </c>
      <c r="Y455" s="30"/>
      <c r="Z455" s="30"/>
      <c r="AA455" s="30"/>
      <c r="AB455" s="55">
        <f>PMSplint!N91</f>
        <v>1.5850813479462431</v>
      </c>
      <c r="AC455" s="55">
        <f>PMSplint!N90</f>
        <v>1.5582297735019368</v>
      </c>
      <c r="AD455" s="55">
        <f>IF(RnSplint!N91&lt;0,0,RnSplint!N91)</f>
        <v>4.3202818265538792</v>
      </c>
      <c r="AE455" s="55">
        <f>IF(RnSplint!N90&lt;0,0,RnSplint!N90)</f>
        <v>4.3072860626437013</v>
      </c>
      <c r="AF455" s="30"/>
      <c r="AG455" s="30"/>
      <c r="AH455" s="30"/>
      <c r="AI455" s="30"/>
      <c r="AJ455" s="30"/>
      <c r="AK455" s="30"/>
      <c r="AL455" s="30"/>
      <c r="AM455" s="30"/>
      <c r="AN455" s="55">
        <f t="shared" si="146"/>
        <v>6.7117413858013437</v>
      </c>
      <c r="AO455" s="55">
        <f t="shared" si="147"/>
        <v>2.5907028748587408</v>
      </c>
      <c r="AP455" s="55">
        <f t="shared" si="148"/>
        <v>0.9804289116475754</v>
      </c>
      <c r="AQ455" s="55"/>
      <c r="AR455" s="55"/>
      <c r="AS455" s="55"/>
      <c r="AT455" s="55"/>
      <c r="AU455" s="30"/>
      <c r="AV455" s="30"/>
      <c r="AW455" s="2"/>
      <c r="AX455" s="2"/>
    </row>
    <row r="456" spans="1:50" x14ac:dyDescent="0.2">
      <c r="A456" s="2"/>
      <c r="B456" s="61">
        <f t="shared" si="129"/>
        <v>42047</v>
      </c>
      <c r="C456" s="62">
        <f t="shared" si="137"/>
        <v>43</v>
      </c>
      <c r="D456" s="63">
        <f t="shared" si="138"/>
        <v>1.5850813479462431</v>
      </c>
      <c r="G456" s="357" t="str">
        <f>IF(MakeSchedule!C423="","",MakeSchedule!C423)</f>
        <v/>
      </c>
      <c r="H456" s="358"/>
      <c r="I456" s="358"/>
      <c r="J456" s="359" t="str">
        <f>IF(MakeSchedule!B423="","",MakeSchedule!B423)</f>
        <v/>
      </c>
      <c r="K456" s="63">
        <f t="shared" si="130"/>
        <v>1.5850813479462431</v>
      </c>
      <c r="L456" s="63">
        <f t="shared" si="139"/>
        <v>1.5850813479462431</v>
      </c>
      <c r="M456" s="63">
        <f t="shared" si="140"/>
        <v>4.3202818265538792</v>
      </c>
      <c r="N456" s="63" t="str">
        <f t="shared" si="131"/>
        <v/>
      </c>
      <c r="O456" s="64">
        <f t="shared" si="141"/>
        <v>0.97062595355474168</v>
      </c>
      <c r="P456" s="63" t="str">
        <f t="shared" si="142"/>
        <v/>
      </c>
      <c r="Q456" s="64" t="e">
        <f t="shared" si="132"/>
        <v>#N/A</v>
      </c>
      <c r="R456" s="63">
        <f t="shared" si="133"/>
        <v>0.97062595355474168</v>
      </c>
      <c r="S456" s="65">
        <f t="shared" si="134"/>
        <v>0.35</v>
      </c>
      <c r="T456" s="65">
        <f t="shared" si="143"/>
        <v>1.2</v>
      </c>
      <c r="U456" s="64" t="e">
        <f t="shared" si="144"/>
        <v>#N/A</v>
      </c>
      <c r="V456" s="63">
        <f t="shared" si="135"/>
        <v>1.9020976175354916</v>
      </c>
      <c r="W456" s="63" t="str">
        <f t="shared" si="136"/>
        <v/>
      </c>
      <c r="X456" s="63">
        <f t="shared" si="145"/>
        <v>0</v>
      </c>
      <c r="Y456" s="30"/>
      <c r="Z456" s="30"/>
      <c r="AA456" s="30"/>
      <c r="AB456" s="55">
        <f>PMSplint!N92</f>
        <v>1.6121122158973267</v>
      </c>
      <c r="AC456" s="55">
        <f>PMSplint!N91</f>
        <v>1.5850813479462431</v>
      </c>
      <c r="AD456" s="55">
        <f>IF(RnSplint!N92&lt;0,0,RnSplint!N92)</f>
        <v>4.3273446650587255</v>
      </c>
      <c r="AE456" s="55">
        <f>IF(RnSplint!N91&lt;0,0,RnSplint!N91)</f>
        <v>4.3202818265538792</v>
      </c>
      <c r="AF456" s="30"/>
      <c r="AG456" s="30"/>
      <c r="AH456" s="30"/>
      <c r="AI456" s="30"/>
      <c r="AJ456" s="30"/>
      <c r="AK456" s="30"/>
      <c r="AL456" s="30"/>
      <c r="AM456" s="30"/>
      <c r="AN456" s="55">
        <f t="shared" si="146"/>
        <v>6.8479981411416802</v>
      </c>
      <c r="AO456" s="55">
        <f t="shared" si="147"/>
        <v>2.6168680022388751</v>
      </c>
      <c r="AP456" s="55">
        <f t="shared" si="148"/>
        <v>0.97062595355474168</v>
      </c>
      <c r="AQ456" s="55"/>
      <c r="AR456" s="55"/>
      <c r="AS456" s="55"/>
      <c r="AT456" s="55"/>
      <c r="AU456" s="30"/>
      <c r="AV456" s="30"/>
      <c r="AW456" s="2"/>
      <c r="AX456" s="2"/>
    </row>
    <row r="457" spans="1:50" x14ac:dyDescent="0.2">
      <c r="A457" s="2"/>
      <c r="B457" s="61">
        <f t="shared" si="129"/>
        <v>42048</v>
      </c>
      <c r="C457" s="62">
        <f t="shared" si="137"/>
        <v>44</v>
      </c>
      <c r="D457" s="63">
        <f t="shared" si="138"/>
        <v>1.6121122158973267</v>
      </c>
      <c r="G457" s="357" t="str">
        <f>IF(MakeSchedule!C424="","",MakeSchedule!C424)</f>
        <v/>
      </c>
      <c r="H457" s="358"/>
      <c r="I457" s="358"/>
      <c r="J457" s="359" t="str">
        <f>IF(MakeSchedule!B424="","",MakeSchedule!B424)</f>
        <v/>
      </c>
      <c r="K457" s="63">
        <f t="shared" si="130"/>
        <v>1.6121122158973267</v>
      </c>
      <c r="L457" s="63">
        <f t="shared" si="139"/>
        <v>1.6121122158973267</v>
      </c>
      <c r="M457" s="63">
        <f t="shared" si="140"/>
        <v>4.3273446650587255</v>
      </c>
      <c r="N457" s="63" t="str">
        <f t="shared" si="131"/>
        <v/>
      </c>
      <c r="O457" s="64">
        <f t="shared" si="141"/>
        <v>0.96166838439565105</v>
      </c>
      <c r="P457" s="63" t="str">
        <f t="shared" si="142"/>
        <v/>
      </c>
      <c r="Q457" s="64" t="e">
        <f t="shared" si="132"/>
        <v>#N/A</v>
      </c>
      <c r="R457" s="63">
        <f t="shared" si="133"/>
        <v>0.96166838439565105</v>
      </c>
      <c r="S457" s="65">
        <f t="shared" si="134"/>
        <v>0.35</v>
      </c>
      <c r="T457" s="65">
        <f t="shared" si="143"/>
        <v>1.2</v>
      </c>
      <c r="U457" s="64" t="e">
        <f t="shared" si="144"/>
        <v>#N/A</v>
      </c>
      <c r="V457" s="63">
        <f t="shared" si="135"/>
        <v>1.934534659076792</v>
      </c>
      <c r="W457" s="63" t="str">
        <f t="shared" si="136"/>
        <v/>
      </c>
      <c r="X457" s="63">
        <f t="shared" si="145"/>
        <v>0</v>
      </c>
      <c r="Y457" s="30"/>
      <c r="Z457" s="30"/>
      <c r="AA457" s="30"/>
      <c r="AB457" s="55">
        <f>PMSplint!N93</f>
        <v>1.6392975051277832</v>
      </c>
      <c r="AC457" s="55">
        <f>PMSplint!N92</f>
        <v>1.6121122158973267</v>
      </c>
      <c r="AD457" s="55">
        <f>IF(RnSplint!N93&lt;0,0,RnSplint!N93)</f>
        <v>4.3279502461133443</v>
      </c>
      <c r="AE457" s="55">
        <f>IF(RnSplint!N92&lt;0,0,RnSplint!N92)</f>
        <v>4.3273446650587255</v>
      </c>
      <c r="AF457" s="30"/>
      <c r="AG457" s="30"/>
      <c r="AH457" s="30"/>
      <c r="AI457" s="30"/>
      <c r="AJ457" s="30"/>
      <c r="AK457" s="30"/>
      <c r="AL457" s="30"/>
      <c r="AM457" s="30"/>
      <c r="AN457" s="55">
        <f t="shared" si="146"/>
        <v>6.9761651969392968</v>
      </c>
      <c r="AO457" s="55">
        <f t="shared" si="147"/>
        <v>2.641243115833773</v>
      </c>
      <c r="AP457" s="55">
        <f t="shared" si="148"/>
        <v>0.96166838439565105</v>
      </c>
      <c r="AQ457" s="55"/>
      <c r="AR457" s="55"/>
      <c r="AS457" s="55"/>
      <c r="AT457" s="55"/>
      <c r="AU457" s="30"/>
      <c r="AV457" s="30"/>
      <c r="AW457" s="2"/>
      <c r="AX457" s="2"/>
    </row>
    <row r="458" spans="1:50" x14ac:dyDescent="0.2">
      <c r="A458" s="2"/>
      <c r="B458" s="61">
        <f t="shared" si="129"/>
        <v>42049</v>
      </c>
      <c r="C458" s="62">
        <f t="shared" si="137"/>
        <v>45</v>
      </c>
      <c r="D458" s="63">
        <f t="shared" si="138"/>
        <v>1.6392975051277832</v>
      </c>
      <c r="G458" s="357" t="str">
        <f>IF(MakeSchedule!C425="","",MakeSchedule!C425)</f>
        <v/>
      </c>
      <c r="H458" s="358"/>
      <c r="I458" s="358"/>
      <c r="J458" s="359" t="str">
        <f>IF(MakeSchedule!B425="","",MakeSchedule!B425)</f>
        <v/>
      </c>
      <c r="K458" s="63">
        <f t="shared" si="130"/>
        <v>1.6392975051277832</v>
      </c>
      <c r="L458" s="63">
        <f t="shared" si="139"/>
        <v>1.6392975051277832</v>
      </c>
      <c r="M458" s="63">
        <f t="shared" si="140"/>
        <v>4.3279502461133443</v>
      </c>
      <c r="N458" s="63" t="str">
        <f t="shared" si="131"/>
        <v/>
      </c>
      <c r="O458" s="64">
        <f t="shared" si="141"/>
        <v>0.95359441297112246</v>
      </c>
      <c r="P458" s="63" t="str">
        <f t="shared" si="142"/>
        <v/>
      </c>
      <c r="Q458" s="64" t="e">
        <f t="shared" si="132"/>
        <v>#N/A</v>
      </c>
      <c r="R458" s="63">
        <f t="shared" si="133"/>
        <v>0.95359441297112246</v>
      </c>
      <c r="S458" s="65">
        <f t="shared" si="134"/>
        <v>0.35</v>
      </c>
      <c r="T458" s="65">
        <f t="shared" si="143"/>
        <v>1.2</v>
      </c>
      <c r="U458" s="64" t="e">
        <f t="shared" si="144"/>
        <v>#N/A</v>
      </c>
      <c r="V458" s="63">
        <f t="shared" si="135"/>
        <v>1.9671570061533397</v>
      </c>
      <c r="W458" s="63" t="str">
        <f t="shared" si="136"/>
        <v/>
      </c>
      <c r="X458" s="63">
        <f t="shared" si="145"/>
        <v>0</v>
      </c>
      <c r="Y458" s="30"/>
      <c r="Z458" s="30"/>
      <c r="AA458" s="30"/>
      <c r="AB458" s="55">
        <f>PMSplint!N94</f>
        <v>1.6666123434102071</v>
      </c>
      <c r="AC458" s="55">
        <f>PMSplint!N93</f>
        <v>1.6392975051277832</v>
      </c>
      <c r="AD458" s="55">
        <f>IF(RnSplint!N94&lt;0,0,RnSplint!N94)</f>
        <v>4.321574237672837</v>
      </c>
      <c r="AE458" s="55">
        <f>IF(RnSplint!N93&lt;0,0,RnSplint!N93)</f>
        <v>4.3279502461133443</v>
      </c>
      <c r="AF458" s="30"/>
      <c r="AG458" s="30"/>
      <c r="AH458" s="30"/>
      <c r="AI458" s="30"/>
      <c r="AJ458" s="30"/>
      <c r="AK458" s="30"/>
      <c r="AL458" s="30"/>
      <c r="AM458" s="30"/>
      <c r="AN458" s="55">
        <f t="shared" si="146"/>
        <v>7.0947980407707805</v>
      </c>
      <c r="AO458" s="55">
        <f t="shared" si="147"/>
        <v>2.6636062097785365</v>
      </c>
      <c r="AP458" s="55">
        <f t="shared" si="148"/>
        <v>0.95359441297112246</v>
      </c>
      <c r="AQ458" s="55"/>
      <c r="AR458" s="55"/>
      <c r="AS458" s="55"/>
      <c r="AT458" s="55"/>
      <c r="AU458" s="30"/>
      <c r="AV458" s="30"/>
      <c r="AW458" s="2"/>
      <c r="AX458" s="2"/>
    </row>
    <row r="459" spans="1:50" x14ac:dyDescent="0.2">
      <c r="A459" s="2"/>
      <c r="B459" s="61">
        <f t="shared" si="129"/>
        <v>42050</v>
      </c>
      <c r="C459" s="62">
        <f t="shared" si="137"/>
        <v>46</v>
      </c>
      <c r="D459" s="63">
        <f t="shared" si="138"/>
        <v>1.6666123434102071</v>
      </c>
      <c r="G459" s="357" t="str">
        <f>IF(MakeSchedule!C426="","",MakeSchedule!C426)</f>
        <v/>
      </c>
      <c r="H459" s="358"/>
      <c r="I459" s="358"/>
      <c r="J459" s="359" t="str">
        <f>IF(MakeSchedule!B426="","",MakeSchedule!B426)</f>
        <v/>
      </c>
      <c r="K459" s="63">
        <f t="shared" si="130"/>
        <v>1.6666123434102071</v>
      </c>
      <c r="L459" s="63">
        <f t="shared" si="139"/>
        <v>1.6666123434102071</v>
      </c>
      <c r="M459" s="63">
        <f t="shared" si="140"/>
        <v>4.321574237672837</v>
      </c>
      <c r="N459" s="63" t="str">
        <f t="shared" si="131"/>
        <v/>
      </c>
      <c r="O459" s="64">
        <f t="shared" si="141"/>
        <v>0.94644510776295898</v>
      </c>
      <c r="P459" s="63" t="str">
        <f t="shared" si="142"/>
        <v/>
      </c>
      <c r="Q459" s="64" t="e">
        <f t="shared" si="132"/>
        <v>#N/A</v>
      </c>
      <c r="R459" s="63">
        <f t="shared" si="133"/>
        <v>0.94644510776295898</v>
      </c>
      <c r="S459" s="65">
        <f t="shared" si="134"/>
        <v>0.35</v>
      </c>
      <c r="T459" s="65">
        <f t="shared" si="143"/>
        <v>1.2</v>
      </c>
      <c r="U459" s="64" t="e">
        <f t="shared" si="144"/>
        <v>#N/A</v>
      </c>
      <c r="V459" s="63">
        <f t="shared" si="135"/>
        <v>1.9999348120922484</v>
      </c>
      <c r="W459" s="63" t="str">
        <f t="shared" si="136"/>
        <v/>
      </c>
      <c r="X459" s="63">
        <f t="shared" si="145"/>
        <v>0</v>
      </c>
      <c r="Y459" s="30"/>
      <c r="Z459" s="30"/>
      <c r="AA459" s="30"/>
      <c r="AB459" s="55">
        <f>PMSplint!N95</f>
        <v>1.6940318585171934</v>
      </c>
      <c r="AC459" s="55">
        <f>PMSplint!N94</f>
        <v>1.6666123434102071</v>
      </c>
      <c r="AD459" s="55">
        <f>IF(RnSplint!N95&lt;0,0,RnSplint!N95)</f>
        <v>4.3076923076923075</v>
      </c>
      <c r="AE459" s="55">
        <f>IF(RnSplint!N94&lt;0,0,RnSplint!N94)</f>
        <v>4.321574237672837</v>
      </c>
      <c r="AF459" s="30"/>
      <c r="AG459" s="30"/>
      <c r="AH459" s="30"/>
      <c r="AI459" s="30"/>
      <c r="AJ459" s="30"/>
      <c r="AK459" s="30"/>
      <c r="AL459" s="30"/>
      <c r="AM459" s="30"/>
      <c r="AN459" s="55">
        <f t="shared" si="146"/>
        <v>7.2023889674691066</v>
      </c>
      <c r="AO459" s="55">
        <f t="shared" si="147"/>
        <v>2.6837266938846636</v>
      </c>
      <c r="AP459" s="55">
        <f t="shared" si="148"/>
        <v>0.94644510776295898</v>
      </c>
      <c r="AQ459" s="55"/>
      <c r="AR459" s="55"/>
      <c r="AS459" s="55"/>
      <c r="AT459" s="55"/>
      <c r="AU459" s="30"/>
      <c r="AV459" s="30"/>
      <c r="AW459" s="2"/>
      <c r="AX459" s="2"/>
    </row>
    <row r="460" spans="1:50" x14ac:dyDescent="0.2">
      <c r="A460" s="2"/>
      <c r="B460" s="61">
        <f t="shared" si="129"/>
        <v>42051</v>
      </c>
      <c r="C460" s="62">
        <f t="shared" si="137"/>
        <v>47</v>
      </c>
      <c r="D460" s="63">
        <f t="shared" si="138"/>
        <v>1.6940318585171934</v>
      </c>
      <c r="G460" s="357" t="str">
        <f>IF(MakeSchedule!C427="","",MakeSchedule!C427)</f>
        <v/>
      </c>
      <c r="H460" s="358"/>
      <c r="I460" s="358"/>
      <c r="J460" s="359" t="str">
        <f>IF(MakeSchedule!B427="","",MakeSchedule!B427)</f>
        <v/>
      </c>
      <c r="K460" s="63">
        <f t="shared" si="130"/>
        <v>1.6940318585171934</v>
      </c>
      <c r="L460" s="63">
        <f t="shared" si="139"/>
        <v>1.6940318585171934</v>
      </c>
      <c r="M460" s="63">
        <f t="shared" si="140"/>
        <v>4.3076923076923075</v>
      </c>
      <c r="N460" s="63" t="str">
        <f t="shared" si="131"/>
        <v/>
      </c>
      <c r="O460" s="64">
        <f t="shared" si="141"/>
        <v>0.94026569728363274</v>
      </c>
      <c r="P460" s="63" t="str">
        <f t="shared" si="142"/>
        <v/>
      </c>
      <c r="Q460" s="64" t="e">
        <f t="shared" si="132"/>
        <v>#N/A</v>
      </c>
      <c r="R460" s="63">
        <f t="shared" si="133"/>
        <v>0.94026569728363274</v>
      </c>
      <c r="S460" s="65">
        <f t="shared" si="134"/>
        <v>0.35</v>
      </c>
      <c r="T460" s="65">
        <f t="shared" si="143"/>
        <v>1.2</v>
      </c>
      <c r="U460" s="64" t="e">
        <f t="shared" si="144"/>
        <v>#N/A</v>
      </c>
      <c r="V460" s="63">
        <f t="shared" si="135"/>
        <v>2.0328382302206318</v>
      </c>
      <c r="W460" s="63" t="str">
        <f t="shared" si="136"/>
        <v/>
      </c>
      <c r="X460" s="63">
        <f t="shared" si="145"/>
        <v>0</v>
      </c>
      <c r="Y460" s="30"/>
      <c r="Z460" s="30"/>
      <c r="AA460" s="30"/>
      <c r="AB460" s="55">
        <f>PMSplint!N96</f>
        <v>1.7215417764472893</v>
      </c>
      <c r="AC460" s="55">
        <f>PMSplint!N95</f>
        <v>1.6940318585171934</v>
      </c>
      <c r="AD460" s="55">
        <f>IF(RnSplint!N96&lt;0,0,RnSplint!N96)</f>
        <v>4.2860595512985897</v>
      </c>
      <c r="AE460" s="55">
        <f>IF(RnSplint!N95&lt;0,0,RnSplint!N95)</f>
        <v>4.3076923076923075</v>
      </c>
      <c r="AF460" s="30"/>
      <c r="AG460" s="30"/>
      <c r="AH460" s="30"/>
      <c r="AI460" s="30"/>
      <c r="AJ460" s="30"/>
      <c r="AK460" s="30"/>
      <c r="AL460" s="30"/>
      <c r="AM460" s="30"/>
      <c r="AN460" s="55">
        <f t="shared" si="146"/>
        <v>7.2973680059202177</v>
      </c>
      <c r="AO460" s="55">
        <f t="shared" si="147"/>
        <v>2.7013641009534828</v>
      </c>
      <c r="AP460" s="55">
        <f t="shared" si="148"/>
        <v>0.94026569728363274</v>
      </c>
      <c r="AQ460" s="55"/>
      <c r="AR460" s="55"/>
      <c r="AS460" s="55"/>
      <c r="AT460" s="55"/>
      <c r="AU460" s="30"/>
      <c r="AV460" s="30"/>
      <c r="AW460" s="2"/>
      <c r="AX460" s="2"/>
    </row>
    <row r="461" spans="1:50" x14ac:dyDescent="0.2">
      <c r="A461" s="2"/>
      <c r="B461" s="61">
        <f t="shared" si="129"/>
        <v>42052</v>
      </c>
      <c r="C461" s="62">
        <f t="shared" si="137"/>
        <v>48</v>
      </c>
      <c r="D461" s="63">
        <f t="shared" si="138"/>
        <v>1.7215417764472893</v>
      </c>
      <c r="G461" s="357" t="str">
        <f>IF(MakeSchedule!C428="","",MakeSchedule!C428)</f>
        <v/>
      </c>
      <c r="H461" s="358"/>
      <c r="I461" s="358"/>
      <c r="J461" s="359" t="str">
        <f>IF(MakeSchedule!B428="","",MakeSchedule!B428)</f>
        <v/>
      </c>
      <c r="K461" s="63">
        <f t="shared" si="130"/>
        <v>1.7215417764472893</v>
      </c>
      <c r="L461" s="63">
        <f t="shared" si="139"/>
        <v>1.7215417764472893</v>
      </c>
      <c r="M461" s="63">
        <f t="shared" si="140"/>
        <v>4.2860595512985897</v>
      </c>
      <c r="N461" s="63" t="str">
        <f t="shared" si="131"/>
        <v/>
      </c>
      <c r="O461" s="64">
        <f t="shared" si="141"/>
        <v>0.93507368050351325</v>
      </c>
      <c r="P461" s="63" t="str">
        <f t="shared" si="142"/>
        <v/>
      </c>
      <c r="Q461" s="64" t="e">
        <f t="shared" si="132"/>
        <v>#N/A</v>
      </c>
      <c r="R461" s="63">
        <f t="shared" si="133"/>
        <v>0.93507368050351325</v>
      </c>
      <c r="S461" s="65">
        <f t="shared" si="134"/>
        <v>0.35</v>
      </c>
      <c r="T461" s="65">
        <f t="shared" si="143"/>
        <v>1.2</v>
      </c>
      <c r="U461" s="64" t="e">
        <f t="shared" si="144"/>
        <v>#N/A</v>
      </c>
      <c r="V461" s="63">
        <f t="shared" si="135"/>
        <v>2.065850131736747</v>
      </c>
      <c r="W461" s="63" t="str">
        <f t="shared" si="136"/>
        <v/>
      </c>
      <c r="X461" s="63">
        <f t="shared" si="145"/>
        <v>0</v>
      </c>
      <c r="Y461" s="30"/>
      <c r="Z461" s="30"/>
      <c r="AA461" s="30"/>
      <c r="AB461" s="55">
        <f>PMSplint!N97</f>
        <v>1.7491702161028528</v>
      </c>
      <c r="AC461" s="55">
        <f>PMSplint!N96</f>
        <v>1.7215417764472893</v>
      </c>
      <c r="AD461" s="55">
        <f>IF(RnSplint!N97&lt;0,0,RnSplint!N97)</f>
        <v>4.2575487723054399</v>
      </c>
      <c r="AE461" s="55">
        <f>IF(RnSplint!N96&lt;0,0,RnSplint!N96)</f>
        <v>4.2860595512985897</v>
      </c>
      <c r="AF461" s="30"/>
      <c r="AG461" s="30"/>
      <c r="AH461" s="30"/>
      <c r="AI461" s="30"/>
      <c r="AJ461" s="30"/>
      <c r="AK461" s="30"/>
      <c r="AL461" s="30"/>
      <c r="AM461" s="30"/>
      <c r="AN461" s="55">
        <f t="shared" si="146"/>
        <v>7.3786305739014457</v>
      </c>
      <c r="AO461" s="55">
        <f t="shared" si="147"/>
        <v>2.71636348339125</v>
      </c>
      <c r="AP461" s="55">
        <f t="shared" si="148"/>
        <v>0.93507368050351325</v>
      </c>
      <c r="AQ461" s="55"/>
      <c r="AR461" s="55"/>
      <c r="AS461" s="55"/>
      <c r="AT461" s="55"/>
      <c r="AU461" s="30"/>
      <c r="AV461" s="30"/>
      <c r="AW461" s="2"/>
      <c r="AX461" s="2"/>
    </row>
    <row r="462" spans="1:50" x14ac:dyDescent="0.2">
      <c r="A462" s="2"/>
      <c r="B462" s="61">
        <f t="shared" si="129"/>
        <v>42053</v>
      </c>
      <c r="C462" s="62">
        <f t="shared" si="137"/>
        <v>49</v>
      </c>
      <c r="D462" s="63">
        <f t="shared" si="138"/>
        <v>1.7491702161028528</v>
      </c>
      <c r="G462" s="357" t="str">
        <f>IF(MakeSchedule!C429="","",MakeSchedule!C429)</f>
        <v/>
      </c>
      <c r="H462" s="358"/>
      <c r="I462" s="358"/>
      <c r="J462" s="359" t="str">
        <f>IF(MakeSchedule!B429="","",MakeSchedule!B429)</f>
        <v/>
      </c>
      <c r="K462" s="63">
        <f t="shared" si="130"/>
        <v>1.7491702161028528</v>
      </c>
      <c r="L462" s="63">
        <f t="shared" si="139"/>
        <v>1.7491702161028528</v>
      </c>
      <c r="M462" s="63">
        <f t="shared" si="140"/>
        <v>4.2575487723054399</v>
      </c>
      <c r="N462" s="63" t="str">
        <f t="shared" si="131"/>
        <v/>
      </c>
      <c r="O462" s="64">
        <f t="shared" si="141"/>
        <v>0.93076032772986017</v>
      </c>
      <c r="P462" s="63" t="str">
        <f t="shared" si="142"/>
        <v/>
      </c>
      <c r="Q462" s="64" t="e">
        <f t="shared" si="132"/>
        <v>#N/A</v>
      </c>
      <c r="R462" s="63">
        <f t="shared" si="133"/>
        <v>0.93076032772986017</v>
      </c>
      <c r="S462" s="65">
        <f t="shared" si="134"/>
        <v>0.35</v>
      </c>
      <c r="T462" s="65">
        <f t="shared" si="143"/>
        <v>1.2</v>
      </c>
      <c r="U462" s="64" t="e">
        <f t="shared" si="144"/>
        <v>#N/A</v>
      </c>
      <c r="V462" s="63">
        <f t="shared" si="135"/>
        <v>2.0990042593234235</v>
      </c>
      <c r="W462" s="63" t="str">
        <f t="shared" si="136"/>
        <v/>
      </c>
      <c r="X462" s="63">
        <f t="shared" si="145"/>
        <v>0</v>
      </c>
      <c r="Y462" s="30"/>
      <c r="Z462" s="30"/>
      <c r="AA462" s="30"/>
      <c r="AB462" s="55">
        <f>PMSplint!N98</f>
        <v>1.7769558946121939</v>
      </c>
      <c r="AC462" s="55">
        <f>PMSplint!N97</f>
        <v>1.7491702161028528</v>
      </c>
      <c r="AD462" s="55">
        <f>IF(RnSplint!N98&lt;0,0,RnSplint!N98)</f>
        <v>4.2233122016983469</v>
      </c>
      <c r="AE462" s="55">
        <f>IF(RnSplint!N97&lt;0,0,RnSplint!N97)</f>
        <v>4.2575487723054399</v>
      </c>
      <c r="AF462" s="30"/>
      <c r="AG462" s="30"/>
      <c r="AH462" s="30"/>
      <c r="AI462" s="30"/>
      <c r="AJ462" s="30"/>
      <c r="AK462" s="30"/>
      <c r="AL462" s="30"/>
      <c r="AM462" s="30"/>
      <c r="AN462" s="55">
        <f t="shared" si="146"/>
        <v>7.4471775061219425</v>
      </c>
      <c r="AO462" s="55">
        <f t="shared" si="147"/>
        <v>2.7289517229372056</v>
      </c>
      <c r="AP462" s="55">
        <f t="shared" si="148"/>
        <v>0.93076032772986017</v>
      </c>
      <c r="AQ462" s="55"/>
      <c r="AR462" s="55"/>
      <c r="AS462" s="55"/>
      <c r="AT462" s="55"/>
      <c r="AU462" s="30"/>
      <c r="AV462" s="30"/>
      <c r="AW462" s="2"/>
      <c r="AX462" s="2"/>
    </row>
    <row r="463" spans="1:50" x14ac:dyDescent="0.2">
      <c r="A463" s="2"/>
      <c r="B463" s="61">
        <f t="shared" si="129"/>
        <v>42054</v>
      </c>
      <c r="C463" s="62">
        <f t="shared" si="137"/>
        <v>50</v>
      </c>
      <c r="D463" s="63">
        <f t="shared" si="138"/>
        <v>1.7769558946121939</v>
      </c>
      <c r="G463" s="357" t="str">
        <f>IF(MakeSchedule!C430="","",MakeSchedule!C430)</f>
        <v/>
      </c>
      <c r="H463" s="358"/>
      <c r="I463" s="358"/>
      <c r="J463" s="359" t="str">
        <f>IF(MakeSchedule!B430="","",MakeSchedule!B430)</f>
        <v/>
      </c>
      <c r="K463" s="63">
        <f t="shared" si="130"/>
        <v>1.7769558946121939</v>
      </c>
      <c r="L463" s="63">
        <f t="shared" si="139"/>
        <v>1.7769558946121939</v>
      </c>
      <c r="M463" s="63">
        <f t="shared" si="140"/>
        <v>4.2233122016983469</v>
      </c>
      <c r="N463" s="63" t="str">
        <f t="shared" si="131"/>
        <v/>
      </c>
      <c r="O463" s="64">
        <f t="shared" si="141"/>
        <v>0.92719012775584053</v>
      </c>
      <c r="P463" s="63" t="str">
        <f t="shared" si="142"/>
        <v/>
      </c>
      <c r="Q463" s="64" t="e">
        <f t="shared" si="132"/>
        <v>#N/A</v>
      </c>
      <c r="R463" s="63">
        <f t="shared" si="133"/>
        <v>0.92719012775584053</v>
      </c>
      <c r="S463" s="65">
        <f t="shared" si="134"/>
        <v>0.35</v>
      </c>
      <c r="T463" s="65">
        <f t="shared" si="143"/>
        <v>1.2</v>
      </c>
      <c r="U463" s="64" t="e">
        <f t="shared" si="144"/>
        <v>#N/A</v>
      </c>
      <c r="V463" s="63">
        <f t="shared" si="135"/>
        <v>2.1323470735346328</v>
      </c>
      <c r="W463" s="63" t="str">
        <f t="shared" si="136"/>
        <v/>
      </c>
      <c r="X463" s="63">
        <f t="shared" si="145"/>
        <v>0</v>
      </c>
      <c r="Y463" s="30"/>
      <c r="Z463" s="30"/>
      <c r="AA463" s="30"/>
      <c r="AB463" s="55">
        <f>PMSplint!N99</f>
        <v>1.8049375291036236</v>
      </c>
      <c r="AC463" s="55">
        <f>PMSplint!N98</f>
        <v>1.7769558946121939</v>
      </c>
      <c r="AD463" s="55">
        <f>IF(RnSplint!N99&lt;0,0,RnSplint!N99)</f>
        <v>4.1845020704627958</v>
      </c>
      <c r="AE463" s="55">
        <f>IF(RnSplint!N98&lt;0,0,RnSplint!N98)</f>
        <v>4.2233122016983469</v>
      </c>
      <c r="AF463" s="30"/>
      <c r="AG463" s="30"/>
      <c r="AH463" s="30"/>
      <c r="AI463" s="30"/>
      <c r="AJ463" s="30"/>
      <c r="AK463" s="30"/>
      <c r="AL463" s="30"/>
      <c r="AM463" s="30"/>
      <c r="AN463" s="55">
        <f t="shared" si="146"/>
        <v>7.5046395115954807</v>
      </c>
      <c r="AO463" s="55">
        <f t="shared" si="147"/>
        <v>2.7394597116211585</v>
      </c>
      <c r="AP463" s="55">
        <f t="shared" si="148"/>
        <v>0.92719012775584053</v>
      </c>
      <c r="AQ463" s="55"/>
      <c r="AR463" s="55"/>
      <c r="AS463" s="55"/>
      <c r="AT463" s="55"/>
      <c r="AU463" s="30"/>
      <c r="AV463" s="30"/>
      <c r="AW463" s="2"/>
      <c r="AX463" s="2"/>
    </row>
    <row r="464" spans="1:50" x14ac:dyDescent="0.2">
      <c r="A464" s="2"/>
      <c r="B464" s="61">
        <f t="shared" si="129"/>
        <v>42055</v>
      </c>
      <c r="C464" s="62">
        <f t="shared" si="137"/>
        <v>51</v>
      </c>
      <c r="D464" s="63">
        <f t="shared" si="138"/>
        <v>1.8049375291036236</v>
      </c>
      <c r="G464" s="357" t="str">
        <f>IF(MakeSchedule!C431="","",MakeSchedule!C431)</f>
        <v/>
      </c>
      <c r="H464" s="358"/>
      <c r="I464" s="358"/>
      <c r="J464" s="359" t="str">
        <f>IF(MakeSchedule!B431="","",MakeSchedule!B431)</f>
        <v/>
      </c>
      <c r="K464" s="63">
        <f t="shared" si="130"/>
        <v>1.8049375291036236</v>
      </c>
      <c r="L464" s="63">
        <f t="shared" si="139"/>
        <v>1.8049375291036236</v>
      </c>
      <c r="M464" s="63">
        <f t="shared" si="140"/>
        <v>4.1845020704627958</v>
      </c>
      <c r="N464" s="63" t="str">
        <f t="shared" si="131"/>
        <v/>
      </c>
      <c r="O464" s="64">
        <f t="shared" si="141"/>
        <v>0.92423143470121927</v>
      </c>
      <c r="P464" s="63" t="str">
        <f t="shared" si="142"/>
        <v/>
      </c>
      <c r="Q464" s="64" t="e">
        <f t="shared" si="132"/>
        <v>#N/A</v>
      </c>
      <c r="R464" s="63">
        <f t="shared" si="133"/>
        <v>0.92423143470121927</v>
      </c>
      <c r="S464" s="65">
        <f t="shared" si="134"/>
        <v>0.35</v>
      </c>
      <c r="T464" s="65">
        <f t="shared" si="143"/>
        <v>1.2</v>
      </c>
      <c r="U464" s="64" t="e">
        <f t="shared" si="144"/>
        <v>#N/A</v>
      </c>
      <c r="V464" s="63">
        <f t="shared" si="135"/>
        <v>2.1659250349243484</v>
      </c>
      <c r="W464" s="63" t="str">
        <f t="shared" si="136"/>
        <v/>
      </c>
      <c r="X464" s="63">
        <f t="shared" si="145"/>
        <v>0</v>
      </c>
      <c r="Y464" s="30"/>
      <c r="Z464" s="30"/>
      <c r="AA464" s="30"/>
      <c r="AB464" s="55">
        <f>PMSplint!N100</f>
        <v>1.8331538367054514</v>
      </c>
      <c r="AC464" s="55">
        <f>PMSplint!N99</f>
        <v>1.8049375291036236</v>
      </c>
      <c r="AD464" s="55">
        <f>IF(RnSplint!N100&lt;0,0,RnSplint!N100)</f>
        <v>4.1422706095842754</v>
      </c>
      <c r="AE464" s="55">
        <f>IF(RnSplint!N99&lt;0,0,RnSplint!N99)</f>
        <v>4.1845020704627958</v>
      </c>
      <c r="AF464" s="30"/>
      <c r="AG464" s="30"/>
      <c r="AH464" s="30"/>
      <c r="AI464" s="30"/>
      <c r="AJ464" s="30"/>
      <c r="AK464" s="30"/>
      <c r="AL464" s="30"/>
      <c r="AM464" s="30"/>
      <c r="AN464" s="55">
        <f t="shared" si="146"/>
        <v>7.5527648275901154</v>
      </c>
      <c r="AO464" s="55">
        <f t="shared" si="147"/>
        <v>2.7482293986474482</v>
      </c>
      <c r="AP464" s="55">
        <f t="shared" si="148"/>
        <v>0.92423143470121927</v>
      </c>
      <c r="AQ464" s="55"/>
      <c r="AR464" s="55"/>
      <c r="AS464" s="55"/>
      <c r="AT464" s="55"/>
      <c r="AU464" s="30"/>
      <c r="AV464" s="30"/>
      <c r="AW464" s="2"/>
      <c r="AX464" s="2"/>
    </row>
    <row r="465" spans="1:50" x14ac:dyDescent="0.2">
      <c r="A465" s="2"/>
      <c r="B465" s="61">
        <f t="shared" si="129"/>
        <v>42056</v>
      </c>
      <c r="C465" s="62">
        <f t="shared" si="137"/>
        <v>52</v>
      </c>
      <c r="D465" s="63">
        <f t="shared" si="138"/>
        <v>1.8331538367054514</v>
      </c>
      <c r="G465" s="357" t="str">
        <f>IF(MakeSchedule!C432="","",MakeSchedule!C432)</f>
        <v/>
      </c>
      <c r="H465" s="358"/>
      <c r="I465" s="358"/>
      <c r="J465" s="359" t="str">
        <f>IF(MakeSchedule!B432="","",MakeSchedule!B432)</f>
        <v/>
      </c>
      <c r="K465" s="63">
        <f t="shared" si="130"/>
        <v>1.8331538367054514</v>
      </c>
      <c r="L465" s="63">
        <f t="shared" si="139"/>
        <v>1.8331538367054514</v>
      </c>
      <c r="M465" s="63">
        <f t="shared" si="140"/>
        <v>4.1422706095842754</v>
      </c>
      <c r="N465" s="63" t="str">
        <f t="shared" si="131"/>
        <v/>
      </c>
      <c r="O465" s="64">
        <f t="shared" si="141"/>
        <v>0.92175399135198677</v>
      </c>
      <c r="P465" s="63" t="str">
        <f t="shared" si="142"/>
        <v/>
      </c>
      <c r="Q465" s="64" t="e">
        <f t="shared" si="132"/>
        <v>#N/A</v>
      </c>
      <c r="R465" s="63">
        <f t="shared" si="133"/>
        <v>0.92175399135198677</v>
      </c>
      <c r="S465" s="65">
        <f t="shared" si="134"/>
        <v>0.35</v>
      </c>
      <c r="T465" s="65">
        <f t="shared" si="143"/>
        <v>1.2</v>
      </c>
      <c r="U465" s="64" t="e">
        <f t="shared" si="144"/>
        <v>#N/A</v>
      </c>
      <c r="V465" s="63">
        <f t="shared" si="135"/>
        <v>2.1997846040465414</v>
      </c>
      <c r="W465" s="63" t="str">
        <f t="shared" si="136"/>
        <v/>
      </c>
      <c r="X465" s="63">
        <f t="shared" si="145"/>
        <v>0</v>
      </c>
      <c r="Y465" s="30"/>
      <c r="Z465" s="30"/>
      <c r="AA465" s="30"/>
      <c r="AB465" s="55">
        <f>PMSplint!N101</f>
        <v>1.861643534545989</v>
      </c>
      <c r="AC465" s="55">
        <f>PMSplint!N100</f>
        <v>1.8331538367054514</v>
      </c>
      <c r="AD465" s="55">
        <f>IF(RnSplint!N101&lt;0,0,RnSplint!N101)</f>
        <v>4.0977700500482728</v>
      </c>
      <c r="AE465" s="55">
        <f>IF(RnSplint!N100&lt;0,0,RnSplint!N100)</f>
        <v>4.1422706095842754</v>
      </c>
      <c r="AF465" s="30"/>
      <c r="AG465" s="30"/>
      <c r="AH465" s="30"/>
      <c r="AI465" s="30"/>
      <c r="AJ465" s="30"/>
      <c r="AK465" s="30"/>
      <c r="AL465" s="30"/>
      <c r="AM465" s="30"/>
      <c r="AN465" s="55">
        <f t="shared" si="146"/>
        <v>7.5934192606316433</v>
      </c>
      <c r="AO465" s="55">
        <f t="shared" si="147"/>
        <v>2.7556159494079799</v>
      </c>
      <c r="AP465" s="55">
        <f t="shared" si="148"/>
        <v>0.92175399135198677</v>
      </c>
      <c r="AQ465" s="55"/>
      <c r="AR465" s="55"/>
      <c r="AS465" s="55"/>
      <c r="AT465" s="55"/>
      <c r="AU465" s="30"/>
      <c r="AV465" s="30"/>
      <c r="AW465" s="2"/>
      <c r="AX465" s="2"/>
    </row>
    <row r="466" spans="1:50" x14ac:dyDescent="0.2">
      <c r="A466" s="2"/>
      <c r="B466" s="61">
        <f t="shared" si="129"/>
        <v>42057</v>
      </c>
      <c r="C466" s="62">
        <f t="shared" si="137"/>
        <v>53</v>
      </c>
      <c r="D466" s="63">
        <f t="shared" si="138"/>
        <v>1.861643534545989</v>
      </c>
      <c r="G466" s="357" t="str">
        <f>IF(MakeSchedule!C433="","",MakeSchedule!C433)</f>
        <v/>
      </c>
      <c r="H466" s="358"/>
      <c r="I466" s="358"/>
      <c r="J466" s="359" t="str">
        <f>IF(MakeSchedule!B433="","",MakeSchedule!B433)</f>
        <v/>
      </c>
      <c r="K466" s="63">
        <f t="shared" si="130"/>
        <v>1.861643534545989</v>
      </c>
      <c r="L466" s="63">
        <f t="shared" si="139"/>
        <v>1.861643534545989</v>
      </c>
      <c r="M466" s="63">
        <f t="shared" si="140"/>
        <v>4.0977700500482728</v>
      </c>
      <c r="N466" s="63" t="str">
        <f t="shared" si="131"/>
        <v/>
      </c>
      <c r="O466" s="64">
        <f t="shared" si="141"/>
        <v>0.91962688970180118</v>
      </c>
      <c r="P466" s="63" t="str">
        <f t="shared" si="142"/>
        <v/>
      </c>
      <c r="Q466" s="64" t="e">
        <f t="shared" si="132"/>
        <v>#N/A</v>
      </c>
      <c r="R466" s="63">
        <f t="shared" si="133"/>
        <v>0.91962688970180118</v>
      </c>
      <c r="S466" s="65">
        <f t="shared" si="134"/>
        <v>0.35</v>
      </c>
      <c r="T466" s="65">
        <f t="shared" si="143"/>
        <v>1.2</v>
      </c>
      <c r="U466" s="64" t="e">
        <f t="shared" si="144"/>
        <v>#N/A</v>
      </c>
      <c r="V466" s="63">
        <f t="shared" si="135"/>
        <v>2.2339722414551866</v>
      </c>
      <c r="W466" s="63" t="str">
        <f t="shared" si="136"/>
        <v/>
      </c>
      <c r="X466" s="63">
        <f t="shared" si="145"/>
        <v>0</v>
      </c>
      <c r="Y466" s="30"/>
      <c r="Z466" s="30"/>
      <c r="AA466" s="30"/>
      <c r="AB466" s="55">
        <f>PMSplint!N102</f>
        <v>1.8904453397535455</v>
      </c>
      <c r="AC466" s="55">
        <f>PMSplint!N101</f>
        <v>1.861643534545989</v>
      </c>
      <c r="AD466" s="55">
        <f>IF(RnSplint!N102&lt;0,0,RnSplint!N102)</f>
        <v>4.0521526228402758</v>
      </c>
      <c r="AE466" s="55">
        <f>IF(RnSplint!N101&lt;0,0,RnSplint!N101)</f>
        <v>4.0977700500482728</v>
      </c>
      <c r="AF466" s="30"/>
      <c r="AG466" s="30"/>
      <c r="AH466" s="30"/>
      <c r="AI466" s="30"/>
      <c r="AJ466" s="30"/>
      <c r="AK466" s="30"/>
      <c r="AL466" s="30"/>
      <c r="AM466" s="30"/>
      <c r="AN466" s="55">
        <f t="shared" si="146"/>
        <v>7.6285871197285609</v>
      </c>
      <c r="AO466" s="55">
        <f t="shared" si="147"/>
        <v>2.7619897030453537</v>
      </c>
      <c r="AP466" s="55">
        <f t="shared" si="148"/>
        <v>0.91962688970180118</v>
      </c>
      <c r="AQ466" s="55"/>
      <c r="AR466" s="55"/>
      <c r="AS466" s="55"/>
      <c r="AT466" s="55"/>
      <c r="AU466" s="30"/>
      <c r="AV466" s="30"/>
      <c r="AW466" s="2"/>
      <c r="AX466" s="2"/>
    </row>
    <row r="467" spans="1:50" x14ac:dyDescent="0.2">
      <c r="A467" s="2"/>
      <c r="B467" s="61">
        <f t="shared" si="129"/>
        <v>42058</v>
      </c>
      <c r="C467" s="62">
        <f t="shared" si="137"/>
        <v>54</v>
      </c>
      <c r="D467" s="63">
        <f t="shared" si="138"/>
        <v>1.8904453397535455</v>
      </c>
      <c r="G467" s="357" t="str">
        <f>IF(MakeSchedule!C434="","",MakeSchedule!C434)</f>
        <v/>
      </c>
      <c r="H467" s="358"/>
      <c r="I467" s="358"/>
      <c r="J467" s="359" t="str">
        <f>IF(MakeSchedule!B434="","",MakeSchedule!B434)</f>
        <v/>
      </c>
      <c r="K467" s="63">
        <f t="shared" si="130"/>
        <v>1.8904453397535455</v>
      </c>
      <c r="L467" s="63">
        <f t="shared" si="139"/>
        <v>1.8904453397535455</v>
      </c>
      <c r="M467" s="63">
        <f t="shared" si="140"/>
        <v>4.0521526228402758</v>
      </c>
      <c r="N467" s="63" t="str">
        <f t="shared" si="131"/>
        <v/>
      </c>
      <c r="O467" s="64">
        <f t="shared" si="141"/>
        <v>0.91771695825800281</v>
      </c>
      <c r="P467" s="63" t="str">
        <f t="shared" si="142"/>
        <v/>
      </c>
      <c r="Q467" s="64" t="e">
        <f t="shared" si="132"/>
        <v>#N/A</v>
      </c>
      <c r="R467" s="63">
        <f t="shared" si="133"/>
        <v>0.91771695825800281</v>
      </c>
      <c r="S467" s="65">
        <f t="shared" si="134"/>
        <v>0.35</v>
      </c>
      <c r="T467" s="65">
        <f t="shared" si="143"/>
        <v>1.2</v>
      </c>
      <c r="U467" s="64" t="e">
        <f t="shared" si="144"/>
        <v>#N/A</v>
      </c>
      <c r="V467" s="63">
        <f t="shared" si="135"/>
        <v>2.2685344077042546</v>
      </c>
      <c r="W467" s="63" t="str">
        <f t="shared" si="136"/>
        <v/>
      </c>
      <c r="X467" s="63">
        <f t="shared" si="145"/>
        <v>0</v>
      </c>
      <c r="Y467" s="30"/>
      <c r="Z467" s="30"/>
      <c r="AA467" s="30"/>
      <c r="AB467" s="55">
        <f>PMSplint!N103</f>
        <v>1.9195979694564316</v>
      </c>
      <c r="AC467" s="55">
        <f>PMSplint!N102</f>
        <v>1.8904453397535455</v>
      </c>
      <c r="AD467" s="55">
        <f>IF(RnSplint!N103&lt;0,0,RnSplint!N103)</f>
        <v>4.0065705589457705</v>
      </c>
      <c r="AE467" s="55">
        <f>IF(RnSplint!N102&lt;0,0,RnSplint!N102)</f>
        <v>4.0521526228402758</v>
      </c>
      <c r="AF467" s="30"/>
      <c r="AG467" s="30"/>
      <c r="AH467" s="30"/>
      <c r="AI467" s="30"/>
      <c r="AJ467" s="30"/>
      <c r="AK467" s="30"/>
      <c r="AL467" s="30"/>
      <c r="AM467" s="30"/>
      <c r="AN467" s="55">
        <f t="shared" si="146"/>
        <v>7.6603730418185059</v>
      </c>
      <c r="AO467" s="55">
        <f t="shared" si="147"/>
        <v>2.7677378925430252</v>
      </c>
      <c r="AP467" s="55">
        <f t="shared" si="148"/>
        <v>0.91771695825800281</v>
      </c>
      <c r="AQ467" s="55"/>
      <c r="AR467" s="55"/>
      <c r="AS467" s="55"/>
      <c r="AT467" s="55"/>
      <c r="AU467" s="30"/>
      <c r="AV467" s="30"/>
      <c r="AW467" s="2"/>
      <c r="AX467" s="2"/>
    </row>
    <row r="468" spans="1:50" x14ac:dyDescent="0.2">
      <c r="A468" s="2"/>
      <c r="B468" s="61">
        <f t="shared" si="129"/>
        <v>42059</v>
      </c>
      <c r="C468" s="62">
        <f t="shared" si="137"/>
        <v>55</v>
      </c>
      <c r="D468" s="63">
        <f t="shared" si="138"/>
        <v>1.9195979694564316</v>
      </c>
      <c r="G468" s="357" t="str">
        <f>IF(MakeSchedule!C435="","",MakeSchedule!C435)</f>
        <v/>
      </c>
      <c r="H468" s="358"/>
      <c r="I468" s="358"/>
      <c r="J468" s="359" t="str">
        <f>IF(MakeSchedule!B435="","",MakeSchedule!B435)</f>
        <v/>
      </c>
      <c r="K468" s="63">
        <f t="shared" si="130"/>
        <v>1.9195979694564316</v>
      </c>
      <c r="L468" s="63">
        <f t="shared" si="139"/>
        <v>1.9195979694564316</v>
      </c>
      <c r="M468" s="63">
        <f t="shared" si="140"/>
        <v>4.0065705589457705</v>
      </c>
      <c r="N468" s="63" t="str">
        <f t="shared" si="131"/>
        <v/>
      </c>
      <c r="O468" s="64">
        <f t="shared" si="141"/>
        <v>0.91588759733333602</v>
      </c>
      <c r="P468" s="63" t="str">
        <f t="shared" si="142"/>
        <v/>
      </c>
      <c r="Q468" s="64" t="e">
        <f t="shared" si="132"/>
        <v>#N/A</v>
      </c>
      <c r="R468" s="63">
        <f t="shared" si="133"/>
        <v>0.91588759733333602</v>
      </c>
      <c r="S468" s="65">
        <f t="shared" si="134"/>
        <v>0.35</v>
      </c>
      <c r="T468" s="65">
        <f t="shared" si="143"/>
        <v>1.2</v>
      </c>
      <c r="U468" s="64" t="e">
        <f t="shared" si="144"/>
        <v>#N/A</v>
      </c>
      <c r="V468" s="63">
        <f t="shared" si="135"/>
        <v>2.3035175633477176</v>
      </c>
      <c r="W468" s="63" t="str">
        <f t="shared" si="136"/>
        <v/>
      </c>
      <c r="X468" s="63">
        <f t="shared" si="145"/>
        <v>0</v>
      </c>
      <c r="Y468" s="30"/>
      <c r="Z468" s="30"/>
      <c r="AA468" s="30"/>
      <c r="AB468" s="55">
        <f>PMSplint!N104</f>
        <v>1.9491401407829581</v>
      </c>
      <c r="AC468" s="55">
        <f>PMSplint!N103</f>
        <v>1.9195979694564316</v>
      </c>
      <c r="AD468" s="55">
        <f>IF(RnSplint!N104&lt;0,0,RnSplint!N104)</f>
        <v>3.9621760893502467</v>
      </c>
      <c r="AE468" s="55">
        <f>IF(RnSplint!N103&lt;0,0,RnSplint!N103)</f>
        <v>4.0065705589457705</v>
      </c>
      <c r="AF468" s="30"/>
      <c r="AG468" s="30"/>
      <c r="AH468" s="30"/>
      <c r="AI468" s="30"/>
      <c r="AJ468" s="30"/>
      <c r="AK468" s="30"/>
      <c r="AL468" s="30"/>
      <c r="AM468" s="30"/>
      <c r="AN468" s="55">
        <f t="shared" si="146"/>
        <v>7.6910047094362213</v>
      </c>
      <c r="AO468" s="55">
        <f t="shared" si="147"/>
        <v>2.7732660726003591</v>
      </c>
      <c r="AP468" s="55">
        <f t="shared" si="148"/>
        <v>0.91588759733333602</v>
      </c>
      <c r="AQ468" s="55"/>
      <c r="AR468" s="55"/>
      <c r="AS468" s="55"/>
      <c r="AT468" s="55"/>
      <c r="AU468" s="30"/>
      <c r="AV468" s="30"/>
      <c r="AW468" s="2"/>
      <c r="AX468" s="2"/>
    </row>
    <row r="469" spans="1:50" x14ac:dyDescent="0.2">
      <c r="A469" s="2"/>
      <c r="B469" s="61">
        <f t="shared" si="129"/>
        <v>42060</v>
      </c>
      <c r="C469" s="62">
        <f t="shared" si="137"/>
        <v>56</v>
      </c>
      <c r="D469" s="63">
        <f t="shared" si="138"/>
        <v>1.9491401407829581</v>
      </c>
      <c r="G469" s="357" t="str">
        <f>IF(MakeSchedule!C436="","",MakeSchedule!C436)</f>
        <v/>
      </c>
      <c r="H469" s="358"/>
      <c r="I469" s="358"/>
      <c r="J469" s="359" t="str">
        <f>IF(MakeSchedule!B436="","",MakeSchedule!B436)</f>
        <v/>
      </c>
      <c r="K469" s="63">
        <f t="shared" si="130"/>
        <v>1.9491401407829581</v>
      </c>
      <c r="L469" s="63">
        <f t="shared" si="139"/>
        <v>1.9491401407829581</v>
      </c>
      <c r="M469" s="63">
        <f t="shared" si="140"/>
        <v>3.9621760893502467</v>
      </c>
      <c r="N469" s="63" t="str">
        <f t="shared" si="131"/>
        <v/>
      </c>
      <c r="O469" s="64">
        <f t="shared" si="141"/>
        <v>0.91399810956880234</v>
      </c>
      <c r="P469" s="63" t="str">
        <f t="shared" si="142"/>
        <v/>
      </c>
      <c r="Q469" s="64" t="e">
        <f t="shared" si="132"/>
        <v>#N/A</v>
      </c>
      <c r="R469" s="63">
        <f t="shared" si="133"/>
        <v>0.91399810956880234</v>
      </c>
      <c r="S469" s="65">
        <f t="shared" si="134"/>
        <v>0.35</v>
      </c>
      <c r="T469" s="65">
        <f t="shared" si="143"/>
        <v>1.2</v>
      </c>
      <c r="U469" s="64" t="e">
        <f t="shared" si="144"/>
        <v>#N/A</v>
      </c>
      <c r="V469" s="63">
        <f t="shared" si="135"/>
        <v>2.3389681689395494</v>
      </c>
      <c r="W469" s="63" t="str">
        <f t="shared" si="136"/>
        <v/>
      </c>
      <c r="X469" s="63">
        <f t="shared" si="145"/>
        <v>0</v>
      </c>
      <c r="Y469" s="30"/>
      <c r="Z469" s="30"/>
      <c r="AA469" s="30"/>
      <c r="AB469" s="55">
        <f>PMSplint!N105</f>
        <v>1.9791105708614347</v>
      </c>
      <c r="AC469" s="55">
        <f>PMSplint!N104</f>
        <v>1.9491401407829581</v>
      </c>
      <c r="AD469" s="55">
        <f>IF(RnSplint!N105&lt;0,0,RnSplint!N105)</f>
        <v>3.9201214450391904</v>
      </c>
      <c r="AE469" s="55">
        <f>IF(RnSplint!N104&lt;0,0,RnSplint!N104)</f>
        <v>3.9621760893502467</v>
      </c>
      <c r="AF469" s="30"/>
      <c r="AG469" s="30"/>
      <c r="AH469" s="30"/>
      <c r="AI469" s="30"/>
      <c r="AJ469" s="30"/>
      <c r="AK469" s="30"/>
      <c r="AL469" s="30"/>
      <c r="AM469" s="30"/>
      <c r="AN469" s="55">
        <f t="shared" si="146"/>
        <v>7.72283646060301</v>
      </c>
      <c r="AO469" s="55">
        <f t="shared" si="147"/>
        <v>2.7789991832677838</v>
      </c>
      <c r="AP469" s="55">
        <f t="shared" si="148"/>
        <v>0.91399810956880234</v>
      </c>
      <c r="AQ469" s="55"/>
      <c r="AR469" s="55"/>
      <c r="AS469" s="55"/>
      <c r="AT469" s="55"/>
      <c r="AU469" s="30"/>
      <c r="AV469" s="30"/>
      <c r="AW469" s="2"/>
      <c r="AX469" s="2"/>
    </row>
    <row r="470" spans="1:50" x14ac:dyDescent="0.2">
      <c r="A470" s="2"/>
      <c r="B470" s="61">
        <f t="shared" si="129"/>
        <v>42061</v>
      </c>
      <c r="C470" s="62">
        <f t="shared" si="137"/>
        <v>57</v>
      </c>
      <c r="D470" s="63">
        <f t="shared" si="138"/>
        <v>1.9791105708614347</v>
      </c>
      <c r="G470" s="357" t="str">
        <f>IF(MakeSchedule!C437="","",MakeSchedule!C437)</f>
        <v/>
      </c>
      <c r="H470" s="358"/>
      <c r="I470" s="358"/>
      <c r="J470" s="359" t="str">
        <f>IF(MakeSchedule!B437="","",MakeSchedule!B437)</f>
        <v/>
      </c>
      <c r="K470" s="63">
        <f t="shared" si="130"/>
        <v>1.9791105708614347</v>
      </c>
      <c r="L470" s="63">
        <f t="shared" si="139"/>
        <v>1.9791105708614347</v>
      </c>
      <c r="M470" s="63">
        <f t="shared" si="140"/>
        <v>3.9201214450391904</v>
      </c>
      <c r="N470" s="63" t="str">
        <f t="shared" si="131"/>
        <v/>
      </c>
      <c r="O470" s="64">
        <f t="shared" si="141"/>
        <v>0.91190359234540119</v>
      </c>
      <c r="P470" s="63" t="str">
        <f t="shared" si="142"/>
        <v/>
      </c>
      <c r="Q470" s="64" t="e">
        <f t="shared" si="132"/>
        <v>#N/A</v>
      </c>
      <c r="R470" s="63">
        <f t="shared" si="133"/>
        <v>0.91190359234540119</v>
      </c>
      <c r="S470" s="65">
        <f t="shared" si="134"/>
        <v>0.35</v>
      </c>
      <c r="T470" s="65">
        <f t="shared" si="143"/>
        <v>1.2</v>
      </c>
      <c r="U470" s="64" t="e">
        <f t="shared" si="144"/>
        <v>#N/A</v>
      </c>
      <c r="V470" s="63">
        <f t="shared" si="135"/>
        <v>2.3749326850337216</v>
      </c>
      <c r="W470" s="63" t="str">
        <f t="shared" si="136"/>
        <v/>
      </c>
      <c r="X470" s="63">
        <f t="shared" si="145"/>
        <v>0</v>
      </c>
      <c r="Y470" s="30"/>
      <c r="Z470" s="30"/>
      <c r="AA470" s="30"/>
      <c r="AB470" s="55">
        <f>PMSplint!N106</f>
        <v>2.0095479768201732</v>
      </c>
      <c r="AC470" s="55">
        <f>PMSplint!N105</f>
        <v>1.9791105708614347</v>
      </c>
      <c r="AD470" s="55">
        <f>IF(RnSplint!N106&lt;0,0,RnSplint!N106)</f>
        <v>3.8815588569980881</v>
      </c>
      <c r="AE470" s="55">
        <f>IF(RnSplint!N105&lt;0,0,RnSplint!N105)</f>
        <v>3.9201214450391904</v>
      </c>
      <c r="AF470" s="30"/>
      <c r="AG470" s="30"/>
      <c r="AH470" s="30"/>
      <c r="AI470" s="30"/>
      <c r="AJ470" s="30"/>
      <c r="AK470" s="30"/>
      <c r="AL470" s="30"/>
      <c r="AM470" s="30"/>
      <c r="AN470" s="55">
        <f t="shared" si="146"/>
        <v>7.7583537909376643</v>
      </c>
      <c r="AO470" s="55">
        <f t="shared" si="147"/>
        <v>2.7853821624577235</v>
      </c>
      <c r="AP470" s="55">
        <f t="shared" si="148"/>
        <v>0.91190359234540119</v>
      </c>
      <c r="AQ470" s="55"/>
      <c r="AR470" s="55"/>
      <c r="AS470" s="55"/>
      <c r="AT470" s="55"/>
      <c r="AU470" s="30"/>
      <c r="AV470" s="30"/>
      <c r="AW470" s="2"/>
      <c r="AX470" s="2"/>
    </row>
    <row r="471" spans="1:50" x14ac:dyDescent="0.2">
      <c r="A471" s="2"/>
      <c r="B471" s="61">
        <f t="shared" si="129"/>
        <v>42062</v>
      </c>
      <c r="C471" s="62">
        <f t="shared" si="137"/>
        <v>58</v>
      </c>
      <c r="D471" s="63">
        <f t="shared" si="138"/>
        <v>2.0095479768201732</v>
      </c>
      <c r="G471" s="357" t="str">
        <f>IF(MakeSchedule!C438="","",MakeSchedule!C438)</f>
        <v/>
      </c>
      <c r="H471" s="358"/>
      <c r="I471" s="358"/>
      <c r="J471" s="359" t="str">
        <f>IF(MakeSchedule!B438="","",MakeSchedule!B438)</f>
        <v/>
      </c>
      <c r="K471" s="63">
        <f t="shared" si="130"/>
        <v>2.0095479768201732</v>
      </c>
      <c r="L471" s="63">
        <f t="shared" si="139"/>
        <v>2.0095479768201732</v>
      </c>
      <c r="M471" s="63">
        <f t="shared" si="140"/>
        <v>3.8815588569980881</v>
      </c>
      <c r="N471" s="63" t="str">
        <f t="shared" si="131"/>
        <v/>
      </c>
      <c r="O471" s="64">
        <f t="shared" si="141"/>
        <v>0.90945546936310284</v>
      </c>
      <c r="P471" s="63" t="str">
        <f t="shared" si="142"/>
        <v/>
      </c>
      <c r="Q471" s="64" t="e">
        <f t="shared" si="132"/>
        <v>#N/A</v>
      </c>
      <c r="R471" s="63">
        <f t="shared" si="133"/>
        <v>0.90945546936310284</v>
      </c>
      <c r="S471" s="65">
        <f t="shared" si="134"/>
        <v>0.35</v>
      </c>
      <c r="T471" s="65">
        <f t="shared" si="143"/>
        <v>1.2</v>
      </c>
      <c r="U471" s="64" t="e">
        <f t="shared" si="144"/>
        <v>#N/A</v>
      </c>
      <c r="V471" s="63">
        <f t="shared" si="135"/>
        <v>2.4114575721842075</v>
      </c>
      <c r="W471" s="63" t="str">
        <f t="shared" si="136"/>
        <v/>
      </c>
      <c r="X471" s="63">
        <f t="shared" si="145"/>
        <v>0</v>
      </c>
      <c r="Y471" s="30"/>
      <c r="Z471" s="30"/>
      <c r="AA471" s="30"/>
      <c r="AB471" s="55">
        <f>PMSplint!N107</f>
        <v>2.0404910757874815</v>
      </c>
      <c r="AC471" s="55">
        <f>PMSplint!N106</f>
        <v>2.0095479768201732</v>
      </c>
      <c r="AD471" s="55">
        <f>IF(RnSplint!N107&lt;0,0,RnSplint!N107)</f>
        <v>3.8476405562124296</v>
      </c>
      <c r="AE471" s="55">
        <f>IF(RnSplint!N106&lt;0,0,RnSplint!N106)</f>
        <v>3.8815588569980881</v>
      </c>
      <c r="AF471" s="30"/>
      <c r="AG471" s="30"/>
      <c r="AH471" s="30"/>
      <c r="AI471" s="30"/>
      <c r="AJ471" s="30"/>
      <c r="AK471" s="30"/>
      <c r="AL471" s="30"/>
      <c r="AM471" s="30"/>
      <c r="AN471" s="55">
        <f t="shared" si="146"/>
        <v>7.800178747988932</v>
      </c>
      <c r="AO471" s="55">
        <f t="shared" si="147"/>
        <v>2.7928800095938477</v>
      </c>
      <c r="AP471" s="55">
        <f t="shared" si="148"/>
        <v>0.90945546936310284</v>
      </c>
      <c r="AQ471" s="55"/>
      <c r="AR471" s="55"/>
      <c r="AS471" s="55"/>
      <c r="AT471" s="55"/>
      <c r="AU471" s="30"/>
      <c r="AV471" s="30"/>
      <c r="AW471" s="2"/>
      <c r="AX471" s="2"/>
    </row>
    <row r="472" spans="1:50" x14ac:dyDescent="0.2">
      <c r="A472" s="2"/>
      <c r="B472" s="61">
        <f t="shared" si="129"/>
        <v>42063</v>
      </c>
      <c r="C472" s="62">
        <f t="shared" si="137"/>
        <v>59</v>
      </c>
      <c r="D472" s="63">
        <f t="shared" si="138"/>
        <v>2.0404910757874815</v>
      </c>
      <c r="G472" s="357" t="str">
        <f>IF(MakeSchedule!C439="","",MakeSchedule!C439)</f>
        <v/>
      </c>
      <c r="H472" s="358"/>
      <c r="I472" s="358"/>
      <c r="J472" s="359" t="str">
        <f>IF(MakeSchedule!B439="","",MakeSchedule!B439)</f>
        <v/>
      </c>
      <c r="K472" s="63">
        <f t="shared" si="130"/>
        <v>2.0404910757874815</v>
      </c>
      <c r="L472" s="63">
        <f t="shared" si="139"/>
        <v>2.0404910757874815</v>
      </c>
      <c r="M472" s="63">
        <f t="shared" si="140"/>
        <v>3.8476405562124296</v>
      </c>
      <c r="N472" s="63" t="str">
        <f t="shared" si="131"/>
        <v/>
      </c>
      <c r="O472" s="64">
        <f t="shared" si="141"/>
        <v>0.90650273737601128</v>
      </c>
      <c r="P472" s="63" t="str">
        <f t="shared" si="142"/>
        <v/>
      </c>
      <c r="Q472" s="64" t="e">
        <f t="shared" si="132"/>
        <v>#N/A</v>
      </c>
      <c r="R472" s="63">
        <f t="shared" si="133"/>
        <v>0.90650273737601128</v>
      </c>
      <c r="S472" s="65">
        <f t="shared" si="134"/>
        <v>0.35</v>
      </c>
      <c r="T472" s="65">
        <f t="shared" si="143"/>
        <v>1.2</v>
      </c>
      <c r="U472" s="64" t="e">
        <f t="shared" si="144"/>
        <v>#N/A</v>
      </c>
      <c r="V472" s="63">
        <f t="shared" si="135"/>
        <v>2.4485892909449776</v>
      </c>
      <c r="W472" s="63" t="str">
        <f t="shared" si="136"/>
        <v/>
      </c>
      <c r="X472" s="63">
        <f t="shared" si="145"/>
        <v>0</v>
      </c>
      <c r="Y472" s="30"/>
      <c r="Z472" s="30"/>
      <c r="AA472" s="30"/>
      <c r="AB472" s="55">
        <f>PMSplint!N108</f>
        <v>2.0719785848916725</v>
      </c>
      <c r="AC472" s="55">
        <f>PMSplint!N107</f>
        <v>2.0404910757874815</v>
      </c>
      <c r="AD472" s="55">
        <f>IF(RnSplint!N108&lt;0,0,RnSplint!N108)</f>
        <v>3.8195187736677005</v>
      </c>
      <c r="AE472" s="55">
        <f>IF(RnSplint!N107&lt;0,0,RnSplint!N107)</f>
        <v>3.8476405562124296</v>
      </c>
      <c r="AF472" s="30"/>
      <c r="AG472" s="30"/>
      <c r="AH472" s="30"/>
      <c r="AI472" s="30"/>
      <c r="AJ472" s="30"/>
      <c r="AK472" s="30"/>
      <c r="AL472" s="30"/>
      <c r="AM472" s="30"/>
      <c r="AN472" s="55">
        <f t="shared" si="146"/>
        <v>7.8510762177894442</v>
      </c>
      <c r="AO472" s="55">
        <f t="shared" si="147"/>
        <v>2.8019771979424535</v>
      </c>
      <c r="AP472" s="55">
        <f t="shared" si="148"/>
        <v>0.90650273737601128</v>
      </c>
      <c r="AQ472" s="55"/>
      <c r="AR472" s="55"/>
      <c r="AS472" s="55"/>
      <c r="AT472" s="55"/>
      <c r="AU472" s="30"/>
      <c r="AV472" s="30"/>
      <c r="AW472" s="2"/>
      <c r="AX472" s="2"/>
    </row>
    <row r="473" spans="1:50" x14ac:dyDescent="0.2">
      <c r="A473" s="2"/>
      <c r="B473" s="61">
        <f t="shared" si="129"/>
        <v>42064</v>
      </c>
      <c r="C473" s="62">
        <f t="shared" si="137"/>
        <v>60</v>
      </c>
      <c r="D473" s="63">
        <f t="shared" si="138"/>
        <v>2.0719785848916725</v>
      </c>
      <c r="G473" s="357" t="str">
        <f>IF(MakeSchedule!C440="","",MakeSchedule!C440)</f>
        <v/>
      </c>
      <c r="H473" s="358"/>
      <c r="I473" s="358"/>
      <c r="J473" s="359" t="str">
        <f>IF(MakeSchedule!B440="","",MakeSchedule!B440)</f>
        <v/>
      </c>
      <c r="K473" s="63">
        <f t="shared" si="130"/>
        <v>2.0719785848916725</v>
      </c>
      <c r="L473" s="63">
        <f t="shared" si="139"/>
        <v>2.0719785848916725</v>
      </c>
      <c r="M473" s="63">
        <f t="shared" si="140"/>
        <v>3.8195187736677005</v>
      </c>
      <c r="N473" s="63" t="str">
        <f t="shared" si="131"/>
        <v/>
      </c>
      <c r="O473" s="64">
        <f t="shared" si="141"/>
        <v>0.90289398730564407</v>
      </c>
      <c r="P473" s="63" t="str">
        <f t="shared" si="142"/>
        <v/>
      </c>
      <c r="Q473" s="64" t="e">
        <f t="shared" si="132"/>
        <v>#N/A</v>
      </c>
      <c r="R473" s="63">
        <f t="shared" si="133"/>
        <v>0.90289398730564407</v>
      </c>
      <c r="S473" s="65">
        <f t="shared" si="134"/>
        <v>0.35</v>
      </c>
      <c r="T473" s="65">
        <f t="shared" si="143"/>
        <v>1.2</v>
      </c>
      <c r="U473" s="64" t="e">
        <f t="shared" si="144"/>
        <v>#N/A</v>
      </c>
      <c r="V473" s="63">
        <f t="shared" si="135"/>
        <v>2.4863743018700069</v>
      </c>
      <c r="W473" s="63" t="str">
        <f t="shared" si="136"/>
        <v/>
      </c>
      <c r="X473" s="63">
        <f t="shared" si="145"/>
        <v>0</v>
      </c>
      <c r="Y473" s="30"/>
      <c r="Z473" s="30"/>
      <c r="AA473" s="30"/>
      <c r="AB473" s="55">
        <f>PMSplint!N109</f>
        <v>2.1040492212610551</v>
      </c>
      <c r="AC473" s="55">
        <f>PMSplint!N108</f>
        <v>2.0719785848916725</v>
      </c>
      <c r="AD473" s="55">
        <f>IF(RnSplint!N109&lt;0,0,RnSplint!N109)</f>
        <v>3.7983457403493883</v>
      </c>
      <c r="AE473" s="55">
        <f>IF(RnSplint!N108&lt;0,0,RnSplint!N108)</f>
        <v>3.8195187736677005</v>
      </c>
      <c r="AF473" s="30"/>
      <c r="AG473" s="30"/>
      <c r="AH473" s="30"/>
      <c r="AI473" s="30"/>
      <c r="AJ473" s="30"/>
      <c r="AK473" s="30"/>
      <c r="AL473" s="30"/>
      <c r="AM473" s="30"/>
      <c r="AN473" s="55">
        <f t="shared" si="146"/>
        <v>7.9139611036311788</v>
      </c>
      <c r="AO473" s="55">
        <f t="shared" si="147"/>
        <v>2.8131763371020981</v>
      </c>
      <c r="AP473" s="55">
        <f t="shared" si="148"/>
        <v>0.90289398730564407</v>
      </c>
      <c r="AQ473" s="55"/>
      <c r="AR473" s="55"/>
      <c r="AS473" s="55"/>
      <c r="AT473" s="55"/>
      <c r="AU473" s="30"/>
      <c r="AV473" s="30"/>
      <c r="AW473" s="2"/>
      <c r="AX473" s="2"/>
    </row>
    <row r="474" spans="1:50" x14ac:dyDescent="0.2">
      <c r="A474" s="2"/>
      <c r="B474" s="61">
        <f t="shared" si="129"/>
        <v>42065</v>
      </c>
      <c r="C474" s="62">
        <f t="shared" si="137"/>
        <v>61</v>
      </c>
      <c r="D474" s="63">
        <f t="shared" si="138"/>
        <v>2.1040492212610551</v>
      </c>
      <c r="G474" s="357" t="str">
        <f>IF(MakeSchedule!C441="","",MakeSchedule!C441)</f>
        <v/>
      </c>
      <c r="H474" s="358"/>
      <c r="I474" s="358"/>
      <c r="J474" s="359" t="str">
        <f>IF(MakeSchedule!B441="","",MakeSchedule!B441)</f>
        <v/>
      </c>
      <c r="K474" s="63">
        <f t="shared" si="130"/>
        <v>2.1040492212610551</v>
      </c>
      <c r="L474" s="63">
        <f t="shared" si="139"/>
        <v>2.1040492212610551</v>
      </c>
      <c r="M474" s="63">
        <f t="shared" si="140"/>
        <v>3.7983457403493883</v>
      </c>
      <c r="N474" s="63" t="str">
        <f t="shared" si="131"/>
        <v/>
      </c>
      <c r="O474" s="64">
        <f t="shared" si="141"/>
        <v>0.89848022350466372</v>
      </c>
      <c r="P474" s="63" t="str">
        <f t="shared" si="142"/>
        <v/>
      </c>
      <c r="Q474" s="64" t="e">
        <f t="shared" si="132"/>
        <v>#N/A</v>
      </c>
      <c r="R474" s="63">
        <f t="shared" si="133"/>
        <v>0.89848022350466372</v>
      </c>
      <c r="S474" s="65">
        <f t="shared" si="134"/>
        <v>0.35</v>
      </c>
      <c r="T474" s="65">
        <f t="shared" si="143"/>
        <v>1.2</v>
      </c>
      <c r="U474" s="64" t="e">
        <f t="shared" si="144"/>
        <v>#N/A</v>
      </c>
      <c r="V474" s="63">
        <f t="shared" si="135"/>
        <v>2.5248590655132661</v>
      </c>
      <c r="W474" s="63" t="str">
        <f t="shared" si="136"/>
        <v/>
      </c>
      <c r="X474" s="63">
        <f t="shared" si="145"/>
        <v>0</v>
      </c>
      <c r="Y474" s="30"/>
      <c r="Z474" s="30"/>
      <c r="AA474" s="30"/>
      <c r="AB474" s="55">
        <f>PMSplint!N110</f>
        <v>2.1367417020239401</v>
      </c>
      <c r="AC474" s="55">
        <f>PMSplint!N109</f>
        <v>2.1040492212610551</v>
      </c>
      <c r="AD474" s="55">
        <f>IF(RnSplint!N110&lt;0,0,RnSplint!N110)</f>
        <v>3.7852736872429809</v>
      </c>
      <c r="AE474" s="55">
        <f>IF(RnSplint!N109&lt;0,0,RnSplint!N109)</f>
        <v>3.7983457403493883</v>
      </c>
      <c r="AF474" s="30"/>
      <c r="AG474" s="30"/>
      <c r="AH474" s="30"/>
      <c r="AI474" s="30"/>
      <c r="AJ474" s="30"/>
      <c r="AK474" s="30"/>
      <c r="AL474" s="30"/>
      <c r="AM474" s="30"/>
      <c r="AN474" s="55">
        <f t="shared" si="146"/>
        <v>7.991906397062376</v>
      </c>
      <c r="AO474" s="55">
        <f t="shared" si="147"/>
        <v>2.826996002307463</v>
      </c>
      <c r="AP474" s="55">
        <f t="shared" si="148"/>
        <v>0.89848022350466372</v>
      </c>
      <c r="AQ474" s="55"/>
      <c r="AR474" s="55"/>
      <c r="AS474" s="55"/>
      <c r="AT474" s="55"/>
      <c r="AU474" s="30"/>
      <c r="AV474" s="30"/>
      <c r="AW474" s="2"/>
      <c r="AX474" s="2"/>
    </row>
    <row r="475" spans="1:50" x14ac:dyDescent="0.2">
      <c r="A475" s="2"/>
      <c r="B475" s="61">
        <f t="shared" si="129"/>
        <v>42066</v>
      </c>
      <c r="C475" s="62">
        <f t="shared" si="137"/>
        <v>62</v>
      </c>
      <c r="D475" s="63">
        <f t="shared" si="138"/>
        <v>2.1367417020239401</v>
      </c>
      <c r="G475" s="357" t="str">
        <f>IF(MakeSchedule!C442="","",MakeSchedule!C442)</f>
        <v/>
      </c>
      <c r="H475" s="358"/>
      <c r="I475" s="358"/>
      <c r="J475" s="359" t="str">
        <f>IF(MakeSchedule!B442="","",MakeSchedule!B442)</f>
        <v/>
      </c>
      <c r="K475" s="63">
        <f t="shared" si="130"/>
        <v>2.1367417020239401</v>
      </c>
      <c r="L475" s="63">
        <f t="shared" si="139"/>
        <v>2.1367417020239401</v>
      </c>
      <c r="M475" s="63">
        <f t="shared" si="140"/>
        <v>3.7852736872429809</v>
      </c>
      <c r="N475" s="63" t="str">
        <f t="shared" si="131"/>
        <v/>
      </c>
      <c r="O475" s="64">
        <f t="shared" si="141"/>
        <v>0.89311844912868621</v>
      </c>
      <c r="P475" s="63" t="str">
        <f t="shared" si="142"/>
        <v/>
      </c>
      <c r="Q475" s="64" t="e">
        <f t="shared" si="132"/>
        <v>#N/A</v>
      </c>
      <c r="R475" s="63">
        <f t="shared" si="133"/>
        <v>0.89311844912868621</v>
      </c>
      <c r="S475" s="65">
        <f t="shared" si="134"/>
        <v>0.35</v>
      </c>
      <c r="T475" s="65">
        <f t="shared" si="143"/>
        <v>1.2</v>
      </c>
      <c r="U475" s="64" t="e">
        <f t="shared" si="144"/>
        <v>#N/A</v>
      </c>
      <c r="V475" s="63">
        <f t="shared" si="135"/>
        <v>2.5640900424287278</v>
      </c>
      <c r="W475" s="63" t="str">
        <f t="shared" si="136"/>
        <v/>
      </c>
      <c r="X475" s="63">
        <f t="shared" si="145"/>
        <v>0</v>
      </c>
      <c r="Y475" s="30"/>
      <c r="Z475" s="30"/>
      <c r="AA475" s="30"/>
      <c r="AB475" s="55">
        <f>PMSplint!N111</f>
        <v>2.1700947443086385</v>
      </c>
      <c r="AC475" s="55">
        <f>PMSplint!N110</f>
        <v>2.1367417020239401</v>
      </c>
      <c r="AD475" s="55">
        <f>IF(RnSplint!N111&lt;0,0,RnSplint!N111)</f>
        <v>3.7814548453339665</v>
      </c>
      <c r="AE475" s="55">
        <f>IF(RnSplint!N110&lt;0,0,RnSplint!N110)</f>
        <v>3.7852736872429809</v>
      </c>
      <c r="AF475" s="30"/>
      <c r="AG475" s="30"/>
      <c r="AH475" s="30"/>
      <c r="AI475" s="30"/>
      <c r="AJ475" s="30"/>
      <c r="AK475" s="30"/>
      <c r="AL475" s="30"/>
      <c r="AM475" s="30"/>
      <c r="AN475" s="55">
        <f t="shared" si="146"/>
        <v>8.0881521411060024</v>
      </c>
      <c r="AO475" s="55">
        <f t="shared" si="147"/>
        <v>2.8439676758194707</v>
      </c>
      <c r="AP475" s="55">
        <f t="shared" si="148"/>
        <v>0.89311844912868621</v>
      </c>
      <c r="AQ475" s="55"/>
      <c r="AR475" s="55"/>
      <c r="AS475" s="55"/>
      <c r="AT475" s="55"/>
      <c r="AU475" s="30"/>
      <c r="AV475" s="30"/>
      <c r="AW475" s="2"/>
      <c r="AX475" s="2"/>
    </row>
    <row r="476" spans="1:50" x14ac:dyDescent="0.2">
      <c r="A476" s="2"/>
      <c r="B476" s="61">
        <f t="shared" si="129"/>
        <v>42067</v>
      </c>
      <c r="C476" s="62">
        <f t="shared" si="137"/>
        <v>63</v>
      </c>
      <c r="D476" s="63">
        <f t="shared" si="138"/>
        <v>2.1700947443086385</v>
      </c>
      <c r="G476" s="357" t="str">
        <f>IF(MakeSchedule!C443="","",MakeSchedule!C443)</f>
        <v/>
      </c>
      <c r="H476" s="358"/>
      <c r="I476" s="358"/>
      <c r="J476" s="359" t="str">
        <f>IF(MakeSchedule!B443="","",MakeSchedule!B443)</f>
        <v/>
      </c>
      <c r="K476" s="63">
        <f t="shared" si="130"/>
        <v>2.1700947443086385</v>
      </c>
      <c r="L476" s="63">
        <f t="shared" si="139"/>
        <v>2.1700947443086385</v>
      </c>
      <c r="M476" s="63">
        <f t="shared" si="140"/>
        <v>3.7814548453339665</v>
      </c>
      <c r="N476" s="63" t="str">
        <f t="shared" si="131"/>
        <v/>
      </c>
      <c r="O476" s="64">
        <f t="shared" si="141"/>
        <v>0.8866759106300961</v>
      </c>
      <c r="P476" s="63" t="str">
        <f t="shared" si="142"/>
        <v/>
      </c>
      <c r="Q476" s="64" t="e">
        <f t="shared" si="132"/>
        <v>#N/A</v>
      </c>
      <c r="R476" s="63">
        <f t="shared" si="133"/>
        <v>0.8866759106300961</v>
      </c>
      <c r="S476" s="65">
        <f t="shared" si="134"/>
        <v>0.35</v>
      </c>
      <c r="T476" s="65">
        <f t="shared" si="143"/>
        <v>1.2</v>
      </c>
      <c r="U476" s="64" t="e">
        <f t="shared" si="144"/>
        <v>#N/A</v>
      </c>
      <c r="V476" s="63">
        <f t="shared" si="135"/>
        <v>2.6041136931703659</v>
      </c>
      <c r="W476" s="63" t="str">
        <f t="shared" si="136"/>
        <v/>
      </c>
      <c r="X476" s="63">
        <f t="shared" si="145"/>
        <v>0</v>
      </c>
      <c r="Y476" s="30"/>
      <c r="Z476" s="30"/>
      <c r="AA476" s="30"/>
      <c r="AB476" s="55">
        <f>PMSplint!N112</f>
        <v>2.2041470652434585</v>
      </c>
      <c r="AC476" s="55">
        <f>PMSplint!N111</f>
        <v>2.1700947443086385</v>
      </c>
      <c r="AD476" s="55">
        <f>IF(RnSplint!N112&lt;0,0,RnSplint!N112)</f>
        <v>3.7880414456078313</v>
      </c>
      <c r="AE476" s="55">
        <f>IF(RnSplint!N111&lt;0,0,RnSplint!N111)</f>
        <v>3.7814548453339665</v>
      </c>
      <c r="AF476" s="30"/>
      <c r="AG476" s="30"/>
      <c r="AH476" s="30"/>
      <c r="AI476" s="30"/>
      <c r="AJ476" s="30"/>
      <c r="AK476" s="30"/>
      <c r="AL476" s="30"/>
      <c r="AM476" s="30"/>
      <c r="AN476" s="55">
        <f t="shared" si="146"/>
        <v>8.206115285699676</v>
      </c>
      <c r="AO476" s="55">
        <f t="shared" si="147"/>
        <v>2.8646317888516974</v>
      </c>
      <c r="AP476" s="55">
        <f t="shared" si="148"/>
        <v>0.8866759106300961</v>
      </c>
      <c r="AQ476" s="55"/>
      <c r="AR476" s="55"/>
      <c r="AS476" s="55"/>
      <c r="AT476" s="55"/>
      <c r="AU476" s="30"/>
      <c r="AV476" s="30"/>
      <c r="AW476" s="2"/>
      <c r="AX476" s="2"/>
    </row>
    <row r="477" spans="1:50" x14ac:dyDescent="0.2">
      <c r="A477" s="2"/>
      <c r="B477" s="61">
        <f t="shared" si="129"/>
        <v>42068</v>
      </c>
      <c r="C477" s="62">
        <f t="shared" si="137"/>
        <v>64</v>
      </c>
      <c r="D477" s="63">
        <f t="shared" si="138"/>
        <v>2.2041470652434585</v>
      </c>
      <c r="G477" s="357" t="str">
        <f>IF(MakeSchedule!C444="","",MakeSchedule!C444)</f>
        <v/>
      </c>
      <c r="H477" s="358"/>
      <c r="I477" s="358"/>
      <c r="J477" s="359" t="str">
        <f>IF(MakeSchedule!B444="","",MakeSchedule!B444)</f>
        <v/>
      </c>
      <c r="K477" s="63">
        <f t="shared" si="130"/>
        <v>2.2041470652434585</v>
      </c>
      <c r="L477" s="63">
        <f t="shared" si="139"/>
        <v>2.2041470652434585</v>
      </c>
      <c r="M477" s="63">
        <f t="shared" si="140"/>
        <v>3.7880414456078313</v>
      </c>
      <c r="N477" s="63" t="str">
        <f t="shared" si="131"/>
        <v/>
      </c>
      <c r="O477" s="64">
        <f t="shared" si="141"/>
        <v>0.879034805801159</v>
      </c>
      <c r="P477" s="63" t="str">
        <f t="shared" si="142"/>
        <v/>
      </c>
      <c r="Q477" s="64" t="e">
        <f t="shared" si="132"/>
        <v>#N/A</v>
      </c>
      <c r="R477" s="63">
        <f t="shared" si="133"/>
        <v>0.879034805801159</v>
      </c>
      <c r="S477" s="65">
        <f t="shared" si="134"/>
        <v>0.35</v>
      </c>
      <c r="T477" s="65">
        <f t="shared" si="143"/>
        <v>1.2</v>
      </c>
      <c r="U477" s="64" t="e">
        <f t="shared" si="144"/>
        <v>#N/A</v>
      </c>
      <c r="V477" s="63">
        <f t="shared" si="135"/>
        <v>2.6449764782921501</v>
      </c>
      <c r="W477" s="63" t="str">
        <f t="shared" si="136"/>
        <v/>
      </c>
      <c r="X477" s="63">
        <f t="shared" si="145"/>
        <v>0</v>
      </c>
      <c r="Y477" s="30"/>
      <c r="Z477" s="30"/>
      <c r="AA477" s="30"/>
      <c r="AB477" s="55">
        <f>PMSplint!N113</f>
        <v>2.2389373819567133</v>
      </c>
      <c r="AC477" s="55">
        <f>PMSplint!N112</f>
        <v>2.2041470652434585</v>
      </c>
      <c r="AD477" s="55">
        <f>IF(RnSplint!N113&lt;0,0,RnSplint!N113)</f>
        <v>3.8061857190500628</v>
      </c>
      <c r="AE477" s="55">
        <f>IF(RnSplint!N112&lt;0,0,RnSplint!N112)</f>
        <v>3.7880414456078313</v>
      </c>
      <c r="AF477" s="30"/>
      <c r="AG477" s="30"/>
      <c r="AH477" s="30"/>
      <c r="AI477" s="30"/>
      <c r="AJ477" s="30"/>
      <c r="AK477" s="30"/>
      <c r="AL477" s="30"/>
      <c r="AM477" s="30"/>
      <c r="AN477" s="55">
        <f t="shared" si="146"/>
        <v>8.3494004353570901</v>
      </c>
      <c r="AO477" s="55">
        <f t="shared" si="147"/>
        <v>2.8895329095473357</v>
      </c>
      <c r="AP477" s="55">
        <f t="shared" si="148"/>
        <v>0.879034805801159</v>
      </c>
      <c r="AQ477" s="55"/>
      <c r="AR477" s="55"/>
      <c r="AS477" s="55"/>
      <c r="AT477" s="55"/>
      <c r="AU477" s="30"/>
      <c r="AV477" s="30"/>
      <c r="AW477" s="2"/>
      <c r="AX477" s="2"/>
    </row>
    <row r="478" spans="1:50" x14ac:dyDescent="0.2">
      <c r="A478" s="2"/>
      <c r="B478" s="61">
        <f t="shared" si="129"/>
        <v>42069</v>
      </c>
      <c r="C478" s="62">
        <f t="shared" si="137"/>
        <v>65</v>
      </c>
      <c r="D478" s="63">
        <f t="shared" si="138"/>
        <v>2.2389373819567133</v>
      </c>
      <c r="G478" s="357" t="str">
        <f>IF(MakeSchedule!C445="","",MakeSchedule!C445)</f>
        <v/>
      </c>
      <c r="H478" s="358"/>
      <c r="I478" s="358"/>
      <c r="J478" s="359" t="str">
        <f>IF(MakeSchedule!B445="","",MakeSchedule!B445)</f>
        <v/>
      </c>
      <c r="K478" s="63">
        <f t="shared" si="130"/>
        <v>2.2389373819567133</v>
      </c>
      <c r="L478" s="63">
        <f t="shared" si="139"/>
        <v>2.2389373819567133</v>
      </c>
      <c r="M478" s="63">
        <f t="shared" si="140"/>
        <v>3.8061857190500628</v>
      </c>
      <c r="N478" s="63" t="str">
        <f t="shared" si="131"/>
        <v/>
      </c>
      <c r="O478" s="64">
        <f t="shared" si="141"/>
        <v>0.87009716807003235</v>
      </c>
      <c r="P478" s="63" t="str">
        <f t="shared" si="142"/>
        <v/>
      </c>
      <c r="Q478" s="64" t="e">
        <f t="shared" si="132"/>
        <v>#N/A</v>
      </c>
      <c r="R478" s="63">
        <f t="shared" si="133"/>
        <v>0.87009716807003235</v>
      </c>
      <c r="S478" s="65">
        <f t="shared" si="134"/>
        <v>0.35</v>
      </c>
      <c r="T478" s="65">
        <f t="shared" si="143"/>
        <v>1.2</v>
      </c>
      <c r="U478" s="64" t="e">
        <f t="shared" si="144"/>
        <v>#N/A</v>
      </c>
      <c r="V478" s="63">
        <f t="shared" si="135"/>
        <v>2.6867248583480561</v>
      </c>
      <c r="W478" s="63" t="str">
        <f t="shared" si="136"/>
        <v/>
      </c>
      <c r="X478" s="63">
        <f t="shared" si="145"/>
        <v>0</v>
      </c>
      <c r="Y478" s="30"/>
      <c r="Z478" s="30"/>
      <c r="AA478" s="30"/>
      <c r="AB478" s="55">
        <f>PMSplint!N114</f>
        <v>2.2745044115767117</v>
      </c>
      <c r="AC478" s="55">
        <f>PMSplint!N113</f>
        <v>2.2389373819567133</v>
      </c>
      <c r="AD478" s="55">
        <f>IF(RnSplint!N114&lt;0,0,RnSplint!N114)</f>
        <v>3.8370398966461483</v>
      </c>
      <c r="AE478" s="55">
        <f>IF(RnSplint!N113&lt;0,0,RnSplint!N113)</f>
        <v>3.8061857190500628</v>
      </c>
      <c r="AF478" s="30"/>
      <c r="AG478" s="30"/>
      <c r="AH478" s="30"/>
      <c r="AI478" s="30"/>
      <c r="AJ478" s="30"/>
      <c r="AK478" s="30"/>
      <c r="AL478" s="30"/>
      <c r="AM478" s="30"/>
      <c r="AN478" s="55">
        <f t="shared" si="146"/>
        <v>8.5218114890509771</v>
      </c>
      <c r="AO478" s="55">
        <f t="shared" si="147"/>
        <v>2.919214190334614</v>
      </c>
      <c r="AP478" s="55">
        <f t="shared" si="148"/>
        <v>0.87009716807003235</v>
      </c>
      <c r="AQ478" s="55"/>
      <c r="AR478" s="55"/>
      <c r="AS478" s="55"/>
      <c r="AT478" s="55"/>
      <c r="AU478" s="30"/>
      <c r="AV478" s="30"/>
      <c r="AW478" s="2"/>
      <c r="AX478" s="2"/>
    </row>
    <row r="479" spans="1:50" x14ac:dyDescent="0.2">
      <c r="A479" s="2"/>
      <c r="B479" s="61">
        <f t="shared" ref="B479:B518" si="149">B478+1</f>
        <v>42070</v>
      </c>
      <c r="C479" s="62">
        <f t="shared" si="137"/>
        <v>66</v>
      </c>
      <c r="D479" s="63">
        <f t="shared" si="138"/>
        <v>2.2745044115767117</v>
      </c>
      <c r="G479" s="357" t="str">
        <f>IF(MakeSchedule!C446="","",MakeSchedule!C446)</f>
        <v/>
      </c>
      <c r="H479" s="358"/>
      <c r="I479" s="358"/>
      <c r="J479" s="359" t="str">
        <f>IF(MakeSchedule!B446="","",MakeSchedule!B446)</f>
        <v/>
      </c>
      <c r="K479" s="63">
        <f t="shared" si="130"/>
        <v>2.2745044115767117</v>
      </c>
      <c r="L479" s="63">
        <f t="shared" si="139"/>
        <v>2.2745044115767117</v>
      </c>
      <c r="M479" s="63">
        <f t="shared" si="140"/>
        <v>3.8370398966461483</v>
      </c>
      <c r="N479" s="63" t="str">
        <f t="shared" si="131"/>
        <v/>
      </c>
      <c r="O479" s="64">
        <f t="shared" si="141"/>
        <v>0.85978956003138107</v>
      </c>
      <c r="P479" s="63" t="str">
        <f t="shared" si="142"/>
        <v/>
      </c>
      <c r="Q479" s="64" t="e">
        <f t="shared" si="132"/>
        <v>#N/A</v>
      </c>
      <c r="R479" s="63">
        <f t="shared" si="133"/>
        <v>0.85978956003138107</v>
      </c>
      <c r="S479" s="65">
        <f t="shared" si="134"/>
        <v>0.35</v>
      </c>
      <c r="T479" s="65">
        <f t="shared" si="143"/>
        <v>1.2</v>
      </c>
      <c r="U479" s="64" t="e">
        <f t="shared" si="144"/>
        <v>#N/A</v>
      </c>
      <c r="V479" s="63">
        <f t="shared" si="135"/>
        <v>2.7294052938920541</v>
      </c>
      <c r="W479" s="63" t="str">
        <f t="shared" si="136"/>
        <v/>
      </c>
      <c r="X479" s="63">
        <f t="shared" si="145"/>
        <v>0</v>
      </c>
      <c r="Y479" s="30"/>
      <c r="Z479" s="30"/>
      <c r="AA479" s="30"/>
      <c r="AB479" s="55">
        <f>PMSplint!N115</f>
        <v>2.3108868712317641</v>
      </c>
      <c r="AC479" s="55">
        <f>PMSplint!N114</f>
        <v>2.2745044115767117</v>
      </c>
      <c r="AD479" s="55">
        <f>IF(RnSplint!N115&lt;0,0,RnSplint!N115)</f>
        <v>3.8817562093815763</v>
      </c>
      <c r="AE479" s="55">
        <f>IF(RnSplint!N114&lt;0,0,RnSplint!N114)</f>
        <v>3.8370398966461483</v>
      </c>
      <c r="AF479" s="30"/>
      <c r="AG479" s="30"/>
      <c r="AH479" s="30"/>
      <c r="AI479" s="30"/>
      <c r="AJ479" s="30"/>
      <c r="AK479" s="30"/>
      <c r="AL479" s="30"/>
      <c r="AM479" s="30"/>
      <c r="AN479" s="55">
        <f t="shared" si="146"/>
        <v>8.7273641723175146</v>
      </c>
      <c r="AO479" s="55">
        <f t="shared" si="147"/>
        <v>2.954211260610438</v>
      </c>
      <c r="AP479" s="55">
        <f t="shared" si="148"/>
        <v>0.85978956003138107</v>
      </c>
      <c r="AQ479" s="55"/>
      <c r="AR479" s="55"/>
      <c r="AS479" s="55"/>
      <c r="AT479" s="55"/>
      <c r="AU479" s="30"/>
      <c r="AV479" s="30"/>
      <c r="AW479" s="2"/>
      <c r="AX479" s="2"/>
    </row>
    <row r="480" spans="1:50" x14ac:dyDescent="0.2">
      <c r="A480" s="2"/>
      <c r="B480" s="61">
        <f t="shared" si="149"/>
        <v>42071</v>
      </c>
      <c r="C480" s="62">
        <f t="shared" si="137"/>
        <v>67</v>
      </c>
      <c r="D480" s="63">
        <f t="shared" si="138"/>
        <v>2.3108868712317641</v>
      </c>
      <c r="G480" s="357" t="str">
        <f>IF(MakeSchedule!C447="","",MakeSchedule!C447)</f>
        <v/>
      </c>
      <c r="H480" s="358"/>
      <c r="I480" s="358"/>
      <c r="J480" s="359" t="str">
        <f>IF(MakeSchedule!B447="","",MakeSchedule!B447)</f>
        <v/>
      </c>
      <c r="K480" s="63">
        <f t="shared" si="130"/>
        <v>2.3108868712317641</v>
      </c>
      <c r="L480" s="63">
        <f t="shared" si="139"/>
        <v>2.3108868712317641</v>
      </c>
      <c r="M480" s="63">
        <f t="shared" si="140"/>
        <v>3.8817562093815763</v>
      </c>
      <c r="N480" s="63" t="str">
        <f t="shared" si="131"/>
        <v/>
      </c>
      <c r="O480" s="64">
        <f t="shared" si="141"/>
        <v>0.8480671592289919</v>
      </c>
      <c r="P480" s="63" t="str">
        <f t="shared" si="142"/>
        <v/>
      </c>
      <c r="Q480" s="64" t="e">
        <f t="shared" si="132"/>
        <v>#N/A</v>
      </c>
      <c r="R480" s="63">
        <f t="shared" si="133"/>
        <v>0.8480671592289919</v>
      </c>
      <c r="S480" s="65">
        <f t="shared" si="134"/>
        <v>0.35</v>
      </c>
      <c r="T480" s="65">
        <f t="shared" si="143"/>
        <v>1.1980671592289918</v>
      </c>
      <c r="U480" s="64" t="e">
        <f t="shared" si="144"/>
        <v>#N/A</v>
      </c>
      <c r="V480" s="63">
        <f t="shared" si="135"/>
        <v>2.7685976691162124</v>
      </c>
      <c r="W480" s="63" t="str">
        <f t="shared" si="136"/>
        <v/>
      </c>
      <c r="X480" s="63">
        <f t="shared" si="145"/>
        <v>0</v>
      </c>
      <c r="Y480" s="30"/>
      <c r="Z480" s="30"/>
      <c r="AA480" s="30"/>
      <c r="AB480" s="55">
        <f>PMSplint!N116</f>
        <v>2.3481234780501814</v>
      </c>
      <c r="AC480" s="55">
        <f>PMSplint!N115</f>
        <v>2.3108868712317641</v>
      </c>
      <c r="AD480" s="55">
        <f>IF(RnSplint!N116&lt;0,0,RnSplint!N116)</f>
        <v>3.9414868882418332</v>
      </c>
      <c r="AE480" s="55">
        <f>IF(RnSplint!N115&lt;0,0,RnSplint!N115)</f>
        <v>3.8817562093815763</v>
      </c>
      <c r="AF480" s="30"/>
      <c r="AG480" s="30"/>
      <c r="AH480" s="30"/>
      <c r="AI480" s="30"/>
      <c r="AJ480" s="30"/>
      <c r="AK480" s="30"/>
      <c r="AL480" s="30"/>
      <c r="AM480" s="30"/>
      <c r="AN480" s="55">
        <f t="shared" si="146"/>
        <v>8.9702994615822629</v>
      </c>
      <c r="AO480" s="55">
        <f t="shared" si="147"/>
        <v>2.9950458196131597</v>
      </c>
      <c r="AP480" s="55">
        <f t="shared" si="148"/>
        <v>0.8480671592289919</v>
      </c>
      <c r="AQ480" s="55"/>
      <c r="AR480" s="55"/>
      <c r="AS480" s="55"/>
      <c r="AT480" s="55"/>
      <c r="AU480" s="30"/>
      <c r="AV480" s="30"/>
      <c r="AW480" s="2"/>
      <c r="AX480" s="2"/>
    </row>
    <row r="481" spans="1:50" x14ac:dyDescent="0.2">
      <c r="A481" s="2"/>
      <c r="B481" s="61">
        <f t="shared" si="149"/>
        <v>42072</v>
      </c>
      <c r="C481" s="62">
        <f t="shared" si="137"/>
        <v>68</v>
      </c>
      <c r="D481" s="63">
        <f t="shared" si="138"/>
        <v>2.3481234780501814</v>
      </c>
      <c r="G481" s="357" t="str">
        <f>IF(MakeSchedule!C448="","",MakeSchedule!C448)</f>
        <v/>
      </c>
      <c r="H481" s="358"/>
      <c r="I481" s="358"/>
      <c r="J481" s="359" t="str">
        <f>IF(MakeSchedule!B448="","",MakeSchedule!B448)</f>
        <v/>
      </c>
      <c r="K481" s="63">
        <f t="shared" si="130"/>
        <v>2.3481234780501814</v>
      </c>
      <c r="L481" s="63">
        <f t="shared" si="139"/>
        <v>2.3481234780501814</v>
      </c>
      <c r="M481" s="63">
        <f t="shared" si="140"/>
        <v>3.9414868882418332</v>
      </c>
      <c r="N481" s="63" t="str">
        <f t="shared" si="131"/>
        <v/>
      </c>
      <c r="O481" s="64">
        <f t="shared" si="141"/>
        <v>0.83491681568709852</v>
      </c>
      <c r="P481" s="63" t="str">
        <f t="shared" si="142"/>
        <v/>
      </c>
      <c r="Q481" s="64" t="e">
        <f t="shared" si="132"/>
        <v>#N/A</v>
      </c>
      <c r="R481" s="63">
        <f t="shared" si="133"/>
        <v>0.83491681568709852</v>
      </c>
      <c r="S481" s="65">
        <f t="shared" si="134"/>
        <v>0.35</v>
      </c>
      <c r="T481" s="65">
        <f t="shared" si="143"/>
        <v>1.1849168156870986</v>
      </c>
      <c r="U481" s="64" t="e">
        <f t="shared" si="144"/>
        <v>#N/A</v>
      </c>
      <c r="V481" s="63">
        <f t="shared" si="135"/>
        <v>2.7823309944513359</v>
      </c>
      <c r="W481" s="63" t="str">
        <f t="shared" si="136"/>
        <v/>
      </c>
      <c r="X481" s="63">
        <f t="shared" si="145"/>
        <v>0</v>
      </c>
      <c r="Y481" s="30"/>
      <c r="Z481" s="30"/>
      <c r="AA481" s="30"/>
      <c r="AB481" s="55">
        <f>PMSplint!N117</f>
        <v>2.3862529491602733</v>
      </c>
      <c r="AC481" s="55">
        <f>PMSplint!N116</f>
        <v>2.3481234780501814</v>
      </c>
      <c r="AD481" s="55">
        <f>IF(RnSplint!N117&lt;0,0,RnSplint!N117)</f>
        <v>4.017384164212408</v>
      </c>
      <c r="AE481" s="55">
        <f>IF(RnSplint!N116&lt;0,0,RnSplint!N116)</f>
        <v>3.9414868882418332</v>
      </c>
      <c r="AF481" s="30"/>
      <c r="AG481" s="30"/>
      <c r="AH481" s="30"/>
      <c r="AI481" s="30"/>
      <c r="AJ481" s="30"/>
      <c r="AK481" s="30"/>
      <c r="AL481" s="30"/>
      <c r="AM481" s="30"/>
      <c r="AN481" s="55">
        <f t="shared" si="146"/>
        <v>9.2550979007076002</v>
      </c>
      <c r="AO481" s="55">
        <f t="shared" si="147"/>
        <v>3.0422192394217089</v>
      </c>
      <c r="AP481" s="55">
        <f t="shared" si="148"/>
        <v>0.83491681568709852</v>
      </c>
      <c r="AQ481" s="55"/>
      <c r="AR481" s="55"/>
      <c r="AS481" s="55"/>
      <c r="AT481" s="55"/>
      <c r="AU481" s="30"/>
      <c r="AV481" s="30"/>
      <c r="AW481" s="2"/>
      <c r="AX481" s="2"/>
    </row>
    <row r="482" spans="1:50" x14ac:dyDescent="0.2">
      <c r="A482" s="2"/>
      <c r="B482" s="61">
        <f t="shared" si="149"/>
        <v>42073</v>
      </c>
      <c r="C482" s="62">
        <f t="shared" si="137"/>
        <v>69</v>
      </c>
      <c r="D482" s="63">
        <f t="shared" si="138"/>
        <v>2.3862529491602733</v>
      </c>
      <c r="G482" s="357" t="str">
        <f>IF(MakeSchedule!C449="","",MakeSchedule!C449)</f>
        <v/>
      </c>
      <c r="H482" s="358"/>
      <c r="I482" s="358"/>
      <c r="J482" s="359" t="str">
        <f>IF(MakeSchedule!B449="","",MakeSchedule!B449)</f>
        <v/>
      </c>
      <c r="K482" s="63">
        <f t="shared" si="130"/>
        <v>2.3862529491602733</v>
      </c>
      <c r="L482" s="63">
        <f t="shared" si="139"/>
        <v>2.3862529491602733</v>
      </c>
      <c r="M482" s="63">
        <f t="shared" si="140"/>
        <v>4.017384164212408</v>
      </c>
      <c r="N482" s="63" t="str">
        <f t="shared" si="131"/>
        <v/>
      </c>
      <c r="O482" s="64">
        <f t="shared" si="141"/>
        <v>0.82035871451703801</v>
      </c>
      <c r="P482" s="63" t="str">
        <f t="shared" si="142"/>
        <v/>
      </c>
      <c r="Q482" s="64" t="e">
        <f t="shared" si="132"/>
        <v>#N/A</v>
      </c>
      <c r="R482" s="63">
        <f t="shared" si="133"/>
        <v>0.82035871451703801</v>
      </c>
      <c r="S482" s="65">
        <f t="shared" si="134"/>
        <v>0.35</v>
      </c>
      <c r="T482" s="65">
        <f t="shared" si="143"/>
        <v>1.170358714517038</v>
      </c>
      <c r="U482" s="64" t="e">
        <f t="shared" si="144"/>
        <v>#N/A</v>
      </c>
      <c r="V482" s="63">
        <f t="shared" si="135"/>
        <v>2.7927719340917081</v>
      </c>
      <c r="W482" s="63" t="str">
        <f t="shared" si="136"/>
        <v/>
      </c>
      <c r="X482" s="63">
        <f t="shared" si="145"/>
        <v>0</v>
      </c>
      <c r="Y482" s="30"/>
      <c r="Z482" s="30"/>
      <c r="AA482" s="30"/>
      <c r="AB482" s="55">
        <f>PMSplint!N118</f>
        <v>2.4253140016903516</v>
      </c>
      <c r="AC482" s="55">
        <f>PMSplint!N117</f>
        <v>2.3862529491602733</v>
      </c>
      <c r="AD482" s="55">
        <f>IF(RnSplint!N118&lt;0,0,RnSplint!N118)</f>
        <v>4.1106002682787874</v>
      </c>
      <c r="AE482" s="55">
        <f>IF(RnSplint!N117&lt;0,0,RnSplint!N117)</f>
        <v>4.017384164212408</v>
      </c>
      <c r="AF482" s="30"/>
      <c r="AG482" s="30"/>
      <c r="AH482" s="30"/>
      <c r="AI482" s="30"/>
      <c r="AJ482" s="30"/>
      <c r="AK482" s="30"/>
      <c r="AL482" s="30"/>
      <c r="AM482" s="30"/>
      <c r="AN482" s="55">
        <f t="shared" si="146"/>
        <v>9.5864948097616374</v>
      </c>
      <c r="AO482" s="55">
        <f t="shared" si="147"/>
        <v>3.0962065192363442</v>
      </c>
      <c r="AP482" s="55">
        <f t="shared" si="148"/>
        <v>0.82035871451703801</v>
      </c>
      <c r="AQ482" s="55"/>
      <c r="AR482" s="55"/>
      <c r="AS482" s="55"/>
      <c r="AT482" s="55"/>
      <c r="AU482" s="30"/>
      <c r="AV482" s="30"/>
      <c r="AW482" s="2"/>
      <c r="AX482" s="2"/>
    </row>
    <row r="483" spans="1:50" x14ac:dyDescent="0.2">
      <c r="A483" s="2"/>
      <c r="B483" s="61">
        <f t="shared" si="149"/>
        <v>42074</v>
      </c>
      <c r="C483" s="62">
        <f t="shared" si="137"/>
        <v>70</v>
      </c>
      <c r="D483" s="63">
        <f t="shared" si="138"/>
        <v>2.4253140016903516</v>
      </c>
      <c r="G483" s="357" t="str">
        <f>IF(MakeSchedule!C450="","",MakeSchedule!C450)</f>
        <v/>
      </c>
      <c r="H483" s="358"/>
      <c r="I483" s="358"/>
      <c r="J483" s="359" t="str">
        <f>IF(MakeSchedule!B450="","",MakeSchedule!B450)</f>
        <v/>
      </c>
      <c r="K483" s="63">
        <f t="shared" si="130"/>
        <v>2.4253140016903516</v>
      </c>
      <c r="L483" s="63">
        <f t="shared" si="139"/>
        <v>2.4253140016903516</v>
      </c>
      <c r="M483" s="63">
        <f t="shared" si="140"/>
        <v>4.1106002682787874</v>
      </c>
      <c r="N483" s="63" t="str">
        <f t="shared" si="131"/>
        <v/>
      </c>
      <c r="O483" s="64">
        <f t="shared" si="141"/>
        <v>0.80444638886065301</v>
      </c>
      <c r="P483" s="63" t="str">
        <f t="shared" si="142"/>
        <v/>
      </c>
      <c r="Q483" s="64" t="e">
        <f t="shared" si="132"/>
        <v>#N/A</v>
      </c>
      <c r="R483" s="63">
        <f t="shared" si="133"/>
        <v>0.80444638886065301</v>
      </c>
      <c r="S483" s="65">
        <f t="shared" si="134"/>
        <v>0.35</v>
      </c>
      <c r="T483" s="65">
        <f t="shared" si="143"/>
        <v>1.1544463888606531</v>
      </c>
      <c r="U483" s="64" t="e">
        <f t="shared" si="144"/>
        <v>#N/A</v>
      </c>
      <c r="V483" s="63">
        <f t="shared" si="135"/>
        <v>2.7998949911046065</v>
      </c>
      <c r="W483" s="63" t="str">
        <f t="shared" si="136"/>
        <v/>
      </c>
      <c r="X483" s="63">
        <f t="shared" si="145"/>
        <v>0</v>
      </c>
      <c r="Y483" s="30"/>
      <c r="Z483" s="30"/>
      <c r="AA483" s="30"/>
      <c r="AB483" s="55">
        <f>PMSplint!N119</f>
        <v>2.4653453527687246</v>
      </c>
      <c r="AC483" s="55">
        <f>PMSplint!N118</f>
        <v>2.4253140016903516</v>
      </c>
      <c r="AD483" s="55">
        <f>IF(RnSplint!N119&lt;0,0,RnSplint!N119)</f>
        <v>4.2222874314264578</v>
      </c>
      <c r="AE483" s="55">
        <f>IF(RnSplint!N118&lt;0,0,RnSplint!N118)</f>
        <v>4.1106002682787874</v>
      </c>
      <c r="AF483" s="30"/>
      <c r="AG483" s="30"/>
      <c r="AH483" s="30"/>
      <c r="AI483" s="30"/>
      <c r="AJ483" s="30"/>
      <c r="AK483" s="30"/>
      <c r="AL483" s="30"/>
      <c r="AM483" s="30"/>
      <c r="AN483" s="55">
        <f t="shared" si="146"/>
        <v>9.9694963860086592</v>
      </c>
      <c r="AO483" s="55">
        <f t="shared" si="147"/>
        <v>3.1574509316866126</v>
      </c>
      <c r="AP483" s="55">
        <f t="shared" si="148"/>
        <v>0.80444638886065301</v>
      </c>
      <c r="AQ483" s="55"/>
      <c r="AR483" s="55"/>
      <c r="AS483" s="55"/>
      <c r="AT483" s="55"/>
      <c r="AU483" s="30"/>
      <c r="AV483" s="30"/>
      <c r="AW483" s="2"/>
      <c r="AX483" s="2"/>
    </row>
    <row r="484" spans="1:50" x14ac:dyDescent="0.2">
      <c r="A484" s="2"/>
      <c r="B484" s="61">
        <f t="shared" si="149"/>
        <v>42075</v>
      </c>
      <c r="C484" s="62">
        <f t="shared" si="137"/>
        <v>71</v>
      </c>
      <c r="D484" s="63">
        <f t="shared" si="138"/>
        <v>2.4653453527687246</v>
      </c>
      <c r="G484" s="357" t="str">
        <f>IF(MakeSchedule!C451="","",MakeSchedule!C451)</f>
        <v/>
      </c>
      <c r="H484" s="358"/>
      <c r="I484" s="358"/>
      <c r="J484" s="359" t="str">
        <f>IF(MakeSchedule!B451="","",MakeSchedule!B451)</f>
        <v/>
      </c>
      <c r="K484" s="63">
        <f t="shared" si="130"/>
        <v>2.4653453527687246</v>
      </c>
      <c r="L484" s="63">
        <f t="shared" si="139"/>
        <v>2.4653453527687246</v>
      </c>
      <c r="M484" s="63">
        <f t="shared" si="140"/>
        <v>4.2222874314264578</v>
      </c>
      <c r="N484" s="63" t="str">
        <f t="shared" si="131"/>
        <v/>
      </c>
      <c r="O484" s="64">
        <f t="shared" si="141"/>
        <v>0.78726498673846279</v>
      </c>
      <c r="P484" s="63" t="str">
        <f t="shared" si="142"/>
        <v/>
      </c>
      <c r="Q484" s="64" t="e">
        <f t="shared" si="132"/>
        <v>#N/A</v>
      </c>
      <c r="R484" s="63">
        <f t="shared" si="133"/>
        <v>0.78726498673846279</v>
      </c>
      <c r="S484" s="65">
        <f t="shared" si="134"/>
        <v>0.35</v>
      </c>
      <c r="T484" s="65">
        <f t="shared" si="143"/>
        <v>1.1372649867384628</v>
      </c>
      <c r="U484" s="64" t="e">
        <f t="shared" si="144"/>
        <v>#N/A</v>
      </c>
      <c r="V484" s="63">
        <f t="shared" si="135"/>
        <v>2.8037509499222542</v>
      </c>
      <c r="W484" s="63" t="str">
        <f t="shared" si="136"/>
        <v/>
      </c>
      <c r="X484" s="63">
        <f t="shared" si="145"/>
        <v>0</v>
      </c>
      <c r="Y484" s="30"/>
      <c r="Z484" s="30"/>
      <c r="AA484" s="30"/>
      <c r="AB484" s="55">
        <f>PMSplint!N120</f>
        <v>2.506385719523704</v>
      </c>
      <c r="AC484" s="55">
        <f>PMSplint!N119</f>
        <v>2.4653453527687246</v>
      </c>
      <c r="AD484" s="55">
        <f>IF(RnSplint!N120&lt;0,0,RnSplint!N120)</f>
        <v>4.3535978846409069</v>
      </c>
      <c r="AE484" s="55">
        <f>IF(RnSplint!N119&lt;0,0,RnSplint!N119)</f>
        <v>4.2222874314264578</v>
      </c>
      <c r="AF484" s="30"/>
      <c r="AG484" s="30"/>
      <c r="AH484" s="30"/>
      <c r="AI484" s="30"/>
      <c r="AJ484" s="30"/>
      <c r="AK484" s="30"/>
      <c r="AL484" s="30"/>
      <c r="AM484" s="30"/>
      <c r="AN484" s="55">
        <f t="shared" si="146"/>
        <v>10.409396697121013</v>
      </c>
      <c r="AO484" s="55">
        <f t="shared" si="147"/>
        <v>3.2263596664229817</v>
      </c>
      <c r="AP484" s="55">
        <f t="shared" si="148"/>
        <v>0.78726498673846279</v>
      </c>
      <c r="AQ484" s="55"/>
      <c r="AR484" s="55"/>
      <c r="AS484" s="55"/>
      <c r="AT484" s="55"/>
      <c r="AU484" s="30"/>
      <c r="AV484" s="30"/>
      <c r="AW484" s="2"/>
      <c r="AX484" s="2"/>
    </row>
    <row r="485" spans="1:50" x14ac:dyDescent="0.2">
      <c r="A485" s="2"/>
      <c r="B485" s="61">
        <f t="shared" si="149"/>
        <v>42076</v>
      </c>
      <c r="C485" s="62">
        <f t="shared" si="137"/>
        <v>72</v>
      </c>
      <c r="D485" s="63">
        <f t="shared" si="138"/>
        <v>2.506385719523704</v>
      </c>
      <c r="G485" s="357" t="str">
        <f>IF(MakeSchedule!C452="","",MakeSchedule!C452)</f>
        <v/>
      </c>
      <c r="H485" s="358"/>
      <c r="I485" s="358"/>
      <c r="J485" s="359" t="str">
        <f>IF(MakeSchedule!B452="","",MakeSchedule!B452)</f>
        <v/>
      </c>
      <c r="K485" s="63">
        <f t="shared" si="130"/>
        <v>2.506385719523704</v>
      </c>
      <c r="L485" s="63">
        <f t="shared" si="139"/>
        <v>2.506385719523704</v>
      </c>
      <c r="M485" s="63">
        <f t="shared" si="140"/>
        <v>4.3535978846409069</v>
      </c>
      <c r="N485" s="63" t="str">
        <f t="shared" si="131"/>
        <v/>
      </c>
      <c r="O485" s="64">
        <f t="shared" si="141"/>
        <v>0.76892787688046538</v>
      </c>
      <c r="P485" s="63" t="str">
        <f t="shared" si="142"/>
        <v/>
      </c>
      <c r="Q485" s="64" t="e">
        <f t="shared" si="132"/>
        <v>#N/A</v>
      </c>
      <c r="R485" s="63">
        <f t="shared" si="133"/>
        <v>0.76892787688046538</v>
      </c>
      <c r="S485" s="65">
        <f t="shared" si="134"/>
        <v>0.35</v>
      </c>
      <c r="T485" s="65">
        <f t="shared" si="143"/>
        <v>1.1189278768804654</v>
      </c>
      <c r="U485" s="64" t="e">
        <f t="shared" si="144"/>
        <v>#N/A</v>
      </c>
      <c r="V485" s="63">
        <f t="shared" si="135"/>
        <v>2.8044648517901756</v>
      </c>
      <c r="W485" s="63" t="str">
        <f t="shared" si="136"/>
        <v/>
      </c>
      <c r="X485" s="63">
        <f t="shared" si="145"/>
        <v>0</v>
      </c>
      <c r="Y485" s="30"/>
      <c r="Z485" s="30"/>
      <c r="AA485" s="30"/>
      <c r="AB485" s="55">
        <f>PMSplint!N121</f>
        <v>2.5484738190836005</v>
      </c>
      <c r="AC485" s="55">
        <f>PMSplint!N120</f>
        <v>2.506385719523704</v>
      </c>
      <c r="AD485" s="55">
        <f>IF(RnSplint!N121&lt;0,0,RnSplint!N121)</f>
        <v>4.5056838589076218</v>
      </c>
      <c r="AE485" s="55">
        <f>IF(RnSplint!N120&lt;0,0,RnSplint!N120)</f>
        <v>4.3535978846409069</v>
      </c>
      <c r="AF485" s="30"/>
      <c r="AG485" s="30"/>
      <c r="AH485" s="30"/>
      <c r="AI485" s="30"/>
      <c r="AJ485" s="30"/>
      <c r="AK485" s="30"/>
      <c r="AL485" s="30"/>
      <c r="AM485" s="30"/>
      <c r="AN485" s="55">
        <f t="shared" si="146"/>
        <v>10.911795566612575</v>
      </c>
      <c r="AO485" s="55">
        <f t="shared" si="147"/>
        <v>3.3033007078697172</v>
      </c>
      <c r="AP485" s="55">
        <f t="shared" si="148"/>
        <v>0.76892787688046538</v>
      </c>
      <c r="AQ485" s="55"/>
      <c r="AR485" s="55"/>
      <c r="AS485" s="55"/>
      <c r="AT485" s="55"/>
      <c r="AU485" s="30"/>
      <c r="AV485" s="30"/>
      <c r="AW485" s="2"/>
      <c r="AX485" s="2"/>
    </row>
    <row r="486" spans="1:50" x14ac:dyDescent="0.2">
      <c r="A486" s="2"/>
      <c r="B486" s="61">
        <f t="shared" si="149"/>
        <v>42077</v>
      </c>
      <c r="C486" s="62">
        <f t="shared" si="137"/>
        <v>73</v>
      </c>
      <c r="D486" s="63">
        <f t="shared" si="138"/>
        <v>2.5484738190836005</v>
      </c>
      <c r="G486" s="357" t="str">
        <f>IF(MakeSchedule!C453="","",MakeSchedule!C453)</f>
        <v/>
      </c>
      <c r="H486" s="358"/>
      <c r="I486" s="358"/>
      <c r="J486" s="359" t="str">
        <f>IF(MakeSchedule!B453="","",MakeSchedule!B453)</f>
        <v/>
      </c>
      <c r="K486" s="63">
        <f t="shared" si="130"/>
        <v>2.5484738190836005</v>
      </c>
      <c r="L486" s="63">
        <f t="shared" si="139"/>
        <v>2.5484738190836005</v>
      </c>
      <c r="M486" s="63">
        <f t="shared" si="140"/>
        <v>4.5056838589076218</v>
      </c>
      <c r="N486" s="63" t="str">
        <f t="shared" si="131"/>
        <v/>
      </c>
      <c r="O486" s="64">
        <f t="shared" si="141"/>
        <v>0.74957185341621169</v>
      </c>
      <c r="P486" s="63" t="str">
        <f t="shared" si="142"/>
        <v/>
      </c>
      <c r="Q486" s="64" t="e">
        <f t="shared" si="132"/>
        <v>#N/A</v>
      </c>
      <c r="R486" s="63">
        <f t="shared" si="133"/>
        <v>0.74957185341621169</v>
      </c>
      <c r="S486" s="65">
        <f t="shared" si="134"/>
        <v>0.35</v>
      </c>
      <c r="T486" s="65">
        <f t="shared" si="143"/>
        <v>1.0995718534162116</v>
      </c>
      <c r="U486" s="64" t="e">
        <f t="shared" si="144"/>
        <v>#N/A</v>
      </c>
      <c r="V486" s="63">
        <f t="shared" si="135"/>
        <v>2.8022300806324454</v>
      </c>
      <c r="W486" s="63" t="str">
        <f t="shared" si="136"/>
        <v/>
      </c>
      <c r="X486" s="63">
        <f t="shared" si="145"/>
        <v>0</v>
      </c>
      <c r="Y486" s="30"/>
      <c r="Z486" s="30"/>
      <c r="AA486" s="30"/>
      <c r="AB486" s="55">
        <f>PMSplint!N122</f>
        <v>2.5916483685767231</v>
      </c>
      <c r="AC486" s="55">
        <f>PMSplint!N121</f>
        <v>2.5484738190836005</v>
      </c>
      <c r="AD486" s="55">
        <f>IF(RnSplint!N122&lt;0,0,RnSplint!N122)</f>
        <v>4.6796975852120912</v>
      </c>
      <c r="AE486" s="55">
        <f>IF(RnSplint!N121&lt;0,0,RnSplint!N121)</f>
        <v>4.5056838589076218</v>
      </c>
      <c r="AF486" s="30"/>
      <c r="AG486" s="30"/>
      <c r="AH486" s="30"/>
      <c r="AI486" s="30"/>
      <c r="AJ486" s="30"/>
      <c r="AK486" s="30"/>
      <c r="AL486" s="30"/>
      <c r="AM486" s="30"/>
      <c r="AN486" s="55">
        <f t="shared" si="146"/>
        <v>11.482617351493641</v>
      </c>
      <c r="AO486" s="55">
        <f t="shared" si="147"/>
        <v>3.3886010906410391</v>
      </c>
      <c r="AP486" s="55">
        <f t="shared" si="148"/>
        <v>0.74957185341621169</v>
      </c>
      <c r="AQ486" s="55"/>
      <c r="AR486" s="55"/>
      <c r="AS486" s="55"/>
      <c r="AT486" s="55"/>
      <c r="AU486" s="30"/>
      <c r="AV486" s="30"/>
      <c r="AW486" s="2"/>
      <c r="AX486" s="2"/>
    </row>
    <row r="487" spans="1:50" x14ac:dyDescent="0.2">
      <c r="A487" s="2"/>
      <c r="B487" s="61">
        <f t="shared" si="149"/>
        <v>42078</v>
      </c>
      <c r="C487" s="62">
        <f t="shared" si="137"/>
        <v>74</v>
      </c>
      <c r="D487" s="63">
        <f t="shared" si="138"/>
        <v>2.5916483685767231</v>
      </c>
      <c r="G487" s="357" t="str">
        <f>IF(MakeSchedule!C454="","",MakeSchedule!C454)</f>
        <v/>
      </c>
      <c r="H487" s="358"/>
      <c r="I487" s="358"/>
      <c r="J487" s="359" t="str">
        <f>IF(MakeSchedule!B454="","",MakeSchedule!B454)</f>
        <v/>
      </c>
      <c r="K487" s="63">
        <f t="shared" si="130"/>
        <v>2.5916483685767231</v>
      </c>
      <c r="L487" s="63">
        <f t="shared" si="139"/>
        <v>2.5916483685767231</v>
      </c>
      <c r="M487" s="63">
        <f t="shared" si="140"/>
        <v>4.6796975852120912</v>
      </c>
      <c r="N487" s="63" t="str">
        <f t="shared" si="131"/>
        <v/>
      </c>
      <c r="O487" s="64">
        <f t="shared" si="141"/>
        <v>0.7293513378652331</v>
      </c>
      <c r="P487" s="63" t="str">
        <f t="shared" si="142"/>
        <v/>
      </c>
      <c r="Q487" s="64" t="e">
        <f t="shared" si="132"/>
        <v>#N/A</v>
      </c>
      <c r="R487" s="63">
        <f t="shared" si="133"/>
        <v>0.7293513378652331</v>
      </c>
      <c r="S487" s="65">
        <f t="shared" si="134"/>
        <v>0.35</v>
      </c>
      <c r="T487" s="65">
        <f t="shared" si="143"/>
        <v>1.0793513378652331</v>
      </c>
      <c r="U487" s="64" t="e">
        <f t="shared" si="144"/>
        <v>#N/A</v>
      </c>
      <c r="V487" s="63">
        <f t="shared" si="135"/>
        <v>2.7972991338995348</v>
      </c>
      <c r="W487" s="63" t="str">
        <f t="shared" si="136"/>
        <v/>
      </c>
      <c r="X487" s="63">
        <f t="shared" si="145"/>
        <v>0</v>
      </c>
      <c r="Y487" s="30"/>
      <c r="Z487" s="30"/>
      <c r="AA487" s="30"/>
      <c r="AB487" s="55">
        <f>PMSplint!N123</f>
        <v>2.6359480851313828</v>
      </c>
      <c r="AC487" s="55">
        <f>PMSplint!N122</f>
        <v>2.5916483685767231</v>
      </c>
      <c r="AD487" s="55">
        <f>IF(RnSplint!N123&lt;0,0,RnSplint!N123)</f>
        <v>4.8767912945398022</v>
      </c>
      <c r="AE487" s="55">
        <f>IF(RnSplint!N122&lt;0,0,RnSplint!N122)</f>
        <v>4.6796975852120912</v>
      </c>
      <c r="AF487" s="30"/>
      <c r="AG487" s="30"/>
      <c r="AH487" s="30"/>
      <c r="AI487" s="30"/>
      <c r="AJ487" s="30"/>
      <c r="AK487" s="30"/>
      <c r="AL487" s="30"/>
      <c r="AM487" s="30"/>
      <c r="AN487" s="55">
        <f t="shared" si="146"/>
        <v>12.128130612147347</v>
      </c>
      <c r="AO487" s="55">
        <f t="shared" si="147"/>
        <v>3.4825465699897462</v>
      </c>
      <c r="AP487" s="55">
        <f t="shared" si="148"/>
        <v>0.7293513378652331</v>
      </c>
      <c r="AQ487" s="55"/>
      <c r="AR487" s="55"/>
      <c r="AS487" s="55"/>
      <c r="AT487" s="55"/>
      <c r="AU487" s="30"/>
      <c r="AV487" s="30"/>
      <c r="AW487" s="2"/>
      <c r="AX487" s="2"/>
    </row>
    <row r="488" spans="1:50" x14ac:dyDescent="0.2">
      <c r="A488" s="2"/>
      <c r="B488" s="61">
        <f t="shared" si="149"/>
        <v>42079</v>
      </c>
      <c r="C488" s="62">
        <f t="shared" si="137"/>
        <v>75</v>
      </c>
      <c r="D488" s="63">
        <f t="shared" si="138"/>
        <v>2.6359480851313828</v>
      </c>
      <c r="G488" s="357" t="str">
        <f>IF(MakeSchedule!C455="","",MakeSchedule!C455)</f>
        <v/>
      </c>
      <c r="H488" s="358"/>
      <c r="I488" s="358"/>
      <c r="J488" s="359" t="str">
        <f>IF(MakeSchedule!B455="","",MakeSchedule!B455)</f>
        <v/>
      </c>
      <c r="K488" s="63">
        <f t="shared" si="130"/>
        <v>2.6359480851313828</v>
      </c>
      <c r="L488" s="63">
        <f t="shared" si="139"/>
        <v>2.6359480851313828</v>
      </c>
      <c r="M488" s="63">
        <f t="shared" si="140"/>
        <v>4.8767912945398022</v>
      </c>
      <c r="N488" s="63" t="str">
        <f t="shared" si="131"/>
        <v/>
      </c>
      <c r="O488" s="64">
        <f t="shared" si="141"/>
        <v>0.70843205735988912</v>
      </c>
      <c r="P488" s="63" t="str">
        <f t="shared" si="142"/>
        <v/>
      </c>
      <c r="Q488" s="64" t="e">
        <f t="shared" si="132"/>
        <v>#N/A</v>
      </c>
      <c r="R488" s="63">
        <f t="shared" si="133"/>
        <v>0.70843205735988912</v>
      </c>
      <c r="S488" s="65">
        <f t="shared" si="134"/>
        <v>0.35</v>
      </c>
      <c r="T488" s="65">
        <f t="shared" si="143"/>
        <v>1.0584320573598891</v>
      </c>
      <c r="U488" s="64" t="e">
        <f t="shared" si="144"/>
        <v>#N/A</v>
      </c>
      <c r="V488" s="63">
        <f t="shared" si="135"/>
        <v>2.7899719548394697</v>
      </c>
      <c r="W488" s="63" t="str">
        <f t="shared" si="136"/>
        <v/>
      </c>
      <c r="X488" s="63">
        <f t="shared" si="145"/>
        <v>0</v>
      </c>
      <c r="Y488" s="30"/>
      <c r="Z488" s="30"/>
      <c r="AA488" s="30"/>
      <c r="AB488" s="55">
        <f>PMSplint!N124</f>
        <v>2.6814116858758905</v>
      </c>
      <c r="AC488" s="55">
        <f>PMSplint!N123</f>
        <v>2.6359480851313828</v>
      </c>
      <c r="AD488" s="55">
        <f>IF(RnSplint!N124&lt;0,0,RnSplint!N124)</f>
        <v>5.0981172178762417</v>
      </c>
      <c r="AE488" s="55">
        <f>IF(RnSplint!N123&lt;0,0,RnSplint!N123)</f>
        <v>4.8767912945398022</v>
      </c>
      <c r="AF488" s="30"/>
      <c r="AG488" s="30"/>
      <c r="AH488" s="30"/>
      <c r="AI488" s="30"/>
      <c r="AJ488" s="30"/>
      <c r="AK488" s="30"/>
      <c r="AL488" s="30"/>
      <c r="AM488" s="30"/>
      <c r="AN488" s="55">
        <f t="shared" si="146"/>
        <v>12.854968674427589</v>
      </c>
      <c r="AO488" s="55">
        <f t="shared" si="147"/>
        <v>3.5853826398904189</v>
      </c>
      <c r="AP488" s="55">
        <f t="shared" si="148"/>
        <v>0.70843205735988912</v>
      </c>
      <c r="AQ488" s="55"/>
      <c r="AR488" s="55"/>
      <c r="AS488" s="55"/>
      <c r="AT488" s="55"/>
      <c r="AU488" s="30"/>
      <c r="AV488" s="30"/>
      <c r="AW488" s="2"/>
      <c r="AX488" s="2"/>
    </row>
    <row r="489" spans="1:50" x14ac:dyDescent="0.2">
      <c r="A489" s="2"/>
      <c r="B489" s="61">
        <f t="shared" si="149"/>
        <v>42080</v>
      </c>
      <c r="C489" s="62">
        <f t="shared" si="137"/>
        <v>76</v>
      </c>
      <c r="D489" s="63">
        <f t="shared" si="138"/>
        <v>2.6814116858758905</v>
      </c>
      <c r="G489" s="357" t="str">
        <f>IF(MakeSchedule!C456="","",MakeSchedule!C456)</f>
        <v/>
      </c>
      <c r="H489" s="358"/>
      <c r="I489" s="358"/>
      <c r="J489" s="359" t="str">
        <f>IF(MakeSchedule!B456="","",MakeSchedule!B456)</f>
        <v/>
      </c>
      <c r="K489" s="63">
        <f t="shared" si="130"/>
        <v>2.6814116858758905</v>
      </c>
      <c r="L489" s="63">
        <f t="shared" si="139"/>
        <v>2.6814116858758905</v>
      </c>
      <c r="M489" s="63">
        <f t="shared" si="140"/>
        <v>5.0981172178762417</v>
      </c>
      <c r="N489" s="63" t="str">
        <f t="shared" si="131"/>
        <v/>
      </c>
      <c r="O489" s="64">
        <f t="shared" si="141"/>
        <v>0.6869846912948071</v>
      </c>
      <c r="P489" s="63" t="str">
        <f t="shared" si="142"/>
        <v/>
      </c>
      <c r="Q489" s="64" t="e">
        <f t="shared" si="132"/>
        <v>#N/A</v>
      </c>
      <c r="R489" s="63">
        <f t="shared" si="133"/>
        <v>0.6869846912948071</v>
      </c>
      <c r="S489" s="65">
        <f t="shared" si="134"/>
        <v>0.35</v>
      </c>
      <c r="T489" s="65">
        <f t="shared" si="143"/>
        <v>1.0369846912948071</v>
      </c>
      <c r="U489" s="64" t="e">
        <f t="shared" si="144"/>
        <v>#N/A</v>
      </c>
      <c r="V489" s="63">
        <f t="shared" si="135"/>
        <v>2.7805828693122985</v>
      </c>
      <c r="W489" s="63" t="str">
        <f t="shared" si="136"/>
        <v/>
      </c>
      <c r="X489" s="63">
        <f t="shared" si="145"/>
        <v>0</v>
      </c>
      <c r="Y489" s="30"/>
      <c r="Z489" s="30"/>
      <c r="AA489" s="30"/>
      <c r="AB489" s="55">
        <f>PMSplint!N125</f>
        <v>2.7280778879385563</v>
      </c>
      <c r="AC489" s="55">
        <f>PMSplint!N124</f>
        <v>2.6814116858758905</v>
      </c>
      <c r="AD489" s="55">
        <f>IF(RnSplint!N125&lt;0,0,RnSplint!N125)</f>
        <v>5.3448275862068968</v>
      </c>
      <c r="AE489" s="55">
        <f>IF(RnSplint!N124&lt;0,0,RnSplint!N124)</f>
        <v>5.0981172178762417</v>
      </c>
      <c r="AF489" s="30"/>
      <c r="AG489" s="30"/>
      <c r="AH489" s="30"/>
      <c r="AI489" s="30"/>
      <c r="AJ489" s="30"/>
      <c r="AK489" s="30"/>
      <c r="AL489" s="30"/>
      <c r="AM489" s="30"/>
      <c r="AN489" s="55">
        <f t="shared" si="146"/>
        <v>13.670151083978437</v>
      </c>
      <c r="AO489" s="55">
        <f t="shared" si="147"/>
        <v>3.697316741094606</v>
      </c>
      <c r="AP489" s="55">
        <f t="shared" si="148"/>
        <v>0.6869846912948071</v>
      </c>
      <c r="AQ489" s="55"/>
      <c r="AR489" s="55"/>
      <c r="AS489" s="55"/>
      <c r="AT489" s="55"/>
      <c r="AU489" s="30"/>
      <c r="AV489" s="30"/>
      <c r="AW489" s="2"/>
      <c r="AX489" s="2"/>
    </row>
    <row r="490" spans="1:50" x14ac:dyDescent="0.2">
      <c r="A490" s="2"/>
      <c r="B490" s="61">
        <f t="shared" si="149"/>
        <v>42081</v>
      </c>
      <c r="C490" s="62">
        <f t="shared" si="137"/>
        <v>77</v>
      </c>
      <c r="D490" s="63">
        <f t="shared" si="138"/>
        <v>2.7280778879385563</v>
      </c>
      <c r="G490" s="357" t="str">
        <f>IF(MakeSchedule!C457="","",MakeSchedule!C457)</f>
        <v/>
      </c>
      <c r="H490" s="358"/>
      <c r="I490" s="358"/>
      <c r="J490" s="359" t="str">
        <f>IF(MakeSchedule!B457="","",MakeSchedule!B457)</f>
        <v/>
      </c>
      <c r="K490" s="63">
        <f t="shared" si="130"/>
        <v>2.7280778879385563</v>
      </c>
      <c r="L490" s="63">
        <f t="shared" si="139"/>
        <v>2.7280778879385563</v>
      </c>
      <c r="M490" s="63">
        <f t="shared" si="140"/>
        <v>5.3448275862068968</v>
      </c>
      <c r="N490" s="63" t="str">
        <f t="shared" si="131"/>
        <v/>
      </c>
      <c r="O490" s="64">
        <f t="shared" si="141"/>
        <v>0.66517892932018863</v>
      </c>
      <c r="P490" s="63" t="str">
        <f t="shared" si="142"/>
        <v/>
      </c>
      <c r="Q490" s="64" t="e">
        <f t="shared" si="132"/>
        <v>#N/A</v>
      </c>
      <c r="R490" s="63">
        <f t="shared" si="133"/>
        <v>0.66517892932018863</v>
      </c>
      <c r="S490" s="65">
        <f t="shared" si="134"/>
        <v>0.35</v>
      </c>
      <c r="T490" s="65">
        <f t="shared" si="143"/>
        <v>1.0151789293201885</v>
      </c>
      <c r="U490" s="64" t="e">
        <f t="shared" si="144"/>
        <v>#N/A</v>
      </c>
      <c r="V490" s="63">
        <f t="shared" si="135"/>
        <v>2.7694871893795447</v>
      </c>
      <c r="W490" s="63" t="str">
        <f t="shared" si="136"/>
        <v/>
      </c>
      <c r="X490" s="63">
        <f t="shared" si="145"/>
        <v>0</v>
      </c>
      <c r="Y490" s="30"/>
      <c r="Z490" s="30"/>
      <c r="AA490" s="30"/>
      <c r="AB490" s="55">
        <f>PMSplint!N126</f>
        <v>2.7759654219725172</v>
      </c>
      <c r="AC490" s="55">
        <f>PMSplint!N125</f>
        <v>2.7280778879385563</v>
      </c>
      <c r="AD490" s="55">
        <f>IF(RnSplint!N126&lt;0,0,RnSplint!N126)</f>
        <v>5.6175972028661239</v>
      </c>
      <c r="AE490" s="55">
        <f>IF(RnSplint!N125&lt;0,0,RnSplint!N125)</f>
        <v>5.3448275862068968</v>
      </c>
      <c r="AF490" s="30"/>
      <c r="AG490" s="30"/>
      <c r="AH490" s="30"/>
      <c r="AI490" s="30"/>
      <c r="AJ490" s="30"/>
      <c r="AK490" s="30"/>
      <c r="AL490" s="30"/>
      <c r="AM490" s="30"/>
      <c r="AN490" s="55">
        <f t="shared" si="146"/>
        <v>14.581105952775044</v>
      </c>
      <c r="AO490" s="55">
        <f t="shared" si="147"/>
        <v>3.8185214354217059</v>
      </c>
      <c r="AP490" s="55">
        <f t="shared" si="148"/>
        <v>0.66517892932018863</v>
      </c>
      <c r="AQ490" s="55"/>
      <c r="AR490" s="55"/>
      <c r="AS490" s="55"/>
      <c r="AT490" s="55"/>
      <c r="AU490" s="30"/>
      <c r="AV490" s="30"/>
      <c r="AW490" s="2"/>
      <c r="AX490" s="2"/>
    </row>
    <row r="491" spans="1:50" x14ac:dyDescent="0.2">
      <c r="A491" s="2"/>
      <c r="B491" s="61">
        <f t="shared" si="149"/>
        <v>42082</v>
      </c>
      <c r="C491" s="62">
        <f t="shared" si="137"/>
        <v>78</v>
      </c>
      <c r="D491" s="63">
        <f t="shared" si="138"/>
        <v>2.7759654219725172</v>
      </c>
      <c r="G491" s="357" t="str">
        <f>IF(MakeSchedule!C458="","",MakeSchedule!C458)</f>
        <v/>
      </c>
      <c r="H491" s="358"/>
      <c r="I491" s="358"/>
      <c r="J491" s="359" t="str">
        <f>IF(MakeSchedule!B458="","",MakeSchedule!B458)</f>
        <v/>
      </c>
      <c r="K491" s="63">
        <f t="shared" si="130"/>
        <v>2.7759654219725172</v>
      </c>
      <c r="L491" s="63">
        <f t="shared" si="139"/>
        <v>2.7759654219725172</v>
      </c>
      <c r="M491" s="63">
        <f t="shared" si="140"/>
        <v>5.6175972028661239</v>
      </c>
      <c r="N491" s="63" t="str">
        <f t="shared" si="131"/>
        <v/>
      </c>
      <c r="O491" s="64">
        <f t="shared" si="141"/>
        <v>0.64320793368996532</v>
      </c>
      <c r="P491" s="63" t="str">
        <f t="shared" si="142"/>
        <v/>
      </c>
      <c r="Q491" s="64" t="e">
        <f t="shared" si="132"/>
        <v>#N/A</v>
      </c>
      <c r="R491" s="63">
        <f t="shared" si="133"/>
        <v>0.64320793368996532</v>
      </c>
      <c r="S491" s="65">
        <f t="shared" si="134"/>
        <v>0.35</v>
      </c>
      <c r="T491" s="65">
        <f t="shared" si="143"/>
        <v>0.99320793368996529</v>
      </c>
      <c r="U491" s="64" t="e">
        <f t="shared" si="144"/>
        <v>#N/A</v>
      </c>
      <c r="V491" s="63">
        <f t="shared" si="135"/>
        <v>2.7571108807521165</v>
      </c>
      <c r="W491" s="63" t="str">
        <f t="shared" si="136"/>
        <v/>
      </c>
      <c r="X491" s="63">
        <f t="shared" si="145"/>
        <v>0</v>
      </c>
      <c r="Y491" s="30"/>
      <c r="Z491" s="30"/>
      <c r="AA491" s="30"/>
      <c r="AB491" s="55">
        <f>PMSplint!N127</f>
        <v>2.8250130727302176</v>
      </c>
      <c r="AC491" s="55">
        <f>PMSplint!N126</f>
        <v>2.7759654219725172</v>
      </c>
      <c r="AD491" s="55">
        <f>IF(RnSplint!N127&lt;0,0,RnSplint!N127)</f>
        <v>5.9151911605837482</v>
      </c>
      <c r="AE491" s="55">
        <f>IF(RnSplint!N126&lt;0,0,RnSplint!N126)</f>
        <v>5.6175972028661239</v>
      </c>
      <c r="AF491" s="30"/>
      <c r="AG491" s="30"/>
      <c r="AH491" s="30"/>
      <c r="AI491" s="30"/>
      <c r="AJ491" s="30"/>
      <c r="AK491" s="30"/>
      <c r="AL491" s="30"/>
      <c r="AM491" s="30"/>
      <c r="AN491" s="55">
        <f t="shared" si="146"/>
        <v>15.594255589725892</v>
      </c>
      <c r="AO491" s="55">
        <f t="shared" si="147"/>
        <v>3.9489562658664492</v>
      </c>
      <c r="AP491" s="55">
        <f t="shared" si="148"/>
        <v>0.64320793368996532</v>
      </c>
      <c r="AQ491" s="55"/>
      <c r="AR491" s="55"/>
      <c r="AS491" s="55"/>
      <c r="AT491" s="55"/>
      <c r="AU491" s="30"/>
      <c r="AV491" s="30"/>
      <c r="AW491" s="2"/>
      <c r="AX491" s="2"/>
    </row>
    <row r="492" spans="1:50" x14ac:dyDescent="0.2">
      <c r="A492" s="2"/>
      <c r="B492" s="61">
        <f t="shared" si="149"/>
        <v>42083</v>
      </c>
      <c r="C492" s="62">
        <f t="shared" si="137"/>
        <v>79</v>
      </c>
      <c r="D492" s="63">
        <f t="shared" si="138"/>
        <v>2.8250130727302176</v>
      </c>
      <c r="G492" s="357" t="str">
        <f>IF(MakeSchedule!C459="","",MakeSchedule!C459)</f>
        <v/>
      </c>
      <c r="H492" s="358"/>
      <c r="I492" s="358"/>
      <c r="J492" s="359" t="str">
        <f>IF(MakeSchedule!B459="","",MakeSchedule!B459)</f>
        <v/>
      </c>
      <c r="K492" s="63">
        <f t="shared" si="130"/>
        <v>2.8250130727302176</v>
      </c>
      <c r="L492" s="63">
        <f t="shared" si="139"/>
        <v>2.8250130727302176</v>
      </c>
      <c r="M492" s="63">
        <f t="shared" si="140"/>
        <v>5.9151911605837482</v>
      </c>
      <c r="N492" s="63" t="str">
        <f t="shared" si="131"/>
        <v/>
      </c>
      <c r="O492" s="64">
        <f t="shared" si="141"/>
        <v>0.62135399298672411</v>
      </c>
      <c r="P492" s="63" t="str">
        <f t="shared" si="142"/>
        <v/>
      </c>
      <c r="Q492" s="64" t="e">
        <f t="shared" si="132"/>
        <v>#N/A</v>
      </c>
      <c r="R492" s="63">
        <f t="shared" si="133"/>
        <v>0.62135399298672411</v>
      </c>
      <c r="S492" s="65">
        <f t="shared" si="134"/>
        <v>0.35</v>
      </c>
      <c r="T492" s="65">
        <f t="shared" si="143"/>
        <v>0.97135399298672409</v>
      </c>
      <c r="U492" s="64" t="e">
        <f t="shared" si="144"/>
        <v>#N/A</v>
      </c>
      <c r="V492" s="63">
        <f t="shared" si="135"/>
        <v>2.7440877284361918</v>
      </c>
      <c r="W492" s="63" t="str">
        <f t="shared" si="136"/>
        <v/>
      </c>
      <c r="X492" s="63">
        <f t="shared" si="145"/>
        <v>0</v>
      </c>
      <c r="Y492" s="30"/>
      <c r="Z492" s="30"/>
      <c r="AA492" s="30"/>
      <c r="AB492" s="55">
        <f>PMSplint!N128</f>
        <v>2.8751396384889283</v>
      </c>
      <c r="AC492" s="55">
        <f>PMSplint!N127</f>
        <v>2.8250130727302176</v>
      </c>
      <c r="AD492" s="55">
        <f>IF(RnSplint!N128&lt;0,0,RnSplint!N128)</f>
        <v>6.2358971244384662</v>
      </c>
      <c r="AE492" s="55">
        <f>IF(RnSplint!N127&lt;0,0,RnSplint!N127)</f>
        <v>5.9151911605837482</v>
      </c>
      <c r="AF492" s="30"/>
      <c r="AG492" s="30"/>
      <c r="AH492" s="30"/>
      <c r="AI492" s="30"/>
      <c r="AJ492" s="30"/>
      <c r="AK492" s="30"/>
      <c r="AL492" s="30"/>
      <c r="AM492" s="30"/>
      <c r="AN492" s="55">
        <f t="shared" si="146"/>
        <v>16.710492356347316</v>
      </c>
      <c r="AO492" s="55">
        <f t="shared" si="147"/>
        <v>4.0878469096025745</v>
      </c>
      <c r="AP492" s="55">
        <f t="shared" si="148"/>
        <v>0.62135399298672411</v>
      </c>
      <c r="AQ492" s="55"/>
      <c r="AR492" s="55"/>
      <c r="AS492" s="55"/>
      <c r="AT492" s="55"/>
      <c r="AU492" s="30"/>
      <c r="AV492" s="30"/>
      <c r="AW492" s="2"/>
      <c r="AX492" s="2"/>
    </row>
    <row r="493" spans="1:50" x14ac:dyDescent="0.2">
      <c r="A493" s="2"/>
      <c r="B493" s="61">
        <f t="shared" si="149"/>
        <v>42084</v>
      </c>
      <c r="C493" s="62">
        <f t="shared" si="137"/>
        <v>80</v>
      </c>
      <c r="D493" s="63">
        <f t="shared" si="138"/>
        <v>2.8751396384889283</v>
      </c>
      <c r="G493" s="357" t="str">
        <f>IF(MakeSchedule!C460="","",MakeSchedule!C460)</f>
        <v/>
      </c>
      <c r="H493" s="358"/>
      <c r="I493" s="358"/>
      <c r="J493" s="359" t="str">
        <f>IF(MakeSchedule!B460="","",MakeSchedule!B460)</f>
        <v/>
      </c>
      <c r="K493" s="63">
        <f t="shared" si="130"/>
        <v>2.8751396384889283</v>
      </c>
      <c r="L493" s="63">
        <f t="shared" si="139"/>
        <v>2.8751396384889283</v>
      </c>
      <c r="M493" s="63">
        <f t="shared" si="140"/>
        <v>6.2358971244384662</v>
      </c>
      <c r="N493" s="63" t="str">
        <f t="shared" si="131"/>
        <v/>
      </c>
      <c r="O493" s="64">
        <f t="shared" si="141"/>
        <v>0.59986672858253554</v>
      </c>
      <c r="P493" s="63" t="str">
        <f t="shared" si="142"/>
        <v/>
      </c>
      <c r="Q493" s="64" t="e">
        <f t="shared" si="132"/>
        <v>#N/A</v>
      </c>
      <c r="R493" s="63">
        <f t="shared" si="133"/>
        <v>0.59986672858253554</v>
      </c>
      <c r="S493" s="65">
        <f t="shared" si="134"/>
        <v>0.35</v>
      </c>
      <c r="T493" s="65">
        <f t="shared" si="143"/>
        <v>0.94986672858253551</v>
      </c>
      <c r="U493" s="64" t="e">
        <f t="shared" si="144"/>
        <v>#N/A</v>
      </c>
      <c r="V493" s="63">
        <f t="shared" si="135"/>
        <v>2.7309994826294521</v>
      </c>
      <c r="W493" s="63" t="str">
        <f t="shared" si="136"/>
        <v/>
      </c>
      <c r="X493" s="63">
        <f t="shared" si="145"/>
        <v>0</v>
      </c>
      <c r="Y493" s="30"/>
      <c r="Z493" s="30"/>
      <c r="AA493" s="30"/>
      <c r="AB493" s="55">
        <f>PMSplint!N129</f>
        <v>2.9262639175259211</v>
      </c>
      <c r="AC493" s="55">
        <f>PMSplint!N128</f>
        <v>2.8751396384889283</v>
      </c>
      <c r="AD493" s="55">
        <f>IF(RnSplint!N129&lt;0,0,RnSplint!N129)</f>
        <v>6.5780027595089718</v>
      </c>
      <c r="AE493" s="55">
        <f>IF(RnSplint!N128&lt;0,0,RnSplint!N128)</f>
        <v>6.2358971244384662</v>
      </c>
      <c r="AF493" s="30"/>
      <c r="AG493" s="30"/>
      <c r="AH493" s="30"/>
      <c r="AI493" s="30"/>
      <c r="AJ493" s="30"/>
      <c r="AK493" s="30"/>
      <c r="AL493" s="30"/>
      <c r="AM493" s="30"/>
      <c r="AN493" s="55">
        <f t="shared" si="146"/>
        <v>17.929075004012159</v>
      </c>
      <c r="AO493" s="55">
        <f t="shared" si="147"/>
        <v>4.2342738461290104</v>
      </c>
      <c r="AP493" s="55">
        <f t="shared" si="148"/>
        <v>0.59986672858253554</v>
      </c>
      <c r="AQ493" s="55"/>
      <c r="AR493" s="55"/>
      <c r="AS493" s="55"/>
      <c r="AT493" s="55"/>
      <c r="AU493" s="30"/>
      <c r="AV493" s="30"/>
      <c r="AW493" s="2"/>
      <c r="AX493" s="2"/>
    </row>
    <row r="494" spans="1:50" x14ac:dyDescent="0.2">
      <c r="A494" s="2"/>
      <c r="B494" s="61">
        <f t="shared" si="149"/>
        <v>42085</v>
      </c>
      <c r="C494" s="62">
        <f t="shared" si="137"/>
        <v>81</v>
      </c>
      <c r="D494" s="63">
        <f t="shared" si="138"/>
        <v>2.9262639175259211</v>
      </c>
      <c r="G494" s="357" t="str">
        <f>IF(MakeSchedule!C461="","",MakeSchedule!C461)</f>
        <v/>
      </c>
      <c r="H494" s="358"/>
      <c r="I494" s="358"/>
      <c r="J494" s="359" t="str">
        <f>IF(MakeSchedule!B461="","",MakeSchedule!B461)</f>
        <v/>
      </c>
      <c r="K494" s="63">
        <f t="shared" si="130"/>
        <v>2.9262639175259211</v>
      </c>
      <c r="L494" s="63">
        <f t="shared" si="139"/>
        <v>2.9262639175259211</v>
      </c>
      <c r="M494" s="63">
        <f t="shared" si="140"/>
        <v>6.5780027595089718</v>
      </c>
      <c r="N494" s="63" t="str">
        <f t="shared" si="131"/>
        <v/>
      </c>
      <c r="O494" s="64">
        <f t="shared" si="141"/>
        <v>0.57893518506990216</v>
      </c>
      <c r="P494" s="63" t="str">
        <f t="shared" si="142"/>
        <v/>
      </c>
      <c r="Q494" s="64" t="e">
        <f t="shared" si="132"/>
        <v>#N/A</v>
      </c>
      <c r="R494" s="63">
        <f t="shared" si="133"/>
        <v>0.57893518506990216</v>
      </c>
      <c r="S494" s="65">
        <f t="shared" si="134"/>
        <v>0.35</v>
      </c>
      <c r="T494" s="65">
        <f t="shared" si="143"/>
        <v>0.92893518506990214</v>
      </c>
      <c r="U494" s="64" t="e">
        <f t="shared" si="144"/>
        <v>#N/A</v>
      </c>
      <c r="V494" s="63">
        <f t="shared" si="135"/>
        <v>2.7183095137903184</v>
      </c>
      <c r="W494" s="63" t="str">
        <f t="shared" si="136"/>
        <v/>
      </c>
      <c r="X494" s="63">
        <f t="shared" si="145"/>
        <v>0</v>
      </c>
      <c r="Y494" s="30"/>
      <c r="Z494" s="30"/>
      <c r="AA494" s="30"/>
      <c r="AB494" s="55">
        <f>PMSplint!N130</f>
        <v>2.978304708118467</v>
      </c>
      <c r="AC494" s="55">
        <f>PMSplint!N129</f>
        <v>2.9262639175259211</v>
      </c>
      <c r="AD494" s="55">
        <f>IF(RnSplint!N130&lt;0,0,RnSplint!N130)</f>
        <v>6.939795730873958</v>
      </c>
      <c r="AE494" s="55">
        <f>IF(RnSplint!N129&lt;0,0,RnSplint!N129)</f>
        <v>6.5780027595089718</v>
      </c>
      <c r="AF494" s="30"/>
      <c r="AG494" s="30"/>
      <c r="AH494" s="30"/>
      <c r="AI494" s="30"/>
      <c r="AJ494" s="30"/>
      <c r="AK494" s="30"/>
      <c r="AL494" s="30"/>
      <c r="AM494" s="30"/>
      <c r="AN494" s="55">
        <f t="shared" si="146"/>
        <v>19.248972124537044</v>
      </c>
      <c r="AO494" s="55">
        <f t="shared" si="147"/>
        <v>4.3873650548520624</v>
      </c>
      <c r="AP494" s="55">
        <f t="shared" si="148"/>
        <v>0.57893518506990216</v>
      </c>
      <c r="AQ494" s="55"/>
      <c r="AR494" s="55"/>
      <c r="AS494" s="55"/>
      <c r="AT494" s="55"/>
      <c r="AU494" s="30"/>
      <c r="AV494" s="30"/>
      <c r="AW494" s="2"/>
      <c r="AX494" s="2"/>
    </row>
    <row r="495" spans="1:50" x14ac:dyDescent="0.2">
      <c r="A495" s="2"/>
      <c r="B495" s="61">
        <f t="shared" si="149"/>
        <v>42086</v>
      </c>
      <c r="C495" s="62">
        <f t="shared" si="137"/>
        <v>82</v>
      </c>
      <c r="D495" s="63">
        <f t="shared" si="138"/>
        <v>2.978304708118467</v>
      </c>
      <c r="G495" s="357" t="str">
        <f>IF(MakeSchedule!C462="","",MakeSchedule!C462)</f>
        <v/>
      </c>
      <c r="H495" s="358"/>
      <c r="I495" s="358"/>
      <c r="J495" s="359" t="str">
        <f>IF(MakeSchedule!B462="","",MakeSchedule!B462)</f>
        <v/>
      </c>
      <c r="K495" s="63">
        <f t="shared" si="130"/>
        <v>2.978304708118467</v>
      </c>
      <c r="L495" s="63">
        <f t="shared" si="139"/>
        <v>2.978304708118467</v>
      </c>
      <c r="M495" s="63">
        <f t="shared" si="140"/>
        <v>6.939795730873958</v>
      </c>
      <c r="N495" s="63" t="str">
        <f t="shared" si="131"/>
        <v/>
      </c>
      <c r="O495" s="64">
        <f t="shared" si="141"/>
        <v>0.55869631758024885</v>
      </c>
      <c r="P495" s="63" t="str">
        <f t="shared" si="142"/>
        <v/>
      </c>
      <c r="Q495" s="64" t="e">
        <f t="shared" si="132"/>
        <v>#N/A</v>
      </c>
      <c r="R495" s="63">
        <f t="shared" si="133"/>
        <v>0.55869631758024885</v>
      </c>
      <c r="S495" s="65">
        <f t="shared" si="134"/>
        <v>0.35</v>
      </c>
      <c r="T495" s="65">
        <f t="shared" si="143"/>
        <v>0.90869631758024882</v>
      </c>
      <c r="U495" s="64" t="e">
        <f t="shared" si="144"/>
        <v>#N/A</v>
      </c>
      <c r="V495" s="63">
        <f t="shared" si="135"/>
        <v>2.706374520899169</v>
      </c>
      <c r="W495" s="63" t="str">
        <f t="shared" si="136"/>
        <v/>
      </c>
      <c r="X495" s="63">
        <f t="shared" si="145"/>
        <v>0</v>
      </c>
      <c r="Y495" s="30"/>
      <c r="Z495" s="30"/>
      <c r="AA495" s="30"/>
      <c r="AB495" s="55">
        <f>PMSplint!N131</f>
        <v>3.0311808085438354</v>
      </c>
      <c r="AC495" s="55">
        <f>PMSplint!N130</f>
        <v>2.978304708118467</v>
      </c>
      <c r="AD495" s="55">
        <f>IF(RnSplint!N131&lt;0,0,RnSplint!N131)</f>
        <v>7.3195637036121175</v>
      </c>
      <c r="AE495" s="55">
        <f>IF(RnSplint!N130&lt;0,0,RnSplint!N130)</f>
        <v>6.939795730873958</v>
      </c>
      <c r="AF495" s="30"/>
      <c r="AG495" s="30"/>
      <c r="AH495" s="30"/>
      <c r="AI495" s="30"/>
      <c r="AJ495" s="30"/>
      <c r="AK495" s="30"/>
      <c r="AL495" s="30"/>
      <c r="AM495" s="30"/>
      <c r="AN495" s="55">
        <f t="shared" si="146"/>
        <v>20.668826298642347</v>
      </c>
      <c r="AO495" s="55">
        <f t="shared" si="147"/>
        <v>4.5462980873060168</v>
      </c>
      <c r="AP495" s="55">
        <f t="shared" si="148"/>
        <v>0.55869631758024885</v>
      </c>
      <c r="AQ495" s="55"/>
      <c r="AR495" s="55"/>
      <c r="AS495" s="55"/>
      <c r="AT495" s="55"/>
      <c r="AU495" s="30"/>
      <c r="AV495" s="30"/>
      <c r="AW495" s="2"/>
      <c r="AX495" s="2"/>
    </row>
    <row r="496" spans="1:50" x14ac:dyDescent="0.2">
      <c r="A496" s="2"/>
      <c r="B496" s="61">
        <f t="shared" si="149"/>
        <v>42087</v>
      </c>
      <c r="C496" s="62">
        <f t="shared" si="137"/>
        <v>83</v>
      </c>
      <c r="D496" s="63">
        <f t="shared" si="138"/>
        <v>3.0311808085438354</v>
      </c>
      <c r="G496" s="357" t="str">
        <f>IF(MakeSchedule!C463="","",MakeSchedule!C463)</f>
        <v/>
      </c>
      <c r="H496" s="358"/>
      <c r="I496" s="358"/>
      <c r="J496" s="359" t="str">
        <f>IF(MakeSchedule!B463="","",MakeSchedule!B463)</f>
        <v/>
      </c>
      <c r="K496" s="63">
        <f t="shared" si="130"/>
        <v>3.0311808085438354</v>
      </c>
      <c r="L496" s="63">
        <f t="shared" si="139"/>
        <v>3.0311808085438354</v>
      </c>
      <c r="M496" s="63">
        <f t="shared" si="140"/>
        <v>7.3195637036121175</v>
      </c>
      <c r="N496" s="63" t="str">
        <f t="shared" si="131"/>
        <v/>
      </c>
      <c r="O496" s="64">
        <f t="shared" si="141"/>
        <v>0.53924384644458867</v>
      </c>
      <c r="P496" s="63" t="str">
        <f t="shared" si="142"/>
        <v/>
      </c>
      <c r="Q496" s="64" t="e">
        <f t="shared" si="132"/>
        <v>#N/A</v>
      </c>
      <c r="R496" s="63">
        <f t="shared" si="133"/>
        <v>0.53924384644458867</v>
      </c>
      <c r="S496" s="65">
        <f t="shared" si="134"/>
        <v>0.35</v>
      </c>
      <c r="T496" s="65">
        <f t="shared" si="143"/>
        <v>0.9</v>
      </c>
      <c r="U496" s="64" t="e">
        <f t="shared" si="144"/>
        <v>#N/A</v>
      </c>
      <c r="V496" s="63">
        <f t="shared" si="135"/>
        <v>2.7280627276894518</v>
      </c>
      <c r="W496" s="63" t="str">
        <f t="shared" si="136"/>
        <v/>
      </c>
      <c r="X496" s="63">
        <f t="shared" si="145"/>
        <v>0</v>
      </c>
      <c r="Y496" s="30"/>
      <c r="Z496" s="30"/>
      <c r="AA496" s="30"/>
      <c r="AB496" s="55">
        <f>PMSplint!N132</f>
        <v>3.0848110170792999</v>
      </c>
      <c r="AC496" s="55">
        <f>PMSplint!N131</f>
        <v>3.0311808085438354</v>
      </c>
      <c r="AD496" s="55">
        <f>IF(RnSplint!N132&lt;0,0,RnSplint!N132)</f>
        <v>7.7155943428021505</v>
      </c>
      <c r="AE496" s="55">
        <f>IF(RnSplint!N131&lt;0,0,RnSplint!N131)</f>
        <v>7.3195637036121175</v>
      </c>
      <c r="AF496" s="30"/>
      <c r="AG496" s="30"/>
      <c r="AH496" s="30"/>
      <c r="AI496" s="30"/>
      <c r="AJ496" s="30"/>
      <c r="AK496" s="30"/>
      <c r="AL496" s="30"/>
      <c r="AM496" s="30"/>
      <c r="AN496" s="55">
        <f t="shared" si="146"/>
        <v>22.186921025303089</v>
      </c>
      <c r="AO496" s="55">
        <f t="shared" si="147"/>
        <v>4.7102994623806129</v>
      </c>
      <c r="AP496" s="55">
        <f t="shared" si="148"/>
        <v>0.53924384644458867</v>
      </c>
      <c r="AQ496" s="55"/>
      <c r="AR496" s="55"/>
      <c r="AS496" s="55"/>
      <c r="AT496" s="55"/>
      <c r="AU496" s="30"/>
      <c r="AV496" s="30"/>
      <c r="AW496" s="2"/>
      <c r="AX496" s="2"/>
    </row>
    <row r="497" spans="1:50" x14ac:dyDescent="0.2">
      <c r="A497" s="2"/>
      <c r="B497" s="61">
        <f t="shared" si="149"/>
        <v>42088</v>
      </c>
      <c r="C497" s="62">
        <f t="shared" si="137"/>
        <v>84</v>
      </c>
      <c r="D497" s="63">
        <f t="shared" si="138"/>
        <v>3.0848110170792999</v>
      </c>
      <c r="G497" s="357" t="str">
        <f>IF(MakeSchedule!C464="","",MakeSchedule!C464)</f>
        <v/>
      </c>
      <c r="H497" s="358"/>
      <c r="I497" s="358"/>
      <c r="J497" s="359" t="str">
        <f>IF(MakeSchedule!B464="","",MakeSchedule!B464)</f>
        <v/>
      </c>
      <c r="K497" s="63">
        <f t="shared" ref="K497:K560" si="150">IF(G497&lt;&gt;"",G497,IF(D497="","",D497))</f>
        <v>3.0848110170792999</v>
      </c>
      <c r="L497" s="63">
        <f t="shared" si="139"/>
        <v>3.0848110170792999</v>
      </c>
      <c r="M497" s="63">
        <f t="shared" si="140"/>
        <v>7.7155943428021505</v>
      </c>
      <c r="N497" s="63" t="str">
        <f t="shared" ref="N497:N560" si="151">IF(C497=$E$7,O497,"")</f>
        <v/>
      </c>
      <c r="O497" s="64">
        <f t="shared" si="141"/>
        <v>0.52063665619409094</v>
      </c>
      <c r="P497" s="63" t="str">
        <f t="shared" si="142"/>
        <v/>
      </c>
      <c r="Q497" s="64" t="e">
        <f t="shared" ref="Q497:Q560" si="152">IF(AND(C$49:C$625&lt;F$7,$U$44&gt;2),#N/A,IF(P497="",#N/A,P497))</f>
        <v>#N/A</v>
      </c>
      <c r="R497" s="63">
        <f t="shared" ref="R497:R562" si="153">IF(OR(P497="",O497&gt;P497),O497,P497)</f>
        <v>0.52063665619409094</v>
      </c>
      <c r="S497" s="65">
        <f t="shared" ref="S497:S560" si="154">IF(OR(AND(C$49:C$625&gt;=U$6,C$49:C$625&lt;=U$7),AND(C$49:C$625&gt;=U$9,C$49:C$625&lt;=U$10)),0.35,0)</f>
        <v>0.35</v>
      </c>
      <c r="T497" s="65">
        <f t="shared" si="143"/>
        <v>0.9</v>
      </c>
      <c r="U497" s="64" t="e">
        <f t="shared" si="144"/>
        <v>#N/A</v>
      </c>
      <c r="V497" s="63">
        <f t="shared" ref="V497:V560" si="155">IF(L497="","",L497*T497)</f>
        <v>2.7763299153713699</v>
      </c>
      <c r="W497" s="63" t="str">
        <f t="shared" ref="W497:W560" si="156">IF(AND(B$49:B$625&gt;=E$6,B$49:B$625&lt;=E$7),L497,"")</f>
        <v/>
      </c>
      <c r="X497" s="63">
        <f t="shared" si="145"/>
        <v>0</v>
      </c>
      <c r="Y497" s="30"/>
      <c r="Z497" s="30"/>
      <c r="AA497" s="30"/>
      <c r="AB497" s="55">
        <f>PMSplint!N133</f>
        <v>3.1391141320021307</v>
      </c>
      <c r="AC497" s="55">
        <f>PMSplint!N132</f>
        <v>3.0848110170792999</v>
      </c>
      <c r="AD497" s="55">
        <f>IF(RnSplint!N133&lt;0,0,RnSplint!N133)</f>
        <v>8.1261753135227455</v>
      </c>
      <c r="AE497" s="55">
        <f>IF(RnSplint!N132&lt;0,0,RnSplint!N132)</f>
        <v>7.7155943428021505</v>
      </c>
      <c r="AF497" s="30"/>
      <c r="AG497" s="30"/>
      <c r="AH497" s="30"/>
      <c r="AI497" s="30"/>
      <c r="AJ497" s="30"/>
      <c r="AK497" s="30"/>
      <c r="AL497" s="30"/>
      <c r="AM497" s="30"/>
      <c r="AN497" s="55">
        <f t="shared" si="146"/>
        <v>23.801150431990795</v>
      </c>
      <c r="AO497" s="55">
        <f t="shared" si="147"/>
        <v>4.878642273418988</v>
      </c>
      <c r="AP497" s="55">
        <f t="shared" si="148"/>
        <v>0.52063665619409094</v>
      </c>
      <c r="AQ497" s="55"/>
      <c r="AR497" s="55"/>
      <c r="AS497" s="55"/>
      <c r="AT497" s="55"/>
      <c r="AU497" s="30"/>
      <c r="AV497" s="30"/>
      <c r="AW497" s="2"/>
      <c r="AX497" s="2"/>
    </row>
    <row r="498" spans="1:50" x14ac:dyDescent="0.2">
      <c r="A498" s="2"/>
      <c r="B498" s="61">
        <f t="shared" si="149"/>
        <v>42089</v>
      </c>
      <c r="C498" s="62">
        <f t="shared" ref="C498:C561" si="157">IF(B497=DATE(D$4,12,31),1,C497+1)</f>
        <v>85</v>
      </c>
      <c r="D498" s="63">
        <f t="shared" ref="D498:D561" si="158">IF($B$46=0,IF(ISERROR($AB498),"",$AB498),IF(ISERROR($AC498),"",$AC498))</f>
        <v>3.1391141320021307</v>
      </c>
      <c r="G498" s="357" t="str">
        <f>IF(MakeSchedule!C465="","",MakeSchedule!C465)</f>
        <v/>
      </c>
      <c r="H498" s="358"/>
      <c r="I498" s="358"/>
      <c r="J498" s="359" t="str">
        <f>IF(MakeSchedule!B465="","",MakeSchedule!B465)</f>
        <v/>
      </c>
      <c r="K498" s="63">
        <f t="shared" si="150"/>
        <v>3.1391141320021307</v>
      </c>
      <c r="L498" s="63">
        <f t="shared" ref="L498:L561" si="159">IF($G498&lt;&gt;"",$G498,IF($D498="","",$D498))</f>
        <v>3.1391141320021307</v>
      </c>
      <c r="M498" s="63">
        <f t="shared" ref="M498:M561" si="160">IF(F$3=365,AD498,AE498)</f>
        <v>8.1261753135227455</v>
      </c>
      <c r="N498" s="63" t="str">
        <f t="shared" si="151"/>
        <v/>
      </c>
      <c r="O498" s="64">
        <f t="shared" ref="O498:O561" si="161">AP498</f>
        <v>0.50290629267450193</v>
      </c>
      <c r="P498" s="63" t="str">
        <f t="shared" ref="P498:P561" si="162">IF(B$49:B$625&lt;E$6,"",IF(AND(B$49:B$625&lt;=E$7,B$49:B$625&gt;=E$6),G$7,IF(AND(B$49:B$625&lt;=E$8,B$49:B$625&gt;E$7),P497+H$8,IF(AND(B$49:B$625&lt;=E$9,B$49:B$625&gt;E$8),P497+H$9,IF(AND(B$49:B$625&lt;=E$10,B$49:B$625&gt;E$9),P497+H$10,"")))))</f>
        <v/>
      </c>
      <c r="Q498" s="64" t="e">
        <f t="shared" si="152"/>
        <v>#N/A</v>
      </c>
      <c r="R498" s="63">
        <f t="shared" si="153"/>
        <v>0.50290629267450193</v>
      </c>
      <c r="S498" s="65">
        <f t="shared" si="154"/>
        <v>0.35</v>
      </c>
      <c r="T498" s="65">
        <f t="shared" ref="T498:T561" si="163">IF($J$5&lt;3,R498,IF(R498+S498&gt;1.2,1.2,IF(AND(R498+S498&lt;0.9,S498=0.35),0.9,R498+S498)))</f>
        <v>0.9</v>
      </c>
      <c r="U498" s="64" t="e">
        <f t="shared" ref="U498:U561" si="164">IF(P498="",#N/A,IF($J$5&lt;3,R498,IF(R498+S498&gt;1.2,1.2,IF(AND(R498+S498&lt;0.9,S498=0.35),0.9,R498+S498))))</f>
        <v>#N/A</v>
      </c>
      <c r="V498" s="63">
        <f t="shared" si="155"/>
        <v>2.8252027188019175</v>
      </c>
      <c r="W498" s="63" t="str">
        <f t="shared" si="156"/>
        <v/>
      </c>
      <c r="X498" s="63">
        <f t="shared" ref="X498:X561" si="165">IF(B498=$E$6,V498,IF(OR(B498&lt;$E$6,B498&gt;$E$10),0,X497+V498))</f>
        <v>0</v>
      </c>
      <c r="Y498" s="30"/>
      <c r="Z498" s="30"/>
      <c r="AA498" s="30"/>
      <c r="AB498" s="55">
        <f>PMSplint!N134</f>
        <v>3.1940089515895989</v>
      </c>
      <c r="AC498" s="55">
        <f>PMSplint!N133</f>
        <v>3.1391141320021307</v>
      </c>
      <c r="AD498" s="55">
        <f>IF(RnSplint!N134&lt;0,0,RnSplint!N134)</f>
        <v>8.5495942808526024</v>
      </c>
      <c r="AE498" s="55">
        <f>IF(RnSplint!N133&lt;0,0,RnSplint!N133)</f>
        <v>8.1261753135227455</v>
      </c>
      <c r="AF498" s="30"/>
      <c r="AG498" s="30"/>
      <c r="AH498" s="30"/>
      <c r="AI498" s="30"/>
      <c r="AJ498" s="30"/>
      <c r="AK498" s="30"/>
      <c r="AL498" s="30"/>
      <c r="AM498" s="30"/>
      <c r="AN498" s="55">
        <f t="shared" si="146"/>
        <v>25.508991765806094</v>
      </c>
      <c r="AO498" s="55">
        <f t="shared" si="147"/>
        <v>5.0506427081913143</v>
      </c>
      <c r="AP498" s="55">
        <f t="shared" si="148"/>
        <v>0.50290629267450193</v>
      </c>
      <c r="AQ498" s="55"/>
      <c r="AR498" s="55"/>
      <c r="AS498" s="55"/>
      <c r="AT498" s="55"/>
      <c r="AU498" s="30"/>
      <c r="AV498" s="30"/>
      <c r="AW498" s="2"/>
      <c r="AX498" s="2"/>
    </row>
    <row r="499" spans="1:50" x14ac:dyDescent="0.2">
      <c r="A499" s="2"/>
      <c r="B499" s="61">
        <f t="shared" si="149"/>
        <v>42090</v>
      </c>
      <c r="C499" s="62">
        <f t="shared" si="157"/>
        <v>86</v>
      </c>
      <c r="D499" s="63">
        <f t="shared" si="158"/>
        <v>3.1940089515895989</v>
      </c>
      <c r="G499" s="357" t="str">
        <f>IF(MakeSchedule!C466="","",MakeSchedule!C466)</f>
        <v/>
      </c>
      <c r="H499" s="358"/>
      <c r="I499" s="358"/>
      <c r="J499" s="359" t="str">
        <f>IF(MakeSchedule!B466="","",MakeSchedule!B466)</f>
        <v/>
      </c>
      <c r="K499" s="63">
        <f t="shared" si="150"/>
        <v>3.1940089515895989</v>
      </c>
      <c r="L499" s="63">
        <f t="shared" si="159"/>
        <v>3.1940089515895989</v>
      </c>
      <c r="M499" s="63">
        <f t="shared" si="160"/>
        <v>8.5495942808526024</v>
      </c>
      <c r="N499" s="63" t="str">
        <f t="shared" si="151"/>
        <v/>
      </c>
      <c r="O499" s="64">
        <f t="shared" si="161"/>
        <v>0.48606337622769269</v>
      </c>
      <c r="P499" s="63" t="str">
        <f t="shared" si="162"/>
        <v/>
      </c>
      <c r="Q499" s="64" t="e">
        <f t="shared" si="152"/>
        <v>#N/A</v>
      </c>
      <c r="R499" s="63">
        <f t="shared" si="153"/>
        <v>0.48606337622769269</v>
      </c>
      <c r="S499" s="65">
        <f t="shared" si="154"/>
        <v>0.35</v>
      </c>
      <c r="T499" s="65">
        <f t="shared" si="163"/>
        <v>0.9</v>
      </c>
      <c r="U499" s="64" t="e">
        <f t="shared" si="164"/>
        <v>#N/A</v>
      </c>
      <c r="V499" s="63">
        <f t="shared" si="155"/>
        <v>2.8746080564306391</v>
      </c>
      <c r="W499" s="63" t="str">
        <f t="shared" si="156"/>
        <v/>
      </c>
      <c r="X499" s="63">
        <f t="shared" si="165"/>
        <v>0</v>
      </c>
      <c r="Y499" s="30"/>
      <c r="Z499" s="30"/>
      <c r="AA499" s="30"/>
      <c r="AB499" s="55">
        <f>PMSplint!N135</f>
        <v>3.2494142741189744</v>
      </c>
      <c r="AC499" s="55">
        <f>PMSplint!N134</f>
        <v>3.1940089515895989</v>
      </c>
      <c r="AD499" s="55">
        <f>IF(RnSplint!N135&lt;0,0,RnSplint!N135)</f>
        <v>8.9841389098704081</v>
      </c>
      <c r="AE499" s="55">
        <f>IF(RnSplint!N134&lt;0,0,RnSplint!N134)</f>
        <v>8.5495942808526024</v>
      </c>
      <c r="AF499" s="30"/>
      <c r="AG499" s="30"/>
      <c r="AH499" s="30"/>
      <c r="AI499" s="30"/>
      <c r="AJ499" s="30"/>
      <c r="AK499" s="30"/>
      <c r="AL499" s="30"/>
      <c r="AM499" s="30"/>
      <c r="AN499" s="55">
        <f t="shared" si="146"/>
        <v>27.30748066550245</v>
      </c>
      <c r="AO499" s="55">
        <f t="shared" si="147"/>
        <v>5.2256560033647883</v>
      </c>
      <c r="AP499" s="55">
        <f t="shared" si="148"/>
        <v>0.48606337622769269</v>
      </c>
      <c r="AQ499" s="55"/>
      <c r="AR499" s="55"/>
      <c r="AS499" s="55"/>
      <c r="AT499" s="55"/>
      <c r="AU499" s="30"/>
      <c r="AV499" s="30"/>
      <c r="AW499" s="2"/>
      <c r="AX499" s="2"/>
    </row>
    <row r="500" spans="1:50" x14ac:dyDescent="0.2">
      <c r="A500" s="2"/>
      <c r="B500" s="61">
        <f t="shared" si="149"/>
        <v>42091</v>
      </c>
      <c r="C500" s="62">
        <f t="shared" si="157"/>
        <v>87</v>
      </c>
      <c r="D500" s="63">
        <f t="shared" si="158"/>
        <v>3.2494142741189744</v>
      </c>
      <c r="G500" s="357" t="str">
        <f>IF(MakeSchedule!C467="","",MakeSchedule!C467)</f>
        <v/>
      </c>
      <c r="H500" s="358"/>
      <c r="I500" s="358"/>
      <c r="J500" s="359" t="str">
        <f>IF(MakeSchedule!B467="","",MakeSchedule!B467)</f>
        <v/>
      </c>
      <c r="K500" s="63">
        <f t="shared" si="150"/>
        <v>3.2494142741189744</v>
      </c>
      <c r="L500" s="63">
        <f t="shared" si="159"/>
        <v>3.2494142741189744</v>
      </c>
      <c r="M500" s="63">
        <f t="shared" si="160"/>
        <v>8.9841389098704081</v>
      </c>
      <c r="N500" s="63" t="str">
        <f t="shared" si="151"/>
        <v/>
      </c>
      <c r="O500" s="64">
        <f t="shared" si="161"/>
        <v>0.47010291650451763</v>
      </c>
      <c r="P500" s="63" t="str">
        <f t="shared" si="162"/>
        <v/>
      </c>
      <c r="Q500" s="64" t="e">
        <f t="shared" si="152"/>
        <v>#N/A</v>
      </c>
      <c r="R500" s="63">
        <f t="shared" si="153"/>
        <v>0.47010291650451763</v>
      </c>
      <c r="S500" s="65">
        <f t="shared" si="154"/>
        <v>0.35</v>
      </c>
      <c r="T500" s="65">
        <f t="shared" si="163"/>
        <v>0.9</v>
      </c>
      <c r="U500" s="64" t="e">
        <f t="shared" si="164"/>
        <v>#N/A</v>
      </c>
      <c r="V500" s="63">
        <f t="shared" si="155"/>
        <v>2.9244728467070771</v>
      </c>
      <c r="W500" s="63" t="str">
        <f t="shared" si="156"/>
        <v/>
      </c>
      <c r="X500" s="63">
        <f t="shared" si="165"/>
        <v>0</v>
      </c>
      <c r="Y500" s="30"/>
      <c r="Z500" s="30"/>
      <c r="AA500" s="30"/>
      <c r="AB500" s="55">
        <f>PMSplint!N136</f>
        <v>3.3052488978675303</v>
      </c>
      <c r="AC500" s="55">
        <f>PMSplint!N135</f>
        <v>3.2494142741189744</v>
      </c>
      <c r="AD500" s="55">
        <f>IF(RnSplint!N136&lt;0,0,RnSplint!N136)</f>
        <v>9.4280968656548652</v>
      </c>
      <c r="AE500" s="55">
        <f>IF(RnSplint!N135&lt;0,0,RnSplint!N135)</f>
        <v>8.9841389098704081</v>
      </c>
      <c r="AF500" s="30"/>
      <c r="AG500" s="30"/>
      <c r="AH500" s="30"/>
      <c r="AI500" s="30"/>
      <c r="AJ500" s="30"/>
      <c r="AK500" s="30"/>
      <c r="AL500" s="30"/>
      <c r="AM500" s="30"/>
      <c r="AN500" s="55">
        <f t="shared" si="146"/>
        <v>29.193189214400586</v>
      </c>
      <c r="AO500" s="55">
        <f t="shared" si="147"/>
        <v>5.403072201479505</v>
      </c>
      <c r="AP500" s="55">
        <f t="shared" si="148"/>
        <v>0.47010291650451763</v>
      </c>
      <c r="AQ500" s="55"/>
      <c r="AR500" s="55"/>
      <c r="AS500" s="55"/>
      <c r="AT500" s="55"/>
      <c r="AU500" s="30"/>
      <c r="AV500" s="30"/>
      <c r="AW500" s="2"/>
      <c r="AX500" s="2"/>
    </row>
    <row r="501" spans="1:50" x14ac:dyDescent="0.2">
      <c r="A501" s="2"/>
      <c r="B501" s="61">
        <f t="shared" si="149"/>
        <v>42092</v>
      </c>
      <c r="C501" s="62">
        <f t="shared" si="157"/>
        <v>88</v>
      </c>
      <c r="D501" s="63">
        <f t="shared" si="158"/>
        <v>3.3052488978675303</v>
      </c>
      <c r="G501" s="357" t="str">
        <f>IF(MakeSchedule!C468="","",MakeSchedule!C468)</f>
        <v/>
      </c>
      <c r="H501" s="358"/>
      <c r="I501" s="358"/>
      <c r="J501" s="359" t="str">
        <f>IF(MakeSchedule!B468="","",MakeSchedule!B468)</f>
        <v/>
      </c>
      <c r="K501" s="63">
        <f t="shared" si="150"/>
        <v>3.3052488978675303</v>
      </c>
      <c r="L501" s="63">
        <f t="shared" si="159"/>
        <v>3.3052488978675303</v>
      </c>
      <c r="M501" s="63">
        <f t="shared" si="160"/>
        <v>9.4280968656548652</v>
      </c>
      <c r="N501" s="63" t="str">
        <f t="shared" si="151"/>
        <v/>
      </c>
      <c r="O501" s="64">
        <f t="shared" si="161"/>
        <v>0.45500860933902793</v>
      </c>
      <c r="P501" s="63" t="str">
        <f t="shared" si="162"/>
        <v/>
      </c>
      <c r="Q501" s="64" t="e">
        <f t="shared" si="152"/>
        <v>#N/A</v>
      </c>
      <c r="R501" s="63">
        <f t="shared" si="153"/>
        <v>0.45500860933902793</v>
      </c>
      <c r="S501" s="65">
        <f t="shared" si="154"/>
        <v>0.35</v>
      </c>
      <c r="T501" s="65">
        <f t="shared" si="163"/>
        <v>0.9</v>
      </c>
      <c r="U501" s="64" t="e">
        <f t="shared" si="164"/>
        <v>#N/A</v>
      </c>
      <c r="V501" s="63">
        <f t="shared" si="155"/>
        <v>2.9747240080807775</v>
      </c>
      <c r="W501" s="63" t="str">
        <f t="shared" si="156"/>
        <v/>
      </c>
      <c r="X501" s="63">
        <f t="shared" si="165"/>
        <v>0</v>
      </c>
      <c r="Y501" s="30"/>
      <c r="Z501" s="30"/>
      <c r="AA501" s="30"/>
      <c r="AB501" s="55">
        <f>PMSplint!N137</f>
        <v>3.3614316211125357</v>
      </c>
      <c r="AC501" s="55">
        <f>PMSplint!N136</f>
        <v>3.3052488978675303</v>
      </c>
      <c r="AD501" s="55">
        <f>IF(RnSplint!N137&lt;0,0,RnSplint!N137)</f>
        <v>9.8797558132846621</v>
      </c>
      <c r="AE501" s="55">
        <f>IF(RnSplint!N136&lt;0,0,RnSplint!N136)</f>
        <v>9.4280968656548652</v>
      </c>
      <c r="AF501" s="30"/>
      <c r="AG501" s="30"/>
      <c r="AH501" s="30"/>
      <c r="AI501" s="30"/>
      <c r="AJ501" s="30"/>
      <c r="AK501" s="30"/>
      <c r="AL501" s="30"/>
      <c r="AM501" s="30"/>
      <c r="AN501" s="55">
        <f t="shared" si="146"/>
        <v>31.162206774194061</v>
      </c>
      <c r="AO501" s="55">
        <f t="shared" si="147"/>
        <v>5.5823119560083763</v>
      </c>
      <c r="AP501" s="55">
        <f t="shared" si="148"/>
        <v>0.45500860933902793</v>
      </c>
      <c r="AQ501" s="55"/>
      <c r="AR501" s="55"/>
      <c r="AS501" s="55"/>
      <c r="AT501" s="55"/>
      <c r="AU501" s="30"/>
      <c r="AV501" s="30"/>
      <c r="AW501" s="2"/>
      <c r="AX501" s="2"/>
    </row>
    <row r="502" spans="1:50" x14ac:dyDescent="0.2">
      <c r="A502" s="2"/>
      <c r="B502" s="61">
        <f t="shared" si="149"/>
        <v>42093</v>
      </c>
      <c r="C502" s="62">
        <f t="shared" si="157"/>
        <v>89</v>
      </c>
      <c r="D502" s="63">
        <f t="shared" si="158"/>
        <v>3.3614316211125357</v>
      </c>
      <c r="G502" s="357" t="str">
        <f>IF(MakeSchedule!C469="","",MakeSchedule!C469)</f>
        <v/>
      </c>
      <c r="H502" s="358"/>
      <c r="I502" s="358"/>
      <c r="J502" s="359" t="str">
        <f>IF(MakeSchedule!B469="","",MakeSchedule!B469)</f>
        <v/>
      </c>
      <c r="K502" s="63">
        <f t="shared" si="150"/>
        <v>3.3614316211125357</v>
      </c>
      <c r="L502" s="63">
        <f t="shared" si="159"/>
        <v>3.3614316211125357</v>
      </c>
      <c r="M502" s="63">
        <f t="shared" si="160"/>
        <v>9.8797558132846621</v>
      </c>
      <c r="N502" s="63" t="str">
        <f t="shared" si="151"/>
        <v/>
      </c>
      <c r="O502" s="64">
        <f t="shared" si="161"/>
        <v>0.44075624113638256</v>
      </c>
      <c r="P502" s="63" t="str">
        <f t="shared" si="162"/>
        <v/>
      </c>
      <c r="Q502" s="64" t="e">
        <f t="shared" si="152"/>
        <v>#N/A</v>
      </c>
      <c r="R502" s="63">
        <f t="shared" si="153"/>
        <v>0.44075624113638256</v>
      </c>
      <c r="S502" s="65">
        <f t="shared" si="154"/>
        <v>0.35</v>
      </c>
      <c r="T502" s="65">
        <f t="shared" si="163"/>
        <v>0.9</v>
      </c>
      <c r="U502" s="64" t="e">
        <f t="shared" si="164"/>
        <v>#N/A</v>
      </c>
      <c r="V502" s="63">
        <f t="shared" si="155"/>
        <v>3.0252884590012821</v>
      </c>
      <c r="W502" s="63" t="str">
        <f t="shared" si="156"/>
        <v/>
      </c>
      <c r="X502" s="63">
        <f t="shared" si="165"/>
        <v>0</v>
      </c>
      <c r="Y502" s="30"/>
      <c r="Z502" s="30"/>
      <c r="AA502" s="30"/>
      <c r="AB502" s="55">
        <f>PMSplint!N138</f>
        <v>3.4178812421312639</v>
      </c>
      <c r="AC502" s="55">
        <f>PMSplint!N137</f>
        <v>3.3614316211125357</v>
      </c>
      <c r="AD502" s="55">
        <f>IF(RnSplint!N138&lt;0,0,RnSplint!N138)</f>
        <v>10.337403417838498</v>
      </c>
      <c r="AE502" s="55">
        <f>IF(RnSplint!N137&lt;0,0,RnSplint!N137)</f>
        <v>9.8797558132846621</v>
      </c>
      <c r="AF502" s="30"/>
      <c r="AG502" s="30"/>
      <c r="AH502" s="30"/>
      <c r="AI502" s="30"/>
      <c r="AJ502" s="30"/>
      <c r="AK502" s="30"/>
      <c r="AL502" s="30"/>
      <c r="AM502" s="30"/>
      <c r="AN502" s="55">
        <f t="shared" si="146"/>
        <v>33.210123599645463</v>
      </c>
      <c r="AO502" s="55">
        <f t="shared" si="147"/>
        <v>5.7628225375804751</v>
      </c>
      <c r="AP502" s="55">
        <f t="shared" si="148"/>
        <v>0.44075624113638256</v>
      </c>
      <c r="AQ502" s="55"/>
      <c r="AR502" s="55"/>
      <c r="AS502" s="55"/>
      <c r="AT502" s="55"/>
      <c r="AU502" s="30"/>
      <c r="AV502" s="30"/>
      <c r="AW502" s="2"/>
      <c r="AX502" s="2"/>
    </row>
    <row r="503" spans="1:50" x14ac:dyDescent="0.2">
      <c r="A503" s="2"/>
      <c r="B503" s="61">
        <f t="shared" si="149"/>
        <v>42094</v>
      </c>
      <c r="C503" s="62">
        <f t="shared" si="157"/>
        <v>90</v>
      </c>
      <c r="D503" s="63">
        <f t="shared" si="158"/>
        <v>3.4178812421312639</v>
      </c>
      <c r="G503" s="357" t="str">
        <f>IF(MakeSchedule!C470="","",MakeSchedule!C470)</f>
        <v/>
      </c>
      <c r="H503" s="358"/>
      <c r="I503" s="358"/>
      <c r="J503" s="359" t="str">
        <f>IF(MakeSchedule!B470="","",MakeSchedule!B470)</f>
        <v/>
      </c>
      <c r="K503" s="63">
        <f t="shared" si="150"/>
        <v>3.4178812421312639</v>
      </c>
      <c r="L503" s="63">
        <f t="shared" si="159"/>
        <v>3.4178812421312639</v>
      </c>
      <c r="M503" s="63">
        <f t="shared" si="160"/>
        <v>10.337403417838498</v>
      </c>
      <c r="N503" s="63" t="str">
        <f t="shared" si="151"/>
        <v/>
      </c>
      <c r="O503" s="64">
        <f t="shared" si="161"/>
        <v>0.42731633985086626</v>
      </c>
      <c r="P503" s="63" t="str">
        <f t="shared" si="162"/>
        <v/>
      </c>
      <c r="Q503" s="64" t="e">
        <f t="shared" si="152"/>
        <v>#N/A</v>
      </c>
      <c r="R503" s="63">
        <f t="shared" si="153"/>
        <v>0.42731633985086626</v>
      </c>
      <c r="S503" s="65">
        <f t="shared" si="154"/>
        <v>0.35</v>
      </c>
      <c r="T503" s="65">
        <f t="shared" si="163"/>
        <v>0.9</v>
      </c>
      <c r="U503" s="64" t="e">
        <f t="shared" si="164"/>
        <v>#N/A</v>
      </c>
      <c r="V503" s="63">
        <f t="shared" si="155"/>
        <v>3.0760931179181377</v>
      </c>
      <c r="W503" s="63" t="str">
        <f t="shared" si="156"/>
        <v/>
      </c>
      <c r="X503" s="63">
        <f t="shared" si="165"/>
        <v>0</v>
      </c>
      <c r="Y503" s="30"/>
      <c r="Z503" s="30"/>
      <c r="AA503" s="30"/>
      <c r="AB503" s="55">
        <f>PMSplint!N139</f>
        <v>3.4745165592009837</v>
      </c>
      <c r="AC503" s="55">
        <f>PMSplint!N138</f>
        <v>3.4178812421312639</v>
      </c>
      <c r="AD503" s="55">
        <f>IF(RnSplint!N139&lt;0,0,RnSplint!N139)</f>
        <v>10.799327344395063</v>
      </c>
      <c r="AE503" s="55">
        <f>IF(RnSplint!N138&lt;0,0,RnSplint!N138)</f>
        <v>10.337403417838498</v>
      </c>
      <c r="AF503" s="30"/>
      <c r="AG503" s="30"/>
      <c r="AH503" s="30"/>
      <c r="AI503" s="30"/>
      <c r="AJ503" s="30"/>
      <c r="AK503" s="30"/>
      <c r="AL503" s="30"/>
      <c r="AM503" s="30"/>
      <c r="AN503" s="55">
        <f t="shared" si="146"/>
        <v>35.332017234173819</v>
      </c>
      <c r="AO503" s="55">
        <f t="shared" si="147"/>
        <v>5.944074127580663</v>
      </c>
      <c r="AP503" s="55">
        <f t="shared" si="148"/>
        <v>0.42731633985086626</v>
      </c>
      <c r="AQ503" s="55"/>
      <c r="AR503" s="55"/>
      <c r="AS503" s="55"/>
      <c r="AT503" s="55"/>
      <c r="AU503" s="30"/>
      <c r="AV503" s="30"/>
      <c r="AW503" s="2"/>
      <c r="AX503" s="2"/>
    </row>
    <row r="504" spans="1:50" x14ac:dyDescent="0.2">
      <c r="A504" s="2"/>
      <c r="B504" s="61">
        <f t="shared" si="149"/>
        <v>42095</v>
      </c>
      <c r="C504" s="62">
        <f t="shared" si="157"/>
        <v>91</v>
      </c>
      <c r="D504" s="63">
        <f t="shared" si="158"/>
        <v>3.4745165592009837</v>
      </c>
      <c r="G504" s="357" t="str">
        <f>IF(MakeSchedule!C471="","",MakeSchedule!C471)</f>
        <v/>
      </c>
      <c r="H504" s="358"/>
      <c r="I504" s="358"/>
      <c r="J504" s="359" t="str">
        <f>IF(MakeSchedule!B471="","",MakeSchedule!B471)</f>
        <v/>
      </c>
      <c r="K504" s="63">
        <f t="shared" si="150"/>
        <v>3.4745165592009837</v>
      </c>
      <c r="L504" s="63">
        <f t="shared" si="159"/>
        <v>3.4745165592009837</v>
      </c>
      <c r="M504" s="63">
        <f t="shared" si="160"/>
        <v>10.799327344395063</v>
      </c>
      <c r="N504" s="63" t="str">
        <f t="shared" si="151"/>
        <v/>
      </c>
      <c r="O504" s="64">
        <f t="shared" si="161"/>
        <v>0.41465620720815938</v>
      </c>
      <c r="P504" s="63" t="str">
        <f t="shared" si="162"/>
        <v/>
      </c>
      <c r="Q504" s="64" t="e">
        <f t="shared" si="152"/>
        <v>#N/A</v>
      </c>
      <c r="R504" s="63">
        <f t="shared" si="153"/>
        <v>0.41465620720815938</v>
      </c>
      <c r="S504" s="65">
        <f t="shared" si="154"/>
        <v>0.35</v>
      </c>
      <c r="T504" s="65">
        <f t="shared" si="163"/>
        <v>0.9</v>
      </c>
      <c r="U504" s="64" t="e">
        <f t="shared" si="164"/>
        <v>#N/A</v>
      </c>
      <c r="V504" s="63">
        <f t="shared" si="155"/>
        <v>3.1270649032808855</v>
      </c>
      <c r="W504" s="63" t="str">
        <f t="shared" si="156"/>
        <v/>
      </c>
      <c r="X504" s="63">
        <f t="shared" si="165"/>
        <v>0</v>
      </c>
      <c r="Y504" s="30"/>
      <c r="Z504" s="30"/>
      <c r="AA504" s="30"/>
      <c r="AB504" s="55">
        <f>PMSplint!N140</f>
        <v>3.5312563705989684</v>
      </c>
      <c r="AC504" s="55">
        <f>PMSplint!N139</f>
        <v>3.4745165592009837</v>
      </c>
      <c r="AD504" s="55">
        <f>IF(RnSplint!N140&lt;0,0,RnSplint!N140)</f>
        <v>11.263815258033055</v>
      </c>
      <c r="AE504" s="55">
        <f>IF(RnSplint!N139&lt;0,0,RnSplint!N139)</f>
        <v>10.799327344395063</v>
      </c>
      <c r="AF504" s="30"/>
      <c r="AG504" s="30"/>
      <c r="AH504" s="30"/>
      <c r="AI504" s="30"/>
      <c r="AJ504" s="30"/>
      <c r="AK504" s="30"/>
      <c r="AL504" s="30"/>
      <c r="AM504" s="30"/>
      <c r="AN504" s="55">
        <f t="shared" si="146"/>
        <v>37.522441686332634</v>
      </c>
      <c r="AO504" s="55">
        <f t="shared" si="147"/>
        <v>6.1255564389149688</v>
      </c>
      <c r="AP504" s="55">
        <f t="shared" si="148"/>
        <v>0.41465620720815938</v>
      </c>
      <c r="AQ504" s="55"/>
      <c r="AR504" s="55"/>
      <c r="AS504" s="55"/>
      <c r="AT504" s="55"/>
      <c r="AU504" s="30"/>
      <c r="AV504" s="30"/>
      <c r="AW504" s="2"/>
      <c r="AX504" s="2"/>
    </row>
    <row r="505" spans="1:50" x14ac:dyDescent="0.2">
      <c r="A505" s="2"/>
      <c r="B505" s="61">
        <f t="shared" si="149"/>
        <v>42096</v>
      </c>
      <c r="C505" s="62">
        <f t="shared" si="157"/>
        <v>92</v>
      </c>
      <c r="D505" s="63">
        <f t="shared" si="158"/>
        <v>3.5312563705989684</v>
      </c>
      <c r="G505" s="357" t="str">
        <f>IF(MakeSchedule!C472="","",MakeSchedule!C472)</f>
        <v/>
      </c>
      <c r="H505" s="358"/>
      <c r="I505" s="358"/>
      <c r="J505" s="359" t="str">
        <f>IF(MakeSchedule!B472="","",MakeSchedule!B472)</f>
        <v/>
      </c>
      <c r="K505" s="63">
        <f t="shared" si="150"/>
        <v>3.5312563705989684</v>
      </c>
      <c r="L505" s="63">
        <f t="shared" si="159"/>
        <v>3.5312563705989684</v>
      </c>
      <c r="M505" s="63">
        <f t="shared" si="160"/>
        <v>11.263815258033055</v>
      </c>
      <c r="N505" s="63" t="str">
        <f t="shared" si="151"/>
        <v/>
      </c>
      <c r="O505" s="64">
        <f t="shared" si="161"/>
        <v>0.40274145328325983</v>
      </c>
      <c r="P505" s="63" t="str">
        <f t="shared" si="162"/>
        <v/>
      </c>
      <c r="Q505" s="64" t="e">
        <f t="shared" si="152"/>
        <v>#N/A</v>
      </c>
      <c r="R505" s="63">
        <f t="shared" si="153"/>
        <v>0.40274145328325983</v>
      </c>
      <c r="S505" s="65">
        <f t="shared" si="154"/>
        <v>0.35</v>
      </c>
      <c r="T505" s="65">
        <f t="shared" si="163"/>
        <v>0.9</v>
      </c>
      <c r="U505" s="64" t="e">
        <f t="shared" si="164"/>
        <v>#N/A</v>
      </c>
      <c r="V505" s="63">
        <f t="shared" si="155"/>
        <v>3.1781307335390716</v>
      </c>
      <c r="W505" s="63" t="str">
        <f t="shared" si="156"/>
        <v/>
      </c>
      <c r="X505" s="63">
        <f t="shared" si="165"/>
        <v>0</v>
      </c>
      <c r="Y505" s="30"/>
      <c r="Z505" s="30"/>
      <c r="AA505" s="30"/>
      <c r="AB505" s="55">
        <f>PMSplint!N141</f>
        <v>3.5880194746024872</v>
      </c>
      <c r="AC505" s="55">
        <f>PMSplint!N140</f>
        <v>3.5312563705989684</v>
      </c>
      <c r="AD505" s="55">
        <f>IF(RnSplint!N141&lt;0,0,RnSplint!N141)</f>
        <v>11.729154823831168</v>
      </c>
      <c r="AE505" s="55">
        <f>IF(RnSplint!N140&lt;0,0,RnSplint!N140)</f>
        <v>11.263815258033055</v>
      </c>
      <c r="AF505" s="30"/>
      <c r="AG505" s="30"/>
      <c r="AH505" s="30"/>
      <c r="AI505" s="30"/>
      <c r="AJ505" s="30"/>
      <c r="AK505" s="30"/>
      <c r="AL505" s="30"/>
      <c r="AM505" s="30"/>
      <c r="AN505" s="55">
        <f t="shared" si="146"/>
        <v>39.775419387179092</v>
      </c>
      <c r="AO505" s="55">
        <f t="shared" si="147"/>
        <v>6.3067756728124627</v>
      </c>
      <c r="AP505" s="55">
        <f t="shared" si="148"/>
        <v>0.40274145328325983</v>
      </c>
      <c r="AQ505" s="55"/>
      <c r="AR505" s="55"/>
      <c r="AS505" s="55"/>
      <c r="AT505" s="55"/>
      <c r="AU505" s="30"/>
      <c r="AV505" s="30"/>
      <c r="AW505" s="2"/>
      <c r="AX505" s="2"/>
    </row>
    <row r="506" spans="1:50" x14ac:dyDescent="0.2">
      <c r="A506" s="2"/>
      <c r="B506" s="61">
        <f t="shared" si="149"/>
        <v>42097</v>
      </c>
      <c r="C506" s="62">
        <f t="shared" si="157"/>
        <v>93</v>
      </c>
      <c r="D506" s="63">
        <f t="shared" si="158"/>
        <v>3.5880194746024872</v>
      </c>
      <c r="G506" s="357" t="str">
        <f>IF(MakeSchedule!C473="","",MakeSchedule!C473)</f>
        <v/>
      </c>
      <c r="H506" s="358"/>
      <c r="I506" s="358"/>
      <c r="J506" s="359" t="str">
        <f>IF(MakeSchedule!B473="","",MakeSchedule!B473)</f>
        <v/>
      </c>
      <c r="K506" s="63">
        <f t="shared" si="150"/>
        <v>3.5880194746024872</v>
      </c>
      <c r="L506" s="63">
        <f t="shared" si="159"/>
        <v>3.5880194746024872</v>
      </c>
      <c r="M506" s="63">
        <f t="shared" si="160"/>
        <v>11.729154823831168</v>
      </c>
      <c r="N506" s="63" t="str">
        <f t="shared" si="151"/>
        <v/>
      </c>
      <c r="O506" s="64">
        <f t="shared" si="161"/>
        <v>0.39153713744238544</v>
      </c>
      <c r="P506" s="63" t="str">
        <f t="shared" si="162"/>
        <v/>
      </c>
      <c r="Q506" s="64" t="e">
        <f t="shared" si="152"/>
        <v>#N/A</v>
      </c>
      <c r="R506" s="63">
        <f t="shared" si="153"/>
        <v>0.39153713744238544</v>
      </c>
      <c r="S506" s="65">
        <f t="shared" si="154"/>
        <v>0.35</v>
      </c>
      <c r="T506" s="65">
        <f t="shared" si="163"/>
        <v>0.9</v>
      </c>
      <c r="U506" s="64" t="e">
        <f t="shared" si="164"/>
        <v>#N/A</v>
      </c>
      <c r="V506" s="63">
        <f t="shared" si="155"/>
        <v>3.2292175271422385</v>
      </c>
      <c r="W506" s="63" t="str">
        <f t="shared" si="156"/>
        <v/>
      </c>
      <c r="X506" s="63">
        <f t="shared" si="165"/>
        <v>0</v>
      </c>
      <c r="Y506" s="30"/>
      <c r="Z506" s="30"/>
      <c r="AA506" s="30"/>
      <c r="AB506" s="55">
        <f>PMSplint!N142</f>
        <v>3.6447246694888125</v>
      </c>
      <c r="AC506" s="55">
        <f>PMSplint!N141</f>
        <v>3.5880194746024872</v>
      </c>
      <c r="AD506" s="55">
        <f>IF(RnSplint!N142&lt;0,0,RnSplint!N142)</f>
        <v>12.193633706868091</v>
      </c>
      <c r="AE506" s="55">
        <f>IF(RnSplint!N141&lt;0,0,RnSplint!N141)</f>
        <v>11.729154823831168</v>
      </c>
      <c r="AF506" s="30"/>
      <c r="AG506" s="30"/>
      <c r="AH506" s="30"/>
      <c r="AI506" s="30"/>
      <c r="AJ506" s="30"/>
      <c r="AK506" s="30"/>
      <c r="AL506" s="30"/>
      <c r="AM506" s="30"/>
      <c r="AN506" s="55">
        <f t="shared" si="146"/>
        <v>42.084435928533935</v>
      </c>
      <c r="AO506" s="55">
        <f t="shared" si="147"/>
        <v>6.487251800919549</v>
      </c>
      <c r="AP506" s="55">
        <f t="shared" si="148"/>
        <v>0.39153713744238544</v>
      </c>
      <c r="AQ506" s="55"/>
      <c r="AR506" s="55"/>
      <c r="AS506" s="55"/>
      <c r="AT506" s="55"/>
      <c r="AU506" s="30"/>
      <c r="AV506" s="30"/>
      <c r="AW506" s="2"/>
      <c r="AX506" s="2"/>
    </row>
    <row r="507" spans="1:50" x14ac:dyDescent="0.2">
      <c r="A507" s="2"/>
      <c r="B507" s="61">
        <f t="shared" si="149"/>
        <v>42098</v>
      </c>
      <c r="C507" s="62">
        <f t="shared" si="157"/>
        <v>94</v>
      </c>
      <c r="D507" s="63">
        <f t="shared" si="158"/>
        <v>3.6447246694888125</v>
      </c>
      <c r="G507" s="357" t="str">
        <f>IF(MakeSchedule!C474="","",MakeSchedule!C474)</f>
        <v/>
      </c>
      <c r="H507" s="358"/>
      <c r="I507" s="358"/>
      <c r="J507" s="359" t="str">
        <f>IF(MakeSchedule!B474="","",MakeSchedule!B474)</f>
        <v/>
      </c>
      <c r="K507" s="63">
        <f t="shared" si="150"/>
        <v>3.6447246694888125</v>
      </c>
      <c r="L507" s="63">
        <f t="shared" si="159"/>
        <v>3.6447246694888125</v>
      </c>
      <c r="M507" s="63">
        <f t="shared" si="160"/>
        <v>12.193633706868091</v>
      </c>
      <c r="N507" s="63" t="str">
        <f t="shared" si="151"/>
        <v/>
      </c>
      <c r="O507" s="64">
        <f t="shared" si="161"/>
        <v>0.38100860220490645</v>
      </c>
      <c r="P507" s="63" t="str">
        <f t="shared" si="162"/>
        <v/>
      </c>
      <c r="Q507" s="64" t="e">
        <f t="shared" si="152"/>
        <v>#N/A</v>
      </c>
      <c r="R507" s="63">
        <f t="shared" si="153"/>
        <v>0.38100860220490645</v>
      </c>
      <c r="S507" s="65">
        <f t="shared" si="154"/>
        <v>0.35</v>
      </c>
      <c r="T507" s="65">
        <f t="shared" si="163"/>
        <v>0.9</v>
      </c>
      <c r="U507" s="64" t="e">
        <f t="shared" si="164"/>
        <v>#N/A</v>
      </c>
      <c r="V507" s="63">
        <f t="shared" si="155"/>
        <v>3.2802522025399314</v>
      </c>
      <c r="W507" s="63" t="str">
        <f t="shared" si="156"/>
        <v/>
      </c>
      <c r="X507" s="63">
        <f t="shared" si="165"/>
        <v>0</v>
      </c>
      <c r="Y507" s="30"/>
      <c r="Z507" s="30"/>
      <c r="AA507" s="30"/>
      <c r="AB507" s="55">
        <f>PMSplint!N143</f>
        <v>3.7012907535352157</v>
      </c>
      <c r="AC507" s="55">
        <f>PMSplint!N142</f>
        <v>3.6447246694888125</v>
      </c>
      <c r="AD507" s="55">
        <f>IF(RnSplint!N143&lt;0,0,RnSplint!N143)</f>
        <v>12.655539572222526</v>
      </c>
      <c r="AE507" s="55">
        <f>IF(RnSplint!N142&lt;0,0,RnSplint!N142)</f>
        <v>12.193633706868091</v>
      </c>
      <c r="AF507" s="30"/>
      <c r="AG507" s="30"/>
      <c r="AH507" s="30"/>
      <c r="AI507" s="30"/>
      <c r="AJ507" s="30"/>
      <c r="AK507" s="30"/>
      <c r="AL507" s="30"/>
      <c r="AM507" s="30"/>
      <c r="AN507" s="55">
        <f t="shared" ref="AN507:AN570" si="166">K507*M507</f>
        <v>44.442437582132449</v>
      </c>
      <c r="AO507" s="55">
        <f t="shared" ref="AO507:AO570" si="167">SQRT(AN507)</f>
        <v>6.6665161502941288</v>
      </c>
      <c r="AP507" s="55">
        <f t="shared" ref="AP507:AP570" si="168">IF(2.54/AO507&gt;1.22,1.22,2.54/AO507)</f>
        <v>0.38100860220490645</v>
      </c>
      <c r="AQ507" s="55"/>
      <c r="AR507" s="55"/>
      <c r="AS507" s="55"/>
      <c r="AT507" s="55"/>
      <c r="AU507" s="30"/>
      <c r="AV507" s="30"/>
      <c r="AW507" s="2"/>
      <c r="AX507" s="2"/>
    </row>
    <row r="508" spans="1:50" x14ac:dyDescent="0.2">
      <c r="A508" s="2"/>
      <c r="B508" s="61">
        <f t="shared" si="149"/>
        <v>42099</v>
      </c>
      <c r="C508" s="62">
        <f t="shared" si="157"/>
        <v>95</v>
      </c>
      <c r="D508" s="63">
        <f t="shared" si="158"/>
        <v>3.7012907535352157</v>
      </c>
      <c r="G508" s="357" t="str">
        <f>IF(MakeSchedule!C475="","",MakeSchedule!C475)</f>
        <v/>
      </c>
      <c r="H508" s="358"/>
      <c r="I508" s="358"/>
      <c r="J508" s="359" t="str">
        <f>IF(MakeSchedule!B475="","",MakeSchedule!B475)</f>
        <v/>
      </c>
      <c r="K508" s="63">
        <f t="shared" si="150"/>
        <v>3.7012907535352157</v>
      </c>
      <c r="L508" s="63">
        <f t="shared" si="159"/>
        <v>3.7012907535352157</v>
      </c>
      <c r="M508" s="63">
        <f t="shared" si="160"/>
        <v>12.655539572222526</v>
      </c>
      <c r="N508" s="63" t="str">
        <f t="shared" si="151"/>
        <v/>
      </c>
      <c r="O508" s="64">
        <f t="shared" si="161"/>
        <v>0.37112207045638901</v>
      </c>
      <c r="P508" s="63" t="str">
        <f t="shared" si="162"/>
        <v/>
      </c>
      <c r="Q508" s="64" t="e">
        <f t="shared" si="152"/>
        <v>#N/A</v>
      </c>
      <c r="R508" s="63">
        <f t="shared" si="153"/>
        <v>0.37112207045638901</v>
      </c>
      <c r="S508" s="65">
        <f t="shared" si="154"/>
        <v>0.35</v>
      </c>
      <c r="T508" s="65">
        <f t="shared" si="163"/>
        <v>0.9</v>
      </c>
      <c r="U508" s="64" t="e">
        <f t="shared" si="164"/>
        <v>#N/A</v>
      </c>
      <c r="V508" s="63">
        <f t="shared" si="155"/>
        <v>3.3311616781816942</v>
      </c>
      <c r="W508" s="63" t="str">
        <f t="shared" si="156"/>
        <v/>
      </c>
      <c r="X508" s="63">
        <f t="shared" si="165"/>
        <v>0</v>
      </c>
      <c r="Y508" s="30"/>
      <c r="Z508" s="30"/>
      <c r="AA508" s="30"/>
      <c r="AB508" s="55">
        <f>PMSplint!N144</f>
        <v>3.7576365250189658</v>
      </c>
      <c r="AC508" s="55">
        <f>PMSplint!N143</f>
        <v>3.7012907535352157</v>
      </c>
      <c r="AD508" s="55">
        <f>IF(RnSplint!N144&lt;0,0,RnSplint!N144)</f>
        <v>13.113160084973163</v>
      </c>
      <c r="AE508" s="55">
        <f>IF(RnSplint!N143&lt;0,0,RnSplint!N143)</f>
        <v>12.655539572222526</v>
      </c>
      <c r="AF508" s="30"/>
      <c r="AG508" s="30"/>
      <c r="AH508" s="30"/>
      <c r="AI508" s="30"/>
      <c r="AJ508" s="30"/>
      <c r="AK508" s="30"/>
      <c r="AL508" s="30"/>
      <c r="AM508" s="30"/>
      <c r="AN508" s="55">
        <f t="shared" si="166"/>
        <v>46.841831599666257</v>
      </c>
      <c r="AO508" s="55">
        <f t="shared" si="167"/>
        <v>6.8441092626919868</v>
      </c>
      <c r="AP508" s="55">
        <f t="shared" si="168"/>
        <v>0.37112207045638901</v>
      </c>
      <c r="AQ508" s="55"/>
      <c r="AR508" s="55"/>
      <c r="AS508" s="55"/>
      <c r="AT508" s="55"/>
      <c r="AU508" s="30"/>
      <c r="AV508" s="30"/>
      <c r="AW508" s="2"/>
      <c r="AX508" s="2"/>
    </row>
    <row r="509" spans="1:50" x14ac:dyDescent="0.2">
      <c r="A509" s="2"/>
      <c r="B509" s="61">
        <f t="shared" si="149"/>
        <v>42100</v>
      </c>
      <c r="C509" s="62">
        <f t="shared" si="157"/>
        <v>96</v>
      </c>
      <c r="D509" s="63">
        <f t="shared" si="158"/>
        <v>3.7576365250189658</v>
      </c>
      <c r="G509" s="357" t="str">
        <f>IF(MakeSchedule!C476="","",MakeSchedule!C476)</f>
        <v/>
      </c>
      <c r="H509" s="358"/>
      <c r="I509" s="358"/>
      <c r="J509" s="359" t="str">
        <f>IF(MakeSchedule!B476="","",MakeSchedule!B476)</f>
        <v/>
      </c>
      <c r="K509" s="63">
        <f t="shared" si="150"/>
        <v>3.7576365250189658</v>
      </c>
      <c r="L509" s="63">
        <f t="shared" si="159"/>
        <v>3.7576365250189658</v>
      </c>
      <c r="M509" s="63">
        <f t="shared" si="160"/>
        <v>13.113160084973163</v>
      </c>
      <c r="N509" s="63" t="str">
        <f t="shared" si="151"/>
        <v/>
      </c>
      <c r="O509" s="64">
        <f t="shared" si="161"/>
        <v>0.36184506237793085</v>
      </c>
      <c r="P509" s="63" t="str">
        <f t="shared" si="162"/>
        <v/>
      </c>
      <c r="Q509" s="64" t="e">
        <f t="shared" si="152"/>
        <v>#N/A</v>
      </c>
      <c r="R509" s="63">
        <f t="shared" si="153"/>
        <v>0.36184506237793085</v>
      </c>
      <c r="S509" s="65">
        <f t="shared" si="154"/>
        <v>0.35</v>
      </c>
      <c r="T509" s="65">
        <f t="shared" si="163"/>
        <v>0.9</v>
      </c>
      <c r="U509" s="64" t="e">
        <f t="shared" si="164"/>
        <v>#N/A</v>
      </c>
      <c r="V509" s="63">
        <f t="shared" si="155"/>
        <v>3.3818728725170693</v>
      </c>
      <c r="W509" s="63" t="str">
        <f t="shared" si="156"/>
        <v/>
      </c>
      <c r="X509" s="63">
        <f t="shared" si="165"/>
        <v>0</v>
      </c>
      <c r="Y509" s="30"/>
      <c r="Z509" s="30"/>
      <c r="AA509" s="30"/>
      <c r="AB509" s="55">
        <f>PMSplint!N145</f>
        <v>3.813680782217336</v>
      </c>
      <c r="AC509" s="55">
        <f>PMSplint!N144</f>
        <v>3.7576365250189658</v>
      </c>
      <c r="AD509" s="55">
        <f>IF(RnSplint!N145&lt;0,0,RnSplint!N145)</f>
        <v>13.564782910198696</v>
      </c>
      <c r="AE509" s="55">
        <f>IF(RnSplint!N144&lt;0,0,RnSplint!N144)</f>
        <v>13.113160084973163</v>
      </c>
      <c r="AF509" s="30"/>
      <c r="AG509" s="30"/>
      <c r="AH509" s="30"/>
      <c r="AI509" s="30"/>
      <c r="AJ509" s="30"/>
      <c r="AK509" s="30"/>
      <c r="AL509" s="30"/>
      <c r="AM509" s="30"/>
      <c r="AN509" s="55">
        <f t="shared" si="166"/>
        <v>49.274489293715966</v>
      </c>
      <c r="AO509" s="55">
        <f t="shared" si="167"/>
        <v>7.0195789968997406</v>
      </c>
      <c r="AP509" s="55">
        <f t="shared" si="168"/>
        <v>0.36184506237793085</v>
      </c>
      <c r="AQ509" s="55"/>
      <c r="AR509" s="55"/>
      <c r="AS509" s="55"/>
      <c r="AT509" s="55"/>
      <c r="AU509" s="30"/>
      <c r="AV509" s="30"/>
      <c r="AW509" s="2"/>
      <c r="AX509" s="2"/>
    </row>
    <row r="510" spans="1:50" x14ac:dyDescent="0.2">
      <c r="A510" s="2"/>
      <c r="B510" s="61">
        <f t="shared" si="149"/>
        <v>42101</v>
      </c>
      <c r="C510" s="62">
        <f t="shared" si="157"/>
        <v>97</v>
      </c>
      <c r="D510" s="63">
        <f t="shared" si="158"/>
        <v>3.813680782217336</v>
      </c>
      <c r="G510" s="357" t="str">
        <f>IF(MakeSchedule!C477="","",MakeSchedule!C477)</f>
        <v/>
      </c>
      <c r="H510" s="358"/>
      <c r="I510" s="358"/>
      <c r="J510" s="359" t="str">
        <f>IF(MakeSchedule!B477="","",MakeSchedule!B477)</f>
        <v/>
      </c>
      <c r="K510" s="63">
        <f t="shared" si="150"/>
        <v>3.813680782217336</v>
      </c>
      <c r="L510" s="63">
        <f t="shared" si="159"/>
        <v>3.813680782217336</v>
      </c>
      <c r="M510" s="63">
        <f t="shared" si="160"/>
        <v>13.564782910198696</v>
      </c>
      <c r="N510" s="63" t="str">
        <f t="shared" si="151"/>
        <v/>
      </c>
      <c r="O510" s="64">
        <f t="shared" si="161"/>
        <v>0.35314667663629973</v>
      </c>
      <c r="P510" s="63" t="str">
        <f t="shared" si="162"/>
        <v/>
      </c>
      <c r="Q510" s="64" t="e">
        <f t="shared" si="152"/>
        <v>#N/A</v>
      </c>
      <c r="R510" s="63">
        <f t="shared" si="153"/>
        <v>0.35314667663629973</v>
      </c>
      <c r="S510" s="65">
        <f t="shared" si="154"/>
        <v>0.35</v>
      </c>
      <c r="T510" s="65">
        <f t="shared" si="163"/>
        <v>0.9</v>
      </c>
      <c r="U510" s="64" t="e">
        <f t="shared" si="164"/>
        <v>#N/A</v>
      </c>
      <c r="V510" s="63">
        <f t="shared" si="155"/>
        <v>3.4323127039956023</v>
      </c>
      <c r="W510" s="63" t="str">
        <f t="shared" si="156"/>
        <v/>
      </c>
      <c r="X510" s="63">
        <f t="shared" si="165"/>
        <v>0</v>
      </c>
      <c r="Y510" s="30"/>
      <c r="Z510" s="30"/>
      <c r="AA510" s="30"/>
      <c r="AB510" s="55">
        <f>PMSplint!N146</f>
        <v>3.8693423234075963</v>
      </c>
      <c r="AC510" s="55">
        <f>PMSplint!N145</f>
        <v>3.813680782217336</v>
      </c>
      <c r="AD510" s="55">
        <f>IF(RnSplint!N146&lt;0,0,RnSplint!N146)</f>
        <v>14.008695712977824</v>
      </c>
      <c r="AE510" s="55">
        <f>IF(RnSplint!N145&lt;0,0,RnSplint!N145)</f>
        <v>13.564782910198696</v>
      </c>
      <c r="AF510" s="30"/>
      <c r="AG510" s="30"/>
      <c r="AH510" s="30"/>
      <c r="AI510" s="30"/>
      <c r="AJ510" s="30"/>
      <c r="AK510" s="30"/>
      <c r="AL510" s="30"/>
      <c r="AM510" s="30"/>
      <c r="AN510" s="55">
        <f t="shared" si="166"/>
        <v>51.731751899574917</v>
      </c>
      <c r="AO510" s="55">
        <f t="shared" si="167"/>
        <v>7.1924788424836477</v>
      </c>
      <c r="AP510" s="55">
        <f t="shared" si="168"/>
        <v>0.35314667663629973</v>
      </c>
      <c r="AQ510" s="55"/>
      <c r="AR510" s="55"/>
      <c r="AS510" s="55"/>
      <c r="AT510" s="55"/>
      <c r="AU510" s="30"/>
      <c r="AV510" s="30"/>
      <c r="AW510" s="2"/>
      <c r="AX510" s="2"/>
    </row>
    <row r="511" spans="1:50" x14ac:dyDescent="0.2">
      <c r="A511" s="2"/>
      <c r="B511" s="61">
        <f t="shared" si="149"/>
        <v>42102</v>
      </c>
      <c r="C511" s="62">
        <f t="shared" si="157"/>
        <v>98</v>
      </c>
      <c r="D511" s="63">
        <f t="shared" si="158"/>
        <v>3.8693423234075963</v>
      </c>
      <c r="G511" s="357" t="str">
        <f>IF(MakeSchedule!C478="","",MakeSchedule!C478)</f>
        <v/>
      </c>
      <c r="H511" s="358"/>
      <c r="I511" s="358"/>
      <c r="J511" s="359" t="str">
        <f>IF(MakeSchedule!B478="","",MakeSchedule!B478)</f>
        <v/>
      </c>
      <c r="K511" s="63">
        <f t="shared" si="150"/>
        <v>3.8693423234075963</v>
      </c>
      <c r="L511" s="63">
        <f t="shared" si="159"/>
        <v>3.8693423234075963</v>
      </c>
      <c r="M511" s="63">
        <f t="shared" si="160"/>
        <v>14.008695712977824</v>
      </c>
      <c r="N511" s="63" t="str">
        <f t="shared" si="151"/>
        <v/>
      </c>
      <c r="O511" s="64">
        <f t="shared" si="161"/>
        <v>0.34499777070006349</v>
      </c>
      <c r="P511" s="63" t="str">
        <f t="shared" si="162"/>
        <v/>
      </c>
      <c r="Q511" s="64" t="e">
        <f t="shared" si="152"/>
        <v>#N/A</v>
      </c>
      <c r="R511" s="63">
        <f t="shared" si="153"/>
        <v>0.34499777070006349</v>
      </c>
      <c r="S511" s="65">
        <f t="shared" si="154"/>
        <v>0.35</v>
      </c>
      <c r="T511" s="65">
        <f t="shared" si="163"/>
        <v>0.9</v>
      </c>
      <c r="U511" s="64" t="e">
        <f t="shared" si="164"/>
        <v>#N/A</v>
      </c>
      <c r="V511" s="63">
        <f t="shared" si="155"/>
        <v>3.4824080910668367</v>
      </c>
      <c r="W511" s="63" t="str">
        <f t="shared" si="156"/>
        <v/>
      </c>
      <c r="X511" s="63">
        <f t="shared" si="165"/>
        <v>0</v>
      </c>
      <c r="Y511" s="30"/>
      <c r="Z511" s="30"/>
      <c r="AA511" s="30"/>
      <c r="AB511" s="55">
        <f>PMSplint!N147</f>
        <v>3.9245399468670183</v>
      </c>
      <c r="AC511" s="55">
        <f>PMSplint!N146</f>
        <v>3.8693423234075963</v>
      </c>
      <c r="AD511" s="55">
        <f>IF(RnSplint!N147&lt;0,0,RnSplint!N147)</f>
        <v>14.443186158389237</v>
      </c>
      <c r="AE511" s="55">
        <f>IF(RnSplint!N146&lt;0,0,RnSplint!N146)</f>
        <v>14.008695712977824</v>
      </c>
      <c r="AF511" s="30"/>
      <c r="AG511" s="30"/>
      <c r="AH511" s="30"/>
      <c r="AI511" s="30"/>
      <c r="AJ511" s="30"/>
      <c r="AK511" s="30"/>
      <c r="AL511" s="30"/>
      <c r="AM511" s="30"/>
      <c r="AN511" s="55">
        <f t="shared" si="166"/>
        <v>54.204439217963646</v>
      </c>
      <c r="AO511" s="55">
        <f t="shared" si="167"/>
        <v>7.3623664142695073</v>
      </c>
      <c r="AP511" s="55">
        <f t="shared" si="168"/>
        <v>0.34499777070006349</v>
      </c>
      <c r="AQ511" s="55"/>
      <c r="AR511" s="55"/>
      <c r="AS511" s="55"/>
      <c r="AT511" s="55"/>
      <c r="AU511" s="30"/>
      <c r="AV511" s="30"/>
      <c r="AW511" s="2"/>
      <c r="AX511" s="2"/>
    </row>
    <row r="512" spans="1:50" x14ac:dyDescent="0.2">
      <c r="A512" s="2"/>
      <c r="B512" s="61">
        <f t="shared" si="149"/>
        <v>42103</v>
      </c>
      <c r="C512" s="62">
        <f t="shared" si="157"/>
        <v>99</v>
      </c>
      <c r="D512" s="63">
        <f t="shared" si="158"/>
        <v>3.9245399468670183</v>
      </c>
      <c r="G512" s="357" t="str">
        <f>IF(MakeSchedule!C479="","",MakeSchedule!C479)</f>
        <v/>
      </c>
      <c r="H512" s="358"/>
      <c r="I512" s="358"/>
      <c r="J512" s="359" t="str">
        <f>IF(MakeSchedule!B479="","",MakeSchedule!B479)</f>
        <v/>
      </c>
      <c r="K512" s="63">
        <f t="shared" si="150"/>
        <v>3.9245399468670183</v>
      </c>
      <c r="L512" s="63">
        <f t="shared" si="159"/>
        <v>3.9245399468670183</v>
      </c>
      <c r="M512" s="63">
        <f t="shared" si="160"/>
        <v>14.443186158389237</v>
      </c>
      <c r="N512" s="63" t="str">
        <f t="shared" si="151"/>
        <v/>
      </c>
      <c r="O512" s="64">
        <f t="shared" si="161"/>
        <v>0.33737106737076944</v>
      </c>
      <c r="P512" s="63" t="str">
        <f t="shared" si="162"/>
        <v/>
      </c>
      <c r="Q512" s="64" t="e">
        <f t="shared" si="152"/>
        <v>#N/A</v>
      </c>
      <c r="R512" s="63">
        <f t="shared" si="153"/>
        <v>0.33737106737076944</v>
      </c>
      <c r="S512" s="65">
        <f t="shared" si="154"/>
        <v>0.35</v>
      </c>
      <c r="T512" s="65">
        <f t="shared" si="163"/>
        <v>0.9</v>
      </c>
      <c r="U512" s="64" t="e">
        <f t="shared" si="164"/>
        <v>#N/A</v>
      </c>
      <c r="V512" s="63">
        <f t="shared" si="155"/>
        <v>3.5320859521803167</v>
      </c>
      <c r="W512" s="63" t="str">
        <f t="shared" si="156"/>
        <v/>
      </c>
      <c r="X512" s="63">
        <f t="shared" si="165"/>
        <v>0</v>
      </c>
      <c r="Y512" s="30"/>
      <c r="Z512" s="30"/>
      <c r="AA512" s="30"/>
      <c r="AB512" s="55">
        <f>PMSplint!N148</f>
        <v>3.9791924508728735</v>
      </c>
      <c r="AC512" s="55">
        <f>PMSplint!N147</f>
        <v>3.9245399468670183</v>
      </c>
      <c r="AD512" s="55">
        <f>IF(RnSplint!N148&lt;0,0,RnSplint!N148)</f>
        <v>14.86654191151163</v>
      </c>
      <c r="AE512" s="55">
        <f>IF(RnSplint!N147&lt;0,0,RnSplint!N147)</f>
        <v>14.443186158389237</v>
      </c>
      <c r="AF512" s="30"/>
      <c r="AG512" s="30"/>
      <c r="AH512" s="30"/>
      <c r="AI512" s="30"/>
      <c r="AJ512" s="30"/>
      <c r="AK512" s="30"/>
      <c r="AL512" s="30"/>
      <c r="AM512" s="30"/>
      <c r="AN512" s="55">
        <f t="shared" si="166"/>
        <v>56.682861038635352</v>
      </c>
      <c r="AO512" s="55">
        <f t="shared" si="167"/>
        <v>7.5288020985170911</v>
      </c>
      <c r="AP512" s="55">
        <f t="shared" si="168"/>
        <v>0.33737106737076944</v>
      </c>
      <c r="AQ512" s="55"/>
      <c r="AR512" s="55"/>
      <c r="AS512" s="55"/>
      <c r="AT512" s="55"/>
      <c r="AU512" s="30"/>
      <c r="AV512" s="30"/>
      <c r="AW512" s="2"/>
      <c r="AX512" s="2"/>
    </row>
    <row r="513" spans="1:50" x14ac:dyDescent="0.2">
      <c r="A513" s="2"/>
      <c r="B513" s="61">
        <f t="shared" si="149"/>
        <v>42104</v>
      </c>
      <c r="C513" s="62">
        <f t="shared" si="157"/>
        <v>100</v>
      </c>
      <c r="D513" s="63">
        <f t="shared" si="158"/>
        <v>3.9791924508728735</v>
      </c>
      <c r="G513" s="357" t="str">
        <f>IF(MakeSchedule!C480="","",MakeSchedule!C480)</f>
        <v/>
      </c>
      <c r="H513" s="358"/>
      <c r="I513" s="358"/>
      <c r="J513" s="359" t="str">
        <f>IF(MakeSchedule!B480="","",MakeSchedule!B480)</f>
        <v/>
      </c>
      <c r="K513" s="63">
        <f t="shared" si="150"/>
        <v>3.9791924508728735</v>
      </c>
      <c r="L513" s="63">
        <f t="shared" si="159"/>
        <v>3.9791924508728735</v>
      </c>
      <c r="M513" s="63">
        <f t="shared" si="160"/>
        <v>14.86654191151163</v>
      </c>
      <c r="N513" s="63" t="str">
        <f t="shared" si="151"/>
        <v/>
      </c>
      <c r="O513" s="64">
        <f t="shared" si="161"/>
        <v>0.33024120846269861</v>
      </c>
      <c r="P513" s="63" t="str">
        <f t="shared" si="162"/>
        <v/>
      </c>
      <c r="Q513" s="64" t="e">
        <f t="shared" si="152"/>
        <v>#N/A</v>
      </c>
      <c r="R513" s="63">
        <f t="shared" si="153"/>
        <v>0.33024120846269861</v>
      </c>
      <c r="S513" s="65">
        <f t="shared" si="154"/>
        <v>0.35</v>
      </c>
      <c r="T513" s="65">
        <f t="shared" si="163"/>
        <v>0.9</v>
      </c>
      <c r="U513" s="64" t="e">
        <f t="shared" si="164"/>
        <v>#N/A</v>
      </c>
      <c r="V513" s="63">
        <f t="shared" si="155"/>
        <v>3.5812732057855863</v>
      </c>
      <c r="W513" s="63" t="str">
        <f t="shared" si="156"/>
        <v/>
      </c>
      <c r="X513" s="63">
        <f t="shared" si="165"/>
        <v>0</v>
      </c>
      <c r="Y513" s="30"/>
      <c r="Z513" s="30"/>
      <c r="AA513" s="30"/>
      <c r="AB513" s="55">
        <f>PMSplint!N149</f>
        <v>4.0332186337024316</v>
      </c>
      <c r="AC513" s="55">
        <f>PMSplint!N148</f>
        <v>3.9791924508728735</v>
      </c>
      <c r="AD513" s="55">
        <f>IF(RnSplint!N149&lt;0,0,RnSplint!N149)</f>
        <v>15.277050637423697</v>
      </c>
      <c r="AE513" s="55">
        <f>IF(RnSplint!N148&lt;0,0,RnSplint!N148)</f>
        <v>14.86654191151163</v>
      </c>
      <c r="AF513" s="30"/>
      <c r="AG513" s="30"/>
      <c r="AH513" s="30"/>
      <c r="AI513" s="30"/>
      <c r="AJ513" s="30"/>
      <c r="AK513" s="30"/>
      <c r="AL513" s="30"/>
      <c r="AM513" s="30"/>
      <c r="AN513" s="55">
        <f t="shared" si="166"/>
        <v>59.156831344872259</v>
      </c>
      <c r="AO513" s="55">
        <f t="shared" si="167"/>
        <v>7.6913478236829373</v>
      </c>
      <c r="AP513" s="55">
        <f t="shared" si="168"/>
        <v>0.33024120846269861</v>
      </c>
      <c r="AQ513" s="55"/>
      <c r="AR513" s="55"/>
      <c r="AS513" s="55"/>
      <c r="AT513" s="55"/>
      <c r="AU513" s="30"/>
      <c r="AV513" s="30"/>
      <c r="AW513" s="2"/>
      <c r="AX513" s="2"/>
    </row>
    <row r="514" spans="1:50" x14ac:dyDescent="0.2">
      <c r="A514" s="2"/>
      <c r="B514" s="61">
        <f t="shared" si="149"/>
        <v>42105</v>
      </c>
      <c r="C514" s="62">
        <f t="shared" si="157"/>
        <v>101</v>
      </c>
      <c r="D514" s="63">
        <f t="shared" si="158"/>
        <v>4.0332186337024316</v>
      </c>
      <c r="G514" s="357" t="str">
        <f>IF(MakeSchedule!C481="","",MakeSchedule!C481)</f>
        <v/>
      </c>
      <c r="H514" s="358"/>
      <c r="I514" s="358"/>
      <c r="J514" s="359" t="str">
        <f>IF(MakeSchedule!B481="","",MakeSchedule!B481)</f>
        <v/>
      </c>
      <c r="K514" s="63">
        <f t="shared" si="150"/>
        <v>4.0332186337024316</v>
      </c>
      <c r="L514" s="63">
        <f t="shared" si="159"/>
        <v>4.0332186337024316</v>
      </c>
      <c r="M514" s="63">
        <f t="shared" si="160"/>
        <v>15.277050637423697</v>
      </c>
      <c r="N514" s="63" t="str">
        <f t="shared" si="151"/>
        <v/>
      </c>
      <c r="O514" s="64">
        <f t="shared" si="161"/>
        <v>0.3235847717512062</v>
      </c>
      <c r="P514" s="63" t="str">
        <f t="shared" si="162"/>
        <v/>
      </c>
      <c r="Q514" s="64" t="e">
        <f t="shared" si="152"/>
        <v>#N/A</v>
      </c>
      <c r="R514" s="63">
        <f t="shared" si="153"/>
        <v>0.3235847717512062</v>
      </c>
      <c r="S514" s="65">
        <f t="shared" si="154"/>
        <v>0.35</v>
      </c>
      <c r="T514" s="65">
        <f t="shared" si="163"/>
        <v>0.9</v>
      </c>
      <c r="U514" s="64" t="e">
        <f t="shared" si="164"/>
        <v>#N/A</v>
      </c>
      <c r="V514" s="63">
        <f t="shared" si="155"/>
        <v>3.6298967703321887</v>
      </c>
      <c r="W514" s="63" t="str">
        <f t="shared" si="156"/>
        <v/>
      </c>
      <c r="X514" s="63">
        <f t="shared" si="165"/>
        <v>0</v>
      </c>
      <c r="Y514" s="30"/>
      <c r="Z514" s="30"/>
      <c r="AA514" s="30"/>
      <c r="AB514" s="55">
        <f>PMSplint!N150</f>
        <v>4.0865372936329658</v>
      </c>
      <c r="AC514" s="55">
        <f>PMSplint!N149</f>
        <v>4.0332186337024316</v>
      </c>
      <c r="AD514" s="55">
        <f>IF(RnSplint!N150&lt;0,0,RnSplint!N150)</f>
        <v>15.673000001204137</v>
      </c>
      <c r="AE514" s="55">
        <f>IF(RnSplint!N149&lt;0,0,RnSplint!N149)</f>
        <v>15.277050637423697</v>
      </c>
      <c r="AF514" s="30"/>
      <c r="AG514" s="30"/>
      <c r="AH514" s="30"/>
      <c r="AI514" s="30"/>
      <c r="AJ514" s="30"/>
      <c r="AK514" s="30"/>
      <c r="AL514" s="30"/>
      <c r="AM514" s="30"/>
      <c r="AN514" s="55">
        <f t="shared" si="166"/>
        <v>61.615685298872862</v>
      </c>
      <c r="AO514" s="55">
        <f t="shared" si="167"/>
        <v>7.8495659306023322</v>
      </c>
      <c r="AP514" s="55">
        <f t="shared" si="168"/>
        <v>0.3235847717512062</v>
      </c>
      <c r="AQ514" s="55"/>
      <c r="AR514" s="55"/>
      <c r="AS514" s="55"/>
      <c r="AT514" s="55"/>
      <c r="AU514" s="30"/>
      <c r="AV514" s="30"/>
      <c r="AW514" s="2"/>
      <c r="AX514" s="2"/>
    </row>
    <row r="515" spans="1:50" x14ac:dyDescent="0.2">
      <c r="A515" s="2"/>
      <c r="B515" s="61">
        <f t="shared" si="149"/>
        <v>42106</v>
      </c>
      <c r="C515" s="62">
        <f t="shared" si="157"/>
        <v>102</v>
      </c>
      <c r="D515" s="63">
        <f t="shared" si="158"/>
        <v>4.0865372936329658</v>
      </c>
      <c r="G515" s="357" t="str">
        <f>IF(MakeSchedule!C482="","",MakeSchedule!C482)</f>
        <v/>
      </c>
      <c r="H515" s="358"/>
      <c r="I515" s="358"/>
      <c r="J515" s="359" t="str">
        <f>IF(MakeSchedule!B482="","",MakeSchedule!B482)</f>
        <v/>
      </c>
      <c r="K515" s="63">
        <f t="shared" si="150"/>
        <v>4.0865372936329658</v>
      </c>
      <c r="L515" s="63">
        <f t="shared" si="159"/>
        <v>4.0865372936329658</v>
      </c>
      <c r="M515" s="63">
        <f t="shared" si="160"/>
        <v>15.673000001204137</v>
      </c>
      <c r="N515" s="63" t="str">
        <f t="shared" si="151"/>
        <v/>
      </c>
      <c r="O515" s="64">
        <f t="shared" si="161"/>
        <v>0.31738026358695332</v>
      </c>
      <c r="P515" s="63" t="str">
        <f t="shared" si="162"/>
        <v/>
      </c>
      <c r="Q515" s="64" t="e">
        <f t="shared" si="152"/>
        <v>#N/A</v>
      </c>
      <c r="R515" s="63">
        <f t="shared" si="153"/>
        <v>0.31738026358695332</v>
      </c>
      <c r="S515" s="65">
        <f t="shared" si="154"/>
        <v>0.35</v>
      </c>
      <c r="T515" s="65">
        <f t="shared" si="163"/>
        <v>0.9</v>
      </c>
      <c r="U515" s="64" t="e">
        <f t="shared" si="164"/>
        <v>#N/A</v>
      </c>
      <c r="V515" s="63">
        <f t="shared" si="155"/>
        <v>3.6778835642696692</v>
      </c>
      <c r="W515" s="63" t="str">
        <f t="shared" si="156"/>
        <v/>
      </c>
      <c r="X515" s="63">
        <f t="shared" si="165"/>
        <v>0</v>
      </c>
      <c r="Y515" s="30"/>
      <c r="Z515" s="30"/>
      <c r="AA515" s="30"/>
      <c r="AB515" s="55">
        <f>PMSplint!N151</f>
        <v>4.1390672289417454</v>
      </c>
      <c r="AC515" s="55">
        <f>PMSplint!N150</f>
        <v>4.0865372936329658</v>
      </c>
      <c r="AD515" s="55">
        <f>IF(RnSplint!N151&lt;0,0,RnSplint!N151)</f>
        <v>16.05267766793164</v>
      </c>
      <c r="AE515" s="55">
        <f>IF(RnSplint!N150&lt;0,0,RnSplint!N150)</f>
        <v>15.673000001204137</v>
      </c>
      <c r="AF515" s="30"/>
      <c r="AG515" s="30"/>
      <c r="AH515" s="30"/>
      <c r="AI515" s="30"/>
      <c r="AJ515" s="30"/>
      <c r="AK515" s="30"/>
      <c r="AL515" s="30"/>
      <c r="AM515" s="30"/>
      <c r="AN515" s="55">
        <f t="shared" si="166"/>
        <v>64.048299008030227</v>
      </c>
      <c r="AO515" s="55">
        <f t="shared" si="167"/>
        <v>8.0030181186868639</v>
      </c>
      <c r="AP515" s="55">
        <f t="shared" si="168"/>
        <v>0.31738026358695332</v>
      </c>
      <c r="AQ515" s="55"/>
      <c r="AR515" s="55"/>
      <c r="AS515" s="55"/>
      <c r="AT515" s="55"/>
      <c r="AU515" s="30"/>
      <c r="AV515" s="30"/>
      <c r="AW515" s="2"/>
      <c r="AX515" s="2"/>
    </row>
    <row r="516" spans="1:50" x14ac:dyDescent="0.2">
      <c r="A516" s="2"/>
      <c r="B516" s="61">
        <f t="shared" si="149"/>
        <v>42107</v>
      </c>
      <c r="C516" s="62">
        <f t="shared" si="157"/>
        <v>103</v>
      </c>
      <c r="D516" s="63">
        <f t="shared" si="158"/>
        <v>4.1390672289417454</v>
      </c>
      <c r="G516" s="357" t="str">
        <f>IF(MakeSchedule!C483="","",MakeSchedule!C483)</f>
        <v/>
      </c>
      <c r="H516" s="358"/>
      <c r="I516" s="358"/>
      <c r="J516" s="359" t="str">
        <f>IF(MakeSchedule!B483="","",MakeSchedule!B483)</f>
        <v/>
      </c>
      <c r="K516" s="63">
        <f t="shared" si="150"/>
        <v>4.1390672289417454</v>
      </c>
      <c r="L516" s="63">
        <f t="shared" si="159"/>
        <v>4.1390672289417454</v>
      </c>
      <c r="M516" s="63">
        <f t="shared" si="160"/>
        <v>16.05267766793164</v>
      </c>
      <c r="N516" s="63" t="str">
        <f t="shared" si="151"/>
        <v/>
      </c>
      <c r="O516" s="64">
        <f t="shared" si="161"/>
        <v>0.31160809672663359</v>
      </c>
      <c r="P516" s="63" t="str">
        <f t="shared" si="162"/>
        <v/>
      </c>
      <c r="Q516" s="64" t="e">
        <f t="shared" si="152"/>
        <v>#N/A</v>
      </c>
      <c r="R516" s="63">
        <f t="shared" si="153"/>
        <v>0.31160809672663359</v>
      </c>
      <c r="S516" s="65">
        <f t="shared" si="154"/>
        <v>0.35</v>
      </c>
      <c r="T516" s="65">
        <f t="shared" si="163"/>
        <v>0.9</v>
      </c>
      <c r="U516" s="64" t="e">
        <f t="shared" si="164"/>
        <v>#N/A</v>
      </c>
      <c r="V516" s="63">
        <f t="shared" si="155"/>
        <v>3.7251605060475708</v>
      </c>
      <c r="W516" s="63" t="str">
        <f t="shared" si="156"/>
        <v/>
      </c>
      <c r="X516" s="63">
        <f t="shared" si="165"/>
        <v>0</v>
      </c>
      <c r="Y516" s="30"/>
      <c r="Z516" s="30"/>
      <c r="AA516" s="30"/>
      <c r="AB516" s="55">
        <f>PMSplint!N152</f>
        <v>4.1907272379060423</v>
      </c>
      <c r="AC516" s="55">
        <f>PMSplint!N151</f>
        <v>4.1390672289417454</v>
      </c>
      <c r="AD516" s="55">
        <f>IF(RnSplint!N152&lt;0,0,RnSplint!N152)</f>
        <v>16.414371302684899</v>
      </c>
      <c r="AE516" s="55">
        <f>IF(RnSplint!N151&lt;0,0,RnSplint!N151)</f>
        <v>16.05267766793164</v>
      </c>
      <c r="AF516" s="30"/>
      <c r="AG516" s="30"/>
      <c r="AH516" s="30"/>
      <c r="AI516" s="30"/>
      <c r="AJ516" s="30"/>
      <c r="AK516" s="30"/>
      <c r="AL516" s="30"/>
      <c r="AM516" s="30"/>
      <c r="AN516" s="55">
        <f t="shared" si="166"/>
        <v>66.443112072100845</v>
      </c>
      <c r="AO516" s="55">
        <f t="shared" si="167"/>
        <v>8.1512644462132897</v>
      </c>
      <c r="AP516" s="55">
        <f t="shared" si="168"/>
        <v>0.31160809672663359</v>
      </c>
      <c r="AQ516" s="55"/>
      <c r="AR516" s="55"/>
      <c r="AS516" s="55"/>
      <c r="AT516" s="55"/>
      <c r="AU516" s="30"/>
      <c r="AV516" s="30"/>
      <c r="AW516" s="2"/>
      <c r="AX516" s="2"/>
    </row>
    <row r="517" spans="1:50" x14ac:dyDescent="0.2">
      <c r="A517" s="2"/>
      <c r="B517" s="61">
        <f t="shared" si="149"/>
        <v>42108</v>
      </c>
      <c r="C517" s="62">
        <f t="shared" si="157"/>
        <v>104</v>
      </c>
      <c r="D517" s="63">
        <f t="shared" si="158"/>
        <v>4.1907272379060423</v>
      </c>
      <c r="G517" s="357" t="str">
        <f>IF(MakeSchedule!C484="","",MakeSchedule!C484)</f>
        <v/>
      </c>
      <c r="H517" s="358"/>
      <c r="I517" s="358"/>
      <c r="J517" s="359" t="str">
        <f>IF(MakeSchedule!B484="","",MakeSchedule!B484)</f>
        <v/>
      </c>
      <c r="K517" s="63">
        <f t="shared" si="150"/>
        <v>4.1907272379060423</v>
      </c>
      <c r="L517" s="63">
        <f t="shared" si="159"/>
        <v>4.1907272379060423</v>
      </c>
      <c r="M517" s="63">
        <f t="shared" si="160"/>
        <v>16.414371302684899</v>
      </c>
      <c r="N517" s="63" t="str">
        <f t="shared" si="151"/>
        <v/>
      </c>
      <c r="O517" s="64">
        <f t="shared" si="161"/>
        <v>0.30625056078294777</v>
      </c>
      <c r="P517" s="63" t="str">
        <f t="shared" si="162"/>
        <v/>
      </c>
      <c r="Q517" s="64" t="e">
        <f t="shared" si="152"/>
        <v>#N/A</v>
      </c>
      <c r="R517" s="63">
        <f t="shared" si="153"/>
        <v>0.30625056078294777</v>
      </c>
      <c r="S517" s="65">
        <f t="shared" si="154"/>
        <v>0.35</v>
      </c>
      <c r="T517" s="65">
        <f t="shared" si="163"/>
        <v>0.9</v>
      </c>
      <c r="U517" s="64" t="e">
        <f t="shared" si="164"/>
        <v>#N/A</v>
      </c>
      <c r="V517" s="63">
        <f t="shared" si="155"/>
        <v>3.7716545141154381</v>
      </c>
      <c r="W517" s="63" t="str">
        <f t="shared" si="156"/>
        <v/>
      </c>
      <c r="X517" s="63">
        <f t="shared" si="165"/>
        <v>0</v>
      </c>
      <c r="Y517" s="30"/>
      <c r="Z517" s="30"/>
      <c r="AA517" s="30"/>
      <c r="AB517" s="55">
        <f>PMSplint!N153</f>
        <v>4.2414361188031267</v>
      </c>
      <c r="AC517" s="55">
        <f>PMSplint!N152</f>
        <v>4.1907272379060423</v>
      </c>
      <c r="AD517" s="55">
        <f>IF(RnSplint!N153&lt;0,0,RnSplint!N153)</f>
        <v>16.756368570542609</v>
      </c>
      <c r="AE517" s="55">
        <f>IF(RnSplint!N152&lt;0,0,RnSplint!N152)</f>
        <v>16.414371302684899</v>
      </c>
      <c r="AF517" s="30"/>
      <c r="AG517" s="30"/>
      <c r="AH517" s="30"/>
      <c r="AI517" s="30"/>
      <c r="AJ517" s="30"/>
      <c r="AK517" s="30"/>
      <c r="AL517" s="30"/>
      <c r="AM517" s="30"/>
      <c r="AN517" s="55">
        <f t="shared" si="166"/>
        <v>68.788152911264888</v>
      </c>
      <c r="AO517" s="55">
        <f t="shared" si="167"/>
        <v>8.2938623638968654</v>
      </c>
      <c r="AP517" s="55">
        <f t="shared" si="168"/>
        <v>0.30625056078294777</v>
      </c>
      <c r="AQ517" s="55"/>
      <c r="AR517" s="55"/>
      <c r="AS517" s="55"/>
      <c r="AT517" s="55"/>
      <c r="AU517" s="30"/>
      <c r="AV517" s="30"/>
      <c r="AW517" s="2"/>
      <c r="AX517" s="2"/>
    </row>
    <row r="518" spans="1:50" x14ac:dyDescent="0.2">
      <c r="A518" s="2"/>
      <c r="B518" s="61">
        <f t="shared" si="149"/>
        <v>42109</v>
      </c>
      <c r="C518" s="62">
        <f t="shared" si="157"/>
        <v>105</v>
      </c>
      <c r="D518" s="63">
        <f t="shared" si="158"/>
        <v>4.2414361188031267</v>
      </c>
      <c r="G518" s="357" t="str">
        <f>IF(MakeSchedule!C485="","",MakeSchedule!C485)</f>
        <v/>
      </c>
      <c r="H518" s="358"/>
      <c r="I518" s="358"/>
      <c r="J518" s="359" t="str">
        <f>IF(MakeSchedule!B485="","",MakeSchedule!B485)</f>
        <v/>
      </c>
      <c r="K518" s="63">
        <f t="shared" si="150"/>
        <v>4.2414361188031267</v>
      </c>
      <c r="L518" s="63">
        <f t="shared" si="159"/>
        <v>4.2414361188031267</v>
      </c>
      <c r="M518" s="63">
        <f t="shared" si="160"/>
        <v>16.756368570542609</v>
      </c>
      <c r="N518" s="63" t="str">
        <f t="shared" si="151"/>
        <v/>
      </c>
      <c r="O518" s="64">
        <f t="shared" si="161"/>
        <v>0.30129179110552351</v>
      </c>
      <c r="P518" s="63" t="str">
        <f t="shared" si="162"/>
        <v/>
      </c>
      <c r="Q518" s="64" t="e">
        <f t="shared" si="152"/>
        <v>#N/A</v>
      </c>
      <c r="R518" s="63">
        <f t="shared" si="153"/>
        <v>0.30129179110552351</v>
      </c>
      <c r="S518" s="65">
        <f t="shared" si="154"/>
        <v>0.35</v>
      </c>
      <c r="T518" s="65">
        <f t="shared" si="163"/>
        <v>0.9</v>
      </c>
      <c r="U518" s="64" t="e">
        <f t="shared" si="164"/>
        <v>#N/A</v>
      </c>
      <c r="V518" s="63">
        <f t="shared" si="155"/>
        <v>3.8172925069228141</v>
      </c>
      <c r="W518" s="63" t="str">
        <f t="shared" si="156"/>
        <v/>
      </c>
      <c r="X518" s="63">
        <f t="shared" si="165"/>
        <v>0</v>
      </c>
      <c r="Y518" s="30"/>
      <c r="Z518" s="30"/>
      <c r="AA518" s="30"/>
      <c r="AB518" s="55">
        <f>PMSplint!N154</f>
        <v>4.2911126699102713</v>
      </c>
      <c r="AC518" s="55">
        <f>PMSplint!N153</f>
        <v>4.2414361188031267</v>
      </c>
      <c r="AD518" s="55">
        <f>IF(RnSplint!N154&lt;0,0,RnSplint!N154)</f>
        <v>17.076957136583474</v>
      </c>
      <c r="AE518" s="55">
        <f>IF(RnSplint!N153&lt;0,0,RnSplint!N153)</f>
        <v>16.756368570542609</v>
      </c>
      <c r="AF518" s="30"/>
      <c r="AG518" s="30"/>
      <c r="AH518" s="30"/>
      <c r="AI518" s="30"/>
      <c r="AJ518" s="30"/>
      <c r="AK518" s="30"/>
      <c r="AL518" s="30"/>
      <c r="AM518" s="30"/>
      <c r="AN518" s="55">
        <f t="shared" si="166"/>
        <v>71.071066875076937</v>
      </c>
      <c r="AO518" s="55">
        <f t="shared" si="167"/>
        <v>8.4303657616426673</v>
      </c>
      <c r="AP518" s="55">
        <f t="shared" si="168"/>
        <v>0.30129179110552351</v>
      </c>
      <c r="AQ518" s="55"/>
      <c r="AR518" s="55"/>
      <c r="AS518" s="55"/>
      <c r="AT518" s="55"/>
      <c r="AU518" s="30"/>
      <c r="AV518" s="30"/>
      <c r="AW518" s="2"/>
      <c r="AX518" s="2"/>
    </row>
    <row r="519" spans="1:50" x14ac:dyDescent="0.2">
      <c r="A519" s="2"/>
      <c r="B519" s="61">
        <f t="shared" ref="B519:B582" si="169">B518+1</f>
        <v>42110</v>
      </c>
      <c r="C519" s="62">
        <f t="shared" si="157"/>
        <v>106</v>
      </c>
      <c r="D519" s="63">
        <f t="shared" si="158"/>
        <v>4.2911126699102713</v>
      </c>
      <c r="G519" s="357" t="str">
        <f>IF(MakeSchedule!C486="","",MakeSchedule!C486)</f>
        <v/>
      </c>
      <c r="H519" s="358"/>
      <c r="I519" s="358"/>
      <c r="J519" s="359" t="str">
        <f>IF(MakeSchedule!B486="","",MakeSchedule!B486)</f>
        <v/>
      </c>
      <c r="K519" s="63">
        <f t="shared" si="150"/>
        <v>4.2911126699102713</v>
      </c>
      <c r="L519" s="63">
        <f t="shared" si="159"/>
        <v>4.2911126699102713</v>
      </c>
      <c r="M519" s="63">
        <f t="shared" si="160"/>
        <v>17.076957136583474</v>
      </c>
      <c r="N519" s="63" t="str">
        <f t="shared" si="151"/>
        <v/>
      </c>
      <c r="O519" s="64">
        <f t="shared" si="161"/>
        <v>0.29671774075918056</v>
      </c>
      <c r="P519" s="63" t="str">
        <f t="shared" si="162"/>
        <v/>
      </c>
      <c r="Q519" s="64" t="e">
        <f t="shared" si="152"/>
        <v>#N/A</v>
      </c>
      <c r="R519" s="63">
        <f t="shared" si="153"/>
        <v>0.29671774075918056</v>
      </c>
      <c r="S519" s="65">
        <f t="shared" si="154"/>
        <v>0.35</v>
      </c>
      <c r="T519" s="65">
        <f t="shared" si="163"/>
        <v>0.9</v>
      </c>
      <c r="U519" s="64" t="e">
        <f t="shared" si="164"/>
        <v>#N/A</v>
      </c>
      <c r="V519" s="63">
        <f t="shared" si="155"/>
        <v>3.8620014029192444</v>
      </c>
      <c r="W519" s="63" t="str">
        <f t="shared" si="156"/>
        <v/>
      </c>
      <c r="X519" s="63">
        <f t="shared" si="165"/>
        <v>0</v>
      </c>
      <c r="Y519" s="30"/>
      <c r="Z519" s="30"/>
      <c r="AA519" s="30"/>
      <c r="AB519" s="55">
        <f>PMSplint!N155</f>
        <v>4.3396756895047464</v>
      </c>
      <c r="AC519" s="55">
        <f>PMSplint!N154</f>
        <v>4.2911126699102713</v>
      </c>
      <c r="AD519" s="55">
        <f>IF(RnSplint!N155&lt;0,0,RnSplint!N155)</f>
        <v>17.374424665886174</v>
      </c>
      <c r="AE519" s="55">
        <f>IF(RnSplint!N154&lt;0,0,RnSplint!N154)</f>
        <v>17.076957136583474</v>
      </c>
      <c r="AF519" s="30"/>
      <c r="AG519" s="30"/>
      <c r="AH519" s="30"/>
      <c r="AI519" s="30"/>
      <c r="AJ519" s="30"/>
      <c r="AK519" s="30"/>
      <c r="AL519" s="30"/>
      <c r="AM519" s="30"/>
      <c r="AN519" s="55">
        <f t="shared" si="166"/>
        <v>73.279147132307969</v>
      </c>
      <c r="AO519" s="55">
        <f t="shared" si="167"/>
        <v>8.5603240086055141</v>
      </c>
      <c r="AP519" s="55">
        <f t="shared" si="168"/>
        <v>0.29671774075918056</v>
      </c>
      <c r="AQ519" s="55"/>
      <c r="AR519" s="55"/>
      <c r="AS519" s="55"/>
      <c r="AT519" s="55"/>
      <c r="AU519" s="30"/>
      <c r="AV519" s="30"/>
      <c r="AW519" s="2"/>
      <c r="AX519" s="2"/>
    </row>
    <row r="520" spans="1:50" x14ac:dyDescent="0.2">
      <c r="A520" s="2"/>
      <c r="B520" s="61">
        <f t="shared" si="169"/>
        <v>42111</v>
      </c>
      <c r="C520" s="62">
        <f t="shared" si="157"/>
        <v>107</v>
      </c>
      <c r="D520" s="63">
        <f t="shared" si="158"/>
        <v>4.3396756895047464</v>
      </c>
      <c r="G520" s="357" t="str">
        <f>IF(MakeSchedule!C487="","",MakeSchedule!C487)</f>
        <v/>
      </c>
      <c r="H520" s="358"/>
      <c r="I520" s="358"/>
      <c r="J520" s="359" t="str">
        <f>IF(MakeSchedule!B487="","",MakeSchedule!B487)</f>
        <v/>
      </c>
      <c r="K520" s="63">
        <f t="shared" si="150"/>
        <v>4.3396756895047464</v>
      </c>
      <c r="L520" s="63">
        <f t="shared" si="159"/>
        <v>4.3396756895047464</v>
      </c>
      <c r="M520" s="63">
        <f t="shared" si="160"/>
        <v>17.374424665886174</v>
      </c>
      <c r="N520" s="63" t="str">
        <f t="shared" si="151"/>
        <v/>
      </c>
      <c r="O520" s="64">
        <f t="shared" si="161"/>
        <v>0.29251615948218335</v>
      </c>
      <c r="P520" s="63" t="str">
        <f t="shared" si="162"/>
        <v/>
      </c>
      <c r="Q520" s="64" t="e">
        <f t="shared" si="152"/>
        <v>#N/A</v>
      </c>
      <c r="R520" s="63">
        <f t="shared" si="153"/>
        <v>0.29251615948218335</v>
      </c>
      <c r="S520" s="65">
        <f t="shared" si="154"/>
        <v>0.35</v>
      </c>
      <c r="T520" s="65">
        <f t="shared" si="163"/>
        <v>0.9</v>
      </c>
      <c r="U520" s="64" t="e">
        <f t="shared" si="164"/>
        <v>#N/A</v>
      </c>
      <c r="V520" s="63">
        <f t="shared" si="155"/>
        <v>3.9057081205542716</v>
      </c>
      <c r="W520" s="63" t="str">
        <f t="shared" si="156"/>
        <v/>
      </c>
      <c r="X520" s="63">
        <f t="shared" si="165"/>
        <v>0</v>
      </c>
      <c r="Y520" s="30"/>
      <c r="Z520" s="30"/>
      <c r="AA520" s="30"/>
      <c r="AB520" s="55">
        <f>PMSplint!N156</f>
        <v>4.387043975863822</v>
      </c>
      <c r="AC520" s="55">
        <f>PMSplint!N155</f>
        <v>4.3396756895047464</v>
      </c>
      <c r="AD520" s="55">
        <f>IF(RnSplint!N156&lt;0,0,RnSplint!N156)</f>
        <v>17.647058823529413</v>
      </c>
      <c r="AE520" s="55">
        <f>IF(RnSplint!N155&lt;0,0,RnSplint!N155)</f>
        <v>17.374424665886174</v>
      </c>
      <c r="AF520" s="30"/>
      <c r="AG520" s="30"/>
      <c r="AH520" s="30"/>
      <c r="AI520" s="30"/>
      <c r="AJ520" s="30"/>
      <c r="AK520" s="30"/>
      <c r="AL520" s="30"/>
      <c r="AM520" s="30"/>
      <c r="AN520" s="55">
        <f t="shared" si="166"/>
        <v>75.399368341677857</v>
      </c>
      <c r="AO520" s="55">
        <f t="shared" si="167"/>
        <v>8.6832809664134363</v>
      </c>
      <c r="AP520" s="55">
        <f t="shared" si="168"/>
        <v>0.29251615948218335</v>
      </c>
      <c r="AQ520" s="55"/>
      <c r="AR520" s="55"/>
      <c r="AS520" s="55"/>
      <c r="AT520" s="55"/>
      <c r="AU520" s="30"/>
      <c r="AV520" s="30"/>
      <c r="AW520" s="2"/>
      <c r="AX520" s="2"/>
    </row>
    <row r="521" spans="1:50" x14ac:dyDescent="0.2">
      <c r="A521" s="2"/>
      <c r="B521" s="61">
        <f t="shared" si="169"/>
        <v>42112</v>
      </c>
      <c r="C521" s="62">
        <f t="shared" si="157"/>
        <v>108</v>
      </c>
      <c r="D521" s="63">
        <f t="shared" si="158"/>
        <v>4.387043975863822</v>
      </c>
      <c r="G521" s="357" t="str">
        <f>IF(MakeSchedule!C488="","",MakeSchedule!C488)</f>
        <v/>
      </c>
      <c r="H521" s="358"/>
      <c r="I521" s="358"/>
      <c r="J521" s="359" t="str">
        <f>IF(MakeSchedule!B488="","",MakeSchedule!B488)</f>
        <v/>
      </c>
      <c r="K521" s="63">
        <f t="shared" si="150"/>
        <v>4.387043975863822</v>
      </c>
      <c r="L521" s="63">
        <f t="shared" si="159"/>
        <v>4.387043975863822</v>
      </c>
      <c r="M521" s="63">
        <f t="shared" si="160"/>
        <v>17.647058823529413</v>
      </c>
      <c r="N521" s="63" t="str">
        <f t="shared" si="151"/>
        <v/>
      </c>
      <c r="O521" s="64">
        <f t="shared" si="161"/>
        <v>0.28867658302359817</v>
      </c>
      <c r="P521" s="63" t="str">
        <f t="shared" si="162"/>
        <v/>
      </c>
      <c r="Q521" s="64" t="e">
        <f t="shared" si="152"/>
        <v>#N/A</v>
      </c>
      <c r="R521" s="63">
        <f t="shared" si="153"/>
        <v>0.28867658302359817</v>
      </c>
      <c r="S521" s="65">
        <f t="shared" si="154"/>
        <v>0.35</v>
      </c>
      <c r="T521" s="65">
        <f t="shared" si="163"/>
        <v>0.9</v>
      </c>
      <c r="U521" s="64" t="e">
        <f t="shared" si="164"/>
        <v>#N/A</v>
      </c>
      <c r="V521" s="63">
        <f t="shared" si="155"/>
        <v>3.94833957827744</v>
      </c>
      <c r="W521" s="63" t="str">
        <f t="shared" si="156"/>
        <v/>
      </c>
      <c r="X521" s="63">
        <f t="shared" si="165"/>
        <v>0</v>
      </c>
      <c r="Y521" s="30"/>
      <c r="Z521" s="30"/>
      <c r="AA521" s="30"/>
      <c r="AB521" s="55">
        <f>PMSplint!N157</f>
        <v>4.4331614375984358</v>
      </c>
      <c r="AC521" s="55">
        <f>PMSplint!N156</f>
        <v>4.387043975863822</v>
      </c>
      <c r="AD521" s="55">
        <f>IF(RnSplint!N157&lt;0,0,RnSplint!N157)</f>
        <v>17.893698433189851</v>
      </c>
      <c r="AE521" s="55">
        <f>IF(RnSplint!N156&lt;0,0,RnSplint!N156)</f>
        <v>17.647058823529413</v>
      </c>
      <c r="AF521" s="30"/>
      <c r="AG521" s="30"/>
      <c r="AH521" s="30"/>
      <c r="AI521" s="30"/>
      <c r="AJ521" s="30"/>
      <c r="AK521" s="30"/>
      <c r="AL521" s="30"/>
      <c r="AM521" s="30"/>
      <c r="AN521" s="55">
        <f t="shared" si="166"/>
        <v>77.418423103479213</v>
      </c>
      <c r="AO521" s="55">
        <f t="shared" si="167"/>
        <v>8.7987739545620336</v>
      </c>
      <c r="AP521" s="55">
        <f t="shared" si="168"/>
        <v>0.28867658302359817</v>
      </c>
      <c r="AQ521" s="55"/>
      <c r="AR521" s="55"/>
      <c r="AS521" s="55"/>
      <c r="AT521" s="55"/>
      <c r="AU521" s="30"/>
      <c r="AV521" s="30"/>
      <c r="AW521" s="2"/>
      <c r="AX521" s="2"/>
    </row>
    <row r="522" spans="1:50" x14ac:dyDescent="0.2">
      <c r="A522" s="2"/>
      <c r="B522" s="61">
        <f t="shared" si="169"/>
        <v>42113</v>
      </c>
      <c r="C522" s="62">
        <f t="shared" si="157"/>
        <v>109</v>
      </c>
      <c r="D522" s="63">
        <f t="shared" si="158"/>
        <v>4.4331614375984358</v>
      </c>
      <c r="G522" s="357" t="str">
        <f>IF(MakeSchedule!C489="","",MakeSchedule!C489)</f>
        <v/>
      </c>
      <c r="H522" s="358"/>
      <c r="I522" s="358"/>
      <c r="J522" s="359" t="str">
        <f>IF(MakeSchedule!B489="","",MakeSchedule!B489)</f>
        <v/>
      </c>
      <c r="K522" s="63">
        <f t="shared" si="150"/>
        <v>4.4331614375984358</v>
      </c>
      <c r="L522" s="63">
        <f t="shared" si="159"/>
        <v>4.4331614375984358</v>
      </c>
      <c r="M522" s="63">
        <f t="shared" si="160"/>
        <v>17.893698433189851</v>
      </c>
      <c r="N522" s="63" t="str">
        <f t="shared" si="151"/>
        <v/>
      </c>
      <c r="O522" s="64">
        <f t="shared" si="161"/>
        <v>0.28518513613189672</v>
      </c>
      <c r="P522" s="63" t="str">
        <f t="shared" si="162"/>
        <v/>
      </c>
      <c r="Q522" s="64" t="e">
        <f t="shared" si="152"/>
        <v>#N/A</v>
      </c>
      <c r="R522" s="63">
        <f t="shared" si="153"/>
        <v>0.28518513613189672</v>
      </c>
      <c r="S522" s="65">
        <f t="shared" si="154"/>
        <v>0.35</v>
      </c>
      <c r="T522" s="65">
        <f t="shared" si="163"/>
        <v>0.9</v>
      </c>
      <c r="U522" s="64" t="e">
        <f t="shared" si="164"/>
        <v>#N/A</v>
      </c>
      <c r="V522" s="63">
        <f t="shared" si="155"/>
        <v>3.9898452938385924</v>
      </c>
      <c r="W522" s="63" t="str">
        <f t="shared" si="156"/>
        <v/>
      </c>
      <c r="X522" s="63">
        <f t="shared" si="165"/>
        <v>0</v>
      </c>
      <c r="Y522" s="30"/>
      <c r="Z522" s="30"/>
      <c r="AA522" s="30"/>
      <c r="AB522" s="55">
        <f>PMSplint!N158</f>
        <v>4.4780724246541812</v>
      </c>
      <c r="AC522" s="55">
        <f>PMSplint!N157</f>
        <v>4.4331614375984358</v>
      </c>
      <c r="AD522" s="55">
        <f>IF(RnSplint!N158&lt;0,0,RnSplint!N158)</f>
        <v>18.115386952936028</v>
      </c>
      <c r="AE522" s="55">
        <f>IF(RnSplint!N157&lt;0,0,RnSplint!N157)</f>
        <v>17.893698433189851</v>
      </c>
      <c r="AF522" s="30"/>
      <c r="AG522" s="30"/>
      <c r="AH522" s="30"/>
      <c r="AI522" s="30"/>
      <c r="AJ522" s="30"/>
      <c r="AK522" s="30"/>
      <c r="AL522" s="30"/>
      <c r="AM522" s="30"/>
      <c r="AN522" s="55">
        <f t="shared" si="166"/>
        <v>79.325653870032795</v>
      </c>
      <c r="AO522" s="55">
        <f t="shared" si="167"/>
        <v>8.9064950384555193</v>
      </c>
      <c r="AP522" s="55">
        <f t="shared" si="168"/>
        <v>0.28518513613189672</v>
      </c>
      <c r="AQ522" s="55"/>
      <c r="AR522" s="55"/>
      <c r="AS522" s="55"/>
      <c r="AT522" s="55"/>
      <c r="AU522" s="30"/>
      <c r="AV522" s="30"/>
      <c r="AW522" s="2"/>
      <c r="AX522" s="2"/>
    </row>
    <row r="523" spans="1:50" x14ac:dyDescent="0.2">
      <c r="A523" s="2"/>
      <c r="B523" s="61">
        <f t="shared" si="169"/>
        <v>42114</v>
      </c>
      <c r="C523" s="62">
        <f t="shared" si="157"/>
        <v>110</v>
      </c>
      <c r="D523" s="63">
        <f t="shared" si="158"/>
        <v>4.4780724246541812</v>
      </c>
      <c r="G523" s="357" t="str">
        <f>IF(MakeSchedule!C490="","",MakeSchedule!C490)</f>
        <v/>
      </c>
      <c r="H523" s="358"/>
      <c r="I523" s="358"/>
      <c r="J523" s="359" t="str">
        <f>IF(MakeSchedule!B490="","",MakeSchedule!B490)</f>
        <v/>
      </c>
      <c r="K523" s="63">
        <f t="shared" si="150"/>
        <v>4.4780724246541812</v>
      </c>
      <c r="L523" s="63">
        <f t="shared" si="159"/>
        <v>4.4780724246541812</v>
      </c>
      <c r="M523" s="63">
        <f t="shared" si="160"/>
        <v>18.115386952936028</v>
      </c>
      <c r="N523" s="63" t="str">
        <f t="shared" si="151"/>
        <v/>
      </c>
      <c r="O523" s="64">
        <f t="shared" si="161"/>
        <v>0.28200989860407399</v>
      </c>
      <c r="P523" s="63" t="str">
        <f t="shared" si="162"/>
        <v/>
      </c>
      <c r="Q523" s="64" t="e">
        <f t="shared" si="152"/>
        <v>#N/A</v>
      </c>
      <c r="R523" s="63">
        <f t="shared" si="153"/>
        <v>0.28200989860407399</v>
      </c>
      <c r="S523" s="65">
        <f t="shared" si="154"/>
        <v>0.35</v>
      </c>
      <c r="T523" s="65">
        <f t="shared" si="163"/>
        <v>0.9</v>
      </c>
      <c r="U523" s="64" t="e">
        <f t="shared" si="164"/>
        <v>#N/A</v>
      </c>
      <c r="V523" s="63">
        <f t="shared" si="155"/>
        <v>4.0302651821887636</v>
      </c>
      <c r="W523" s="63" t="str">
        <f t="shared" si="156"/>
        <v/>
      </c>
      <c r="X523" s="63">
        <f t="shared" si="165"/>
        <v>0</v>
      </c>
      <c r="Y523" s="30"/>
      <c r="Z523" s="30"/>
      <c r="AA523" s="30"/>
      <c r="AB523" s="55">
        <f>PMSplint!N159</f>
        <v>4.5218463973103189</v>
      </c>
      <c r="AC523" s="55">
        <f>PMSplint!N158</f>
        <v>4.4780724246541812</v>
      </c>
      <c r="AD523" s="55">
        <f>IF(RnSplint!N159&lt;0,0,RnSplint!N159)</f>
        <v>18.313718999434457</v>
      </c>
      <c r="AE523" s="55">
        <f>IF(RnSplint!N158&lt;0,0,RnSplint!N158)</f>
        <v>18.115386952936028</v>
      </c>
      <c r="AF523" s="30"/>
      <c r="AG523" s="30"/>
      <c r="AH523" s="30"/>
      <c r="AI523" s="30"/>
      <c r="AJ523" s="30"/>
      <c r="AK523" s="30"/>
      <c r="AL523" s="30"/>
      <c r="AM523" s="30"/>
      <c r="AN523" s="55">
        <f t="shared" si="166"/>
        <v>81.12201477588296</v>
      </c>
      <c r="AO523" s="55">
        <f t="shared" si="167"/>
        <v>9.0067760478365937</v>
      </c>
      <c r="AP523" s="55">
        <f t="shared" si="168"/>
        <v>0.28200989860407399</v>
      </c>
      <c r="AQ523" s="55"/>
      <c r="AR523" s="55"/>
      <c r="AS523" s="55"/>
      <c r="AT523" s="55"/>
      <c r="AU523" s="30"/>
      <c r="AV523" s="30"/>
      <c r="AW523" s="2"/>
      <c r="AX523" s="2"/>
    </row>
    <row r="524" spans="1:50" x14ac:dyDescent="0.2">
      <c r="A524" s="2"/>
      <c r="B524" s="61">
        <f t="shared" si="169"/>
        <v>42115</v>
      </c>
      <c r="C524" s="62">
        <f t="shared" si="157"/>
        <v>111</v>
      </c>
      <c r="D524" s="63">
        <f t="shared" si="158"/>
        <v>4.5218463973103189</v>
      </c>
      <c r="G524" s="357" t="str">
        <f>IF(MakeSchedule!C491="","",MakeSchedule!C491)</f>
        <v/>
      </c>
      <c r="H524" s="358"/>
      <c r="I524" s="358"/>
      <c r="J524" s="359" t="str">
        <f>IF(MakeSchedule!B491="","",MakeSchedule!B491)</f>
        <v/>
      </c>
      <c r="K524" s="63">
        <f t="shared" si="150"/>
        <v>4.5218463973103189</v>
      </c>
      <c r="L524" s="63">
        <f t="shared" si="159"/>
        <v>4.5218463973103189</v>
      </c>
      <c r="M524" s="63">
        <f t="shared" si="160"/>
        <v>18.313718999434457</v>
      </c>
      <c r="N524" s="63" t="str">
        <f t="shared" si="151"/>
        <v/>
      </c>
      <c r="O524" s="64">
        <f t="shared" si="161"/>
        <v>0.27911780469792091</v>
      </c>
      <c r="P524" s="63" t="str">
        <f t="shared" si="162"/>
        <v/>
      </c>
      <c r="Q524" s="64" t="e">
        <f t="shared" si="152"/>
        <v>#N/A</v>
      </c>
      <c r="R524" s="63">
        <f t="shared" si="153"/>
        <v>0.27911780469792091</v>
      </c>
      <c r="S524" s="65">
        <f t="shared" si="154"/>
        <v>0.35</v>
      </c>
      <c r="T524" s="65">
        <f t="shared" si="163"/>
        <v>0.9</v>
      </c>
      <c r="U524" s="64" t="e">
        <f t="shared" si="164"/>
        <v>#N/A</v>
      </c>
      <c r="V524" s="63">
        <f t="shared" si="155"/>
        <v>4.0696617575792873</v>
      </c>
      <c r="W524" s="63" t="str">
        <f t="shared" si="156"/>
        <v/>
      </c>
      <c r="X524" s="63">
        <f t="shared" si="165"/>
        <v>0</v>
      </c>
      <c r="Y524" s="30"/>
      <c r="Z524" s="30"/>
      <c r="AA524" s="30"/>
      <c r="AB524" s="55">
        <f>PMSplint!N160</f>
        <v>4.5645528158461053</v>
      </c>
      <c r="AC524" s="55">
        <f>PMSplint!N159</f>
        <v>4.5218463973103189</v>
      </c>
      <c r="AD524" s="55">
        <f>IF(RnSplint!N160&lt;0,0,RnSplint!N160)</f>
        <v>18.490289189351635</v>
      </c>
      <c r="AE524" s="55">
        <f>IF(RnSplint!N159&lt;0,0,RnSplint!N159)</f>
        <v>18.313718999434457</v>
      </c>
      <c r="AF524" s="30"/>
      <c r="AG524" s="30"/>
      <c r="AH524" s="30"/>
      <c r="AI524" s="30"/>
      <c r="AJ524" s="30"/>
      <c r="AK524" s="30"/>
      <c r="AL524" s="30"/>
      <c r="AM524" s="30"/>
      <c r="AN524" s="55">
        <f t="shared" si="166"/>
        <v>82.811824278946233</v>
      </c>
      <c r="AO524" s="55">
        <f t="shared" si="167"/>
        <v>9.1001002345549047</v>
      </c>
      <c r="AP524" s="55">
        <f t="shared" si="168"/>
        <v>0.27911780469792091</v>
      </c>
      <c r="AQ524" s="55"/>
      <c r="AR524" s="55"/>
      <c r="AS524" s="55"/>
      <c r="AT524" s="55"/>
      <c r="AU524" s="30"/>
      <c r="AV524" s="30"/>
      <c r="AW524" s="2"/>
      <c r="AX524" s="2"/>
    </row>
    <row r="525" spans="1:50" x14ac:dyDescent="0.2">
      <c r="A525" s="2"/>
      <c r="B525" s="61">
        <f t="shared" si="169"/>
        <v>42116</v>
      </c>
      <c r="C525" s="62">
        <f t="shared" si="157"/>
        <v>112</v>
      </c>
      <c r="D525" s="63">
        <f t="shared" si="158"/>
        <v>4.5645528158461053</v>
      </c>
      <c r="G525" s="357" t="str">
        <f>IF(MakeSchedule!C492="","",MakeSchedule!C492)</f>
        <v/>
      </c>
      <c r="H525" s="358"/>
      <c r="I525" s="358"/>
      <c r="J525" s="359" t="str">
        <f>IF(MakeSchedule!B492="","",MakeSchedule!B492)</f>
        <v/>
      </c>
      <c r="K525" s="63">
        <f t="shared" si="150"/>
        <v>4.5645528158461053</v>
      </c>
      <c r="L525" s="63">
        <f t="shared" si="159"/>
        <v>4.5645528158461053</v>
      </c>
      <c r="M525" s="63">
        <f t="shared" si="160"/>
        <v>18.490289189351635</v>
      </c>
      <c r="N525" s="63" t="str">
        <f t="shared" si="151"/>
        <v/>
      </c>
      <c r="O525" s="64">
        <f t="shared" si="161"/>
        <v>0.27647937975186399</v>
      </c>
      <c r="P525" s="63" t="str">
        <f t="shared" si="162"/>
        <v/>
      </c>
      <c r="Q525" s="64" t="e">
        <f t="shared" si="152"/>
        <v>#N/A</v>
      </c>
      <c r="R525" s="63">
        <f t="shared" si="153"/>
        <v>0.27647937975186399</v>
      </c>
      <c r="S525" s="65">
        <f t="shared" si="154"/>
        <v>0.35</v>
      </c>
      <c r="T525" s="65">
        <f t="shared" si="163"/>
        <v>0.9</v>
      </c>
      <c r="U525" s="64" t="e">
        <f t="shared" si="164"/>
        <v>#N/A</v>
      </c>
      <c r="V525" s="63">
        <f t="shared" si="155"/>
        <v>4.1080975342614945</v>
      </c>
      <c r="W525" s="63" t="str">
        <f t="shared" si="156"/>
        <v/>
      </c>
      <c r="X525" s="63">
        <f t="shared" si="165"/>
        <v>0</v>
      </c>
      <c r="Y525" s="30"/>
      <c r="Z525" s="30"/>
      <c r="AA525" s="30"/>
      <c r="AB525" s="55">
        <f>PMSplint!N161</f>
        <v>4.6062611405408038</v>
      </c>
      <c r="AC525" s="55">
        <f>PMSplint!N160</f>
        <v>4.5645528158461053</v>
      </c>
      <c r="AD525" s="55">
        <f>IF(RnSplint!N161&lt;0,0,RnSplint!N161)</f>
        <v>18.646692139354091</v>
      </c>
      <c r="AE525" s="55">
        <f>IF(RnSplint!N160&lt;0,0,RnSplint!N160)</f>
        <v>18.490289189351635</v>
      </c>
      <c r="AF525" s="30"/>
      <c r="AG525" s="30"/>
      <c r="AH525" s="30"/>
      <c r="AI525" s="30"/>
      <c r="AJ525" s="30"/>
      <c r="AK525" s="30"/>
      <c r="AL525" s="30"/>
      <c r="AM525" s="30"/>
      <c r="AN525" s="55">
        <f t="shared" si="166"/>
        <v>84.399901585063802</v>
      </c>
      <c r="AO525" s="55">
        <f t="shared" si="167"/>
        <v>9.1869419060459823</v>
      </c>
      <c r="AP525" s="55">
        <f t="shared" si="168"/>
        <v>0.27647937975186399</v>
      </c>
      <c r="AQ525" s="55"/>
      <c r="AR525" s="55"/>
      <c r="AS525" s="55"/>
      <c r="AT525" s="55"/>
      <c r="AU525" s="30"/>
      <c r="AV525" s="30"/>
      <c r="AW525" s="2"/>
      <c r="AX525" s="2"/>
    </row>
    <row r="526" spans="1:50" x14ac:dyDescent="0.2">
      <c r="A526" s="2"/>
      <c r="B526" s="61">
        <f t="shared" si="169"/>
        <v>42117</v>
      </c>
      <c r="C526" s="62">
        <f t="shared" si="157"/>
        <v>113</v>
      </c>
      <c r="D526" s="63">
        <f t="shared" si="158"/>
        <v>4.6062611405408038</v>
      </c>
      <c r="G526" s="357" t="str">
        <f>IF(MakeSchedule!C493="","",MakeSchedule!C493)</f>
        <v/>
      </c>
      <c r="H526" s="358"/>
      <c r="I526" s="358"/>
      <c r="J526" s="359" t="str">
        <f>IF(MakeSchedule!B493="","",MakeSchedule!B493)</f>
        <v/>
      </c>
      <c r="K526" s="63">
        <f t="shared" si="150"/>
        <v>4.6062611405408038</v>
      </c>
      <c r="L526" s="63">
        <f t="shared" si="159"/>
        <v>4.6062611405408038</v>
      </c>
      <c r="M526" s="63">
        <f t="shared" si="160"/>
        <v>18.646692139354091</v>
      </c>
      <c r="N526" s="63" t="str">
        <f t="shared" si="151"/>
        <v/>
      </c>
      <c r="O526" s="64">
        <f t="shared" si="161"/>
        <v>0.27406813124639212</v>
      </c>
      <c r="P526" s="63" t="str">
        <f t="shared" si="162"/>
        <v/>
      </c>
      <c r="Q526" s="64" t="e">
        <f t="shared" si="152"/>
        <v>#N/A</v>
      </c>
      <c r="R526" s="63">
        <f t="shared" si="153"/>
        <v>0.27406813124639212</v>
      </c>
      <c r="S526" s="65">
        <f t="shared" si="154"/>
        <v>0.35</v>
      </c>
      <c r="T526" s="65">
        <f t="shared" si="163"/>
        <v>0.9</v>
      </c>
      <c r="U526" s="64" t="e">
        <f t="shared" si="164"/>
        <v>#N/A</v>
      </c>
      <c r="V526" s="63">
        <f t="shared" si="155"/>
        <v>4.1456350264867234</v>
      </c>
      <c r="W526" s="63" t="str">
        <f t="shared" si="156"/>
        <v/>
      </c>
      <c r="X526" s="63">
        <f t="shared" si="165"/>
        <v>0</v>
      </c>
      <c r="Y526" s="30"/>
      <c r="Z526" s="30"/>
      <c r="AA526" s="30"/>
      <c r="AB526" s="55">
        <f>PMSplint!N162</f>
        <v>4.64704083167367</v>
      </c>
      <c r="AC526" s="55">
        <f>PMSplint!N161</f>
        <v>4.6062611405408038</v>
      </c>
      <c r="AD526" s="55">
        <f>IF(RnSplint!N162&lt;0,0,RnSplint!N162)</f>
        <v>18.784522466108317</v>
      </c>
      <c r="AE526" s="55">
        <f>IF(RnSplint!N161&lt;0,0,RnSplint!N161)</f>
        <v>18.646692139354091</v>
      </c>
      <c r="AF526" s="30"/>
      <c r="AG526" s="30"/>
      <c r="AH526" s="30"/>
      <c r="AI526" s="30"/>
      <c r="AJ526" s="30"/>
      <c r="AK526" s="30"/>
      <c r="AL526" s="30"/>
      <c r="AM526" s="30"/>
      <c r="AN526" s="55">
        <f t="shared" si="166"/>
        <v>85.89153340113441</v>
      </c>
      <c r="AO526" s="55">
        <f t="shared" si="167"/>
        <v>9.2677685232818803</v>
      </c>
      <c r="AP526" s="55">
        <f t="shared" si="168"/>
        <v>0.27406813124639212</v>
      </c>
      <c r="AQ526" s="55"/>
      <c r="AR526" s="55"/>
      <c r="AS526" s="55"/>
      <c r="AT526" s="55"/>
      <c r="AU526" s="30"/>
      <c r="AV526" s="30"/>
      <c r="AW526" s="2"/>
      <c r="AX526" s="2"/>
    </row>
    <row r="527" spans="1:50" x14ac:dyDescent="0.2">
      <c r="A527" s="2"/>
      <c r="B527" s="61">
        <f t="shared" si="169"/>
        <v>42118</v>
      </c>
      <c r="C527" s="62">
        <f t="shared" si="157"/>
        <v>114</v>
      </c>
      <c r="D527" s="63">
        <f t="shared" si="158"/>
        <v>4.64704083167367</v>
      </c>
      <c r="G527" s="357" t="str">
        <f>IF(MakeSchedule!C494="","",MakeSchedule!C494)</f>
        <v/>
      </c>
      <c r="H527" s="358"/>
      <c r="I527" s="358"/>
      <c r="J527" s="359" t="str">
        <f>IF(MakeSchedule!B494="","",MakeSchedule!B494)</f>
        <v/>
      </c>
      <c r="K527" s="63">
        <f t="shared" si="150"/>
        <v>4.64704083167367</v>
      </c>
      <c r="L527" s="63">
        <f t="shared" si="159"/>
        <v>4.64704083167367</v>
      </c>
      <c r="M527" s="63">
        <f t="shared" si="160"/>
        <v>18.784522466108317</v>
      </c>
      <c r="N527" s="63" t="str">
        <f t="shared" si="151"/>
        <v/>
      </c>
      <c r="O527" s="64">
        <f t="shared" si="161"/>
        <v>0.27186005026578319</v>
      </c>
      <c r="P527" s="63" t="str">
        <f t="shared" si="162"/>
        <v/>
      </c>
      <c r="Q527" s="64" t="e">
        <f t="shared" si="152"/>
        <v>#N/A</v>
      </c>
      <c r="R527" s="63">
        <f t="shared" si="153"/>
        <v>0.27186005026578319</v>
      </c>
      <c r="S527" s="65">
        <f t="shared" si="154"/>
        <v>0.35</v>
      </c>
      <c r="T527" s="65">
        <f t="shared" si="163"/>
        <v>0.9</v>
      </c>
      <c r="U527" s="64" t="e">
        <f t="shared" si="164"/>
        <v>#N/A</v>
      </c>
      <c r="V527" s="63">
        <f t="shared" si="155"/>
        <v>4.1823367485063034</v>
      </c>
      <c r="W527" s="63" t="str">
        <f t="shared" si="156"/>
        <v/>
      </c>
      <c r="X527" s="63">
        <f t="shared" si="165"/>
        <v>0</v>
      </c>
      <c r="Y527" s="30"/>
      <c r="Z527" s="30"/>
      <c r="AA527" s="30"/>
      <c r="AB527" s="55">
        <f>PMSplint!N163</f>
        <v>4.6869613495239664</v>
      </c>
      <c r="AC527" s="55">
        <f>PMSplint!N162</f>
        <v>4.64704083167367</v>
      </c>
      <c r="AD527" s="55">
        <f>IF(RnSplint!N163&lt;0,0,RnSplint!N163)</f>
        <v>18.905374786280831</v>
      </c>
      <c r="AE527" s="55">
        <f>IF(RnSplint!N162&lt;0,0,RnSplint!N162)</f>
        <v>18.784522466108317</v>
      </c>
      <c r="AF527" s="30"/>
      <c r="AG527" s="30"/>
      <c r="AH527" s="30"/>
      <c r="AI527" s="30"/>
      <c r="AJ527" s="30"/>
      <c r="AK527" s="30"/>
      <c r="AL527" s="30"/>
      <c r="AM527" s="30"/>
      <c r="AN527" s="55">
        <f t="shared" si="166"/>
        <v>87.292442903496735</v>
      </c>
      <c r="AO527" s="55">
        <f t="shared" si="167"/>
        <v>9.3430424864439487</v>
      </c>
      <c r="AP527" s="55">
        <f t="shared" si="168"/>
        <v>0.27186005026578319</v>
      </c>
      <c r="AQ527" s="55"/>
      <c r="AR527" s="55"/>
      <c r="AS527" s="55"/>
      <c r="AT527" s="55"/>
      <c r="AU527" s="30"/>
      <c r="AV527" s="30"/>
      <c r="AW527" s="2"/>
      <c r="AX527" s="2"/>
    </row>
    <row r="528" spans="1:50" x14ac:dyDescent="0.2">
      <c r="A528" s="2"/>
      <c r="B528" s="61">
        <f t="shared" si="169"/>
        <v>42119</v>
      </c>
      <c r="C528" s="62">
        <f t="shared" si="157"/>
        <v>115</v>
      </c>
      <c r="D528" s="63">
        <f t="shared" si="158"/>
        <v>4.6869613495239664</v>
      </c>
      <c r="G528" s="357" t="str">
        <f>IF(MakeSchedule!C495="","",MakeSchedule!C495)</f>
        <v/>
      </c>
      <c r="H528" s="358"/>
      <c r="I528" s="358"/>
      <c r="J528" s="359" t="str">
        <f>IF(MakeSchedule!B495="","",MakeSchedule!B495)</f>
        <v/>
      </c>
      <c r="K528" s="63">
        <f t="shared" si="150"/>
        <v>4.6869613495239664</v>
      </c>
      <c r="L528" s="63">
        <f t="shared" si="159"/>
        <v>4.6869613495239664</v>
      </c>
      <c r="M528" s="63">
        <f t="shared" si="160"/>
        <v>18.905374786280831</v>
      </c>
      <c r="N528" s="63" t="str">
        <f t="shared" si="151"/>
        <v/>
      </c>
      <c r="O528" s="64">
        <f t="shared" si="161"/>
        <v>0.2698332006657907</v>
      </c>
      <c r="P528" s="63" t="str">
        <f t="shared" si="162"/>
        <v/>
      </c>
      <c r="Q528" s="64" t="e">
        <f t="shared" si="152"/>
        <v>#N/A</v>
      </c>
      <c r="R528" s="63">
        <f t="shared" si="153"/>
        <v>0.2698332006657907</v>
      </c>
      <c r="S528" s="65">
        <f t="shared" si="154"/>
        <v>0.35</v>
      </c>
      <c r="T528" s="65">
        <f t="shared" si="163"/>
        <v>0.9</v>
      </c>
      <c r="U528" s="64" t="e">
        <f t="shared" si="164"/>
        <v>#N/A</v>
      </c>
      <c r="V528" s="63">
        <f t="shared" si="155"/>
        <v>4.21826521457157</v>
      </c>
      <c r="W528" s="63" t="str">
        <f t="shared" si="156"/>
        <v/>
      </c>
      <c r="X528" s="63">
        <f t="shared" si="165"/>
        <v>0</v>
      </c>
      <c r="Y528" s="30"/>
      <c r="Z528" s="30"/>
      <c r="AA528" s="30"/>
      <c r="AB528" s="55">
        <f>PMSplint!N164</f>
        <v>4.7260921543709484</v>
      </c>
      <c r="AC528" s="55">
        <f>PMSplint!N163</f>
        <v>4.6869613495239664</v>
      </c>
      <c r="AD528" s="55">
        <f>IF(RnSplint!N164&lt;0,0,RnSplint!N164)</f>
        <v>19.010843716538137</v>
      </c>
      <c r="AE528" s="55">
        <f>IF(RnSplint!N163&lt;0,0,RnSplint!N163)</f>
        <v>18.905374786280831</v>
      </c>
      <c r="AF528" s="30"/>
      <c r="AG528" s="30"/>
      <c r="AH528" s="30"/>
      <c r="AI528" s="30"/>
      <c r="AJ528" s="30"/>
      <c r="AK528" s="30"/>
      <c r="AL528" s="30"/>
      <c r="AM528" s="30"/>
      <c r="AN528" s="55">
        <f t="shared" si="166"/>
        <v>88.608760921563174</v>
      </c>
      <c r="AO528" s="55">
        <f t="shared" si="167"/>
        <v>9.4132226639744996</v>
      </c>
      <c r="AP528" s="55">
        <f t="shared" si="168"/>
        <v>0.2698332006657907</v>
      </c>
      <c r="AQ528" s="55"/>
      <c r="AR528" s="55"/>
      <c r="AS528" s="55"/>
      <c r="AT528" s="55"/>
      <c r="AU528" s="30"/>
      <c r="AV528" s="30"/>
      <c r="AW528" s="2"/>
      <c r="AX528" s="2"/>
    </row>
    <row r="529" spans="1:50" x14ac:dyDescent="0.2">
      <c r="A529" s="2"/>
      <c r="B529" s="61">
        <f t="shared" si="169"/>
        <v>42120</v>
      </c>
      <c r="C529" s="62">
        <f t="shared" si="157"/>
        <v>116</v>
      </c>
      <c r="D529" s="63">
        <f t="shared" si="158"/>
        <v>4.7260921543709484</v>
      </c>
      <c r="G529" s="357" t="str">
        <f>IF(MakeSchedule!C496="","",MakeSchedule!C496)</f>
        <v/>
      </c>
      <c r="H529" s="358"/>
      <c r="I529" s="358"/>
      <c r="J529" s="359" t="str">
        <f>IF(MakeSchedule!B496="","",MakeSchedule!B496)</f>
        <v/>
      </c>
      <c r="K529" s="63">
        <f t="shared" si="150"/>
        <v>4.7260921543709484</v>
      </c>
      <c r="L529" s="63">
        <f t="shared" si="159"/>
        <v>4.7260921543709484</v>
      </c>
      <c r="M529" s="63">
        <f t="shared" si="160"/>
        <v>19.010843716538137</v>
      </c>
      <c r="N529" s="63" t="str">
        <f t="shared" si="151"/>
        <v/>
      </c>
      <c r="O529" s="64">
        <f t="shared" si="161"/>
        <v>0.26796737870670484</v>
      </c>
      <c r="P529" s="63" t="str">
        <f t="shared" si="162"/>
        <v/>
      </c>
      <c r="Q529" s="64" t="e">
        <f t="shared" si="152"/>
        <v>#N/A</v>
      </c>
      <c r="R529" s="63">
        <f t="shared" si="153"/>
        <v>0.26796737870670484</v>
      </c>
      <c r="S529" s="65">
        <f t="shared" si="154"/>
        <v>0.35</v>
      </c>
      <c r="T529" s="65">
        <f t="shared" si="163"/>
        <v>0.9</v>
      </c>
      <c r="U529" s="64" t="e">
        <f t="shared" si="164"/>
        <v>#N/A</v>
      </c>
      <c r="V529" s="63">
        <f t="shared" si="155"/>
        <v>4.2534829389338533</v>
      </c>
      <c r="W529" s="63" t="str">
        <f t="shared" si="156"/>
        <v/>
      </c>
      <c r="X529" s="63">
        <f t="shared" si="165"/>
        <v>0</v>
      </c>
      <c r="Y529" s="30"/>
      <c r="Z529" s="30"/>
      <c r="AA529" s="30"/>
      <c r="AB529" s="55">
        <f>PMSplint!N165</f>
        <v>4.7645027064938796</v>
      </c>
      <c r="AC529" s="55">
        <f>PMSplint!N164</f>
        <v>4.7260921543709484</v>
      </c>
      <c r="AD529" s="55">
        <f>IF(RnSplint!N165&lt;0,0,RnSplint!N165)</f>
        <v>19.102523873546751</v>
      </c>
      <c r="AE529" s="55">
        <f>IF(RnSplint!N164&lt;0,0,RnSplint!N164)</f>
        <v>19.010843716538137</v>
      </c>
      <c r="AF529" s="30"/>
      <c r="AG529" s="30"/>
      <c r="AH529" s="30"/>
      <c r="AI529" s="30"/>
      <c r="AJ529" s="30"/>
      <c r="AK529" s="30"/>
      <c r="AL529" s="30"/>
      <c r="AM529" s="30"/>
      <c r="AN529" s="55">
        <f t="shared" si="166"/>
        <v>89.846999336703135</v>
      </c>
      <c r="AO529" s="55">
        <f t="shared" si="167"/>
        <v>9.4787657074485772</v>
      </c>
      <c r="AP529" s="55">
        <f t="shared" si="168"/>
        <v>0.26796737870670484</v>
      </c>
      <c r="AQ529" s="55"/>
      <c r="AR529" s="55"/>
      <c r="AS529" s="55"/>
      <c r="AT529" s="55"/>
      <c r="AU529" s="30"/>
      <c r="AV529" s="30"/>
      <c r="AW529" s="2"/>
      <c r="AX529" s="2"/>
    </row>
    <row r="530" spans="1:50" x14ac:dyDescent="0.2">
      <c r="A530" s="2"/>
      <c r="B530" s="61">
        <f t="shared" si="169"/>
        <v>42121</v>
      </c>
      <c r="C530" s="62">
        <f t="shared" si="157"/>
        <v>117</v>
      </c>
      <c r="D530" s="63">
        <f t="shared" si="158"/>
        <v>4.7645027064938796</v>
      </c>
      <c r="G530" s="357" t="str">
        <f>IF(MakeSchedule!C497="","",MakeSchedule!C497)</f>
        <v/>
      </c>
      <c r="H530" s="358"/>
      <c r="I530" s="358"/>
      <c r="J530" s="359" t="str">
        <f>IF(MakeSchedule!B497="","",MakeSchedule!B497)</f>
        <v/>
      </c>
      <c r="K530" s="63">
        <f t="shared" si="150"/>
        <v>4.7645027064938796</v>
      </c>
      <c r="L530" s="63">
        <f t="shared" si="159"/>
        <v>4.7645027064938796</v>
      </c>
      <c r="M530" s="63">
        <f t="shared" si="160"/>
        <v>19.102523873546751</v>
      </c>
      <c r="N530" s="63" t="str">
        <f t="shared" si="151"/>
        <v/>
      </c>
      <c r="O530" s="64">
        <f t="shared" si="161"/>
        <v>0.26624382996985563</v>
      </c>
      <c r="P530" s="63" t="str">
        <f t="shared" si="162"/>
        <v/>
      </c>
      <c r="Q530" s="64" t="e">
        <f t="shared" si="152"/>
        <v>#N/A</v>
      </c>
      <c r="R530" s="63">
        <f t="shared" si="153"/>
        <v>0.26624382996985563</v>
      </c>
      <c r="S530" s="65">
        <f t="shared" si="154"/>
        <v>0.35</v>
      </c>
      <c r="T530" s="65">
        <f t="shared" si="163"/>
        <v>0.9</v>
      </c>
      <c r="U530" s="64" t="e">
        <f t="shared" si="164"/>
        <v>#N/A</v>
      </c>
      <c r="V530" s="63">
        <f t="shared" si="155"/>
        <v>4.2880524358444916</v>
      </c>
      <c r="W530" s="63" t="str">
        <f t="shared" si="156"/>
        <v/>
      </c>
      <c r="X530" s="63">
        <f t="shared" si="165"/>
        <v>0</v>
      </c>
      <c r="Y530" s="30"/>
      <c r="Z530" s="30"/>
      <c r="AA530" s="30"/>
      <c r="AB530" s="55">
        <f>PMSplint!N166</f>
        <v>4.8022624661720164</v>
      </c>
      <c r="AC530" s="55">
        <f>PMSplint!N165</f>
        <v>4.7645027064938796</v>
      </c>
      <c r="AD530" s="55">
        <f>IF(RnSplint!N166&lt;0,0,RnSplint!N166)</f>
        <v>19.182009873973179</v>
      </c>
      <c r="AE530" s="55">
        <f>IF(RnSplint!N165&lt;0,0,RnSplint!N165)</f>
        <v>19.102523873546751</v>
      </c>
      <c r="AF530" s="30"/>
      <c r="AG530" s="30"/>
      <c r="AH530" s="30"/>
      <c r="AI530" s="30"/>
      <c r="AJ530" s="30"/>
      <c r="AK530" s="30"/>
      <c r="AL530" s="30"/>
      <c r="AM530" s="30"/>
      <c r="AN530" s="55">
        <f t="shared" si="166"/>
        <v>91.014026696377442</v>
      </c>
      <c r="AO530" s="55">
        <f t="shared" si="167"/>
        <v>9.5401271844969369</v>
      </c>
      <c r="AP530" s="55">
        <f t="shared" si="168"/>
        <v>0.26624382996985563</v>
      </c>
      <c r="AQ530" s="55"/>
      <c r="AR530" s="55"/>
      <c r="AS530" s="55"/>
      <c r="AT530" s="55"/>
      <c r="AU530" s="30"/>
      <c r="AV530" s="30"/>
      <c r="AW530" s="2"/>
      <c r="AX530" s="2"/>
    </row>
    <row r="531" spans="1:50" x14ac:dyDescent="0.2">
      <c r="A531" s="2"/>
      <c r="B531" s="61">
        <f t="shared" si="169"/>
        <v>42122</v>
      </c>
      <c r="C531" s="62">
        <f t="shared" si="157"/>
        <v>118</v>
      </c>
      <c r="D531" s="63">
        <f t="shared" si="158"/>
        <v>4.8022624661720164</v>
      </c>
      <c r="G531" s="357" t="str">
        <f>IF(MakeSchedule!C498="","",MakeSchedule!C498)</f>
        <v/>
      </c>
      <c r="H531" s="358"/>
      <c r="I531" s="358"/>
      <c r="J531" s="359" t="str">
        <f>IF(MakeSchedule!B498="","",MakeSchedule!B498)</f>
        <v/>
      </c>
      <c r="K531" s="63">
        <f t="shared" si="150"/>
        <v>4.8022624661720164</v>
      </c>
      <c r="L531" s="63">
        <f t="shared" si="159"/>
        <v>4.8022624661720164</v>
      </c>
      <c r="M531" s="63">
        <f t="shared" si="160"/>
        <v>19.182009873973179</v>
      </c>
      <c r="N531" s="63" t="str">
        <f t="shared" si="151"/>
        <v/>
      </c>
      <c r="O531" s="64">
        <f t="shared" si="161"/>
        <v>0.26464501342906527</v>
      </c>
      <c r="P531" s="63" t="str">
        <f t="shared" si="162"/>
        <v/>
      </c>
      <c r="Q531" s="64" t="e">
        <f t="shared" si="152"/>
        <v>#N/A</v>
      </c>
      <c r="R531" s="63">
        <f t="shared" si="153"/>
        <v>0.26464501342906527</v>
      </c>
      <c r="S531" s="65">
        <f t="shared" si="154"/>
        <v>0.35</v>
      </c>
      <c r="T531" s="65">
        <f t="shared" si="163"/>
        <v>0.9</v>
      </c>
      <c r="U531" s="64" t="e">
        <f t="shared" si="164"/>
        <v>#N/A</v>
      </c>
      <c r="V531" s="63">
        <f t="shared" si="155"/>
        <v>4.322036219554815</v>
      </c>
      <c r="W531" s="63" t="str">
        <f t="shared" si="156"/>
        <v/>
      </c>
      <c r="X531" s="63">
        <f t="shared" si="165"/>
        <v>0</v>
      </c>
      <c r="Y531" s="30"/>
      <c r="Z531" s="30"/>
      <c r="AA531" s="30"/>
      <c r="AB531" s="55">
        <f>PMSplint!N167</f>
        <v>4.8394408936846185</v>
      </c>
      <c r="AC531" s="55">
        <f>PMSplint!N166</f>
        <v>4.8022624661720164</v>
      </c>
      <c r="AD531" s="55">
        <f>IF(RnSplint!N167&lt;0,0,RnSplint!N167)</f>
        <v>19.250896334483926</v>
      </c>
      <c r="AE531" s="55">
        <f>IF(RnSplint!N166&lt;0,0,RnSplint!N166)</f>
        <v>19.182009873973179</v>
      </c>
      <c r="AF531" s="30"/>
      <c r="AG531" s="30"/>
      <c r="AH531" s="30"/>
      <c r="AI531" s="30"/>
      <c r="AJ531" s="30"/>
      <c r="AK531" s="30"/>
      <c r="AL531" s="30"/>
      <c r="AM531" s="30"/>
      <c r="AN531" s="55">
        <f t="shared" si="166"/>
        <v>92.117046043522407</v>
      </c>
      <c r="AO531" s="55">
        <f t="shared" si="167"/>
        <v>9.5977625540290585</v>
      </c>
      <c r="AP531" s="55">
        <f t="shared" si="168"/>
        <v>0.26464501342906527</v>
      </c>
      <c r="AQ531" s="55"/>
      <c r="AR531" s="55"/>
      <c r="AS531" s="55"/>
      <c r="AT531" s="55"/>
      <c r="AU531" s="30"/>
      <c r="AV531" s="30"/>
      <c r="AW531" s="2"/>
      <c r="AX531" s="2"/>
    </row>
    <row r="532" spans="1:50" x14ac:dyDescent="0.2">
      <c r="A532" s="2"/>
      <c r="B532" s="61">
        <f t="shared" si="169"/>
        <v>42123</v>
      </c>
      <c r="C532" s="62">
        <f t="shared" si="157"/>
        <v>119</v>
      </c>
      <c r="D532" s="63">
        <f t="shared" si="158"/>
        <v>4.8394408936846185</v>
      </c>
      <c r="G532" s="357" t="str">
        <f>IF(MakeSchedule!C499="","",MakeSchedule!C499)</f>
        <v/>
      </c>
      <c r="H532" s="358"/>
      <c r="I532" s="358"/>
      <c r="J532" s="359" t="str">
        <f>IF(MakeSchedule!B499="","",MakeSchedule!B499)</f>
        <v/>
      </c>
      <c r="K532" s="63">
        <f t="shared" si="150"/>
        <v>4.8394408936846185</v>
      </c>
      <c r="L532" s="63">
        <f t="shared" si="159"/>
        <v>4.8394408936846185</v>
      </c>
      <c r="M532" s="63">
        <f t="shared" si="160"/>
        <v>19.250896334483926</v>
      </c>
      <c r="N532" s="63" t="str">
        <f t="shared" si="151"/>
        <v/>
      </c>
      <c r="O532" s="64">
        <f t="shared" si="161"/>
        <v>0.26315440486832137</v>
      </c>
      <c r="P532" s="63" t="str">
        <f t="shared" si="162"/>
        <v/>
      </c>
      <c r="Q532" s="64" t="e">
        <f t="shared" si="152"/>
        <v>#N/A</v>
      </c>
      <c r="R532" s="63">
        <f t="shared" si="153"/>
        <v>0.26315440486832137</v>
      </c>
      <c r="S532" s="65">
        <f t="shared" si="154"/>
        <v>0.35</v>
      </c>
      <c r="T532" s="65">
        <f t="shared" si="163"/>
        <v>0.9</v>
      </c>
      <c r="U532" s="64" t="e">
        <f t="shared" si="164"/>
        <v>#N/A</v>
      </c>
      <c r="V532" s="63">
        <f t="shared" si="155"/>
        <v>4.3554968043161564</v>
      </c>
      <c r="W532" s="63" t="str">
        <f t="shared" si="156"/>
        <v/>
      </c>
      <c r="X532" s="63">
        <f t="shared" si="165"/>
        <v>0</v>
      </c>
      <c r="Y532" s="30"/>
      <c r="Z532" s="30"/>
      <c r="AA532" s="30"/>
      <c r="AB532" s="55">
        <f>PMSplint!N168</f>
        <v>4.8761074493109486</v>
      </c>
      <c r="AC532" s="55">
        <f>PMSplint!N167</f>
        <v>4.8394408936846185</v>
      </c>
      <c r="AD532" s="55">
        <f>IF(RnSplint!N168&lt;0,0,RnSplint!N168)</f>
        <v>19.310777871745504</v>
      </c>
      <c r="AE532" s="55">
        <f>IF(RnSplint!N167&lt;0,0,RnSplint!N167)</f>
        <v>19.250896334483926</v>
      </c>
      <c r="AF532" s="30"/>
      <c r="AG532" s="30"/>
      <c r="AH532" s="30"/>
      <c r="AI532" s="30"/>
      <c r="AJ532" s="30"/>
      <c r="AK532" s="30"/>
      <c r="AL532" s="30"/>
      <c r="AM532" s="30"/>
      <c r="AN532" s="55">
        <f t="shared" si="166"/>
        <v>93.163574961184835</v>
      </c>
      <c r="AO532" s="55">
        <f t="shared" si="167"/>
        <v>9.6521280016991504</v>
      </c>
      <c r="AP532" s="55">
        <f t="shared" si="168"/>
        <v>0.26315440486832137</v>
      </c>
      <c r="AQ532" s="55"/>
      <c r="AR532" s="55"/>
      <c r="AS532" s="55"/>
      <c r="AT532" s="55"/>
      <c r="AU532" s="30"/>
      <c r="AV532" s="30"/>
      <c r="AW532" s="2"/>
      <c r="AX532" s="2"/>
    </row>
    <row r="533" spans="1:50" x14ac:dyDescent="0.2">
      <c r="A533" s="2"/>
      <c r="B533" s="61">
        <f t="shared" si="169"/>
        <v>42124</v>
      </c>
      <c r="C533" s="62">
        <f t="shared" si="157"/>
        <v>120</v>
      </c>
      <c r="D533" s="63">
        <f t="shared" si="158"/>
        <v>4.8761074493109486</v>
      </c>
      <c r="G533" s="357" t="str">
        <f>IF(MakeSchedule!C500="","",MakeSchedule!C500)</f>
        <v/>
      </c>
      <c r="H533" s="358"/>
      <c r="I533" s="358"/>
      <c r="J533" s="359" t="str">
        <f>IF(MakeSchedule!B500="","",MakeSchedule!B500)</f>
        <v/>
      </c>
      <c r="K533" s="63">
        <f t="shared" si="150"/>
        <v>4.8761074493109486</v>
      </c>
      <c r="L533" s="63">
        <f t="shared" si="159"/>
        <v>4.8761074493109486</v>
      </c>
      <c r="M533" s="63">
        <f t="shared" si="160"/>
        <v>19.310777871745504</v>
      </c>
      <c r="N533" s="63" t="str">
        <f t="shared" si="151"/>
        <v/>
      </c>
      <c r="O533" s="64">
        <f t="shared" si="161"/>
        <v>0.26175633361405604</v>
      </c>
      <c r="P533" s="63" t="str">
        <f t="shared" si="162"/>
        <v/>
      </c>
      <c r="Q533" s="64" t="e">
        <f t="shared" si="152"/>
        <v>#N/A</v>
      </c>
      <c r="R533" s="63">
        <f t="shared" si="153"/>
        <v>0.26175633361405604</v>
      </c>
      <c r="S533" s="65">
        <f t="shared" si="154"/>
        <v>0.35</v>
      </c>
      <c r="T533" s="65">
        <f t="shared" si="163"/>
        <v>0.9</v>
      </c>
      <c r="U533" s="64" t="e">
        <f t="shared" si="164"/>
        <v>#N/A</v>
      </c>
      <c r="V533" s="63">
        <f t="shared" si="155"/>
        <v>4.388496704379854</v>
      </c>
      <c r="W533" s="63" t="str">
        <f t="shared" si="156"/>
        <v/>
      </c>
      <c r="X533" s="63">
        <f t="shared" si="165"/>
        <v>0</v>
      </c>
      <c r="Y533" s="30"/>
      <c r="Z533" s="30"/>
      <c r="AA533" s="30"/>
      <c r="AB533" s="55">
        <f>PMSplint!N169</f>
        <v>4.9123315933302614</v>
      </c>
      <c r="AC533" s="55">
        <f>PMSplint!N168</f>
        <v>4.8761074493109486</v>
      </c>
      <c r="AD533" s="55">
        <f>IF(RnSplint!N169&lt;0,0,RnSplint!N169)</f>
        <v>19.363249102424426</v>
      </c>
      <c r="AE533" s="55">
        <f>IF(RnSplint!N168&lt;0,0,RnSplint!N168)</f>
        <v>19.310777871745504</v>
      </c>
      <c r="AF533" s="30"/>
      <c r="AG533" s="30"/>
      <c r="AH533" s="30"/>
      <c r="AI533" s="30"/>
      <c r="AJ533" s="30"/>
      <c r="AK533" s="30"/>
      <c r="AL533" s="30"/>
      <c r="AM533" s="30"/>
      <c r="AN533" s="55">
        <f t="shared" si="166"/>
        <v>94.161427832407284</v>
      </c>
      <c r="AO533" s="55">
        <f t="shared" si="167"/>
        <v>9.7036811485336472</v>
      </c>
      <c r="AP533" s="55">
        <f t="shared" si="168"/>
        <v>0.26175633361405604</v>
      </c>
      <c r="AQ533" s="55"/>
      <c r="AR533" s="55"/>
      <c r="AS533" s="55"/>
      <c r="AT533" s="55"/>
      <c r="AU533" s="30"/>
      <c r="AV533" s="30"/>
      <c r="AW533" s="2"/>
      <c r="AX533" s="2"/>
    </row>
    <row r="534" spans="1:50" x14ac:dyDescent="0.2">
      <c r="A534" s="2"/>
      <c r="B534" s="61">
        <f t="shared" si="169"/>
        <v>42125</v>
      </c>
      <c r="C534" s="62">
        <f t="shared" si="157"/>
        <v>121</v>
      </c>
      <c r="D534" s="63">
        <f t="shared" si="158"/>
        <v>4.9123315933302614</v>
      </c>
      <c r="G534" s="357" t="str">
        <f>IF(MakeSchedule!C501="","",MakeSchedule!C501)</f>
        <v/>
      </c>
      <c r="H534" s="358"/>
      <c r="I534" s="358"/>
      <c r="J534" s="359" t="str">
        <f>IF(MakeSchedule!B501="","",MakeSchedule!B501)</f>
        <v/>
      </c>
      <c r="K534" s="63">
        <f t="shared" si="150"/>
        <v>4.9123315933302614</v>
      </c>
      <c r="L534" s="63">
        <f t="shared" si="159"/>
        <v>4.9123315933302614</v>
      </c>
      <c r="M534" s="63">
        <f t="shared" si="160"/>
        <v>19.363249102424426</v>
      </c>
      <c r="N534" s="63" t="str">
        <f t="shared" si="151"/>
        <v/>
      </c>
      <c r="O534" s="64">
        <f t="shared" si="161"/>
        <v>0.26043584792024915</v>
      </c>
      <c r="P534" s="63" t="str">
        <f t="shared" si="162"/>
        <v/>
      </c>
      <c r="Q534" s="64" t="e">
        <f t="shared" si="152"/>
        <v>#N/A</v>
      </c>
      <c r="R534" s="63">
        <f t="shared" si="153"/>
        <v>0.26043584792024915</v>
      </c>
      <c r="S534" s="65">
        <f t="shared" si="154"/>
        <v>0.35</v>
      </c>
      <c r="T534" s="65">
        <f t="shared" si="163"/>
        <v>0.9</v>
      </c>
      <c r="U534" s="64" t="e">
        <f t="shared" si="164"/>
        <v>#N/A</v>
      </c>
      <c r="V534" s="63">
        <f t="shared" si="155"/>
        <v>4.4210984339972352</v>
      </c>
      <c r="W534" s="63" t="str">
        <f t="shared" si="156"/>
        <v/>
      </c>
      <c r="X534" s="63">
        <f t="shared" si="165"/>
        <v>0</v>
      </c>
      <c r="Y534" s="30"/>
      <c r="Z534" s="30"/>
      <c r="AA534" s="30"/>
      <c r="AB534" s="55">
        <f>PMSplint!N170</f>
        <v>4.9481827860218184</v>
      </c>
      <c r="AC534" s="55">
        <f>PMSplint!N169</f>
        <v>4.9123315933302614</v>
      </c>
      <c r="AD534" s="55">
        <f>IF(RnSplint!N170&lt;0,0,RnSplint!N170)</f>
        <v>19.4099046431872</v>
      </c>
      <c r="AE534" s="55">
        <f>IF(RnSplint!N169&lt;0,0,RnSplint!N169)</f>
        <v>19.363249102424426</v>
      </c>
      <c r="AF534" s="30"/>
      <c r="AG534" s="30"/>
      <c r="AH534" s="30"/>
      <c r="AI534" s="30"/>
      <c r="AJ534" s="30"/>
      <c r="AK534" s="30"/>
      <c r="AL534" s="30"/>
      <c r="AM534" s="30"/>
      <c r="AN534" s="55">
        <f t="shared" si="166"/>
        <v>95.118700315363327</v>
      </c>
      <c r="AO534" s="55">
        <f t="shared" si="167"/>
        <v>9.7528816416156374</v>
      </c>
      <c r="AP534" s="55">
        <f t="shared" si="168"/>
        <v>0.26043584792024915</v>
      </c>
      <c r="AQ534" s="55"/>
      <c r="AR534" s="55"/>
      <c r="AS534" s="55"/>
      <c r="AT534" s="55"/>
      <c r="AU534" s="30"/>
      <c r="AV534" s="30"/>
      <c r="AW534" s="2"/>
      <c r="AX534" s="2"/>
    </row>
    <row r="535" spans="1:50" x14ac:dyDescent="0.2">
      <c r="A535" s="2"/>
      <c r="B535" s="61">
        <f t="shared" si="169"/>
        <v>42126</v>
      </c>
      <c r="C535" s="62">
        <f t="shared" si="157"/>
        <v>122</v>
      </c>
      <c r="D535" s="63">
        <f t="shared" si="158"/>
        <v>4.9481827860218184</v>
      </c>
      <c r="G535" s="357" t="str">
        <f>IF(MakeSchedule!C502="","",MakeSchedule!C502)</f>
        <v/>
      </c>
      <c r="H535" s="358"/>
      <c r="I535" s="358"/>
      <c r="J535" s="359" t="str">
        <f>IF(MakeSchedule!B502="","",MakeSchedule!B502)</f>
        <v/>
      </c>
      <c r="K535" s="63">
        <f t="shared" si="150"/>
        <v>4.9481827860218184</v>
      </c>
      <c r="L535" s="63">
        <f t="shared" si="159"/>
        <v>4.9481827860218184</v>
      </c>
      <c r="M535" s="63">
        <f t="shared" si="160"/>
        <v>19.4099046431872</v>
      </c>
      <c r="N535" s="63" t="str">
        <f t="shared" si="151"/>
        <v/>
      </c>
      <c r="O535" s="64">
        <f t="shared" si="161"/>
        <v>0.25917860540363513</v>
      </c>
      <c r="P535" s="63" t="str">
        <f t="shared" si="162"/>
        <v/>
      </c>
      <c r="Q535" s="64" t="e">
        <f t="shared" si="152"/>
        <v>#N/A</v>
      </c>
      <c r="R535" s="63">
        <f t="shared" si="153"/>
        <v>0.25917860540363513</v>
      </c>
      <c r="S535" s="65">
        <f t="shared" si="154"/>
        <v>0.35</v>
      </c>
      <c r="T535" s="65">
        <f t="shared" si="163"/>
        <v>0.9</v>
      </c>
      <c r="U535" s="64" t="e">
        <f t="shared" si="164"/>
        <v>#N/A</v>
      </c>
      <c r="V535" s="63">
        <f t="shared" si="155"/>
        <v>4.4533645074196366</v>
      </c>
      <c r="W535" s="63" t="str">
        <f t="shared" si="156"/>
        <v/>
      </c>
      <c r="X535" s="63">
        <f t="shared" si="165"/>
        <v>0</v>
      </c>
      <c r="Y535" s="30"/>
      <c r="Z535" s="30"/>
      <c r="AA535" s="30"/>
      <c r="AB535" s="55">
        <f>PMSplint!N171</f>
        <v>4.9837304876648787</v>
      </c>
      <c r="AC535" s="55">
        <f>PMSplint!N170</f>
        <v>4.9481827860218184</v>
      </c>
      <c r="AD535" s="55">
        <f>IF(RnSplint!N171&lt;0,0,RnSplint!N171)</f>
        <v>19.452339110700326</v>
      </c>
      <c r="AE535" s="55">
        <f>IF(RnSplint!N170&lt;0,0,RnSplint!N170)</f>
        <v>19.4099046431872</v>
      </c>
      <c r="AF535" s="30"/>
      <c r="AG535" s="30"/>
      <c r="AH535" s="30"/>
      <c r="AI535" s="30"/>
      <c r="AJ535" s="30"/>
      <c r="AK535" s="30"/>
      <c r="AL535" s="30"/>
      <c r="AM535" s="30"/>
      <c r="AN535" s="55">
        <f t="shared" si="166"/>
        <v>96.043756033743875</v>
      </c>
      <c r="AO535" s="55">
        <f t="shared" si="167"/>
        <v>9.8001916325010647</v>
      </c>
      <c r="AP535" s="55">
        <f t="shared" si="168"/>
        <v>0.25917860540363513</v>
      </c>
      <c r="AQ535" s="55"/>
      <c r="AR535" s="55"/>
      <c r="AS535" s="55"/>
      <c r="AT535" s="55"/>
      <c r="AU535" s="30"/>
      <c r="AV535" s="30"/>
      <c r="AW535" s="2"/>
      <c r="AX535" s="2"/>
    </row>
    <row r="536" spans="1:50" x14ac:dyDescent="0.2">
      <c r="A536" s="2"/>
      <c r="B536" s="61">
        <f t="shared" si="169"/>
        <v>42127</v>
      </c>
      <c r="C536" s="62">
        <f t="shared" si="157"/>
        <v>123</v>
      </c>
      <c r="D536" s="63">
        <f t="shared" si="158"/>
        <v>4.9837304876648787</v>
      </c>
      <c r="G536" s="357" t="str">
        <f>IF(MakeSchedule!C503="","",MakeSchedule!C503)</f>
        <v/>
      </c>
      <c r="H536" s="358"/>
      <c r="I536" s="358"/>
      <c r="J536" s="359" t="str">
        <f>IF(MakeSchedule!B503="","",MakeSchedule!B503)</f>
        <v/>
      </c>
      <c r="K536" s="63">
        <f t="shared" si="150"/>
        <v>4.9837304876648787</v>
      </c>
      <c r="L536" s="63">
        <f t="shared" si="159"/>
        <v>4.9837304876648787</v>
      </c>
      <c r="M536" s="63">
        <f t="shared" si="160"/>
        <v>19.452339110700326</v>
      </c>
      <c r="N536" s="63" t="str">
        <f t="shared" si="151"/>
        <v/>
      </c>
      <c r="O536" s="64">
        <f t="shared" si="161"/>
        <v>0.2579707857435784</v>
      </c>
      <c r="P536" s="63" t="str">
        <f t="shared" si="162"/>
        <v/>
      </c>
      <c r="Q536" s="64" t="e">
        <f t="shared" si="152"/>
        <v>#N/A</v>
      </c>
      <c r="R536" s="63">
        <f t="shared" si="153"/>
        <v>0.2579707857435784</v>
      </c>
      <c r="S536" s="65">
        <f t="shared" si="154"/>
        <v>0.35</v>
      </c>
      <c r="T536" s="65">
        <f t="shared" si="163"/>
        <v>0.9</v>
      </c>
      <c r="U536" s="64" t="e">
        <f t="shared" si="164"/>
        <v>#N/A</v>
      </c>
      <c r="V536" s="63">
        <f t="shared" si="155"/>
        <v>4.485357438898391</v>
      </c>
      <c r="W536" s="63" t="str">
        <f t="shared" si="156"/>
        <v/>
      </c>
      <c r="X536" s="63">
        <f t="shared" si="165"/>
        <v>0</v>
      </c>
      <c r="Y536" s="30"/>
      <c r="Z536" s="30"/>
      <c r="AA536" s="30"/>
      <c r="AB536" s="55">
        <f>PMSplint!N172</f>
        <v>5.0190441585387022</v>
      </c>
      <c r="AC536" s="55">
        <f>PMSplint!N171</f>
        <v>4.9837304876648787</v>
      </c>
      <c r="AD536" s="55">
        <f>IF(RnSplint!N172&lt;0,0,RnSplint!N172)</f>
        <v>19.492147121630328</v>
      </c>
      <c r="AE536" s="55">
        <f>IF(RnSplint!N171&lt;0,0,RnSplint!N171)</f>
        <v>19.452339110700326</v>
      </c>
      <c r="AF536" s="30"/>
      <c r="AG536" s="30"/>
      <c r="AH536" s="30"/>
      <c r="AI536" s="30"/>
      <c r="AJ536" s="30"/>
      <c r="AK536" s="30"/>
      <c r="AL536" s="30"/>
      <c r="AM536" s="30"/>
      <c r="AN536" s="55">
        <f t="shared" si="166"/>
        <v>96.945215482393124</v>
      </c>
      <c r="AO536" s="55">
        <f t="shared" si="167"/>
        <v>9.8460761464856201</v>
      </c>
      <c r="AP536" s="55">
        <f t="shared" si="168"/>
        <v>0.2579707857435784</v>
      </c>
      <c r="AQ536" s="55"/>
      <c r="AR536" s="55"/>
      <c r="AS536" s="55"/>
      <c r="AT536" s="55"/>
      <c r="AU536" s="30"/>
      <c r="AV536" s="30"/>
      <c r="AW536" s="2"/>
      <c r="AX536" s="2"/>
    </row>
    <row r="537" spans="1:50" x14ac:dyDescent="0.2">
      <c r="A537" s="2"/>
      <c r="B537" s="61">
        <f t="shared" si="169"/>
        <v>42128</v>
      </c>
      <c r="C537" s="62">
        <f t="shared" si="157"/>
        <v>124</v>
      </c>
      <c r="D537" s="63">
        <f t="shared" si="158"/>
        <v>5.0190441585387022</v>
      </c>
      <c r="G537" s="357" t="str">
        <f>IF(MakeSchedule!C504="","",MakeSchedule!C504)</f>
        <v/>
      </c>
      <c r="H537" s="358"/>
      <c r="I537" s="358"/>
      <c r="J537" s="359" t="str">
        <f>IF(MakeSchedule!B504="","",MakeSchedule!B504)</f>
        <v/>
      </c>
      <c r="K537" s="63">
        <f t="shared" si="150"/>
        <v>5.0190441585387022</v>
      </c>
      <c r="L537" s="63">
        <f t="shared" si="159"/>
        <v>5.0190441585387022</v>
      </c>
      <c r="M537" s="63">
        <f t="shared" si="160"/>
        <v>19.492147121630328</v>
      </c>
      <c r="N537" s="63" t="str">
        <f t="shared" si="151"/>
        <v/>
      </c>
      <c r="O537" s="64">
        <f t="shared" si="161"/>
        <v>0.25679902348607003</v>
      </c>
      <c r="P537" s="63" t="str">
        <f t="shared" si="162"/>
        <v/>
      </c>
      <c r="Q537" s="64" t="e">
        <f t="shared" si="152"/>
        <v>#N/A</v>
      </c>
      <c r="R537" s="63">
        <f t="shared" si="153"/>
        <v>0.25679902348607003</v>
      </c>
      <c r="S537" s="65">
        <f t="shared" si="154"/>
        <v>0.35</v>
      </c>
      <c r="T537" s="65">
        <f t="shared" si="163"/>
        <v>0.9</v>
      </c>
      <c r="U537" s="64" t="e">
        <f t="shared" si="164"/>
        <v>#N/A</v>
      </c>
      <c r="V537" s="63">
        <f t="shared" si="155"/>
        <v>4.5171397426848321</v>
      </c>
      <c r="W537" s="63" t="str">
        <f t="shared" si="156"/>
        <v/>
      </c>
      <c r="X537" s="63">
        <f t="shared" si="165"/>
        <v>0</v>
      </c>
      <c r="Y537" s="30"/>
      <c r="Z537" s="30"/>
      <c r="AA537" s="30"/>
      <c r="AB537" s="55">
        <f>PMSplint!N173</f>
        <v>5.0541932589225471</v>
      </c>
      <c r="AC537" s="55">
        <f>PMSplint!N172</f>
        <v>5.0190441585387022</v>
      </c>
      <c r="AD537" s="55">
        <f>IF(RnSplint!N173&lt;0,0,RnSplint!N173)</f>
        <v>19.530923292643706</v>
      </c>
      <c r="AE537" s="55">
        <f>IF(RnSplint!N172&lt;0,0,RnSplint!N172)</f>
        <v>19.492147121630328</v>
      </c>
      <c r="AF537" s="30"/>
      <c r="AG537" s="30"/>
      <c r="AH537" s="30"/>
      <c r="AI537" s="30"/>
      <c r="AJ537" s="30"/>
      <c r="AK537" s="30"/>
      <c r="AL537" s="30"/>
      <c r="AM537" s="30"/>
      <c r="AN537" s="55">
        <f t="shared" si="166"/>
        <v>97.831947148195681</v>
      </c>
      <c r="AO537" s="55">
        <f t="shared" si="167"/>
        <v>9.8910033438572693</v>
      </c>
      <c r="AP537" s="55">
        <f t="shared" si="168"/>
        <v>0.25679902348607003</v>
      </c>
      <c r="AQ537" s="55"/>
      <c r="AR537" s="55"/>
      <c r="AS537" s="55"/>
      <c r="AT537" s="55"/>
      <c r="AU537" s="30"/>
      <c r="AV537" s="30"/>
      <c r="AW537" s="2"/>
      <c r="AX537" s="2"/>
    </row>
    <row r="538" spans="1:50" x14ac:dyDescent="0.2">
      <c r="A538" s="2"/>
      <c r="B538" s="61">
        <f t="shared" si="169"/>
        <v>42129</v>
      </c>
      <c r="C538" s="62">
        <f t="shared" si="157"/>
        <v>125</v>
      </c>
      <c r="D538" s="63">
        <f t="shared" si="158"/>
        <v>5.0541932589225471</v>
      </c>
      <c r="G538" s="357" t="str">
        <f>IF(MakeSchedule!C505="","",MakeSchedule!C505)</f>
        <v/>
      </c>
      <c r="H538" s="358"/>
      <c r="I538" s="358"/>
      <c r="J538" s="359" t="str">
        <f>IF(MakeSchedule!B505="","",MakeSchedule!B505)</f>
        <v/>
      </c>
      <c r="K538" s="63">
        <f t="shared" si="150"/>
        <v>5.0541932589225471</v>
      </c>
      <c r="L538" s="63">
        <f t="shared" si="159"/>
        <v>5.0541932589225471</v>
      </c>
      <c r="M538" s="63">
        <f t="shared" si="160"/>
        <v>19.530923292643706</v>
      </c>
      <c r="N538" s="63" t="str">
        <f t="shared" si="151"/>
        <v/>
      </c>
      <c r="O538" s="64">
        <f t="shared" si="161"/>
        <v>0.25565035925915014</v>
      </c>
      <c r="P538" s="63" t="str">
        <f t="shared" si="162"/>
        <v/>
      </c>
      <c r="Q538" s="64" t="e">
        <f t="shared" si="152"/>
        <v>#N/A</v>
      </c>
      <c r="R538" s="63">
        <f t="shared" si="153"/>
        <v>0.25565035925915014</v>
      </c>
      <c r="S538" s="65">
        <f t="shared" si="154"/>
        <v>0.35</v>
      </c>
      <c r="T538" s="65">
        <f t="shared" si="163"/>
        <v>0.9</v>
      </c>
      <c r="U538" s="64" t="e">
        <f t="shared" si="164"/>
        <v>#N/A</v>
      </c>
      <c r="V538" s="63">
        <f t="shared" si="155"/>
        <v>4.5487739330302928</v>
      </c>
      <c r="W538" s="63" t="str">
        <f t="shared" si="156"/>
        <v/>
      </c>
      <c r="X538" s="63">
        <f t="shared" si="165"/>
        <v>0</v>
      </c>
      <c r="Y538" s="30"/>
      <c r="Z538" s="30"/>
      <c r="AA538" s="30"/>
      <c r="AB538" s="55">
        <f>PMSplint!N174</f>
        <v>5.0892472490956724</v>
      </c>
      <c r="AC538" s="55">
        <f>PMSplint!N173</f>
        <v>5.0541932589225471</v>
      </c>
      <c r="AD538" s="55">
        <f>IF(RnSplint!N174&lt;0,0,RnSplint!N174)</f>
        <v>19.570262240406969</v>
      </c>
      <c r="AE538" s="55">
        <f>IF(RnSplint!N173&lt;0,0,RnSplint!N173)</f>
        <v>19.530923292643706</v>
      </c>
      <c r="AF538" s="30"/>
      <c r="AG538" s="30"/>
      <c r="AH538" s="30"/>
      <c r="AI538" s="30"/>
      <c r="AJ538" s="30"/>
      <c r="AK538" s="30"/>
      <c r="AL538" s="30"/>
      <c r="AM538" s="30"/>
      <c r="AN538" s="55">
        <f t="shared" si="166"/>
        <v>98.713060846213182</v>
      </c>
      <c r="AO538" s="55">
        <f t="shared" si="167"/>
        <v>9.9354446727971464</v>
      </c>
      <c r="AP538" s="55">
        <f t="shared" si="168"/>
        <v>0.25565035925915014</v>
      </c>
      <c r="AQ538" s="55"/>
      <c r="AR538" s="55"/>
      <c r="AS538" s="55"/>
      <c r="AT538" s="55"/>
      <c r="AU538" s="30"/>
      <c r="AV538" s="30"/>
      <c r="AW538" s="2"/>
      <c r="AX538" s="2"/>
    </row>
    <row r="539" spans="1:50" x14ac:dyDescent="0.2">
      <c r="A539" s="2"/>
      <c r="B539" s="61">
        <f t="shared" si="169"/>
        <v>42130</v>
      </c>
      <c r="C539" s="62">
        <f t="shared" si="157"/>
        <v>126</v>
      </c>
      <c r="D539" s="63">
        <f t="shared" si="158"/>
        <v>5.0892472490956724</v>
      </c>
      <c r="G539" s="357" t="str">
        <f>IF(MakeSchedule!C506="","",MakeSchedule!C506)</f>
        <v/>
      </c>
      <c r="H539" s="358"/>
      <c r="I539" s="358"/>
      <c r="J539" s="359" t="str">
        <f>IF(MakeSchedule!B506="","",MakeSchedule!B506)</f>
        <v/>
      </c>
      <c r="K539" s="63">
        <f t="shared" si="150"/>
        <v>5.0892472490956724</v>
      </c>
      <c r="L539" s="63">
        <f t="shared" si="159"/>
        <v>5.0892472490956724</v>
      </c>
      <c r="M539" s="63">
        <f t="shared" si="160"/>
        <v>19.570262240406969</v>
      </c>
      <c r="N539" s="63" t="str">
        <f t="shared" si="151"/>
        <v/>
      </c>
      <c r="O539" s="64">
        <f t="shared" si="161"/>
        <v>0.25451220804321389</v>
      </c>
      <c r="P539" s="63" t="str">
        <f t="shared" si="162"/>
        <v/>
      </c>
      <c r="Q539" s="64" t="e">
        <f t="shared" si="152"/>
        <v>#N/A</v>
      </c>
      <c r="R539" s="63">
        <f t="shared" si="153"/>
        <v>0.25451220804321389</v>
      </c>
      <c r="S539" s="65">
        <f t="shared" si="154"/>
        <v>0.35</v>
      </c>
      <c r="T539" s="65">
        <f t="shared" si="163"/>
        <v>0.9</v>
      </c>
      <c r="U539" s="64" t="e">
        <f t="shared" si="164"/>
        <v>#N/A</v>
      </c>
      <c r="V539" s="63">
        <f t="shared" si="155"/>
        <v>4.580322524186105</v>
      </c>
      <c r="W539" s="63" t="str">
        <f t="shared" si="156"/>
        <v/>
      </c>
      <c r="X539" s="63">
        <f t="shared" si="165"/>
        <v>0</v>
      </c>
      <c r="Y539" s="30"/>
      <c r="Z539" s="30"/>
      <c r="AA539" s="30"/>
      <c r="AB539" s="55">
        <f>PMSplint!N175</f>
        <v>5.1242755893373388</v>
      </c>
      <c r="AC539" s="55">
        <f>PMSplint!N174</f>
        <v>5.0892472490956724</v>
      </c>
      <c r="AD539" s="55">
        <f>IF(RnSplint!N175&lt;0,0,RnSplint!N175)</f>
        <v>19.611758581586624</v>
      </c>
      <c r="AE539" s="55">
        <f>IF(RnSplint!N174&lt;0,0,RnSplint!N174)</f>
        <v>19.570262240406969</v>
      </c>
      <c r="AF539" s="30"/>
      <c r="AG539" s="30"/>
      <c r="AH539" s="30"/>
      <c r="AI539" s="30"/>
      <c r="AJ539" s="30"/>
      <c r="AK539" s="30"/>
      <c r="AL539" s="30"/>
      <c r="AM539" s="30"/>
      <c r="AN539" s="55">
        <f t="shared" si="166"/>
        <v>99.59790327107207</v>
      </c>
      <c r="AO539" s="55">
        <f t="shared" si="167"/>
        <v>9.9798749125964541</v>
      </c>
      <c r="AP539" s="55">
        <f t="shared" si="168"/>
        <v>0.25451220804321389</v>
      </c>
      <c r="AQ539" s="55"/>
      <c r="AR539" s="55"/>
      <c r="AS539" s="55"/>
      <c r="AT539" s="55"/>
      <c r="AU539" s="30"/>
      <c r="AV539" s="30"/>
      <c r="AW539" s="2"/>
      <c r="AX539" s="2"/>
    </row>
    <row r="540" spans="1:50" x14ac:dyDescent="0.2">
      <c r="A540" s="2"/>
      <c r="B540" s="61">
        <f t="shared" si="169"/>
        <v>42131</v>
      </c>
      <c r="C540" s="62">
        <f t="shared" si="157"/>
        <v>127</v>
      </c>
      <c r="D540" s="63">
        <f t="shared" si="158"/>
        <v>5.1242755893373388</v>
      </c>
      <c r="G540" s="357" t="str">
        <f>IF(MakeSchedule!C507="","",MakeSchedule!C507)</f>
        <v/>
      </c>
      <c r="H540" s="358"/>
      <c r="I540" s="358"/>
      <c r="J540" s="359" t="str">
        <f>IF(MakeSchedule!B507="","",MakeSchedule!B507)</f>
        <v/>
      </c>
      <c r="K540" s="63">
        <f t="shared" si="150"/>
        <v>5.1242755893373388</v>
      </c>
      <c r="L540" s="63">
        <f t="shared" si="159"/>
        <v>5.1242755893373388</v>
      </c>
      <c r="M540" s="63">
        <f t="shared" si="160"/>
        <v>19.611758581586624</v>
      </c>
      <c r="N540" s="63" t="str">
        <f t="shared" si="151"/>
        <v/>
      </c>
      <c r="O540" s="64">
        <f t="shared" si="161"/>
        <v>0.25337234336250558</v>
      </c>
      <c r="P540" s="63" t="str">
        <f t="shared" si="162"/>
        <v/>
      </c>
      <c r="Q540" s="64" t="e">
        <f t="shared" si="152"/>
        <v>#N/A</v>
      </c>
      <c r="R540" s="63">
        <f t="shared" si="153"/>
        <v>0.25337234336250558</v>
      </c>
      <c r="S540" s="65">
        <f t="shared" si="154"/>
        <v>0.35</v>
      </c>
      <c r="T540" s="65">
        <f t="shared" si="163"/>
        <v>0.9</v>
      </c>
      <c r="U540" s="64" t="e">
        <f t="shared" si="164"/>
        <v>#N/A</v>
      </c>
      <c r="V540" s="63">
        <f t="shared" si="155"/>
        <v>4.6118480304036051</v>
      </c>
      <c r="W540" s="63" t="str">
        <f t="shared" si="156"/>
        <v/>
      </c>
      <c r="X540" s="63">
        <f t="shared" si="165"/>
        <v>0</v>
      </c>
      <c r="Y540" s="30"/>
      <c r="Z540" s="30"/>
      <c r="AA540" s="30"/>
      <c r="AB540" s="55">
        <f>PMSplint!N176</f>
        <v>5.1593477399268064</v>
      </c>
      <c r="AC540" s="55">
        <f>PMSplint!N175</f>
        <v>5.1242755893373388</v>
      </c>
      <c r="AD540" s="55">
        <f>IF(RnSplint!N176&lt;0,0,RnSplint!N176)</f>
        <v>19.657006932849193</v>
      </c>
      <c r="AE540" s="55">
        <f>IF(RnSplint!N175&lt;0,0,RnSplint!N175)</f>
        <v>19.611758581586624</v>
      </c>
      <c r="AF540" s="30"/>
      <c r="AG540" s="30"/>
      <c r="AH540" s="30"/>
      <c r="AI540" s="30"/>
      <c r="AJ540" s="30"/>
      <c r="AK540" s="30"/>
      <c r="AL540" s="30"/>
      <c r="AM540" s="30"/>
      <c r="AN540" s="55">
        <f t="shared" si="166"/>
        <v>100.4960557636014</v>
      </c>
      <c r="AO540" s="55">
        <f t="shared" si="167"/>
        <v>10.024772105319972</v>
      </c>
      <c r="AP540" s="55">
        <f t="shared" si="168"/>
        <v>0.25337234336250558</v>
      </c>
      <c r="AQ540" s="55"/>
      <c r="AR540" s="55"/>
      <c r="AS540" s="55"/>
      <c r="AT540" s="55"/>
      <c r="AU540" s="30"/>
      <c r="AV540" s="30"/>
      <c r="AW540" s="2"/>
      <c r="AX540" s="2"/>
    </row>
    <row r="541" spans="1:50" x14ac:dyDescent="0.2">
      <c r="A541" s="2"/>
      <c r="B541" s="61">
        <f t="shared" si="169"/>
        <v>42132</v>
      </c>
      <c r="C541" s="62">
        <f t="shared" si="157"/>
        <v>128</v>
      </c>
      <c r="D541" s="63">
        <f t="shared" si="158"/>
        <v>5.1593477399268064</v>
      </c>
      <c r="G541" s="357" t="str">
        <f>IF(MakeSchedule!C508="","",MakeSchedule!C508)</f>
        <v/>
      </c>
      <c r="H541" s="358"/>
      <c r="I541" s="358"/>
      <c r="J541" s="359" t="str">
        <f>IF(MakeSchedule!B508="","",MakeSchedule!B508)</f>
        <v/>
      </c>
      <c r="K541" s="63">
        <f t="shared" si="150"/>
        <v>5.1593477399268064</v>
      </c>
      <c r="L541" s="63">
        <f t="shared" si="159"/>
        <v>5.1593477399268064</v>
      </c>
      <c r="M541" s="63">
        <f t="shared" si="160"/>
        <v>19.657006932849193</v>
      </c>
      <c r="N541" s="63" t="str">
        <f t="shared" si="151"/>
        <v/>
      </c>
      <c r="O541" s="64">
        <f t="shared" si="161"/>
        <v>0.25221889638738326</v>
      </c>
      <c r="P541" s="63" t="str">
        <f t="shared" si="162"/>
        <v/>
      </c>
      <c r="Q541" s="64" t="e">
        <f t="shared" si="152"/>
        <v>#N/A</v>
      </c>
      <c r="R541" s="63">
        <f t="shared" si="153"/>
        <v>0.25221889638738326</v>
      </c>
      <c r="S541" s="65">
        <f t="shared" si="154"/>
        <v>0.35</v>
      </c>
      <c r="T541" s="65">
        <f t="shared" si="163"/>
        <v>0.9</v>
      </c>
      <c r="U541" s="64" t="e">
        <f t="shared" si="164"/>
        <v>#N/A</v>
      </c>
      <c r="V541" s="63">
        <f t="shared" si="155"/>
        <v>4.6434129659341261</v>
      </c>
      <c r="W541" s="63" t="str">
        <f t="shared" si="156"/>
        <v/>
      </c>
      <c r="X541" s="63">
        <f t="shared" si="165"/>
        <v>0</v>
      </c>
      <c r="Y541" s="30"/>
      <c r="Z541" s="30"/>
      <c r="AA541" s="30"/>
      <c r="AB541" s="55">
        <f>PMSplint!N177</f>
        <v>5.1945331611433323</v>
      </c>
      <c r="AC541" s="55">
        <f>PMSplint!N176</f>
        <v>5.1593477399268064</v>
      </c>
      <c r="AD541" s="55">
        <f>IF(RnSplint!N177&lt;0,0,RnSplint!N177)</f>
        <v>19.707601910861172</v>
      </c>
      <c r="AE541" s="55">
        <f>IF(RnSplint!N176&lt;0,0,RnSplint!N176)</f>
        <v>19.657006932849193</v>
      </c>
      <c r="AF541" s="30"/>
      <c r="AG541" s="30"/>
      <c r="AH541" s="30"/>
      <c r="AI541" s="30"/>
      <c r="AJ541" s="30"/>
      <c r="AK541" s="30"/>
      <c r="AL541" s="30"/>
      <c r="AM541" s="30"/>
      <c r="AN541" s="55">
        <f t="shared" si="166"/>
        <v>101.41733429272105</v>
      </c>
      <c r="AO541" s="55">
        <f t="shared" si="167"/>
        <v>10.070617373960797</v>
      </c>
      <c r="AP541" s="55">
        <f t="shared" si="168"/>
        <v>0.25221889638738326</v>
      </c>
      <c r="AQ541" s="55"/>
      <c r="AR541" s="55"/>
      <c r="AS541" s="55"/>
      <c r="AT541" s="55"/>
      <c r="AU541" s="30"/>
      <c r="AV541" s="30"/>
      <c r="AW541" s="2"/>
      <c r="AX541" s="2"/>
    </row>
    <row r="542" spans="1:50" x14ac:dyDescent="0.2">
      <c r="A542" s="2"/>
      <c r="B542" s="61">
        <f t="shared" si="169"/>
        <v>42133</v>
      </c>
      <c r="C542" s="62">
        <f t="shared" si="157"/>
        <v>129</v>
      </c>
      <c r="D542" s="63">
        <f t="shared" si="158"/>
        <v>5.1945331611433323</v>
      </c>
      <c r="G542" s="357" t="str">
        <f>IF(MakeSchedule!C509="","",MakeSchedule!C509)</f>
        <v/>
      </c>
      <c r="H542" s="358"/>
      <c r="I542" s="358"/>
      <c r="J542" s="359" t="str">
        <f>IF(MakeSchedule!B509="","",MakeSchedule!B509)</f>
        <v/>
      </c>
      <c r="K542" s="63">
        <f t="shared" si="150"/>
        <v>5.1945331611433323</v>
      </c>
      <c r="L542" s="63">
        <f t="shared" si="159"/>
        <v>5.1945331611433323</v>
      </c>
      <c r="M542" s="63">
        <f t="shared" si="160"/>
        <v>19.707601910861172</v>
      </c>
      <c r="N542" s="63" t="str">
        <f t="shared" si="151"/>
        <v/>
      </c>
      <c r="O542" s="64">
        <f t="shared" si="161"/>
        <v>0.25104036897164644</v>
      </c>
      <c r="P542" s="63" t="str">
        <f t="shared" si="162"/>
        <v/>
      </c>
      <c r="Q542" s="64" t="e">
        <f t="shared" si="152"/>
        <v>#N/A</v>
      </c>
      <c r="R542" s="63">
        <f t="shared" si="153"/>
        <v>0.25104036897164644</v>
      </c>
      <c r="S542" s="65">
        <f t="shared" si="154"/>
        <v>0.35</v>
      </c>
      <c r="T542" s="65">
        <f t="shared" si="163"/>
        <v>0.9</v>
      </c>
      <c r="U542" s="64" t="e">
        <f t="shared" si="164"/>
        <v>#N/A</v>
      </c>
      <c r="V542" s="63">
        <f t="shared" si="155"/>
        <v>4.675079845028999</v>
      </c>
      <c r="W542" s="63" t="str">
        <f t="shared" si="156"/>
        <v/>
      </c>
      <c r="X542" s="63">
        <f t="shared" si="165"/>
        <v>0</v>
      </c>
      <c r="Y542" s="30"/>
      <c r="Z542" s="30"/>
      <c r="AA542" s="30"/>
      <c r="AB542" s="55">
        <f>PMSplint!N178</f>
        <v>5.2299013132661765</v>
      </c>
      <c r="AC542" s="55">
        <f>PMSplint!N177</f>
        <v>5.1945331611433323</v>
      </c>
      <c r="AD542" s="55">
        <f>IF(RnSplint!N178&lt;0,0,RnSplint!N178)</f>
        <v>19.765138132289078</v>
      </c>
      <c r="AE542" s="55">
        <f>IF(RnSplint!N177&lt;0,0,RnSplint!N177)</f>
        <v>19.707601910861172</v>
      </c>
      <c r="AF542" s="30"/>
      <c r="AG542" s="30"/>
      <c r="AH542" s="30"/>
      <c r="AI542" s="30"/>
      <c r="AJ542" s="30"/>
      <c r="AK542" s="30"/>
      <c r="AL542" s="30"/>
      <c r="AM542" s="30"/>
      <c r="AN542" s="55">
        <f t="shared" si="166"/>
        <v>102.37179165258006</v>
      </c>
      <c r="AO542" s="55">
        <f t="shared" si="167"/>
        <v>10.117894625492996</v>
      </c>
      <c r="AP542" s="55">
        <f t="shared" si="168"/>
        <v>0.25104036897164644</v>
      </c>
      <c r="AQ542" s="55"/>
      <c r="AR542" s="55"/>
      <c r="AS542" s="55"/>
      <c r="AT542" s="55"/>
      <c r="AU542" s="30"/>
      <c r="AV542" s="30"/>
      <c r="AW542" s="2"/>
      <c r="AX542" s="2"/>
    </row>
    <row r="543" spans="1:50" x14ac:dyDescent="0.2">
      <c r="A543" s="2"/>
      <c r="B543" s="61">
        <f t="shared" si="169"/>
        <v>42134</v>
      </c>
      <c r="C543" s="62">
        <f t="shared" si="157"/>
        <v>130</v>
      </c>
      <c r="D543" s="63">
        <f t="shared" si="158"/>
        <v>5.2299013132661765</v>
      </c>
      <c r="G543" s="357" t="str">
        <f>IF(MakeSchedule!C510="","",MakeSchedule!C510)</f>
        <v/>
      </c>
      <c r="H543" s="358"/>
      <c r="I543" s="358"/>
      <c r="J543" s="359" t="str">
        <f>IF(MakeSchedule!B510="","",MakeSchedule!B510)</f>
        <v/>
      </c>
      <c r="K543" s="63">
        <f t="shared" si="150"/>
        <v>5.2299013132661765</v>
      </c>
      <c r="L543" s="63">
        <f t="shared" si="159"/>
        <v>5.2299013132661765</v>
      </c>
      <c r="M543" s="63">
        <f t="shared" si="160"/>
        <v>19.765138132289078</v>
      </c>
      <c r="N543" s="63" t="str">
        <f t="shared" si="151"/>
        <v/>
      </c>
      <c r="O543" s="64">
        <f t="shared" si="161"/>
        <v>0.24982565960516734</v>
      </c>
      <c r="P543" s="63" t="str">
        <f t="shared" si="162"/>
        <v/>
      </c>
      <c r="Q543" s="64" t="e">
        <f t="shared" si="152"/>
        <v>#N/A</v>
      </c>
      <c r="R543" s="63">
        <f t="shared" si="153"/>
        <v>0.24982565960516734</v>
      </c>
      <c r="S543" s="65">
        <f t="shared" si="154"/>
        <v>0.35</v>
      </c>
      <c r="T543" s="65">
        <f t="shared" si="163"/>
        <v>0.9</v>
      </c>
      <c r="U543" s="64" t="e">
        <f t="shared" si="164"/>
        <v>#N/A</v>
      </c>
      <c r="V543" s="63">
        <f t="shared" si="155"/>
        <v>4.7069111819395593</v>
      </c>
      <c r="W543" s="63" t="str">
        <f t="shared" si="156"/>
        <v/>
      </c>
      <c r="X543" s="63">
        <f t="shared" si="165"/>
        <v>0</v>
      </c>
      <c r="Y543" s="30"/>
      <c r="Z543" s="30"/>
      <c r="AA543" s="30"/>
      <c r="AB543" s="55">
        <f>PMSplint!N179</f>
        <v>5.2655216565746006</v>
      </c>
      <c r="AC543" s="55">
        <f>PMSplint!N178</f>
        <v>5.2299013132661765</v>
      </c>
      <c r="AD543" s="55">
        <f>IF(RnSplint!N179&lt;0,0,RnSplint!N179)</f>
        <v>19.831210213799416</v>
      </c>
      <c r="AE543" s="55">
        <f>IF(RnSplint!N178&lt;0,0,RnSplint!N178)</f>
        <v>19.765138132289078</v>
      </c>
      <c r="AF543" s="30"/>
      <c r="AG543" s="30"/>
      <c r="AH543" s="30"/>
      <c r="AI543" s="30"/>
      <c r="AJ543" s="30"/>
      <c r="AK543" s="30"/>
      <c r="AL543" s="30"/>
      <c r="AM543" s="30"/>
      <c r="AN543" s="55">
        <f t="shared" si="166"/>
        <v>103.36972187494602</v>
      </c>
      <c r="AO543" s="55">
        <f t="shared" si="167"/>
        <v>10.167090138035858</v>
      </c>
      <c r="AP543" s="55">
        <f t="shared" si="168"/>
        <v>0.24982565960516734</v>
      </c>
      <c r="AQ543" s="55"/>
      <c r="AR543" s="55"/>
      <c r="AS543" s="55"/>
      <c r="AT543" s="55"/>
      <c r="AU543" s="30"/>
      <c r="AV543" s="30"/>
      <c r="AW543" s="2"/>
      <c r="AX543" s="2"/>
    </row>
    <row r="544" spans="1:50" x14ac:dyDescent="0.2">
      <c r="A544" s="2"/>
      <c r="B544" s="61">
        <f t="shared" si="169"/>
        <v>42135</v>
      </c>
      <c r="C544" s="62">
        <f t="shared" si="157"/>
        <v>131</v>
      </c>
      <c r="D544" s="63">
        <f t="shared" si="158"/>
        <v>5.2655216565746006</v>
      </c>
      <c r="G544" s="357" t="str">
        <f>IF(MakeSchedule!C511="","",MakeSchedule!C511)</f>
        <v/>
      </c>
      <c r="H544" s="358"/>
      <c r="I544" s="358"/>
      <c r="J544" s="359" t="str">
        <f>IF(MakeSchedule!B511="","",MakeSchedule!B511)</f>
        <v/>
      </c>
      <c r="K544" s="63">
        <f t="shared" si="150"/>
        <v>5.2655216565746006</v>
      </c>
      <c r="L544" s="63">
        <f t="shared" si="159"/>
        <v>5.2655216565746006</v>
      </c>
      <c r="M544" s="63">
        <f t="shared" si="160"/>
        <v>19.831210213799416</v>
      </c>
      <c r="N544" s="63" t="str">
        <f t="shared" si="151"/>
        <v/>
      </c>
      <c r="O544" s="64">
        <f t="shared" si="161"/>
        <v>0.24856410114916835</v>
      </c>
      <c r="P544" s="63" t="str">
        <f t="shared" si="162"/>
        <v/>
      </c>
      <c r="Q544" s="64" t="e">
        <f t="shared" si="152"/>
        <v>#N/A</v>
      </c>
      <c r="R544" s="63">
        <f t="shared" si="153"/>
        <v>0.24856410114916835</v>
      </c>
      <c r="S544" s="65">
        <f t="shared" si="154"/>
        <v>0.35</v>
      </c>
      <c r="T544" s="65">
        <f t="shared" si="163"/>
        <v>0.9</v>
      </c>
      <c r="U544" s="64" t="e">
        <f t="shared" si="164"/>
        <v>#N/A</v>
      </c>
      <c r="V544" s="63">
        <f t="shared" si="155"/>
        <v>4.7389694909171407</v>
      </c>
      <c r="W544" s="63" t="str">
        <f t="shared" si="156"/>
        <v/>
      </c>
      <c r="X544" s="63">
        <f t="shared" si="165"/>
        <v>0</v>
      </c>
      <c r="Y544" s="30"/>
      <c r="Z544" s="30"/>
      <c r="AA544" s="30"/>
      <c r="AB544" s="55">
        <f>PMSplint!N180</f>
        <v>5.3014636513478592</v>
      </c>
      <c r="AC544" s="55">
        <f>PMSplint!N179</f>
        <v>5.2655216565746006</v>
      </c>
      <c r="AD544" s="55">
        <f>IF(RnSplint!N180&lt;0,0,RnSplint!N180)</f>
        <v>19.907412772058695</v>
      </c>
      <c r="AE544" s="55">
        <f>IF(RnSplint!N179&lt;0,0,RnSplint!N179)</f>
        <v>19.831210213799416</v>
      </c>
      <c r="AF544" s="30"/>
      <c r="AG544" s="30"/>
      <c r="AH544" s="30"/>
      <c r="AI544" s="30"/>
      <c r="AJ544" s="30"/>
      <c r="AK544" s="30"/>
      <c r="AL544" s="30"/>
      <c r="AM544" s="30"/>
      <c r="AN544" s="55">
        <f t="shared" si="166"/>
        <v>104.42166685684424</v>
      </c>
      <c r="AO544" s="55">
        <f t="shared" si="167"/>
        <v>10.218692032586373</v>
      </c>
      <c r="AP544" s="55">
        <f t="shared" si="168"/>
        <v>0.24856410114916835</v>
      </c>
      <c r="AQ544" s="55"/>
      <c r="AR544" s="55"/>
      <c r="AS544" s="55"/>
      <c r="AT544" s="55"/>
      <c r="AU544" s="30"/>
      <c r="AV544" s="30"/>
      <c r="AW544" s="2"/>
      <c r="AX544" s="2"/>
    </row>
    <row r="545" spans="1:50" x14ac:dyDescent="0.2">
      <c r="A545" s="2"/>
      <c r="B545" s="61">
        <f t="shared" si="169"/>
        <v>42136</v>
      </c>
      <c r="C545" s="62">
        <f t="shared" si="157"/>
        <v>132</v>
      </c>
      <c r="D545" s="63">
        <f t="shared" si="158"/>
        <v>5.3014636513478592</v>
      </c>
      <c r="G545" s="357" t="str">
        <f>IF(MakeSchedule!C512="","",MakeSchedule!C512)</f>
        <v/>
      </c>
      <c r="H545" s="358"/>
      <c r="I545" s="358"/>
      <c r="J545" s="359" t="str">
        <f>IF(MakeSchedule!B512="","",MakeSchedule!B512)</f>
        <v/>
      </c>
      <c r="K545" s="63">
        <f t="shared" si="150"/>
        <v>5.3014636513478592</v>
      </c>
      <c r="L545" s="63">
        <f t="shared" si="159"/>
        <v>5.3014636513478592</v>
      </c>
      <c r="M545" s="63">
        <f t="shared" si="160"/>
        <v>19.907412772058695</v>
      </c>
      <c r="N545" s="63" t="str">
        <f t="shared" si="151"/>
        <v/>
      </c>
      <c r="O545" s="64">
        <f t="shared" si="161"/>
        <v>0.24724550905081633</v>
      </c>
      <c r="P545" s="63" t="str">
        <f t="shared" si="162"/>
        <v/>
      </c>
      <c r="Q545" s="64" t="e">
        <f t="shared" si="152"/>
        <v>#N/A</v>
      </c>
      <c r="R545" s="63">
        <f t="shared" si="153"/>
        <v>0.24724550905081633</v>
      </c>
      <c r="S545" s="65">
        <f t="shared" si="154"/>
        <v>0.35</v>
      </c>
      <c r="T545" s="65">
        <f t="shared" si="163"/>
        <v>0.9</v>
      </c>
      <c r="U545" s="64" t="e">
        <f t="shared" si="164"/>
        <v>#N/A</v>
      </c>
      <c r="V545" s="63">
        <f t="shared" si="155"/>
        <v>4.7713172862130735</v>
      </c>
      <c r="W545" s="63" t="str">
        <f t="shared" si="156"/>
        <v/>
      </c>
      <c r="X545" s="63">
        <f t="shared" si="165"/>
        <v>0</v>
      </c>
      <c r="Y545" s="30"/>
      <c r="Z545" s="30"/>
      <c r="AA545" s="30"/>
      <c r="AB545" s="55">
        <f>PMSplint!N181</f>
        <v>5.337796757865215</v>
      </c>
      <c r="AC545" s="55">
        <f>PMSplint!N180</f>
        <v>5.3014636513478592</v>
      </c>
      <c r="AD545" s="55">
        <f>IF(RnSplint!N181&lt;0,0,RnSplint!N181)</f>
        <v>19.995340423733424</v>
      </c>
      <c r="AE545" s="55">
        <f>IF(RnSplint!N180&lt;0,0,RnSplint!N180)</f>
        <v>19.907412772058695</v>
      </c>
      <c r="AF545" s="30"/>
      <c r="AG545" s="30"/>
      <c r="AH545" s="30"/>
      <c r="AI545" s="30"/>
      <c r="AJ545" s="30"/>
      <c r="AK545" s="30"/>
      <c r="AL545" s="30"/>
      <c r="AM545" s="30"/>
      <c r="AN545" s="55">
        <f t="shared" si="166"/>
        <v>105.5384252034473</v>
      </c>
      <c r="AO545" s="55">
        <f t="shared" si="167"/>
        <v>10.273189631436153</v>
      </c>
      <c r="AP545" s="55">
        <f t="shared" si="168"/>
        <v>0.24724550905081633</v>
      </c>
      <c r="AQ545" s="55"/>
      <c r="AR545" s="55"/>
      <c r="AS545" s="55"/>
      <c r="AT545" s="55"/>
      <c r="AU545" s="30"/>
      <c r="AV545" s="30"/>
      <c r="AW545" s="2"/>
      <c r="AX545" s="2"/>
    </row>
    <row r="546" spans="1:50" x14ac:dyDescent="0.2">
      <c r="A546" s="2"/>
      <c r="B546" s="61">
        <f t="shared" si="169"/>
        <v>42137</v>
      </c>
      <c r="C546" s="62">
        <f t="shared" si="157"/>
        <v>133</v>
      </c>
      <c r="D546" s="63">
        <f t="shared" si="158"/>
        <v>5.337796757865215</v>
      </c>
      <c r="G546" s="357" t="str">
        <f>IF(MakeSchedule!C513="","",MakeSchedule!C513)</f>
        <v/>
      </c>
      <c r="H546" s="358"/>
      <c r="I546" s="358"/>
      <c r="J546" s="359" t="str">
        <f>IF(MakeSchedule!B513="","",MakeSchedule!B513)</f>
        <v/>
      </c>
      <c r="K546" s="63">
        <f t="shared" si="150"/>
        <v>5.337796757865215</v>
      </c>
      <c r="L546" s="63">
        <f t="shared" si="159"/>
        <v>5.337796757865215</v>
      </c>
      <c r="M546" s="63">
        <f t="shared" si="160"/>
        <v>19.995340423733424</v>
      </c>
      <c r="N546" s="63" t="str">
        <f t="shared" si="151"/>
        <v/>
      </c>
      <c r="O546" s="64">
        <f t="shared" si="161"/>
        <v>0.24586023851841959</v>
      </c>
      <c r="P546" s="63" t="str">
        <f t="shared" si="162"/>
        <v/>
      </c>
      <c r="Q546" s="64" t="e">
        <f t="shared" si="152"/>
        <v>#N/A</v>
      </c>
      <c r="R546" s="63">
        <f t="shared" si="153"/>
        <v>0.24586023851841959</v>
      </c>
      <c r="S546" s="65">
        <f t="shared" si="154"/>
        <v>0.35</v>
      </c>
      <c r="T546" s="65">
        <f t="shared" si="163"/>
        <v>0.9</v>
      </c>
      <c r="U546" s="64" t="e">
        <f t="shared" si="164"/>
        <v>#N/A</v>
      </c>
      <c r="V546" s="63">
        <f t="shared" si="155"/>
        <v>4.804017082078694</v>
      </c>
      <c r="W546" s="63" t="str">
        <f t="shared" si="156"/>
        <v/>
      </c>
      <c r="X546" s="63">
        <f t="shared" si="165"/>
        <v>0</v>
      </c>
      <c r="Y546" s="30"/>
      <c r="Z546" s="30"/>
      <c r="AA546" s="30"/>
      <c r="AB546" s="55">
        <f>PMSplint!N182</f>
        <v>5.3745904364059269</v>
      </c>
      <c r="AC546" s="55">
        <f>PMSplint!N181</f>
        <v>5.337796757865215</v>
      </c>
      <c r="AD546" s="55">
        <f>IF(RnSplint!N182&lt;0,0,RnSplint!N182)</f>
        <v>20.096587785490112</v>
      </c>
      <c r="AE546" s="55">
        <f>IF(RnSplint!N181&lt;0,0,RnSplint!N181)</f>
        <v>19.995340423733424</v>
      </c>
      <c r="AF546" s="30"/>
      <c r="AG546" s="30"/>
      <c r="AH546" s="30"/>
      <c r="AI546" s="30"/>
      <c r="AJ546" s="30"/>
      <c r="AK546" s="30"/>
      <c r="AL546" s="30"/>
      <c r="AM546" s="30"/>
      <c r="AN546" s="55">
        <f t="shared" si="166"/>
        <v>106.73106328621554</v>
      </c>
      <c r="AO546" s="55">
        <f t="shared" si="167"/>
        <v>10.33107270743051</v>
      </c>
      <c r="AP546" s="55">
        <f t="shared" si="168"/>
        <v>0.24586023851841959</v>
      </c>
      <c r="AQ546" s="55"/>
      <c r="AR546" s="55"/>
      <c r="AS546" s="55"/>
      <c r="AT546" s="55"/>
      <c r="AU546" s="30"/>
      <c r="AV546" s="30"/>
      <c r="AW546" s="2"/>
      <c r="AX546" s="2"/>
    </row>
    <row r="547" spans="1:50" x14ac:dyDescent="0.2">
      <c r="A547" s="2"/>
      <c r="B547" s="61">
        <f t="shared" si="169"/>
        <v>42138</v>
      </c>
      <c r="C547" s="62">
        <f t="shared" si="157"/>
        <v>134</v>
      </c>
      <c r="D547" s="63">
        <f t="shared" si="158"/>
        <v>5.3745904364059269</v>
      </c>
      <c r="G547" s="357" t="str">
        <f>IF(MakeSchedule!C514="","",MakeSchedule!C514)</f>
        <v/>
      </c>
      <c r="H547" s="358"/>
      <c r="I547" s="358"/>
      <c r="J547" s="359" t="str">
        <f>IF(MakeSchedule!B514="","",MakeSchedule!B514)</f>
        <v/>
      </c>
      <c r="K547" s="63">
        <f t="shared" si="150"/>
        <v>5.3745904364059269</v>
      </c>
      <c r="L547" s="63">
        <f t="shared" si="159"/>
        <v>5.3745904364059269</v>
      </c>
      <c r="M547" s="63">
        <f t="shared" si="160"/>
        <v>20.096587785490112</v>
      </c>
      <c r="N547" s="63" t="str">
        <f t="shared" si="151"/>
        <v/>
      </c>
      <c r="O547" s="64">
        <f t="shared" si="161"/>
        <v>0.24439924889394177</v>
      </c>
      <c r="P547" s="63" t="str">
        <f t="shared" si="162"/>
        <v/>
      </c>
      <c r="Q547" s="64" t="e">
        <f t="shared" si="152"/>
        <v>#N/A</v>
      </c>
      <c r="R547" s="63">
        <f t="shared" si="153"/>
        <v>0.24439924889394177</v>
      </c>
      <c r="S547" s="65">
        <f t="shared" si="154"/>
        <v>0.35</v>
      </c>
      <c r="T547" s="65">
        <f t="shared" si="163"/>
        <v>0.9</v>
      </c>
      <c r="U547" s="64" t="e">
        <f t="shared" si="164"/>
        <v>#N/A</v>
      </c>
      <c r="V547" s="63">
        <f t="shared" si="155"/>
        <v>4.8371313927653343</v>
      </c>
      <c r="W547" s="63" t="str">
        <f t="shared" si="156"/>
        <v/>
      </c>
      <c r="X547" s="63">
        <f t="shared" si="165"/>
        <v>0</v>
      </c>
      <c r="Y547" s="30"/>
      <c r="Z547" s="30"/>
      <c r="AA547" s="30"/>
      <c r="AB547" s="55">
        <f>PMSplint!N183</f>
        <v>5.4119141472492549</v>
      </c>
      <c r="AC547" s="55">
        <f>PMSplint!N182</f>
        <v>5.3745904364059269</v>
      </c>
      <c r="AD547" s="55">
        <f>IF(RnSplint!N183&lt;0,0,RnSplint!N183)</f>
        <v>20.212749473995277</v>
      </c>
      <c r="AE547" s="55">
        <f>IF(RnSplint!N182&lt;0,0,RnSplint!N182)</f>
        <v>20.096587785490112</v>
      </c>
      <c r="AF547" s="30"/>
      <c r="AG547" s="30"/>
      <c r="AH547" s="30"/>
      <c r="AI547" s="30"/>
      <c r="AJ547" s="30"/>
      <c r="AK547" s="30"/>
      <c r="AL547" s="30"/>
      <c r="AM547" s="30"/>
      <c r="AN547" s="55">
        <f t="shared" si="166"/>
        <v>108.01092851628732</v>
      </c>
      <c r="AO547" s="55">
        <f t="shared" si="167"/>
        <v>10.392830630597581</v>
      </c>
      <c r="AP547" s="55">
        <f t="shared" si="168"/>
        <v>0.24439924889394177</v>
      </c>
      <c r="AQ547" s="55"/>
      <c r="AR547" s="55"/>
      <c r="AS547" s="55"/>
      <c r="AT547" s="55"/>
      <c r="AU547" s="30"/>
      <c r="AV547" s="30"/>
      <c r="AW547" s="2"/>
      <c r="AX547" s="2"/>
    </row>
    <row r="548" spans="1:50" x14ac:dyDescent="0.2">
      <c r="A548" s="2"/>
      <c r="B548" s="61">
        <f t="shared" si="169"/>
        <v>42139</v>
      </c>
      <c r="C548" s="62">
        <f t="shared" si="157"/>
        <v>135</v>
      </c>
      <c r="D548" s="63">
        <f t="shared" si="158"/>
        <v>5.4119141472492549</v>
      </c>
      <c r="G548" s="357" t="str">
        <f>IF(MakeSchedule!C515="","",MakeSchedule!C515)</f>
        <v/>
      </c>
      <c r="H548" s="358"/>
      <c r="I548" s="358"/>
      <c r="J548" s="359" t="str">
        <f>IF(MakeSchedule!B515="","",MakeSchedule!B515)</f>
        <v/>
      </c>
      <c r="K548" s="63">
        <f t="shared" si="150"/>
        <v>5.4119141472492549</v>
      </c>
      <c r="L548" s="63">
        <f t="shared" si="159"/>
        <v>5.4119141472492549</v>
      </c>
      <c r="M548" s="63">
        <f t="shared" si="160"/>
        <v>20.212749473995277</v>
      </c>
      <c r="N548" s="63" t="str">
        <f t="shared" si="151"/>
        <v/>
      </c>
      <c r="O548" s="64">
        <f t="shared" si="161"/>
        <v>0.24285417320393404</v>
      </c>
      <c r="P548" s="63" t="str">
        <f t="shared" si="162"/>
        <v/>
      </c>
      <c r="Q548" s="64" t="e">
        <f t="shared" si="152"/>
        <v>#N/A</v>
      </c>
      <c r="R548" s="63">
        <f t="shared" si="153"/>
        <v>0.24285417320393404</v>
      </c>
      <c r="S548" s="65">
        <f t="shared" si="154"/>
        <v>0.35</v>
      </c>
      <c r="T548" s="65">
        <f t="shared" si="163"/>
        <v>0.9</v>
      </c>
      <c r="U548" s="64" t="e">
        <f t="shared" si="164"/>
        <v>#N/A</v>
      </c>
      <c r="V548" s="63">
        <f t="shared" si="155"/>
        <v>4.8707227325243299</v>
      </c>
      <c r="W548" s="63" t="str">
        <f t="shared" si="156"/>
        <v/>
      </c>
      <c r="X548" s="63">
        <f t="shared" si="165"/>
        <v>0</v>
      </c>
      <c r="Y548" s="30"/>
      <c r="Z548" s="30"/>
      <c r="AA548" s="30"/>
      <c r="AB548" s="55">
        <f>PMSplint!N184</f>
        <v>5.4498373506744562</v>
      </c>
      <c r="AC548" s="55">
        <f>PMSplint!N183</f>
        <v>5.4119141472492549</v>
      </c>
      <c r="AD548" s="55">
        <f>IF(RnSplint!N184&lt;0,0,RnSplint!N184)</f>
        <v>20.345420105915416</v>
      </c>
      <c r="AE548" s="55">
        <f>IF(RnSplint!N183&lt;0,0,RnSplint!N183)</f>
        <v>20.212749473995277</v>
      </c>
      <c r="AF548" s="30"/>
      <c r="AG548" s="30"/>
      <c r="AH548" s="30"/>
      <c r="AI548" s="30"/>
      <c r="AJ548" s="30"/>
      <c r="AK548" s="30"/>
      <c r="AL548" s="30"/>
      <c r="AM548" s="30"/>
      <c r="AN548" s="55">
        <f t="shared" si="166"/>
        <v>109.38966483311998</v>
      </c>
      <c r="AO548" s="55">
        <f t="shared" si="167"/>
        <v>10.45895142130032</v>
      </c>
      <c r="AP548" s="55">
        <f t="shared" si="168"/>
        <v>0.24285417320393404</v>
      </c>
      <c r="AQ548" s="55"/>
      <c r="AR548" s="55"/>
      <c r="AS548" s="55"/>
      <c r="AT548" s="55"/>
      <c r="AU548" s="30"/>
      <c r="AV548" s="30"/>
      <c r="AW548" s="2"/>
      <c r="AX548" s="2"/>
    </row>
    <row r="549" spans="1:50" x14ac:dyDescent="0.2">
      <c r="A549" s="2"/>
      <c r="B549" s="61">
        <f t="shared" si="169"/>
        <v>42140</v>
      </c>
      <c r="C549" s="62">
        <f t="shared" si="157"/>
        <v>136</v>
      </c>
      <c r="D549" s="63">
        <f t="shared" si="158"/>
        <v>5.4498373506744562</v>
      </c>
      <c r="G549" s="357" t="str">
        <f>IF(MakeSchedule!C516="","",MakeSchedule!C516)</f>
        <v/>
      </c>
      <c r="H549" s="358"/>
      <c r="I549" s="358"/>
      <c r="J549" s="359" t="str">
        <f>IF(MakeSchedule!B516="","",MakeSchedule!B516)</f>
        <v/>
      </c>
      <c r="K549" s="63">
        <f t="shared" si="150"/>
        <v>5.4498373506744562</v>
      </c>
      <c r="L549" s="63">
        <f t="shared" si="159"/>
        <v>5.4498373506744562</v>
      </c>
      <c r="M549" s="63">
        <f t="shared" si="160"/>
        <v>20.345420105915416</v>
      </c>
      <c r="N549" s="63" t="str">
        <f t="shared" si="151"/>
        <v/>
      </c>
      <c r="O549" s="64">
        <f t="shared" si="161"/>
        <v>0.2412173906238578</v>
      </c>
      <c r="P549" s="63" t="str">
        <f t="shared" si="162"/>
        <v/>
      </c>
      <c r="Q549" s="64" t="e">
        <f t="shared" si="152"/>
        <v>#N/A</v>
      </c>
      <c r="R549" s="63">
        <f t="shared" si="153"/>
        <v>0.2412173906238578</v>
      </c>
      <c r="S549" s="65">
        <f t="shared" si="154"/>
        <v>0.35</v>
      </c>
      <c r="T549" s="65">
        <f t="shared" si="163"/>
        <v>0.9</v>
      </c>
      <c r="U549" s="64" t="e">
        <f t="shared" si="164"/>
        <v>#N/A</v>
      </c>
      <c r="V549" s="63">
        <f t="shared" si="155"/>
        <v>4.9048536156070108</v>
      </c>
      <c r="W549" s="63" t="str">
        <f t="shared" si="156"/>
        <v/>
      </c>
      <c r="X549" s="63">
        <f t="shared" si="165"/>
        <v>0</v>
      </c>
      <c r="Y549" s="30"/>
      <c r="Z549" s="30"/>
      <c r="AA549" s="30"/>
      <c r="AB549" s="55">
        <f>PMSplint!N185</f>
        <v>5.4884295069607925</v>
      </c>
      <c r="AC549" s="55">
        <f>PMSplint!N184</f>
        <v>5.4498373506744562</v>
      </c>
      <c r="AD549" s="55">
        <f>IF(RnSplint!N185&lt;0,0,RnSplint!N185)</f>
        <v>20.496194297917043</v>
      </c>
      <c r="AE549" s="55">
        <f>IF(RnSplint!N184&lt;0,0,RnSplint!N184)</f>
        <v>20.345420105915416</v>
      </c>
      <c r="AF549" s="30"/>
      <c r="AG549" s="30"/>
      <c r="AH549" s="30"/>
      <c r="AI549" s="30"/>
      <c r="AJ549" s="30"/>
      <c r="AK549" s="30"/>
      <c r="AL549" s="30"/>
      <c r="AM549" s="30"/>
      <c r="AN549" s="55">
        <f t="shared" si="166"/>
        <v>110.87923040838088</v>
      </c>
      <c r="AO549" s="55">
        <f t="shared" si="167"/>
        <v>10.529920721846906</v>
      </c>
      <c r="AP549" s="55">
        <f t="shared" si="168"/>
        <v>0.2412173906238578</v>
      </c>
      <c r="AQ549" s="55"/>
      <c r="AR549" s="55"/>
      <c r="AS549" s="55"/>
      <c r="AT549" s="55"/>
      <c r="AU549" s="30"/>
      <c r="AV549" s="30"/>
      <c r="AW549" s="2"/>
      <c r="AX549" s="2"/>
    </row>
    <row r="550" spans="1:50" x14ac:dyDescent="0.2">
      <c r="A550" s="2"/>
      <c r="B550" s="61">
        <f t="shared" si="169"/>
        <v>42141</v>
      </c>
      <c r="C550" s="62">
        <f t="shared" si="157"/>
        <v>137</v>
      </c>
      <c r="D550" s="63">
        <f t="shared" si="158"/>
        <v>5.4884295069607925</v>
      </c>
      <c r="G550" s="357" t="str">
        <f>IF(MakeSchedule!C517="","",MakeSchedule!C517)</f>
        <v/>
      </c>
      <c r="H550" s="358"/>
      <c r="I550" s="358"/>
      <c r="J550" s="359" t="str">
        <f>IF(MakeSchedule!B517="","",MakeSchedule!B517)</f>
        <v/>
      </c>
      <c r="K550" s="63">
        <f t="shared" si="150"/>
        <v>5.4884295069607925</v>
      </c>
      <c r="L550" s="63">
        <f t="shared" si="159"/>
        <v>5.4884295069607925</v>
      </c>
      <c r="M550" s="63">
        <f t="shared" si="160"/>
        <v>20.496194297917043</v>
      </c>
      <c r="N550" s="63" t="str">
        <f t="shared" si="151"/>
        <v/>
      </c>
      <c r="O550" s="64">
        <f t="shared" si="161"/>
        <v>0.23948209937627488</v>
      </c>
      <c r="P550" s="63" t="str">
        <f t="shared" si="162"/>
        <v/>
      </c>
      <c r="Q550" s="64" t="e">
        <f t="shared" si="152"/>
        <v>#N/A</v>
      </c>
      <c r="R550" s="63">
        <f t="shared" si="153"/>
        <v>0.23948209937627488</v>
      </c>
      <c r="S550" s="65">
        <f t="shared" si="154"/>
        <v>0.35</v>
      </c>
      <c r="T550" s="65">
        <f t="shared" si="163"/>
        <v>0.9</v>
      </c>
      <c r="U550" s="64" t="e">
        <f t="shared" si="164"/>
        <v>#N/A</v>
      </c>
      <c r="V550" s="63">
        <f t="shared" si="155"/>
        <v>4.9395865562647137</v>
      </c>
      <c r="W550" s="63" t="str">
        <f t="shared" si="156"/>
        <v/>
      </c>
      <c r="X550" s="63">
        <f t="shared" si="165"/>
        <v>0</v>
      </c>
      <c r="Y550" s="30"/>
      <c r="Z550" s="30"/>
      <c r="AA550" s="30"/>
      <c r="AB550" s="55">
        <f>PMSplint!N186</f>
        <v>5.527760076387521</v>
      </c>
      <c r="AC550" s="55">
        <f>PMSplint!N185</f>
        <v>5.4884295069607925</v>
      </c>
      <c r="AD550" s="55">
        <f>IF(RnSplint!N186&lt;0,0,RnSplint!N186)</f>
        <v>20.666666666666668</v>
      </c>
      <c r="AE550" s="55">
        <f>IF(RnSplint!N185&lt;0,0,RnSplint!N185)</f>
        <v>20.496194297917043</v>
      </c>
      <c r="AF550" s="30"/>
      <c r="AG550" s="30"/>
      <c r="AH550" s="30"/>
      <c r="AI550" s="30"/>
      <c r="AJ550" s="30"/>
      <c r="AK550" s="30"/>
      <c r="AL550" s="30"/>
      <c r="AM550" s="30"/>
      <c r="AN550" s="55">
        <f t="shared" si="166"/>
        <v>112.49191756508944</v>
      </c>
      <c r="AO550" s="55">
        <f t="shared" si="167"/>
        <v>10.606220701319081</v>
      </c>
      <c r="AP550" s="55">
        <f t="shared" si="168"/>
        <v>0.23948209937627488</v>
      </c>
      <c r="AQ550" s="55"/>
      <c r="AR550" s="55"/>
      <c r="AS550" s="55"/>
      <c r="AT550" s="55"/>
      <c r="AU550" s="30"/>
      <c r="AV550" s="30"/>
      <c r="AW550" s="2"/>
      <c r="AX550" s="2"/>
    </row>
    <row r="551" spans="1:50" x14ac:dyDescent="0.2">
      <c r="A551" s="2"/>
      <c r="B551" s="61">
        <f t="shared" si="169"/>
        <v>42142</v>
      </c>
      <c r="C551" s="62">
        <f t="shared" si="157"/>
        <v>138</v>
      </c>
      <c r="D551" s="63">
        <f t="shared" si="158"/>
        <v>5.527760076387521</v>
      </c>
      <c r="G551" s="357" t="str">
        <f>IF(MakeSchedule!C518="","",MakeSchedule!C518)</f>
        <v/>
      </c>
      <c r="H551" s="358"/>
      <c r="I551" s="358"/>
      <c r="J551" s="359" t="str">
        <f>IF(MakeSchedule!B518="","",MakeSchedule!B518)</f>
        <v/>
      </c>
      <c r="K551" s="63">
        <f t="shared" si="150"/>
        <v>5.527760076387521</v>
      </c>
      <c r="L551" s="63">
        <f t="shared" si="159"/>
        <v>5.527760076387521</v>
      </c>
      <c r="M551" s="63">
        <f t="shared" si="160"/>
        <v>20.666666666666668</v>
      </c>
      <c r="N551" s="63" t="str">
        <f t="shared" si="151"/>
        <v/>
      </c>
      <c r="O551" s="64">
        <f t="shared" si="161"/>
        <v>0.23764238742320815</v>
      </c>
      <c r="P551" s="63" t="str">
        <f t="shared" si="162"/>
        <v/>
      </c>
      <c r="Q551" s="64" t="e">
        <f t="shared" si="152"/>
        <v>#N/A</v>
      </c>
      <c r="R551" s="63">
        <f t="shared" si="153"/>
        <v>0.23764238742320815</v>
      </c>
      <c r="S551" s="65">
        <f t="shared" si="154"/>
        <v>0.35</v>
      </c>
      <c r="T551" s="65">
        <f t="shared" si="163"/>
        <v>0.9</v>
      </c>
      <c r="U551" s="64" t="e">
        <f t="shared" si="164"/>
        <v>#N/A</v>
      </c>
      <c r="V551" s="63">
        <f t="shared" si="155"/>
        <v>4.9749840687487694</v>
      </c>
      <c r="W551" s="63" t="str">
        <f t="shared" si="156"/>
        <v/>
      </c>
      <c r="X551" s="63">
        <f t="shared" si="165"/>
        <v>0</v>
      </c>
      <c r="Y551" s="30"/>
      <c r="Z551" s="30"/>
      <c r="AA551" s="30"/>
      <c r="AB551" s="55">
        <f>PMSplint!N187</f>
        <v>5.5678747829203816</v>
      </c>
      <c r="AC551" s="55">
        <f>PMSplint!N186</f>
        <v>5.527760076387521</v>
      </c>
      <c r="AD551" s="55">
        <f>IF(RnSplint!N187&lt;0,0,RnSplint!N187)</f>
        <v>20.857947728454935</v>
      </c>
      <c r="AE551" s="55">
        <f>IF(RnSplint!N186&lt;0,0,RnSplint!N186)</f>
        <v>20.666666666666668</v>
      </c>
      <c r="AF551" s="30"/>
      <c r="AG551" s="30"/>
      <c r="AH551" s="30"/>
      <c r="AI551" s="30"/>
      <c r="AJ551" s="30"/>
      <c r="AK551" s="30"/>
      <c r="AL551" s="30"/>
      <c r="AM551" s="30"/>
      <c r="AN551" s="55">
        <f t="shared" si="166"/>
        <v>114.24037491200878</v>
      </c>
      <c r="AO551" s="55">
        <f t="shared" si="167"/>
        <v>10.688328911107142</v>
      </c>
      <c r="AP551" s="55">
        <f t="shared" si="168"/>
        <v>0.23764238742320815</v>
      </c>
      <c r="AQ551" s="55"/>
      <c r="AR551" s="55"/>
      <c r="AS551" s="55"/>
      <c r="AT551" s="55"/>
      <c r="AU551" s="30"/>
      <c r="AV551" s="30"/>
      <c r="AW551" s="2"/>
      <c r="AX551" s="2"/>
    </row>
    <row r="552" spans="1:50" x14ac:dyDescent="0.2">
      <c r="A552" s="2"/>
      <c r="B552" s="61">
        <f t="shared" si="169"/>
        <v>42143</v>
      </c>
      <c r="C552" s="62">
        <f t="shared" si="157"/>
        <v>139</v>
      </c>
      <c r="D552" s="63">
        <f t="shared" si="158"/>
        <v>5.5678747829203816</v>
      </c>
      <c r="G552" s="357" t="str">
        <f>IF(MakeSchedule!C519="","",MakeSchedule!C519)</f>
        <v/>
      </c>
      <c r="H552" s="358"/>
      <c r="I552" s="358"/>
      <c r="J552" s="359" t="str">
        <f>IF(MakeSchedule!B519="","",MakeSchedule!B519)</f>
        <v/>
      </c>
      <c r="K552" s="63">
        <f t="shared" si="150"/>
        <v>5.5678747829203816</v>
      </c>
      <c r="L552" s="63">
        <f t="shared" si="159"/>
        <v>5.5678747829203816</v>
      </c>
      <c r="M552" s="63">
        <f t="shared" si="160"/>
        <v>20.857947728454935</v>
      </c>
      <c r="N552" s="63" t="str">
        <f t="shared" si="151"/>
        <v/>
      </c>
      <c r="O552" s="64">
        <f t="shared" si="161"/>
        <v>0.23569653575782767</v>
      </c>
      <c r="P552" s="63" t="str">
        <f t="shared" si="162"/>
        <v/>
      </c>
      <c r="Q552" s="64" t="e">
        <f t="shared" si="152"/>
        <v>#N/A</v>
      </c>
      <c r="R552" s="63">
        <f t="shared" si="153"/>
        <v>0.23569653575782767</v>
      </c>
      <c r="S552" s="65">
        <f t="shared" si="154"/>
        <v>0.35</v>
      </c>
      <c r="T552" s="65">
        <f t="shared" si="163"/>
        <v>0.9</v>
      </c>
      <c r="U552" s="64" t="e">
        <f t="shared" si="164"/>
        <v>#N/A</v>
      </c>
      <c r="V552" s="63">
        <f t="shared" si="155"/>
        <v>5.0110873046283437</v>
      </c>
      <c r="W552" s="63" t="str">
        <f t="shared" si="156"/>
        <v/>
      </c>
      <c r="X552" s="63">
        <f t="shared" si="165"/>
        <v>0</v>
      </c>
      <c r="Y552" s="30"/>
      <c r="Z552" s="30"/>
      <c r="AA552" s="30"/>
      <c r="AB552" s="55">
        <f>PMSplint!N188</f>
        <v>5.6087244052710208</v>
      </c>
      <c r="AC552" s="55">
        <f>PMSplint!N187</f>
        <v>5.5678747829203816</v>
      </c>
      <c r="AD552" s="55">
        <f>IF(RnSplint!N188&lt;0,0,RnSplint!N188)</f>
        <v>21.069211598069025</v>
      </c>
      <c r="AE552" s="55">
        <f>IF(RnSplint!N187&lt;0,0,RnSplint!N187)</f>
        <v>20.857947728454935</v>
      </c>
      <c r="AF552" s="30"/>
      <c r="AG552" s="30"/>
      <c r="AH552" s="30"/>
      <c r="AI552" s="30"/>
      <c r="AJ552" s="30"/>
      <c r="AK552" s="30"/>
      <c r="AL552" s="30"/>
      <c r="AM552" s="30"/>
      <c r="AN552" s="55">
        <f t="shared" si="166"/>
        <v>116.13444118073569</v>
      </c>
      <c r="AO552" s="55">
        <f t="shared" si="167"/>
        <v>10.77656908207504</v>
      </c>
      <c r="AP552" s="55">
        <f t="shared" si="168"/>
        <v>0.23569653575782767</v>
      </c>
      <c r="AQ552" s="55"/>
      <c r="AR552" s="55"/>
      <c r="AS552" s="55"/>
      <c r="AT552" s="55"/>
      <c r="AU552" s="30"/>
      <c r="AV552" s="30"/>
      <c r="AW552" s="2"/>
      <c r="AX552" s="2"/>
    </row>
    <row r="553" spans="1:50" x14ac:dyDescent="0.2">
      <c r="A553" s="2"/>
      <c r="B553" s="61">
        <f t="shared" si="169"/>
        <v>42144</v>
      </c>
      <c r="C553" s="62">
        <f t="shared" si="157"/>
        <v>140</v>
      </c>
      <c r="D553" s="63">
        <f t="shared" si="158"/>
        <v>5.6087244052710208</v>
      </c>
      <c r="G553" s="357" t="str">
        <f>IF(MakeSchedule!C520="","",MakeSchedule!C520)</f>
        <v/>
      </c>
      <c r="H553" s="358"/>
      <c r="I553" s="358"/>
      <c r="J553" s="359" t="str">
        <f>IF(MakeSchedule!B520="","",MakeSchedule!B520)</f>
        <v/>
      </c>
      <c r="K553" s="63">
        <f t="shared" si="150"/>
        <v>5.6087244052710208</v>
      </c>
      <c r="L553" s="63">
        <f t="shared" si="159"/>
        <v>5.6087244052710208</v>
      </c>
      <c r="M553" s="63">
        <f t="shared" si="160"/>
        <v>21.069211598069025</v>
      </c>
      <c r="N553" s="63" t="str">
        <f t="shared" si="151"/>
        <v/>
      </c>
      <c r="O553" s="64">
        <f t="shared" si="161"/>
        <v>0.23365631539921181</v>
      </c>
      <c r="P553" s="63" t="str">
        <f t="shared" si="162"/>
        <v/>
      </c>
      <c r="Q553" s="64" t="e">
        <f t="shared" si="152"/>
        <v>#N/A</v>
      </c>
      <c r="R553" s="63">
        <f t="shared" si="153"/>
        <v>0.23365631539921181</v>
      </c>
      <c r="S553" s="65">
        <f t="shared" si="154"/>
        <v>0.35</v>
      </c>
      <c r="T553" s="65">
        <f t="shared" si="163"/>
        <v>0.9</v>
      </c>
      <c r="U553" s="64" t="e">
        <f t="shared" si="164"/>
        <v>#N/A</v>
      </c>
      <c r="V553" s="63">
        <f t="shared" si="155"/>
        <v>5.0478519647439191</v>
      </c>
      <c r="W553" s="63" t="str">
        <f t="shared" si="156"/>
        <v/>
      </c>
      <c r="X553" s="63">
        <f t="shared" si="165"/>
        <v>0</v>
      </c>
      <c r="Y553" s="30"/>
      <c r="Z553" s="30"/>
      <c r="AA553" s="30"/>
      <c r="AB553" s="55">
        <f>PMSplint!N189</f>
        <v>5.6502359858375657</v>
      </c>
      <c r="AC553" s="55">
        <f>PMSplint!N188</f>
        <v>5.6087244052710208</v>
      </c>
      <c r="AD553" s="55">
        <f>IF(RnSplint!N189&lt;0,0,RnSplint!N189)</f>
        <v>21.299148289920272</v>
      </c>
      <c r="AE553" s="55">
        <f>IF(RnSplint!N188&lt;0,0,RnSplint!N188)</f>
        <v>21.069211598069025</v>
      </c>
      <c r="AF553" s="30"/>
      <c r="AG553" s="30"/>
      <c r="AH553" s="30"/>
      <c r="AI553" s="30"/>
      <c r="AJ553" s="30"/>
      <c r="AK553" s="30"/>
      <c r="AL553" s="30"/>
      <c r="AM553" s="30"/>
      <c r="AN553" s="55">
        <f t="shared" si="166"/>
        <v>118.17140128990899</v>
      </c>
      <c r="AO553" s="55">
        <f t="shared" si="167"/>
        <v>10.870667012189683</v>
      </c>
      <c r="AP553" s="55">
        <f t="shared" si="168"/>
        <v>0.23365631539921181</v>
      </c>
      <c r="AQ553" s="55"/>
      <c r="AR553" s="55"/>
      <c r="AS553" s="55"/>
      <c r="AT553" s="55"/>
      <c r="AU553" s="30"/>
      <c r="AV553" s="30"/>
      <c r="AW553" s="2"/>
      <c r="AX553" s="2"/>
    </row>
    <row r="554" spans="1:50" x14ac:dyDescent="0.2">
      <c r="A554" s="2"/>
      <c r="B554" s="61">
        <f t="shared" si="169"/>
        <v>42145</v>
      </c>
      <c r="C554" s="62">
        <f t="shared" si="157"/>
        <v>141</v>
      </c>
      <c r="D554" s="63">
        <f t="shared" si="158"/>
        <v>5.6502359858375657</v>
      </c>
      <c r="G554" s="357" t="str">
        <f>IF(MakeSchedule!C521="","",MakeSchedule!C521)</f>
        <v/>
      </c>
      <c r="H554" s="358"/>
      <c r="I554" s="358"/>
      <c r="J554" s="359" t="str">
        <f>IF(MakeSchedule!B521="","",MakeSchedule!B521)</f>
        <v/>
      </c>
      <c r="K554" s="63">
        <f t="shared" si="150"/>
        <v>5.6502359858375657</v>
      </c>
      <c r="L554" s="63">
        <f t="shared" si="159"/>
        <v>5.6502359858375657</v>
      </c>
      <c r="M554" s="63">
        <f t="shared" si="160"/>
        <v>21.299148289920272</v>
      </c>
      <c r="N554" s="63" t="str">
        <f t="shared" si="151"/>
        <v/>
      </c>
      <c r="O554" s="64">
        <f t="shared" si="161"/>
        <v>0.23153641500731745</v>
      </c>
      <c r="P554" s="63" t="str">
        <f t="shared" si="162"/>
        <v/>
      </c>
      <c r="Q554" s="64" t="e">
        <f t="shared" si="152"/>
        <v>#N/A</v>
      </c>
      <c r="R554" s="63">
        <f t="shared" si="153"/>
        <v>0.23153641500731745</v>
      </c>
      <c r="S554" s="65">
        <f t="shared" si="154"/>
        <v>0.35</v>
      </c>
      <c r="T554" s="65">
        <f t="shared" si="163"/>
        <v>0.9</v>
      </c>
      <c r="U554" s="64" t="e">
        <f t="shared" si="164"/>
        <v>#N/A</v>
      </c>
      <c r="V554" s="63">
        <f t="shared" si="155"/>
        <v>5.0852123872538089</v>
      </c>
      <c r="W554" s="63" t="str">
        <f t="shared" si="156"/>
        <v/>
      </c>
      <c r="X554" s="63">
        <f t="shared" si="165"/>
        <v>0</v>
      </c>
      <c r="Y554" s="30"/>
      <c r="Z554" s="30"/>
      <c r="AA554" s="30"/>
      <c r="AB554" s="55">
        <f>PMSplint!N190</f>
        <v>5.6923365670181481</v>
      </c>
      <c r="AC554" s="55">
        <f>PMSplint!N189</f>
        <v>5.6502359858375657</v>
      </c>
      <c r="AD554" s="55">
        <f>IF(RnSplint!N190&lt;0,0,RnSplint!N190)</f>
        <v>21.546447818419985</v>
      </c>
      <c r="AE554" s="55">
        <f>IF(RnSplint!N189&lt;0,0,RnSplint!N189)</f>
        <v>21.299148289920272</v>
      </c>
      <c r="AF554" s="30"/>
      <c r="AG554" s="30"/>
      <c r="AH554" s="30"/>
      <c r="AI554" s="30"/>
      <c r="AJ554" s="30"/>
      <c r="AK554" s="30"/>
      <c r="AL554" s="30"/>
      <c r="AM554" s="30"/>
      <c r="AN554" s="55">
        <f t="shared" si="166"/>
        <v>120.34521413539817</v>
      </c>
      <c r="AO554" s="55">
        <f t="shared" si="167"/>
        <v>10.970196631574028</v>
      </c>
      <c r="AP554" s="55">
        <f t="shared" si="168"/>
        <v>0.23153641500731745</v>
      </c>
      <c r="AQ554" s="55"/>
      <c r="AR554" s="55"/>
      <c r="AS554" s="55"/>
      <c r="AT554" s="55"/>
      <c r="AU554" s="30"/>
      <c r="AV554" s="30"/>
      <c r="AW554" s="2"/>
      <c r="AX554" s="2"/>
    </row>
    <row r="555" spans="1:50" x14ac:dyDescent="0.2">
      <c r="A555" s="2"/>
      <c r="B555" s="61">
        <f t="shared" si="169"/>
        <v>42146</v>
      </c>
      <c r="C555" s="62">
        <f t="shared" si="157"/>
        <v>142</v>
      </c>
      <c r="D555" s="63">
        <f t="shared" si="158"/>
        <v>5.6923365670181481</v>
      </c>
      <c r="G555" s="357" t="str">
        <f>IF(MakeSchedule!C522="","",MakeSchedule!C522)</f>
        <v/>
      </c>
      <c r="H555" s="358"/>
      <c r="I555" s="358"/>
      <c r="J555" s="359" t="str">
        <f>IF(MakeSchedule!B522="","",MakeSchedule!B522)</f>
        <v/>
      </c>
      <c r="K555" s="63">
        <f t="shared" si="150"/>
        <v>5.6923365670181481</v>
      </c>
      <c r="L555" s="63">
        <f t="shared" si="159"/>
        <v>5.6923365670181481</v>
      </c>
      <c r="M555" s="63">
        <f t="shared" si="160"/>
        <v>21.546447818419985</v>
      </c>
      <c r="N555" s="63" t="str">
        <f t="shared" si="151"/>
        <v/>
      </c>
      <c r="O555" s="64">
        <f t="shared" si="161"/>
        <v>0.2293509748627052</v>
      </c>
      <c r="P555" s="63" t="str">
        <f t="shared" si="162"/>
        <v/>
      </c>
      <c r="Q555" s="64" t="e">
        <f t="shared" si="152"/>
        <v>#N/A</v>
      </c>
      <c r="R555" s="63">
        <f t="shared" si="153"/>
        <v>0.2293509748627052</v>
      </c>
      <c r="S555" s="65">
        <f t="shared" si="154"/>
        <v>0.35</v>
      </c>
      <c r="T555" s="65">
        <f t="shared" si="163"/>
        <v>0.9</v>
      </c>
      <c r="U555" s="64" t="e">
        <f t="shared" si="164"/>
        <v>#N/A</v>
      </c>
      <c r="V555" s="63">
        <f t="shared" si="155"/>
        <v>5.1231029103163337</v>
      </c>
      <c r="W555" s="63" t="str">
        <f t="shared" si="156"/>
        <v/>
      </c>
      <c r="X555" s="63">
        <f t="shared" si="165"/>
        <v>0</v>
      </c>
      <c r="Y555" s="30"/>
      <c r="Z555" s="30"/>
      <c r="AA555" s="30"/>
      <c r="AB555" s="55">
        <f>PMSplint!N191</f>
        <v>5.7349531912108906</v>
      </c>
      <c r="AC555" s="55">
        <f>PMSplint!N190</f>
        <v>5.6923365670181481</v>
      </c>
      <c r="AD555" s="55">
        <f>IF(RnSplint!N191&lt;0,0,RnSplint!N191)</f>
        <v>21.809800197979492</v>
      </c>
      <c r="AE555" s="55">
        <f>IF(RnSplint!N190&lt;0,0,RnSplint!N190)</f>
        <v>21.546447818419985</v>
      </c>
      <c r="AF555" s="30"/>
      <c r="AG555" s="30"/>
      <c r="AH555" s="30"/>
      <c r="AI555" s="30"/>
      <c r="AJ555" s="30"/>
      <c r="AK555" s="30"/>
      <c r="AL555" s="30"/>
      <c r="AM555" s="30"/>
      <c r="AN555" s="55">
        <f t="shared" si="166"/>
        <v>122.64963280614049</v>
      </c>
      <c r="AO555" s="55">
        <f t="shared" si="167"/>
        <v>11.074729468756358</v>
      </c>
      <c r="AP555" s="55">
        <f t="shared" si="168"/>
        <v>0.2293509748627052</v>
      </c>
      <c r="AQ555" s="55"/>
      <c r="AR555" s="55"/>
      <c r="AS555" s="55"/>
      <c r="AT555" s="55"/>
      <c r="AU555" s="30"/>
      <c r="AV555" s="30"/>
      <c r="AW555" s="2"/>
      <c r="AX555" s="2"/>
    </row>
    <row r="556" spans="1:50" x14ac:dyDescent="0.2">
      <c r="A556" s="2"/>
      <c r="B556" s="61">
        <f t="shared" si="169"/>
        <v>42147</v>
      </c>
      <c r="C556" s="62">
        <f t="shared" si="157"/>
        <v>143</v>
      </c>
      <c r="D556" s="63">
        <f t="shared" si="158"/>
        <v>5.7349531912108906</v>
      </c>
      <c r="G556" s="357" t="str">
        <f>IF(MakeSchedule!C523="","",MakeSchedule!C523)</f>
        <v/>
      </c>
      <c r="H556" s="358"/>
      <c r="I556" s="358"/>
      <c r="J556" s="359" t="str">
        <f>IF(MakeSchedule!B523="","",MakeSchedule!B523)</f>
        <v/>
      </c>
      <c r="K556" s="63">
        <f t="shared" si="150"/>
        <v>5.7349531912108906</v>
      </c>
      <c r="L556" s="63">
        <f t="shared" si="159"/>
        <v>5.7349531912108906</v>
      </c>
      <c r="M556" s="63">
        <f t="shared" si="160"/>
        <v>21.809800197979492</v>
      </c>
      <c r="N556" s="63" t="str">
        <f t="shared" si="151"/>
        <v/>
      </c>
      <c r="O556" s="64">
        <f t="shared" si="161"/>
        <v>0.22711349173743736</v>
      </c>
      <c r="P556" s="63" t="str">
        <f t="shared" si="162"/>
        <v/>
      </c>
      <c r="Q556" s="64" t="e">
        <f t="shared" si="152"/>
        <v>#N/A</v>
      </c>
      <c r="R556" s="63">
        <f t="shared" si="153"/>
        <v>0.22711349173743736</v>
      </c>
      <c r="S556" s="65">
        <f t="shared" si="154"/>
        <v>0.35</v>
      </c>
      <c r="T556" s="65">
        <f t="shared" si="163"/>
        <v>0.9</v>
      </c>
      <c r="U556" s="64" t="e">
        <f t="shared" si="164"/>
        <v>#N/A</v>
      </c>
      <c r="V556" s="63">
        <f t="shared" si="155"/>
        <v>5.1614578720898017</v>
      </c>
      <c r="W556" s="63" t="str">
        <f t="shared" si="156"/>
        <v/>
      </c>
      <c r="X556" s="63">
        <f t="shared" si="165"/>
        <v>0</v>
      </c>
      <c r="Y556" s="30"/>
      <c r="Z556" s="30"/>
      <c r="AA556" s="30"/>
      <c r="AB556" s="55">
        <f>PMSplint!N192</f>
        <v>5.7780129008139216</v>
      </c>
      <c r="AC556" s="55">
        <f>PMSplint!N191</f>
        <v>5.7349531912108906</v>
      </c>
      <c r="AD556" s="55">
        <f>IF(RnSplint!N192&lt;0,0,RnSplint!N192)</f>
        <v>22.087895443010105</v>
      </c>
      <c r="AE556" s="55">
        <f>IF(RnSplint!N191&lt;0,0,RnSplint!N191)</f>
        <v>21.809800197979492</v>
      </c>
      <c r="AF556" s="30"/>
      <c r="AG556" s="30"/>
      <c r="AH556" s="30"/>
      <c r="AI556" s="30"/>
      <c r="AJ556" s="30"/>
      <c r="AK556" s="30"/>
      <c r="AL556" s="30"/>
      <c r="AM556" s="30"/>
      <c r="AN556" s="55">
        <f t="shared" si="166"/>
        <v>125.0781832450744</v>
      </c>
      <c r="AO556" s="55">
        <f t="shared" si="167"/>
        <v>11.183835801954283</v>
      </c>
      <c r="AP556" s="55">
        <f t="shared" si="168"/>
        <v>0.22711349173743736</v>
      </c>
      <c r="AQ556" s="55"/>
      <c r="AR556" s="55"/>
      <c r="AS556" s="55"/>
      <c r="AT556" s="55"/>
      <c r="AU556" s="30"/>
      <c r="AV556" s="30"/>
      <c r="AW556" s="2"/>
      <c r="AX556" s="2"/>
    </row>
    <row r="557" spans="1:50" x14ac:dyDescent="0.2">
      <c r="A557" s="2"/>
      <c r="B557" s="61">
        <f t="shared" si="169"/>
        <v>42148</v>
      </c>
      <c r="C557" s="62">
        <f t="shared" si="157"/>
        <v>144</v>
      </c>
      <c r="D557" s="63">
        <f t="shared" si="158"/>
        <v>5.7780129008139216</v>
      </c>
      <c r="G557" s="357" t="str">
        <f>IF(MakeSchedule!C524="","",MakeSchedule!C524)</f>
        <v/>
      </c>
      <c r="H557" s="358"/>
      <c r="I557" s="358"/>
      <c r="J557" s="359" t="str">
        <f>IF(MakeSchedule!B524="","",MakeSchedule!B524)</f>
        <v/>
      </c>
      <c r="K557" s="63">
        <f t="shared" si="150"/>
        <v>5.7780129008139216</v>
      </c>
      <c r="L557" s="63">
        <f t="shared" si="159"/>
        <v>5.7780129008139216</v>
      </c>
      <c r="M557" s="63">
        <f t="shared" si="160"/>
        <v>22.087895443010105</v>
      </c>
      <c r="N557" s="63" t="str">
        <f t="shared" si="151"/>
        <v/>
      </c>
      <c r="O557" s="64">
        <f t="shared" si="161"/>
        <v>0.22483674748895538</v>
      </c>
      <c r="P557" s="63" t="str">
        <f t="shared" si="162"/>
        <v/>
      </c>
      <c r="Q557" s="64" t="e">
        <f t="shared" si="152"/>
        <v>#N/A</v>
      </c>
      <c r="R557" s="63">
        <f t="shared" si="153"/>
        <v>0.22483674748895538</v>
      </c>
      <c r="S557" s="65">
        <f t="shared" si="154"/>
        <v>0.35</v>
      </c>
      <c r="T557" s="65">
        <f t="shared" si="163"/>
        <v>0.9</v>
      </c>
      <c r="U557" s="64" t="e">
        <f t="shared" si="164"/>
        <v>#N/A</v>
      </c>
      <c r="V557" s="63">
        <f t="shared" si="155"/>
        <v>5.2002116107325298</v>
      </c>
      <c r="W557" s="63" t="str">
        <f t="shared" si="156"/>
        <v/>
      </c>
      <c r="X557" s="63">
        <f t="shared" si="165"/>
        <v>0</v>
      </c>
      <c r="Y557" s="30"/>
      <c r="Z557" s="30"/>
      <c r="AA557" s="30"/>
      <c r="AB557" s="55">
        <f>PMSplint!N193</f>
        <v>5.82144273822537</v>
      </c>
      <c r="AC557" s="55">
        <f>PMSplint!N192</f>
        <v>5.7780129008139216</v>
      </c>
      <c r="AD557" s="55">
        <f>IF(RnSplint!N193&lt;0,0,RnSplint!N193)</f>
        <v>22.379423567923144</v>
      </c>
      <c r="AE557" s="55">
        <f>IF(RnSplint!N192&lt;0,0,RnSplint!N192)</f>
        <v>22.087895443010105</v>
      </c>
      <c r="AF557" s="30"/>
      <c r="AG557" s="30"/>
      <c r="AH557" s="30"/>
      <c r="AI557" s="30"/>
      <c r="AJ557" s="30"/>
      <c r="AK557" s="30"/>
      <c r="AL557" s="30"/>
      <c r="AM557" s="30"/>
      <c r="AN557" s="55">
        <f t="shared" si="166"/>
        <v>127.62414482154142</v>
      </c>
      <c r="AO557" s="55">
        <f t="shared" si="167"/>
        <v>11.297085678242041</v>
      </c>
      <c r="AP557" s="55">
        <f t="shared" si="168"/>
        <v>0.22483674748895538</v>
      </c>
      <c r="AQ557" s="55"/>
      <c r="AR557" s="55"/>
      <c r="AS557" s="55"/>
      <c r="AT557" s="55"/>
      <c r="AU557" s="30"/>
      <c r="AV557" s="30"/>
      <c r="AW557" s="2"/>
      <c r="AX557" s="2"/>
    </row>
    <row r="558" spans="1:50" x14ac:dyDescent="0.2">
      <c r="A558" s="2"/>
      <c r="B558" s="61">
        <f t="shared" si="169"/>
        <v>42149</v>
      </c>
      <c r="C558" s="62">
        <f t="shared" si="157"/>
        <v>145</v>
      </c>
      <c r="D558" s="63">
        <f t="shared" si="158"/>
        <v>5.82144273822537</v>
      </c>
      <c r="G558" s="357" t="str">
        <f>IF(MakeSchedule!C525="","",MakeSchedule!C525)</f>
        <v/>
      </c>
      <c r="H558" s="358"/>
      <c r="I558" s="358"/>
      <c r="J558" s="359" t="str">
        <f>IF(MakeSchedule!B525="","",MakeSchedule!B525)</f>
        <v/>
      </c>
      <c r="K558" s="63">
        <f t="shared" si="150"/>
        <v>5.82144273822537</v>
      </c>
      <c r="L558" s="63">
        <f t="shared" si="159"/>
        <v>5.82144273822537</v>
      </c>
      <c r="M558" s="63">
        <f t="shared" si="160"/>
        <v>22.379423567923144</v>
      </c>
      <c r="N558" s="63" t="str">
        <f t="shared" si="151"/>
        <v/>
      </c>
      <c r="O558" s="64">
        <f t="shared" si="161"/>
        <v>0.22253275960052071</v>
      </c>
      <c r="P558" s="63" t="str">
        <f t="shared" si="162"/>
        <v/>
      </c>
      <c r="Q558" s="64" t="e">
        <f t="shared" si="152"/>
        <v>#N/A</v>
      </c>
      <c r="R558" s="63">
        <f t="shared" si="153"/>
        <v>0.22253275960052071</v>
      </c>
      <c r="S558" s="65">
        <f t="shared" si="154"/>
        <v>0.35</v>
      </c>
      <c r="T558" s="65">
        <f t="shared" si="163"/>
        <v>0.9</v>
      </c>
      <c r="U558" s="64" t="e">
        <f t="shared" si="164"/>
        <v>#N/A</v>
      </c>
      <c r="V558" s="63">
        <f t="shared" si="155"/>
        <v>5.2392984644028333</v>
      </c>
      <c r="W558" s="63" t="str">
        <f t="shared" si="156"/>
        <v/>
      </c>
      <c r="X558" s="63">
        <f t="shared" si="165"/>
        <v>0</v>
      </c>
      <c r="Y558" s="30"/>
      <c r="Z558" s="30"/>
      <c r="AA558" s="30"/>
      <c r="AB558" s="55">
        <f>PMSplint!N194</f>
        <v>5.865169745843362</v>
      </c>
      <c r="AC558" s="55">
        <f>PMSplint!N193</f>
        <v>5.82144273822537</v>
      </c>
      <c r="AD558" s="55">
        <f>IF(RnSplint!N194&lt;0,0,RnSplint!N194)</f>
        <v>22.683074587129948</v>
      </c>
      <c r="AE558" s="55">
        <f>IF(RnSplint!N193&lt;0,0,RnSplint!N193)</f>
        <v>22.379423567923144</v>
      </c>
      <c r="AF558" s="30"/>
      <c r="AG558" s="30"/>
      <c r="AH558" s="30"/>
      <c r="AI558" s="30"/>
      <c r="AJ558" s="30"/>
      <c r="AK558" s="30"/>
      <c r="AL558" s="30"/>
      <c r="AM558" s="30"/>
      <c r="AN558" s="55">
        <f t="shared" si="166"/>
        <v>130.28053281515588</v>
      </c>
      <c r="AO558" s="55">
        <f t="shared" si="167"/>
        <v>11.414049799048358</v>
      </c>
      <c r="AP558" s="55">
        <f t="shared" si="168"/>
        <v>0.22253275960052071</v>
      </c>
      <c r="AQ558" s="55"/>
      <c r="AR558" s="55"/>
      <c r="AS558" s="55"/>
      <c r="AT558" s="55"/>
      <c r="AU558" s="30"/>
      <c r="AV558" s="30"/>
      <c r="AW558" s="2"/>
      <c r="AX558" s="2"/>
    </row>
    <row r="559" spans="1:50" x14ac:dyDescent="0.2">
      <c r="A559" s="2"/>
      <c r="B559" s="61">
        <f t="shared" si="169"/>
        <v>42150</v>
      </c>
      <c r="C559" s="62">
        <f t="shared" si="157"/>
        <v>146</v>
      </c>
      <c r="D559" s="63">
        <f t="shared" si="158"/>
        <v>5.865169745843362</v>
      </c>
      <c r="G559" s="357" t="str">
        <f>IF(MakeSchedule!C526="","",MakeSchedule!C526)</f>
        <v/>
      </c>
      <c r="H559" s="358"/>
      <c r="I559" s="358"/>
      <c r="J559" s="359" t="str">
        <f>IF(MakeSchedule!B526="","",MakeSchedule!B526)</f>
        <v/>
      </c>
      <c r="K559" s="63">
        <f t="shared" si="150"/>
        <v>5.865169745843362</v>
      </c>
      <c r="L559" s="63">
        <f t="shared" si="159"/>
        <v>5.865169745843362</v>
      </c>
      <c r="M559" s="63">
        <f t="shared" si="160"/>
        <v>22.683074587129948</v>
      </c>
      <c r="N559" s="63" t="str">
        <f t="shared" si="151"/>
        <v/>
      </c>
      <c r="O559" s="64">
        <f t="shared" si="161"/>
        <v>0.22021275150276987</v>
      </c>
      <c r="P559" s="63" t="str">
        <f t="shared" si="162"/>
        <v/>
      </c>
      <c r="Q559" s="64" t="e">
        <f t="shared" si="152"/>
        <v>#N/A</v>
      </c>
      <c r="R559" s="63">
        <f t="shared" si="153"/>
        <v>0.22021275150276987</v>
      </c>
      <c r="S559" s="65">
        <f t="shared" si="154"/>
        <v>0.35</v>
      </c>
      <c r="T559" s="65">
        <f t="shared" si="163"/>
        <v>0.9</v>
      </c>
      <c r="U559" s="64" t="e">
        <f t="shared" si="164"/>
        <v>#N/A</v>
      </c>
      <c r="V559" s="63">
        <f t="shared" si="155"/>
        <v>5.2786527712590257</v>
      </c>
      <c r="W559" s="63" t="str">
        <f t="shared" si="156"/>
        <v/>
      </c>
      <c r="X559" s="63">
        <f t="shared" si="165"/>
        <v>0</v>
      </c>
      <c r="Y559" s="30"/>
      <c r="Z559" s="30"/>
      <c r="AA559" s="30"/>
      <c r="AB559" s="55">
        <f>PMSplint!N195</f>
        <v>5.909120966066026</v>
      </c>
      <c r="AC559" s="55">
        <f>PMSplint!N194</f>
        <v>5.865169745843362</v>
      </c>
      <c r="AD559" s="55">
        <f>IF(RnSplint!N195&lt;0,0,RnSplint!N195)</f>
        <v>22.997538515041818</v>
      </c>
      <c r="AE559" s="55">
        <f>IF(RnSplint!N194&lt;0,0,RnSplint!N194)</f>
        <v>22.683074587129948</v>
      </c>
      <c r="AF559" s="30"/>
      <c r="AG559" s="30"/>
      <c r="AH559" s="30"/>
      <c r="AI559" s="30"/>
      <c r="AJ559" s="30"/>
      <c r="AK559" s="30"/>
      <c r="AL559" s="30"/>
      <c r="AM559" s="30"/>
      <c r="AN559" s="55">
        <f t="shared" si="166"/>
        <v>133.04008281114298</v>
      </c>
      <c r="AO559" s="55">
        <f t="shared" si="167"/>
        <v>11.53430027401502</v>
      </c>
      <c r="AP559" s="55">
        <f t="shared" si="168"/>
        <v>0.22021275150276987</v>
      </c>
      <c r="AQ559" s="55"/>
      <c r="AR559" s="55"/>
      <c r="AS559" s="55"/>
      <c r="AT559" s="55"/>
      <c r="AU559" s="30"/>
      <c r="AV559" s="30"/>
      <c r="AW559" s="2"/>
      <c r="AX559" s="2"/>
    </row>
    <row r="560" spans="1:50" x14ac:dyDescent="0.2">
      <c r="A560" s="2"/>
      <c r="B560" s="61">
        <f t="shared" si="169"/>
        <v>42151</v>
      </c>
      <c r="C560" s="62">
        <f t="shared" si="157"/>
        <v>147</v>
      </c>
      <c r="D560" s="63">
        <f t="shared" si="158"/>
        <v>5.909120966066026</v>
      </c>
      <c r="G560" s="357" t="str">
        <f>IF(MakeSchedule!C527="","",MakeSchedule!C527)</f>
        <v/>
      </c>
      <c r="H560" s="358"/>
      <c r="I560" s="358"/>
      <c r="J560" s="359" t="str">
        <f>IF(MakeSchedule!B527="","",MakeSchedule!B527)</f>
        <v/>
      </c>
      <c r="K560" s="63">
        <f t="shared" si="150"/>
        <v>5.909120966066026</v>
      </c>
      <c r="L560" s="63">
        <f t="shared" si="159"/>
        <v>5.909120966066026</v>
      </c>
      <c r="M560" s="63">
        <f t="shared" si="160"/>
        <v>22.997538515041818</v>
      </c>
      <c r="N560" s="63" t="str">
        <f t="shared" si="151"/>
        <v/>
      </c>
      <c r="O560" s="64">
        <f t="shared" si="161"/>
        <v>0.21788714028731757</v>
      </c>
      <c r="P560" s="63" t="str">
        <f t="shared" si="162"/>
        <v/>
      </c>
      <c r="Q560" s="64" t="e">
        <f t="shared" si="152"/>
        <v>#N/A</v>
      </c>
      <c r="R560" s="63">
        <f t="shared" si="153"/>
        <v>0.21788714028731757</v>
      </c>
      <c r="S560" s="65">
        <f t="shared" si="154"/>
        <v>0.35</v>
      </c>
      <c r="T560" s="65">
        <f t="shared" si="163"/>
        <v>0.9</v>
      </c>
      <c r="U560" s="64" t="e">
        <f t="shared" si="164"/>
        <v>#N/A</v>
      </c>
      <c r="V560" s="63">
        <f t="shared" si="155"/>
        <v>5.3182088694594238</v>
      </c>
      <c r="W560" s="63" t="str">
        <f t="shared" si="156"/>
        <v/>
      </c>
      <c r="X560" s="63">
        <f t="shared" si="165"/>
        <v>0</v>
      </c>
      <c r="Y560" s="30"/>
      <c r="Z560" s="30"/>
      <c r="AA560" s="30"/>
      <c r="AB560" s="55">
        <f>PMSplint!N196</f>
        <v>5.9532234412914873</v>
      </c>
      <c r="AC560" s="55">
        <f>PMSplint!N195</f>
        <v>5.909120966066026</v>
      </c>
      <c r="AD560" s="55">
        <f>IF(RnSplint!N196&lt;0,0,RnSplint!N196)</f>
        <v>23.321505366070085</v>
      </c>
      <c r="AE560" s="55">
        <f>IF(RnSplint!N195&lt;0,0,RnSplint!N195)</f>
        <v>22.997538515041818</v>
      </c>
      <c r="AF560" s="30"/>
      <c r="AG560" s="30"/>
      <c r="AH560" s="30"/>
      <c r="AI560" s="30"/>
      <c r="AJ560" s="30"/>
      <c r="AK560" s="30"/>
      <c r="AL560" s="30"/>
      <c r="AM560" s="30"/>
      <c r="AN560" s="55">
        <f t="shared" si="166"/>
        <v>135.89523700714454</v>
      </c>
      <c r="AO560" s="55">
        <f t="shared" si="167"/>
        <v>11.657411248092114</v>
      </c>
      <c r="AP560" s="55">
        <f t="shared" si="168"/>
        <v>0.21788714028731757</v>
      </c>
      <c r="AQ560" s="55"/>
      <c r="AR560" s="55"/>
      <c r="AS560" s="55"/>
      <c r="AT560" s="55"/>
      <c r="AU560" s="30"/>
      <c r="AV560" s="30"/>
      <c r="AW560" s="2"/>
      <c r="AX560" s="2"/>
    </row>
    <row r="561" spans="1:50" x14ac:dyDescent="0.2">
      <c r="A561" s="2"/>
      <c r="B561" s="61">
        <f t="shared" si="169"/>
        <v>42152</v>
      </c>
      <c r="C561" s="62">
        <f t="shared" si="157"/>
        <v>148</v>
      </c>
      <c r="D561" s="63">
        <f t="shared" si="158"/>
        <v>5.9532234412914873</v>
      </c>
      <c r="G561" s="357" t="str">
        <f>IF(MakeSchedule!C528="","",MakeSchedule!C528)</f>
        <v/>
      </c>
      <c r="H561" s="358"/>
      <c r="I561" s="358"/>
      <c r="J561" s="359" t="str">
        <f>IF(MakeSchedule!B528="","",MakeSchedule!B528)</f>
        <v/>
      </c>
      <c r="K561" s="63">
        <f t="shared" ref="K561:K625" si="170">IF(G561&lt;&gt;"",G561,IF(D561="","",D561))</f>
        <v>5.9532234412914873</v>
      </c>
      <c r="L561" s="63">
        <f t="shared" si="159"/>
        <v>5.9532234412914873</v>
      </c>
      <c r="M561" s="63">
        <f t="shared" si="160"/>
        <v>23.321505366070085</v>
      </c>
      <c r="N561" s="63" t="str">
        <f t="shared" ref="N561:N624" si="171">IF(C561=$E$7,O561,"")</f>
        <v/>
      </c>
      <c r="O561" s="64">
        <f t="shared" si="161"/>
        <v>0.21556553934015357</v>
      </c>
      <c r="P561" s="63" t="str">
        <f t="shared" si="162"/>
        <v/>
      </c>
      <c r="Q561" s="64" t="e">
        <f t="shared" ref="Q561:Q624" si="172">IF(AND(C$49:C$625&lt;F$7,$U$44&gt;2),#N/A,IF(P561="",#N/A,P561))</f>
        <v>#N/A</v>
      </c>
      <c r="R561" s="63">
        <f t="shared" si="153"/>
        <v>0.21556553934015357</v>
      </c>
      <c r="S561" s="65">
        <f t="shared" ref="S561:S625" si="173">IF(OR(AND(C$49:C$625&gt;=U$6,C$49:C$625&lt;=U$7),AND(C$49:C$625&gt;=U$9,C$49:C$625&lt;=U$10)),0.35,0)</f>
        <v>0.35</v>
      </c>
      <c r="T561" s="65">
        <f t="shared" si="163"/>
        <v>0.9</v>
      </c>
      <c r="U561" s="64" t="e">
        <f t="shared" si="164"/>
        <v>#N/A</v>
      </c>
      <c r="V561" s="63">
        <f t="shared" ref="V561:V625" si="174">IF(L561="","",L561*T561)</f>
        <v>5.3579010971623386</v>
      </c>
      <c r="W561" s="63" t="str">
        <f t="shared" ref="W561:W625" si="175">IF(AND(B$49:B$625&gt;=E$6,B$49:B$625&lt;=E$7),L561,"")</f>
        <v/>
      </c>
      <c r="X561" s="63">
        <f t="shared" si="165"/>
        <v>0</v>
      </c>
      <c r="Y561" s="30"/>
      <c r="Z561" s="30"/>
      <c r="AA561" s="30"/>
      <c r="AB561" s="55">
        <f>PMSplint!N197</f>
        <v>5.997404213917874</v>
      </c>
      <c r="AC561" s="55">
        <f>PMSplint!N196</f>
        <v>5.9532234412914873</v>
      </c>
      <c r="AD561" s="55">
        <f>IF(RnSplint!N197&lt;0,0,RnSplint!N197)</f>
        <v>23.653665154626065</v>
      </c>
      <c r="AE561" s="55">
        <f>IF(RnSplint!N196&lt;0,0,RnSplint!N196)</f>
        <v>23.321505366070085</v>
      </c>
      <c r="AF561" s="30"/>
      <c r="AG561" s="30"/>
      <c r="AH561" s="30"/>
      <c r="AI561" s="30"/>
      <c r="AJ561" s="30"/>
      <c r="AK561" s="30"/>
      <c r="AL561" s="30"/>
      <c r="AM561" s="30"/>
      <c r="AN561" s="55">
        <f t="shared" si="166"/>
        <v>138.83813243149365</v>
      </c>
      <c r="AO561" s="55">
        <f t="shared" si="167"/>
        <v>11.782959408887635</v>
      </c>
      <c r="AP561" s="55">
        <f t="shared" si="168"/>
        <v>0.21556553934015357</v>
      </c>
      <c r="AQ561" s="55"/>
      <c r="AR561" s="55"/>
      <c r="AS561" s="55"/>
      <c r="AT561" s="55"/>
      <c r="AU561" s="30"/>
      <c r="AV561" s="30"/>
      <c r="AW561" s="2"/>
      <c r="AX561" s="2"/>
    </row>
    <row r="562" spans="1:50" x14ac:dyDescent="0.2">
      <c r="A562" s="2"/>
      <c r="B562" s="61">
        <f t="shared" si="169"/>
        <v>42153</v>
      </c>
      <c r="C562" s="62">
        <f t="shared" ref="C562:C625" si="176">IF(B561=DATE(D$4,12,31),1,C561+1)</f>
        <v>149</v>
      </c>
      <c r="D562" s="63">
        <f t="shared" ref="D562:D625" si="177">IF($B$46=0,IF(ISERROR($AB562),"",$AB562),IF(ISERROR($AC562),"",$AC562))</f>
        <v>5.997404213917874</v>
      </c>
      <c r="G562" s="357" t="str">
        <f>IF(MakeSchedule!C529="","",MakeSchedule!C529)</f>
        <v/>
      </c>
      <c r="H562" s="358"/>
      <c r="I562" s="358"/>
      <c r="J562" s="359" t="str">
        <f>IF(MakeSchedule!B529="","",MakeSchedule!B529)</f>
        <v/>
      </c>
      <c r="K562" s="63">
        <f t="shared" si="170"/>
        <v>5.997404213917874</v>
      </c>
      <c r="L562" s="63">
        <f t="shared" ref="L562:L625" si="178">IF($G562&lt;&gt;"",$G562,IF($D562="","",$D562))</f>
        <v>5.997404213917874</v>
      </c>
      <c r="M562" s="63">
        <f t="shared" ref="M562:M625" si="179">IF(F$3=365,AD562,AE562)</f>
        <v>23.653665154626065</v>
      </c>
      <c r="N562" s="63" t="str">
        <f t="shared" si="171"/>
        <v/>
      </c>
      <c r="O562" s="64">
        <f t="shared" ref="O562:O625" si="180">AP562</f>
        <v>0.21325677345246452</v>
      </c>
      <c r="P562" s="63" t="str">
        <f t="shared" ref="P562:P625" si="181">IF(B$49:B$625&lt;E$6,"",IF(AND(B$49:B$625&lt;=E$7,B$49:B$625&gt;=E$6),G$7,IF(AND(B$49:B$625&lt;=E$8,B$49:B$625&gt;E$7),P561+H$8,IF(AND(B$49:B$625&lt;=E$9,B$49:B$625&gt;E$8),P561+H$9,IF(AND(B$49:B$625&lt;=E$10,B$49:B$625&gt;E$9),P561+H$10,"")))))</f>
        <v/>
      </c>
      <c r="Q562" s="64" t="e">
        <f t="shared" si="172"/>
        <v>#N/A</v>
      </c>
      <c r="R562" s="63">
        <f t="shared" si="153"/>
        <v>0.21325677345246452</v>
      </c>
      <c r="S562" s="65">
        <f t="shared" si="173"/>
        <v>0.35</v>
      </c>
      <c r="T562" s="65">
        <f t="shared" ref="T562:T625" si="182">IF($J$5&lt;3,R562,IF(R562+S562&gt;1.2,1.2,IF(AND(R562+S562&lt;0.9,S562=0.35),0.9,R562+S562)))</f>
        <v>0.9</v>
      </c>
      <c r="U562" s="64" t="e">
        <f t="shared" ref="U562:U625" si="183">IF(P562="",#N/A,IF($J$5&lt;3,R562,IF(R562+S562&gt;1.2,1.2,IF(AND(R562+S562&lt;0.9,S562=0.35),0.9,R562+S562))))</f>
        <v>#N/A</v>
      </c>
      <c r="V562" s="63">
        <f t="shared" si="174"/>
        <v>5.3976637925260871</v>
      </c>
      <c r="W562" s="63" t="str">
        <f t="shared" si="175"/>
        <v/>
      </c>
      <c r="X562" s="63">
        <f t="shared" ref="X562:X625" si="184">IF(B562=$E$6,V562,IF(OR(B562&lt;$E$6,B562&gt;$E$10),0,X561+V562))</f>
        <v>0</v>
      </c>
      <c r="Y562" s="30"/>
      <c r="Z562" s="30"/>
      <c r="AA562" s="30"/>
      <c r="AB562" s="55">
        <f>PMSplint!N198</f>
        <v>6.0415903263433135</v>
      </c>
      <c r="AC562" s="55">
        <f>PMSplint!N197</f>
        <v>5.997404213917874</v>
      </c>
      <c r="AD562" s="55">
        <f>IF(RnSplint!N198&lt;0,0,RnSplint!N198)</f>
        <v>23.992707895121082</v>
      </c>
      <c r="AE562" s="55">
        <f>IF(RnSplint!N197&lt;0,0,RnSplint!N197)</f>
        <v>23.653665154626065</v>
      </c>
      <c r="AF562" s="30"/>
      <c r="AG562" s="30"/>
      <c r="AH562" s="30"/>
      <c r="AI562" s="30"/>
      <c r="AJ562" s="30"/>
      <c r="AK562" s="30"/>
      <c r="AL562" s="30"/>
      <c r="AM562" s="30"/>
      <c r="AN562" s="55">
        <f t="shared" si="166"/>
        <v>141.86059107295674</v>
      </c>
      <c r="AO562" s="55">
        <f t="shared" si="167"/>
        <v>11.91052438278671</v>
      </c>
      <c r="AP562" s="55">
        <f t="shared" si="168"/>
        <v>0.21325677345246452</v>
      </c>
      <c r="AQ562" s="55"/>
      <c r="AR562" s="55"/>
      <c r="AS562" s="55"/>
      <c r="AT562" s="55"/>
      <c r="AU562" s="30"/>
      <c r="AV562" s="30"/>
      <c r="AW562" s="2"/>
      <c r="AX562" s="2"/>
    </row>
    <row r="563" spans="1:50" x14ac:dyDescent="0.2">
      <c r="A563" s="2"/>
      <c r="B563" s="61">
        <f t="shared" si="169"/>
        <v>42154</v>
      </c>
      <c r="C563" s="62">
        <f t="shared" si="176"/>
        <v>150</v>
      </c>
      <c r="D563" s="63">
        <f t="shared" si="177"/>
        <v>6.0415903263433135</v>
      </c>
      <c r="G563" s="357" t="str">
        <f>IF(MakeSchedule!C530="","",MakeSchedule!C530)</f>
        <v/>
      </c>
      <c r="H563" s="358"/>
      <c r="I563" s="358"/>
      <c r="J563" s="359" t="str">
        <f>IF(MakeSchedule!B530="","",MakeSchedule!B530)</f>
        <v/>
      </c>
      <c r="K563" s="63">
        <f t="shared" si="170"/>
        <v>6.0415903263433135</v>
      </c>
      <c r="L563" s="63">
        <f t="shared" si="178"/>
        <v>6.0415903263433135</v>
      </c>
      <c r="M563" s="63">
        <f t="shared" si="179"/>
        <v>23.992707895121082</v>
      </c>
      <c r="N563" s="63" t="str">
        <f t="shared" si="171"/>
        <v/>
      </c>
      <c r="O563" s="64">
        <f t="shared" si="180"/>
        <v>0.21096890408226163</v>
      </c>
      <c r="P563" s="63" t="str">
        <f t="shared" si="181"/>
        <v/>
      </c>
      <c r="Q563" s="64" t="e">
        <f t="shared" si="172"/>
        <v>#N/A</v>
      </c>
      <c r="R563" s="63">
        <f t="shared" ref="R563:R623" si="185">IF(OR(P563="",O563&gt;P563),O563,P563)</f>
        <v>0.21096890408226163</v>
      </c>
      <c r="S563" s="65">
        <f t="shared" si="173"/>
        <v>0.35</v>
      </c>
      <c r="T563" s="65">
        <f t="shared" si="182"/>
        <v>0.9</v>
      </c>
      <c r="U563" s="64" t="e">
        <f t="shared" si="183"/>
        <v>#N/A</v>
      </c>
      <c r="V563" s="63">
        <f t="shared" si="174"/>
        <v>5.4374312937089826</v>
      </c>
      <c r="W563" s="63" t="str">
        <f t="shared" si="175"/>
        <v/>
      </c>
      <c r="X563" s="63">
        <f t="shared" si="184"/>
        <v>0</v>
      </c>
      <c r="Y563" s="30"/>
      <c r="Z563" s="30"/>
      <c r="AA563" s="30"/>
      <c r="AB563" s="55">
        <f>PMSplint!N199</f>
        <v>6.0857088209659347</v>
      </c>
      <c r="AC563" s="55">
        <f>PMSplint!N198</f>
        <v>6.0415903263433135</v>
      </c>
      <c r="AD563" s="55">
        <f>IF(RnSplint!N199&lt;0,0,RnSplint!N199)</f>
        <v>24.33732360196646</v>
      </c>
      <c r="AE563" s="55">
        <f>IF(RnSplint!N198&lt;0,0,RnSplint!N198)</f>
        <v>23.992707895121082</v>
      </c>
      <c r="AF563" s="30"/>
      <c r="AG563" s="30"/>
      <c r="AH563" s="30"/>
      <c r="AI563" s="30"/>
      <c r="AJ563" s="30"/>
      <c r="AK563" s="30"/>
      <c r="AL563" s="30"/>
      <c r="AM563" s="30"/>
      <c r="AN563" s="55">
        <f t="shared" si="166"/>
        <v>144.95411192194439</v>
      </c>
      <c r="AO563" s="55">
        <f t="shared" si="167"/>
        <v>12.039689029287443</v>
      </c>
      <c r="AP563" s="55">
        <f t="shared" si="168"/>
        <v>0.21096890408226163</v>
      </c>
      <c r="AQ563" s="55"/>
      <c r="AR563" s="55"/>
      <c r="AS563" s="55"/>
      <c r="AT563" s="55"/>
      <c r="AU563" s="30"/>
      <c r="AV563" s="30"/>
      <c r="AW563" s="2"/>
      <c r="AX563" s="2"/>
    </row>
    <row r="564" spans="1:50" x14ac:dyDescent="0.2">
      <c r="A564" s="2"/>
      <c r="B564" s="61">
        <f t="shared" si="169"/>
        <v>42155</v>
      </c>
      <c r="C564" s="62">
        <f t="shared" si="176"/>
        <v>151</v>
      </c>
      <c r="D564" s="63">
        <f t="shared" si="177"/>
        <v>6.0857088209659347</v>
      </c>
      <c r="G564" s="357" t="str">
        <f>IF(MakeSchedule!C531="","",MakeSchedule!C531)</f>
        <v/>
      </c>
      <c r="H564" s="358"/>
      <c r="I564" s="358"/>
      <c r="J564" s="359" t="str">
        <f>IF(MakeSchedule!B531="","",MakeSchedule!B531)</f>
        <v/>
      </c>
      <c r="K564" s="63">
        <f t="shared" si="170"/>
        <v>6.0857088209659347</v>
      </c>
      <c r="L564" s="63">
        <f t="shared" si="178"/>
        <v>6.0857088209659347</v>
      </c>
      <c r="M564" s="63">
        <f t="shared" si="179"/>
        <v>24.33732360196646</v>
      </c>
      <c r="N564" s="63" t="str">
        <f t="shared" si="171"/>
        <v/>
      </c>
      <c r="O564" s="64">
        <f t="shared" si="180"/>
        <v>0.20870926261663075</v>
      </c>
      <c r="P564" s="63" t="str">
        <f t="shared" si="181"/>
        <v/>
      </c>
      <c r="Q564" s="64" t="e">
        <f t="shared" si="172"/>
        <v>#N/A</v>
      </c>
      <c r="R564" s="63">
        <f t="shared" si="185"/>
        <v>0.20870926261663075</v>
      </c>
      <c r="S564" s="65">
        <f t="shared" si="173"/>
        <v>0.35</v>
      </c>
      <c r="T564" s="65">
        <f t="shared" si="182"/>
        <v>0.9</v>
      </c>
      <c r="U564" s="64" t="e">
        <f t="shared" si="183"/>
        <v>#N/A</v>
      </c>
      <c r="V564" s="63">
        <f t="shared" si="174"/>
        <v>5.4771379388693413</v>
      </c>
      <c r="W564" s="63" t="str">
        <f t="shared" si="175"/>
        <v/>
      </c>
      <c r="X564" s="63">
        <f t="shared" si="184"/>
        <v>0</v>
      </c>
      <c r="Y564" s="30"/>
      <c r="Z564" s="30"/>
      <c r="AA564" s="30"/>
      <c r="AB564" s="55">
        <f>PMSplint!N200</f>
        <v>6.1296867401838613</v>
      </c>
      <c r="AC564" s="55">
        <f>PMSplint!N199</f>
        <v>6.0857088209659347</v>
      </c>
      <c r="AD564" s="55">
        <f>IF(RnSplint!N200&lt;0,0,RnSplint!N200)</f>
        <v>24.686202289573508</v>
      </c>
      <c r="AE564" s="55">
        <f>IF(RnSplint!N199&lt;0,0,RnSplint!N199)</f>
        <v>24.33732360196646</v>
      </c>
      <c r="AF564" s="30"/>
      <c r="AG564" s="30"/>
      <c r="AH564" s="30"/>
      <c r="AI564" s="30"/>
      <c r="AJ564" s="30"/>
      <c r="AK564" s="30"/>
      <c r="AL564" s="30"/>
      <c r="AM564" s="30"/>
      <c r="AN564" s="55">
        <f t="shared" si="166"/>
        <v>148.10986492318972</v>
      </c>
      <c r="AO564" s="55">
        <f t="shared" si="167"/>
        <v>12.170039643451853</v>
      </c>
      <c r="AP564" s="55">
        <f t="shared" si="168"/>
        <v>0.20870926261663075</v>
      </c>
      <c r="AQ564" s="55"/>
      <c r="AR564" s="55"/>
      <c r="AS564" s="55"/>
      <c r="AT564" s="55"/>
      <c r="AU564" s="30"/>
      <c r="AV564" s="30"/>
      <c r="AW564" s="2"/>
      <c r="AX564" s="2"/>
    </row>
    <row r="565" spans="1:50" x14ac:dyDescent="0.2">
      <c r="A565" s="2"/>
      <c r="B565" s="61">
        <f t="shared" si="169"/>
        <v>42156</v>
      </c>
      <c r="C565" s="62">
        <f t="shared" si="176"/>
        <v>152</v>
      </c>
      <c r="D565" s="63">
        <f t="shared" si="177"/>
        <v>6.1296867401838613</v>
      </c>
      <c r="G565" s="357" t="str">
        <f>IF(MakeSchedule!C532="","",MakeSchedule!C532)</f>
        <v/>
      </c>
      <c r="H565" s="358"/>
      <c r="I565" s="358"/>
      <c r="J565" s="359" t="str">
        <f>IF(MakeSchedule!B532="","",MakeSchedule!B532)</f>
        <v/>
      </c>
      <c r="K565" s="63">
        <f t="shared" si="170"/>
        <v>6.1296867401838613</v>
      </c>
      <c r="L565" s="63">
        <f t="shared" si="178"/>
        <v>6.1296867401838613</v>
      </c>
      <c r="M565" s="63">
        <f t="shared" si="179"/>
        <v>24.686202289573508</v>
      </c>
      <c r="N565" s="63" t="str">
        <f t="shared" si="171"/>
        <v/>
      </c>
      <c r="O565" s="64">
        <f t="shared" si="180"/>
        <v>0.20648448969947511</v>
      </c>
      <c r="P565" s="63" t="str">
        <f t="shared" si="181"/>
        <v/>
      </c>
      <c r="Q565" s="64" t="e">
        <f t="shared" si="172"/>
        <v>#N/A</v>
      </c>
      <c r="R565" s="63">
        <f t="shared" si="185"/>
        <v>0.20648448969947511</v>
      </c>
      <c r="S565" s="65">
        <f t="shared" si="173"/>
        <v>0.35</v>
      </c>
      <c r="T565" s="65">
        <f t="shared" si="182"/>
        <v>0.9</v>
      </c>
      <c r="U565" s="64" t="e">
        <f t="shared" si="183"/>
        <v>#N/A</v>
      </c>
      <c r="V565" s="63">
        <f t="shared" si="174"/>
        <v>5.5167180661654749</v>
      </c>
      <c r="W565" s="63" t="str">
        <f t="shared" si="175"/>
        <v/>
      </c>
      <c r="X565" s="63">
        <f t="shared" si="184"/>
        <v>0</v>
      </c>
      <c r="Y565" s="30"/>
      <c r="Z565" s="30"/>
      <c r="AA565" s="30"/>
      <c r="AB565" s="55">
        <f>PMSplint!N201</f>
        <v>6.1734511263952241</v>
      </c>
      <c r="AC565" s="55">
        <f>PMSplint!N200</f>
        <v>6.1296867401838613</v>
      </c>
      <c r="AD565" s="55">
        <f>IF(RnSplint!N201&lt;0,0,RnSplint!N201)</f>
        <v>25.038033972353556</v>
      </c>
      <c r="AE565" s="55">
        <f>IF(RnSplint!N200&lt;0,0,RnSplint!N200)</f>
        <v>24.686202289573508</v>
      </c>
      <c r="AF565" s="30"/>
      <c r="AG565" s="30"/>
      <c r="AH565" s="30"/>
      <c r="AI565" s="30"/>
      <c r="AJ565" s="30"/>
      <c r="AK565" s="30"/>
      <c r="AL565" s="30"/>
      <c r="AM565" s="30"/>
      <c r="AN565" s="55">
        <f t="shared" si="166"/>
        <v>151.31868683989521</v>
      </c>
      <c r="AO565" s="55">
        <f t="shared" si="167"/>
        <v>12.301166076429308</v>
      </c>
      <c r="AP565" s="55">
        <f t="shared" si="168"/>
        <v>0.20648448969947511</v>
      </c>
      <c r="AQ565" s="55"/>
      <c r="AR565" s="55"/>
      <c r="AS565" s="55"/>
      <c r="AT565" s="55"/>
      <c r="AU565" s="30"/>
      <c r="AV565" s="30"/>
      <c r="AW565" s="2"/>
      <c r="AX565" s="2"/>
    </row>
    <row r="566" spans="1:50" x14ac:dyDescent="0.2">
      <c r="A566" s="2"/>
      <c r="B566" s="61">
        <f t="shared" si="169"/>
        <v>42157</v>
      </c>
      <c r="C566" s="62">
        <f t="shared" si="176"/>
        <v>153</v>
      </c>
      <c r="D566" s="63">
        <f t="shared" si="177"/>
        <v>6.1734511263952241</v>
      </c>
      <c r="G566" s="357" t="str">
        <f>IF(MakeSchedule!C533="","",MakeSchedule!C533)</f>
        <v/>
      </c>
      <c r="H566" s="358"/>
      <c r="I566" s="358"/>
      <c r="J566" s="359" t="str">
        <f>IF(MakeSchedule!B533="","",MakeSchedule!B533)</f>
        <v/>
      </c>
      <c r="K566" s="63">
        <f t="shared" si="170"/>
        <v>6.1734511263952241</v>
      </c>
      <c r="L566" s="63">
        <f t="shared" si="178"/>
        <v>6.1734511263952241</v>
      </c>
      <c r="M566" s="63">
        <f t="shared" si="179"/>
        <v>25.038033972353556</v>
      </c>
      <c r="N566" s="63" t="str">
        <f t="shared" si="171"/>
        <v/>
      </c>
      <c r="O566" s="64">
        <f t="shared" si="180"/>
        <v>0.20430057892494052</v>
      </c>
      <c r="P566" s="63" t="str">
        <f t="shared" si="181"/>
        <v/>
      </c>
      <c r="Q566" s="64" t="e">
        <f t="shared" si="172"/>
        <v>#N/A</v>
      </c>
      <c r="R566" s="63">
        <f t="shared" si="185"/>
        <v>0.20430057892494052</v>
      </c>
      <c r="S566" s="65">
        <f t="shared" si="173"/>
        <v>0.35</v>
      </c>
      <c r="T566" s="65">
        <f t="shared" si="182"/>
        <v>0.9</v>
      </c>
      <c r="U566" s="64" t="e">
        <f t="shared" si="183"/>
        <v>#N/A</v>
      </c>
      <c r="V566" s="63">
        <f t="shared" si="174"/>
        <v>5.5561060137557021</v>
      </c>
      <c r="W566" s="63" t="str">
        <f t="shared" si="175"/>
        <v/>
      </c>
      <c r="X566" s="63">
        <f t="shared" si="184"/>
        <v>0</v>
      </c>
      <c r="Y566" s="30"/>
      <c r="Z566" s="30"/>
      <c r="AA566" s="30"/>
      <c r="AB566" s="55">
        <f>PMSplint!N202</f>
        <v>6.2169290219981495</v>
      </c>
      <c r="AC566" s="55">
        <f>PMSplint!N201</f>
        <v>6.1734511263952241</v>
      </c>
      <c r="AD566" s="55">
        <f>IF(RnSplint!N202&lt;0,0,RnSplint!N202)</f>
        <v>25.391508664717929</v>
      </c>
      <c r="AE566" s="55">
        <f>IF(RnSplint!N201&lt;0,0,RnSplint!N201)</f>
        <v>25.038033972353556</v>
      </c>
      <c r="AF566" s="30"/>
      <c r="AG566" s="30"/>
      <c r="AH566" s="30"/>
      <c r="AI566" s="30"/>
      <c r="AJ566" s="30"/>
      <c r="AK566" s="30"/>
      <c r="AL566" s="30"/>
      <c r="AM566" s="30"/>
      <c r="AN566" s="55">
        <f t="shared" si="166"/>
        <v>154.57107902934794</v>
      </c>
      <c r="AO566" s="55">
        <f t="shared" si="167"/>
        <v>12.432661783759258</v>
      </c>
      <c r="AP566" s="55">
        <f t="shared" si="168"/>
        <v>0.20430057892494052</v>
      </c>
      <c r="AQ566" s="55"/>
      <c r="AR566" s="55"/>
      <c r="AS566" s="55"/>
      <c r="AT566" s="55"/>
      <c r="AU566" s="30"/>
      <c r="AV566" s="30"/>
      <c r="AW566" s="2"/>
      <c r="AX566" s="2"/>
    </row>
    <row r="567" spans="1:50" x14ac:dyDescent="0.2">
      <c r="A567" s="2"/>
      <c r="B567" s="61">
        <f t="shared" si="169"/>
        <v>42158</v>
      </c>
      <c r="C567" s="62">
        <f t="shared" si="176"/>
        <v>154</v>
      </c>
      <c r="D567" s="63">
        <f t="shared" si="177"/>
        <v>6.2169290219981495</v>
      </c>
      <c r="G567" s="357" t="str">
        <f>IF(MakeSchedule!C534="","",MakeSchedule!C534)</f>
        <v/>
      </c>
      <c r="H567" s="358"/>
      <c r="I567" s="358"/>
      <c r="J567" s="359" t="str">
        <f>IF(MakeSchedule!B534="","",MakeSchedule!B534)</f>
        <v/>
      </c>
      <c r="K567" s="63">
        <f t="shared" si="170"/>
        <v>6.2169290219981495</v>
      </c>
      <c r="L567" s="63">
        <f t="shared" si="178"/>
        <v>6.2169290219981495</v>
      </c>
      <c r="M567" s="63">
        <f t="shared" si="179"/>
        <v>25.391508664717929</v>
      </c>
      <c r="N567" s="63" t="str">
        <f t="shared" si="171"/>
        <v/>
      </c>
      <c r="O567" s="64">
        <f t="shared" si="180"/>
        <v>0.2021629234377374</v>
      </c>
      <c r="P567" s="63" t="str">
        <f t="shared" si="181"/>
        <v/>
      </c>
      <c r="Q567" s="64" t="e">
        <f t="shared" si="172"/>
        <v>#N/A</v>
      </c>
      <c r="R567" s="63">
        <f t="shared" si="185"/>
        <v>0.2021629234377374</v>
      </c>
      <c r="S567" s="65">
        <f t="shared" si="173"/>
        <v>0.35</v>
      </c>
      <c r="T567" s="65">
        <f t="shared" si="182"/>
        <v>0.9</v>
      </c>
      <c r="U567" s="64" t="e">
        <f t="shared" si="183"/>
        <v>#N/A</v>
      </c>
      <c r="V567" s="63">
        <f t="shared" si="174"/>
        <v>5.5952361197983347</v>
      </c>
      <c r="W567" s="63" t="str">
        <f t="shared" si="175"/>
        <v/>
      </c>
      <c r="X567" s="63">
        <f t="shared" si="184"/>
        <v>0</v>
      </c>
      <c r="Y567" s="30"/>
      <c r="Z567" s="30"/>
      <c r="AA567" s="30"/>
      <c r="AB567" s="55">
        <f>PMSplint!N203</f>
        <v>6.2600474693907628</v>
      </c>
      <c r="AC567" s="55">
        <f>PMSplint!N202</f>
        <v>6.2169290219981495</v>
      </c>
      <c r="AD567" s="55">
        <f>IF(RnSplint!N203&lt;0,0,RnSplint!N203)</f>
        <v>25.745316381077934</v>
      </c>
      <c r="AE567" s="55">
        <f>IF(RnSplint!N202&lt;0,0,RnSplint!N202)</f>
        <v>25.391508664717929</v>
      </c>
      <c r="AF567" s="30"/>
      <c r="AG567" s="30"/>
      <c r="AH567" s="30"/>
      <c r="AI567" s="30"/>
      <c r="AJ567" s="30"/>
      <c r="AK567" s="30"/>
      <c r="AL567" s="30"/>
      <c r="AM567" s="30"/>
      <c r="AN567" s="55">
        <f t="shared" si="166"/>
        <v>157.85720713000237</v>
      </c>
      <c r="AO567" s="55">
        <f t="shared" si="167"/>
        <v>12.56412381067627</v>
      </c>
      <c r="AP567" s="55">
        <f t="shared" si="168"/>
        <v>0.2021629234377374</v>
      </c>
      <c r="AQ567" s="55"/>
      <c r="AR567" s="55"/>
      <c r="AS567" s="55"/>
      <c r="AT567" s="55"/>
      <c r="AU567" s="30"/>
      <c r="AV567" s="30"/>
      <c r="AW567" s="2"/>
      <c r="AX567" s="2"/>
    </row>
    <row r="568" spans="1:50" x14ac:dyDescent="0.2">
      <c r="A568" s="2"/>
      <c r="B568" s="61">
        <f t="shared" si="169"/>
        <v>42159</v>
      </c>
      <c r="C568" s="62">
        <f t="shared" si="176"/>
        <v>155</v>
      </c>
      <c r="D568" s="63">
        <f t="shared" si="177"/>
        <v>6.2600474693907628</v>
      </c>
      <c r="G568" s="357" t="str">
        <f>IF(MakeSchedule!C535="","",MakeSchedule!C535)</f>
        <v/>
      </c>
      <c r="H568" s="358"/>
      <c r="I568" s="358"/>
      <c r="J568" s="359" t="str">
        <f>IF(MakeSchedule!B535="","",MakeSchedule!B535)</f>
        <v/>
      </c>
      <c r="K568" s="63">
        <f t="shared" si="170"/>
        <v>6.2600474693907628</v>
      </c>
      <c r="L568" s="63">
        <f t="shared" si="178"/>
        <v>6.2600474693907628</v>
      </c>
      <c r="M568" s="63">
        <f t="shared" si="179"/>
        <v>25.745316381077934</v>
      </c>
      <c r="N568" s="63" t="str">
        <f t="shared" si="171"/>
        <v/>
      </c>
      <c r="O568" s="64">
        <f t="shared" si="180"/>
        <v>0.20007636421736896</v>
      </c>
      <c r="P568" s="63" t="str">
        <f t="shared" si="181"/>
        <v/>
      </c>
      <c r="Q568" s="64" t="e">
        <f t="shared" si="172"/>
        <v>#N/A</v>
      </c>
      <c r="R568" s="63">
        <f t="shared" si="185"/>
        <v>0.20007636421736896</v>
      </c>
      <c r="S568" s="65">
        <f t="shared" si="173"/>
        <v>0.35</v>
      </c>
      <c r="T568" s="65">
        <f t="shared" si="182"/>
        <v>0.9</v>
      </c>
      <c r="U568" s="64" t="e">
        <f t="shared" si="183"/>
        <v>#N/A</v>
      </c>
      <c r="V568" s="63">
        <f t="shared" si="174"/>
        <v>5.6340427224516869</v>
      </c>
      <c r="W568" s="63" t="str">
        <f t="shared" si="175"/>
        <v/>
      </c>
      <c r="X568" s="63">
        <f t="shared" si="184"/>
        <v>0</v>
      </c>
      <c r="Y568" s="30"/>
      <c r="Z568" s="30"/>
      <c r="AA568" s="30"/>
      <c r="AB568" s="55">
        <f>PMSplint!N204</f>
        <v>6.3027335109711942</v>
      </c>
      <c r="AC568" s="55">
        <f>PMSplint!N203</f>
        <v>6.2600474693907628</v>
      </c>
      <c r="AD568" s="55">
        <f>IF(RnSplint!N204&lt;0,0,RnSplint!N204)</f>
        <v>26.098147135844911</v>
      </c>
      <c r="AE568" s="55">
        <f>IF(RnSplint!N203&lt;0,0,RnSplint!N203)</f>
        <v>25.745316381077934</v>
      </c>
      <c r="AF568" s="30"/>
      <c r="AG568" s="30"/>
      <c r="AH568" s="30"/>
      <c r="AI568" s="30"/>
      <c r="AJ568" s="30"/>
      <c r="AK568" s="30"/>
      <c r="AL568" s="30"/>
      <c r="AM568" s="30"/>
      <c r="AN568" s="55">
        <f t="shared" si="166"/>
        <v>161.16690266003147</v>
      </c>
      <c r="AO568" s="55">
        <f t="shared" si="167"/>
        <v>12.695152722989647</v>
      </c>
      <c r="AP568" s="55">
        <f t="shared" si="168"/>
        <v>0.20007636421736896</v>
      </c>
      <c r="AQ568" s="55"/>
      <c r="AR568" s="55"/>
      <c r="AS568" s="55"/>
      <c r="AT568" s="55"/>
      <c r="AU568" s="30"/>
      <c r="AV568" s="30"/>
      <c r="AW568" s="2"/>
      <c r="AX568" s="2"/>
    </row>
    <row r="569" spans="1:50" x14ac:dyDescent="0.2">
      <c r="A569" s="2"/>
      <c r="B569" s="61">
        <f t="shared" si="169"/>
        <v>42160</v>
      </c>
      <c r="C569" s="62">
        <f t="shared" si="176"/>
        <v>156</v>
      </c>
      <c r="D569" s="63">
        <f t="shared" si="177"/>
        <v>6.3027335109711942</v>
      </c>
      <c r="G569" s="357" t="str">
        <f>IF(MakeSchedule!C536="","",MakeSchedule!C536)</f>
        <v/>
      </c>
      <c r="H569" s="358"/>
      <c r="I569" s="358"/>
      <c r="J569" s="359" t="str">
        <f>IF(MakeSchedule!B536="","",MakeSchedule!B536)</f>
        <v/>
      </c>
      <c r="K569" s="63">
        <f t="shared" si="170"/>
        <v>6.3027335109711942</v>
      </c>
      <c r="L569" s="63">
        <f t="shared" si="178"/>
        <v>6.3027335109711942</v>
      </c>
      <c r="M569" s="63">
        <f t="shared" si="179"/>
        <v>26.098147135844911</v>
      </c>
      <c r="N569" s="63" t="str">
        <f t="shared" si="171"/>
        <v/>
      </c>
      <c r="O569" s="64">
        <f t="shared" si="180"/>
        <v>0.19804523904612611</v>
      </c>
      <c r="P569" s="63" t="str">
        <f t="shared" si="181"/>
        <v/>
      </c>
      <c r="Q569" s="64" t="e">
        <f t="shared" si="172"/>
        <v>#N/A</v>
      </c>
      <c r="R569" s="63">
        <f t="shared" si="185"/>
        <v>0.19804523904612611</v>
      </c>
      <c r="S569" s="65">
        <f t="shared" si="173"/>
        <v>0.35</v>
      </c>
      <c r="T569" s="65">
        <f t="shared" si="182"/>
        <v>0.9</v>
      </c>
      <c r="U569" s="64" t="e">
        <f t="shared" si="183"/>
        <v>#N/A</v>
      </c>
      <c r="V569" s="63">
        <f t="shared" si="174"/>
        <v>5.6724601598740749</v>
      </c>
      <c r="W569" s="63" t="str">
        <f t="shared" si="175"/>
        <v/>
      </c>
      <c r="X569" s="63">
        <f t="shared" si="184"/>
        <v>0</v>
      </c>
      <c r="Y569" s="30"/>
      <c r="Z569" s="30"/>
      <c r="AA569" s="30"/>
      <c r="AB569" s="55">
        <f>PMSplint!N205</f>
        <v>6.3449141891375689</v>
      </c>
      <c r="AC569" s="55">
        <f>PMSplint!N204</f>
        <v>6.3027335109711942</v>
      </c>
      <c r="AD569" s="55">
        <f>IF(RnSplint!N205&lt;0,0,RnSplint!N205)</f>
        <v>26.448690943430162</v>
      </c>
      <c r="AE569" s="55">
        <f>IF(RnSplint!N204&lt;0,0,RnSplint!N204)</f>
        <v>26.098147135844911</v>
      </c>
      <c r="AF569" s="30"/>
      <c r="AG569" s="30"/>
      <c r="AH569" s="30"/>
      <c r="AI569" s="30"/>
      <c r="AJ569" s="30"/>
      <c r="AK569" s="30"/>
      <c r="AL569" s="30"/>
      <c r="AM569" s="30"/>
      <c r="AN569" s="55">
        <f t="shared" si="166"/>
        <v>164.4896665273466</v>
      </c>
      <c r="AO569" s="55">
        <f t="shared" si="167"/>
        <v>12.82535249134879</v>
      </c>
      <c r="AP569" s="55">
        <f t="shared" si="168"/>
        <v>0.19804523904612611</v>
      </c>
      <c r="AQ569" s="55"/>
      <c r="AR569" s="55"/>
      <c r="AS569" s="55"/>
      <c r="AT569" s="55"/>
      <c r="AU569" s="30"/>
      <c r="AV569" s="30"/>
      <c r="AW569" s="2"/>
      <c r="AX569" s="2"/>
    </row>
    <row r="570" spans="1:50" x14ac:dyDescent="0.2">
      <c r="A570" s="2"/>
      <c r="B570" s="61">
        <f t="shared" si="169"/>
        <v>42161</v>
      </c>
      <c r="C570" s="62">
        <f t="shared" si="176"/>
        <v>157</v>
      </c>
      <c r="D570" s="63">
        <f t="shared" si="177"/>
        <v>6.3449141891375689</v>
      </c>
      <c r="G570" s="357" t="str">
        <f>IF(MakeSchedule!C537="","",MakeSchedule!C537)</f>
        <v/>
      </c>
      <c r="H570" s="358"/>
      <c r="I570" s="358"/>
      <c r="J570" s="359" t="str">
        <f>IF(MakeSchedule!B537="","",MakeSchedule!B537)</f>
        <v/>
      </c>
      <c r="K570" s="63">
        <f t="shared" si="170"/>
        <v>6.3449141891375689</v>
      </c>
      <c r="L570" s="63">
        <f t="shared" si="178"/>
        <v>6.3449141891375689</v>
      </c>
      <c r="M570" s="63">
        <f t="shared" si="179"/>
        <v>26.448690943430162</v>
      </c>
      <c r="N570" s="63" t="str">
        <f t="shared" si="171"/>
        <v/>
      </c>
      <c r="O570" s="64">
        <f t="shared" si="180"/>
        <v>0.19607343136564997</v>
      </c>
      <c r="P570" s="63" t="str">
        <f t="shared" si="181"/>
        <v/>
      </c>
      <c r="Q570" s="64" t="e">
        <f t="shared" si="172"/>
        <v>#N/A</v>
      </c>
      <c r="R570" s="63">
        <f t="shared" si="185"/>
        <v>0.19607343136564997</v>
      </c>
      <c r="S570" s="65">
        <f t="shared" si="173"/>
        <v>0.35</v>
      </c>
      <c r="T570" s="65">
        <f t="shared" si="182"/>
        <v>0.9</v>
      </c>
      <c r="U570" s="64" t="e">
        <f t="shared" si="183"/>
        <v>#N/A</v>
      </c>
      <c r="V570" s="63">
        <f t="shared" si="174"/>
        <v>5.7104227702238122</v>
      </c>
      <c r="W570" s="63" t="str">
        <f t="shared" si="175"/>
        <v/>
      </c>
      <c r="X570" s="63">
        <f t="shared" si="184"/>
        <v>0</v>
      </c>
      <c r="Y570" s="30"/>
      <c r="Z570" s="30"/>
      <c r="AA570" s="30"/>
      <c r="AB570" s="55">
        <f>PMSplint!N206</f>
        <v>6.3865165462880151</v>
      </c>
      <c r="AC570" s="55">
        <f>PMSplint!N205</f>
        <v>6.3449141891375689</v>
      </c>
      <c r="AD570" s="55">
        <f>IF(RnSplint!N206&lt;0,0,RnSplint!N206)</f>
        <v>26.795637818245019</v>
      </c>
      <c r="AE570" s="55">
        <f>IF(RnSplint!N205&lt;0,0,RnSplint!N205)</f>
        <v>26.448690943430162</v>
      </c>
      <c r="AF570" s="30"/>
      <c r="AG570" s="30"/>
      <c r="AH570" s="30"/>
      <c r="AI570" s="30"/>
      <c r="AJ570" s="30"/>
      <c r="AK570" s="30"/>
      <c r="AL570" s="30"/>
      <c r="AM570" s="30"/>
      <c r="AN570" s="55">
        <f t="shared" si="166"/>
        <v>167.81467445108436</v>
      </c>
      <c r="AO570" s="55">
        <f t="shared" si="167"/>
        <v>12.954330335879364</v>
      </c>
      <c r="AP570" s="55">
        <f t="shared" si="168"/>
        <v>0.19607343136564997</v>
      </c>
      <c r="AQ570" s="55"/>
      <c r="AR570" s="55"/>
      <c r="AS570" s="55"/>
      <c r="AT570" s="55"/>
      <c r="AU570" s="30"/>
      <c r="AV570" s="30"/>
      <c r="AW570" s="2"/>
      <c r="AX570" s="2"/>
    </row>
    <row r="571" spans="1:50" x14ac:dyDescent="0.2">
      <c r="A571" s="2"/>
      <c r="B571" s="61">
        <f t="shared" si="169"/>
        <v>42162</v>
      </c>
      <c r="C571" s="62">
        <f t="shared" si="176"/>
        <v>158</v>
      </c>
      <c r="D571" s="63">
        <f t="shared" si="177"/>
        <v>6.3865165462880151</v>
      </c>
      <c r="G571" s="357" t="str">
        <f>IF(MakeSchedule!C538="","",MakeSchedule!C538)</f>
        <v/>
      </c>
      <c r="H571" s="358"/>
      <c r="I571" s="358"/>
      <c r="J571" s="359" t="str">
        <f>IF(MakeSchedule!B538="","",MakeSchedule!B538)</f>
        <v/>
      </c>
      <c r="K571" s="63">
        <f t="shared" si="170"/>
        <v>6.3865165462880151</v>
      </c>
      <c r="L571" s="63">
        <f t="shared" si="178"/>
        <v>6.3865165462880151</v>
      </c>
      <c r="M571" s="63">
        <f t="shared" si="179"/>
        <v>26.795637818245019</v>
      </c>
      <c r="N571" s="63" t="str">
        <f t="shared" si="171"/>
        <v/>
      </c>
      <c r="O571" s="64">
        <f t="shared" si="180"/>
        <v>0.19416441841113968</v>
      </c>
      <c r="P571" s="63" t="str">
        <f t="shared" si="181"/>
        <v/>
      </c>
      <c r="Q571" s="64" t="e">
        <f t="shared" si="172"/>
        <v>#N/A</v>
      </c>
      <c r="R571" s="63">
        <f t="shared" si="185"/>
        <v>0.19416441841113968</v>
      </c>
      <c r="S571" s="65">
        <f t="shared" si="173"/>
        <v>0.35</v>
      </c>
      <c r="T571" s="65">
        <f t="shared" si="182"/>
        <v>0.9</v>
      </c>
      <c r="U571" s="64" t="e">
        <f t="shared" si="183"/>
        <v>#N/A</v>
      </c>
      <c r="V571" s="63">
        <f t="shared" si="174"/>
        <v>5.7478648916592139</v>
      </c>
      <c r="W571" s="63" t="str">
        <f t="shared" si="175"/>
        <v/>
      </c>
      <c r="X571" s="63">
        <f t="shared" si="184"/>
        <v>0</v>
      </c>
      <c r="Y571" s="30"/>
      <c r="Z571" s="30"/>
      <c r="AA571" s="30"/>
      <c r="AB571" s="55">
        <f>PMSplint!N207</f>
        <v>6.4274676248206601</v>
      </c>
      <c r="AC571" s="55">
        <f>PMSplint!N206</f>
        <v>6.3865165462880151</v>
      </c>
      <c r="AD571" s="55">
        <f>IF(RnSplint!N207&lt;0,0,RnSplint!N207)</f>
        <v>27.137677774700798</v>
      </c>
      <c r="AE571" s="55">
        <f>IF(RnSplint!N206&lt;0,0,RnSplint!N206)</f>
        <v>26.795637818245019</v>
      </c>
      <c r="AF571" s="30"/>
      <c r="AG571" s="30"/>
      <c r="AH571" s="30"/>
      <c r="AI571" s="30"/>
      <c r="AJ571" s="30"/>
      <c r="AK571" s="30"/>
      <c r="AL571" s="30"/>
      <c r="AM571" s="30"/>
      <c r="AN571" s="55">
        <f t="shared" ref="AN571:AN625" si="186">K571*M571</f>
        <v>171.13078429456272</v>
      </c>
      <c r="AO571" s="55">
        <f t="shared" ref="AO571:AO625" si="187">SQRT(AN571)</f>
        <v>13.081696537321248</v>
      </c>
      <c r="AP571" s="55">
        <f t="shared" ref="AP571:AP625" si="188">IF(2.54/AO571&gt;1.22,1.22,2.54/AO571)</f>
        <v>0.19416441841113968</v>
      </c>
      <c r="AQ571" s="55"/>
      <c r="AR571" s="55"/>
      <c r="AS571" s="55"/>
      <c r="AT571" s="55"/>
      <c r="AU571" s="30"/>
      <c r="AV571" s="30"/>
      <c r="AW571" s="2"/>
      <c r="AX571" s="2"/>
    </row>
    <row r="572" spans="1:50" x14ac:dyDescent="0.2">
      <c r="A572" s="2"/>
      <c r="B572" s="61">
        <f t="shared" si="169"/>
        <v>42163</v>
      </c>
      <c r="C572" s="62">
        <f t="shared" si="176"/>
        <v>159</v>
      </c>
      <c r="D572" s="63">
        <f t="shared" si="177"/>
        <v>6.4274676248206601</v>
      </c>
      <c r="G572" s="357" t="str">
        <f>IF(MakeSchedule!C539="","",MakeSchedule!C539)</f>
        <v/>
      </c>
      <c r="H572" s="358"/>
      <c r="I572" s="358"/>
      <c r="J572" s="359" t="str">
        <f>IF(MakeSchedule!B539="","",MakeSchedule!B539)</f>
        <v/>
      </c>
      <c r="K572" s="63">
        <f t="shared" si="170"/>
        <v>6.4274676248206601</v>
      </c>
      <c r="L572" s="63">
        <f t="shared" si="178"/>
        <v>6.4274676248206601</v>
      </c>
      <c r="M572" s="63">
        <f t="shared" si="179"/>
        <v>27.137677774700798</v>
      </c>
      <c r="N572" s="63" t="str">
        <f t="shared" si="171"/>
        <v/>
      </c>
      <c r="O572" s="64">
        <f t="shared" si="180"/>
        <v>0.19232131817489709</v>
      </c>
      <c r="P572" s="63" t="str">
        <f t="shared" si="181"/>
        <v/>
      </c>
      <c r="Q572" s="64" t="e">
        <f t="shared" si="172"/>
        <v>#N/A</v>
      </c>
      <c r="R572" s="63">
        <f t="shared" si="185"/>
        <v>0.19232131817489709</v>
      </c>
      <c r="S572" s="65">
        <f t="shared" si="173"/>
        <v>0.35</v>
      </c>
      <c r="T572" s="65">
        <f t="shared" si="182"/>
        <v>0.9</v>
      </c>
      <c r="U572" s="64" t="e">
        <f t="shared" si="183"/>
        <v>#N/A</v>
      </c>
      <c r="V572" s="63">
        <f t="shared" si="174"/>
        <v>5.7847208623385944</v>
      </c>
      <c r="W572" s="63" t="str">
        <f t="shared" si="175"/>
        <v/>
      </c>
      <c r="X572" s="63">
        <f t="shared" si="184"/>
        <v>0</v>
      </c>
      <c r="Y572" s="30"/>
      <c r="Z572" s="30"/>
      <c r="AA572" s="30"/>
      <c r="AB572" s="55">
        <f>PMSplint!N208</f>
        <v>6.4676944671336312</v>
      </c>
      <c r="AC572" s="55">
        <f>PMSplint!N207</f>
        <v>6.4274676248206601</v>
      </c>
      <c r="AD572" s="55">
        <f>IF(RnSplint!N208&lt;0,0,RnSplint!N208)</f>
        <v>27.473500827208827</v>
      </c>
      <c r="AE572" s="55">
        <f>IF(RnSplint!N207&lt;0,0,RnSplint!N207)</f>
        <v>27.137677774700798</v>
      </c>
      <c r="AF572" s="30"/>
      <c r="AG572" s="30"/>
      <c r="AH572" s="30"/>
      <c r="AI572" s="30"/>
      <c r="AJ572" s="30"/>
      <c r="AK572" s="30"/>
      <c r="AL572" s="30"/>
      <c r="AM572" s="30"/>
      <c r="AN572" s="55">
        <f t="shared" si="186"/>
        <v>174.42654530970455</v>
      </c>
      <c r="AO572" s="55">
        <f t="shared" si="187"/>
        <v>13.207064219943225</v>
      </c>
      <c r="AP572" s="55">
        <f t="shared" si="188"/>
        <v>0.19232131817489709</v>
      </c>
      <c r="AQ572" s="55"/>
      <c r="AR572" s="55"/>
      <c r="AS572" s="55"/>
      <c r="AT572" s="55"/>
      <c r="AU572" s="30"/>
      <c r="AV572" s="30"/>
      <c r="AW572" s="2"/>
      <c r="AX572" s="2"/>
    </row>
    <row r="573" spans="1:50" x14ac:dyDescent="0.2">
      <c r="A573" s="2"/>
      <c r="B573" s="61">
        <f t="shared" si="169"/>
        <v>42164</v>
      </c>
      <c r="C573" s="62">
        <f t="shared" si="176"/>
        <v>160</v>
      </c>
      <c r="D573" s="63">
        <f t="shared" si="177"/>
        <v>6.4676944671336312</v>
      </c>
      <c r="G573" s="357" t="str">
        <f>IF(MakeSchedule!C540="","",MakeSchedule!C540)</f>
        <v/>
      </c>
      <c r="H573" s="358"/>
      <c r="I573" s="358"/>
      <c r="J573" s="359" t="str">
        <f>IF(MakeSchedule!B540="","",MakeSchedule!B540)</f>
        <v/>
      </c>
      <c r="K573" s="63">
        <f t="shared" si="170"/>
        <v>6.4676944671336312</v>
      </c>
      <c r="L573" s="63">
        <f t="shared" si="178"/>
        <v>6.4676944671336312</v>
      </c>
      <c r="M573" s="63">
        <f t="shared" si="179"/>
        <v>27.473500827208827</v>
      </c>
      <c r="N573" s="63" t="str">
        <f t="shared" si="171"/>
        <v/>
      </c>
      <c r="O573" s="64">
        <f t="shared" si="180"/>
        <v>0.19054693489212024</v>
      </c>
      <c r="P573" s="63" t="str">
        <f t="shared" si="181"/>
        <v/>
      </c>
      <c r="Q573" s="64" t="e">
        <f t="shared" si="172"/>
        <v>#N/A</v>
      </c>
      <c r="R573" s="63">
        <f t="shared" si="185"/>
        <v>0.19054693489212024</v>
      </c>
      <c r="S573" s="65">
        <f t="shared" si="173"/>
        <v>0.35</v>
      </c>
      <c r="T573" s="65">
        <f t="shared" si="182"/>
        <v>0.9</v>
      </c>
      <c r="U573" s="64" t="e">
        <f t="shared" si="183"/>
        <v>#N/A</v>
      </c>
      <c r="V573" s="63">
        <f t="shared" si="174"/>
        <v>5.820925020420268</v>
      </c>
      <c r="W573" s="63" t="str">
        <f t="shared" si="175"/>
        <v/>
      </c>
      <c r="X573" s="63">
        <f t="shared" si="184"/>
        <v>0</v>
      </c>
      <c r="Y573" s="30"/>
      <c r="Z573" s="30"/>
      <c r="AA573" s="30"/>
      <c r="AB573" s="55">
        <f>PMSplint!N209</f>
        <v>6.5071241156250563</v>
      </c>
      <c r="AC573" s="55">
        <f>PMSplint!N208</f>
        <v>6.4676944671336312</v>
      </c>
      <c r="AD573" s="55">
        <f>IF(RnSplint!N209&lt;0,0,RnSplint!N209)</f>
        <v>27.801796990180417</v>
      </c>
      <c r="AE573" s="55">
        <f>IF(RnSplint!N208&lt;0,0,RnSplint!N208)</f>
        <v>27.473500827208827</v>
      </c>
      <c r="AF573" s="30"/>
      <c r="AG573" s="30"/>
      <c r="AH573" s="30"/>
      <c r="AI573" s="30"/>
      <c r="AJ573" s="30"/>
      <c r="AK573" s="30"/>
      <c r="AL573" s="30"/>
      <c r="AM573" s="30"/>
      <c r="AN573" s="55">
        <f t="shared" si="186"/>
        <v>177.69020929292978</v>
      </c>
      <c r="AO573" s="55">
        <f t="shared" si="187"/>
        <v>13.330049110672091</v>
      </c>
      <c r="AP573" s="55">
        <f t="shared" si="188"/>
        <v>0.19054693489212024</v>
      </c>
      <c r="AQ573" s="55"/>
      <c r="AR573" s="55"/>
      <c r="AS573" s="55"/>
      <c r="AT573" s="55"/>
      <c r="AU573" s="30"/>
      <c r="AV573" s="30"/>
      <c r="AW573" s="2"/>
      <c r="AX573" s="2"/>
    </row>
    <row r="574" spans="1:50" x14ac:dyDescent="0.2">
      <c r="A574" s="2"/>
      <c r="B574" s="61">
        <f t="shared" si="169"/>
        <v>42165</v>
      </c>
      <c r="C574" s="62">
        <f t="shared" si="176"/>
        <v>161</v>
      </c>
      <c r="D574" s="63">
        <f t="shared" si="177"/>
        <v>6.5071241156250563</v>
      </c>
      <c r="G574" s="357" t="str">
        <f>IF(MakeSchedule!C541="","",MakeSchedule!C541)</f>
        <v/>
      </c>
      <c r="H574" s="358"/>
      <c r="I574" s="358"/>
      <c r="J574" s="359" t="str">
        <f>IF(MakeSchedule!B541="","",MakeSchedule!B541)</f>
        <v/>
      </c>
      <c r="K574" s="63">
        <f t="shared" si="170"/>
        <v>6.5071241156250563</v>
      </c>
      <c r="L574" s="63">
        <f t="shared" si="178"/>
        <v>6.5071241156250563</v>
      </c>
      <c r="M574" s="63">
        <f t="shared" si="179"/>
        <v>27.801796990180417</v>
      </c>
      <c r="N574" s="63" t="str">
        <f t="shared" si="171"/>
        <v/>
      </c>
      <c r="O574" s="64">
        <f t="shared" si="180"/>
        <v>0.18884380286288366</v>
      </c>
      <c r="P574" s="63" t="str">
        <f t="shared" si="181"/>
        <v/>
      </c>
      <c r="Q574" s="64" t="e">
        <f t="shared" si="172"/>
        <v>#N/A</v>
      </c>
      <c r="R574" s="63">
        <f t="shared" si="185"/>
        <v>0.18884380286288366</v>
      </c>
      <c r="S574" s="65">
        <f t="shared" si="173"/>
        <v>0.35</v>
      </c>
      <c r="T574" s="65">
        <f t="shared" si="182"/>
        <v>0.9</v>
      </c>
      <c r="U574" s="64" t="e">
        <f t="shared" si="183"/>
        <v>#N/A</v>
      </c>
      <c r="V574" s="63">
        <f t="shared" si="174"/>
        <v>5.856411704062551</v>
      </c>
      <c r="W574" s="63" t="str">
        <f t="shared" si="175"/>
        <v/>
      </c>
      <c r="X574" s="63">
        <f t="shared" si="184"/>
        <v>0</v>
      </c>
      <c r="Y574" s="30"/>
      <c r="Z574" s="30"/>
      <c r="AA574" s="30"/>
      <c r="AB574" s="55">
        <f>PMSplint!N210</f>
        <v>6.5456836126930602</v>
      </c>
      <c r="AC574" s="55">
        <f>PMSplint!N209</f>
        <v>6.5071241156250563</v>
      </c>
      <c r="AD574" s="55">
        <f>IF(RnSplint!N210&lt;0,0,RnSplint!N210)</f>
        <v>28.121256278026895</v>
      </c>
      <c r="AE574" s="55">
        <f>IF(RnSplint!N209&lt;0,0,RnSplint!N209)</f>
        <v>27.801796990180417</v>
      </c>
      <c r="AF574" s="30"/>
      <c r="AG574" s="30"/>
      <c r="AH574" s="30"/>
      <c r="AI574" s="30"/>
      <c r="AJ574" s="30"/>
      <c r="AK574" s="30"/>
      <c r="AL574" s="30"/>
      <c r="AM574" s="30"/>
      <c r="AN574" s="55">
        <f t="shared" si="186"/>
        <v>180.90974365251509</v>
      </c>
      <c r="AO574" s="55">
        <f t="shared" si="187"/>
        <v>13.450269278067079</v>
      </c>
      <c r="AP574" s="55">
        <f t="shared" si="188"/>
        <v>0.18884380286288366</v>
      </c>
      <c r="AQ574" s="55"/>
      <c r="AR574" s="55"/>
      <c r="AS574" s="55"/>
      <c r="AT574" s="55"/>
      <c r="AU574" s="30"/>
      <c r="AV574" s="30"/>
      <c r="AW574" s="2"/>
      <c r="AX574" s="2"/>
    </row>
    <row r="575" spans="1:50" x14ac:dyDescent="0.2">
      <c r="A575" s="2"/>
      <c r="B575" s="61">
        <f t="shared" si="169"/>
        <v>42166</v>
      </c>
      <c r="C575" s="62">
        <f t="shared" si="176"/>
        <v>162</v>
      </c>
      <c r="D575" s="63">
        <f t="shared" si="177"/>
        <v>6.5456836126930602</v>
      </c>
      <c r="G575" s="357" t="str">
        <f>IF(MakeSchedule!C542="","",MakeSchedule!C542)</f>
        <v/>
      </c>
      <c r="H575" s="358"/>
      <c r="I575" s="358"/>
      <c r="J575" s="359" t="str">
        <f>IF(MakeSchedule!B542="","",MakeSchedule!B542)</f>
        <v/>
      </c>
      <c r="K575" s="63">
        <f t="shared" si="170"/>
        <v>6.5456836126930602</v>
      </c>
      <c r="L575" s="63">
        <f t="shared" si="178"/>
        <v>6.5456836126930602</v>
      </c>
      <c r="M575" s="63">
        <f t="shared" si="179"/>
        <v>28.121256278026895</v>
      </c>
      <c r="N575" s="63" t="str">
        <f t="shared" si="171"/>
        <v/>
      </c>
      <c r="O575" s="64">
        <f t="shared" si="180"/>
        <v>0.18721422852686712</v>
      </c>
      <c r="P575" s="63" t="str">
        <f t="shared" si="181"/>
        <v/>
      </c>
      <c r="Q575" s="64" t="e">
        <f t="shared" si="172"/>
        <v>#N/A</v>
      </c>
      <c r="R575" s="63">
        <f t="shared" si="185"/>
        <v>0.18721422852686712</v>
      </c>
      <c r="S575" s="65">
        <f t="shared" si="173"/>
        <v>0.35</v>
      </c>
      <c r="T575" s="65">
        <f t="shared" si="182"/>
        <v>0.9</v>
      </c>
      <c r="U575" s="64" t="e">
        <f t="shared" si="183"/>
        <v>#N/A</v>
      </c>
      <c r="V575" s="63">
        <f t="shared" si="174"/>
        <v>5.8911152514237539</v>
      </c>
      <c r="W575" s="63" t="str">
        <f t="shared" si="175"/>
        <v/>
      </c>
      <c r="X575" s="63">
        <f t="shared" si="184"/>
        <v>0</v>
      </c>
      <c r="Y575" s="30"/>
      <c r="Z575" s="30"/>
      <c r="AA575" s="30"/>
      <c r="AB575" s="55">
        <f>PMSplint!N211</f>
        <v>6.5833000007357736</v>
      </c>
      <c r="AC575" s="55">
        <f>PMSplint!N210</f>
        <v>6.5456836126930602</v>
      </c>
      <c r="AD575" s="55">
        <f>IF(RnSplint!N211&lt;0,0,RnSplint!N211)</f>
        <v>28.430568705159576</v>
      </c>
      <c r="AE575" s="55">
        <f>IF(RnSplint!N210&lt;0,0,RnSplint!N210)</f>
        <v>28.121256278026895</v>
      </c>
      <c r="AF575" s="30"/>
      <c r="AG575" s="30"/>
      <c r="AH575" s="30"/>
      <c r="AI575" s="30"/>
      <c r="AJ575" s="30"/>
      <c r="AK575" s="30"/>
      <c r="AL575" s="30"/>
      <c r="AM575" s="30"/>
      <c r="AN575" s="55">
        <f t="shared" si="186"/>
        <v>184.07284638742249</v>
      </c>
      <c r="AO575" s="55">
        <f t="shared" si="187"/>
        <v>13.567344854002293</v>
      </c>
      <c r="AP575" s="55">
        <f t="shared" si="188"/>
        <v>0.18721422852686712</v>
      </c>
      <c r="AQ575" s="55"/>
      <c r="AR575" s="55"/>
      <c r="AS575" s="55"/>
      <c r="AT575" s="55"/>
      <c r="AU575" s="30"/>
      <c r="AV575" s="30"/>
      <c r="AW575" s="2"/>
      <c r="AX575" s="2"/>
    </row>
    <row r="576" spans="1:50" x14ac:dyDescent="0.2">
      <c r="A576" s="2"/>
      <c r="B576" s="61">
        <f t="shared" si="169"/>
        <v>42167</v>
      </c>
      <c r="C576" s="62">
        <f t="shared" si="176"/>
        <v>163</v>
      </c>
      <c r="D576" s="63">
        <f t="shared" si="177"/>
        <v>6.5833000007357736</v>
      </c>
      <c r="G576" s="357" t="str">
        <f>IF(MakeSchedule!C543="","",MakeSchedule!C543)</f>
        <v/>
      </c>
      <c r="H576" s="358"/>
      <c r="I576" s="358"/>
      <c r="J576" s="359" t="str">
        <f>IF(MakeSchedule!B543="","",MakeSchedule!B543)</f>
        <v/>
      </c>
      <c r="K576" s="63">
        <f t="shared" si="170"/>
        <v>6.5833000007357736</v>
      </c>
      <c r="L576" s="63">
        <f t="shared" si="178"/>
        <v>6.5833000007357736</v>
      </c>
      <c r="M576" s="63">
        <f t="shared" si="179"/>
        <v>28.430568705159576</v>
      </c>
      <c r="N576" s="63" t="str">
        <f t="shared" si="171"/>
        <v/>
      </c>
      <c r="O576" s="64">
        <f t="shared" si="180"/>
        <v>0.18566033079378313</v>
      </c>
      <c r="P576" s="63" t="str">
        <f t="shared" si="181"/>
        <v/>
      </c>
      <c r="Q576" s="64" t="e">
        <f t="shared" si="172"/>
        <v>#N/A</v>
      </c>
      <c r="R576" s="63">
        <f t="shared" si="185"/>
        <v>0.18566033079378313</v>
      </c>
      <c r="S576" s="65">
        <f t="shared" si="173"/>
        <v>0.35</v>
      </c>
      <c r="T576" s="65">
        <f t="shared" si="182"/>
        <v>0.9</v>
      </c>
      <c r="U576" s="64" t="e">
        <f t="shared" si="183"/>
        <v>#N/A</v>
      </c>
      <c r="V576" s="63">
        <f t="shared" si="174"/>
        <v>5.9249700006621966</v>
      </c>
      <c r="W576" s="63" t="str">
        <f t="shared" si="175"/>
        <v/>
      </c>
      <c r="X576" s="63">
        <f t="shared" si="184"/>
        <v>0</v>
      </c>
      <c r="Y576" s="30"/>
      <c r="Z576" s="30"/>
      <c r="AA576" s="30"/>
      <c r="AB576" s="55">
        <f>PMSplint!N212</f>
        <v>6.619900322151322</v>
      </c>
      <c r="AC576" s="55">
        <f>PMSplint!N211</f>
        <v>6.5833000007357736</v>
      </c>
      <c r="AD576" s="55">
        <f>IF(RnSplint!N212&lt;0,0,RnSplint!N212)</f>
        <v>28.728424285989789</v>
      </c>
      <c r="AE576" s="55">
        <f>IF(RnSplint!N211&lt;0,0,RnSplint!N211)</f>
        <v>28.430568705159576</v>
      </c>
      <c r="AF576" s="30"/>
      <c r="AG576" s="30"/>
      <c r="AH576" s="30"/>
      <c r="AI576" s="30"/>
      <c r="AJ576" s="30"/>
      <c r="AK576" s="30"/>
      <c r="AL576" s="30"/>
      <c r="AM576" s="30"/>
      <c r="AN576" s="55">
        <f t="shared" si="186"/>
        <v>187.16696297759549</v>
      </c>
      <c r="AO576" s="55">
        <f t="shared" si="187"/>
        <v>13.680897740192179</v>
      </c>
      <c r="AP576" s="55">
        <f t="shared" si="188"/>
        <v>0.18566033079378313</v>
      </c>
      <c r="AQ576" s="55"/>
      <c r="AR576" s="55"/>
      <c r="AS576" s="55"/>
      <c r="AT576" s="55"/>
      <c r="AU576" s="30"/>
      <c r="AV576" s="30"/>
      <c r="AW576" s="2"/>
      <c r="AX576" s="2"/>
    </row>
    <row r="577" spans="1:50" x14ac:dyDescent="0.2">
      <c r="A577" s="2"/>
      <c r="B577" s="61">
        <f t="shared" si="169"/>
        <v>42168</v>
      </c>
      <c r="C577" s="62">
        <f t="shared" si="176"/>
        <v>164</v>
      </c>
      <c r="D577" s="63">
        <f t="shared" si="177"/>
        <v>6.619900322151322</v>
      </c>
      <c r="G577" s="357" t="str">
        <f>IF(MakeSchedule!C544="","",MakeSchedule!C544)</f>
        <v/>
      </c>
      <c r="H577" s="358"/>
      <c r="I577" s="358"/>
      <c r="J577" s="359" t="str">
        <f>IF(MakeSchedule!B544="","",MakeSchedule!B544)</f>
        <v/>
      </c>
      <c r="K577" s="63">
        <f t="shared" si="170"/>
        <v>6.619900322151322</v>
      </c>
      <c r="L577" s="63">
        <f t="shared" si="178"/>
        <v>6.619900322151322</v>
      </c>
      <c r="M577" s="63">
        <f t="shared" si="179"/>
        <v>28.728424285989789</v>
      </c>
      <c r="N577" s="63" t="str">
        <f t="shared" si="171"/>
        <v/>
      </c>
      <c r="O577" s="64">
        <f t="shared" si="180"/>
        <v>0.18418407970495043</v>
      </c>
      <c r="P577" s="63" t="str">
        <f t="shared" si="181"/>
        <v/>
      </c>
      <c r="Q577" s="64" t="e">
        <f t="shared" si="172"/>
        <v>#N/A</v>
      </c>
      <c r="R577" s="63">
        <f t="shared" si="185"/>
        <v>0.18418407970495043</v>
      </c>
      <c r="S577" s="65">
        <f t="shared" si="173"/>
        <v>0.35</v>
      </c>
      <c r="T577" s="65">
        <f t="shared" si="182"/>
        <v>0.9</v>
      </c>
      <c r="U577" s="64" t="e">
        <f t="shared" si="183"/>
        <v>#N/A</v>
      </c>
      <c r="V577" s="63">
        <f t="shared" si="174"/>
        <v>5.9579102899361898</v>
      </c>
      <c r="W577" s="63" t="str">
        <f t="shared" si="175"/>
        <v/>
      </c>
      <c r="X577" s="63">
        <f t="shared" si="184"/>
        <v>0</v>
      </c>
      <c r="Y577" s="30"/>
      <c r="Z577" s="30"/>
      <c r="AA577" s="30"/>
      <c r="AB577" s="55">
        <f>PMSplint!N213</f>
        <v>6.6554116193378325</v>
      </c>
      <c r="AC577" s="55">
        <f>PMSplint!N212</f>
        <v>6.619900322151322</v>
      </c>
      <c r="AD577" s="55">
        <f>IF(RnSplint!N213&lt;0,0,RnSplint!N213)</f>
        <v>29.013513034928852</v>
      </c>
      <c r="AE577" s="55">
        <f>IF(RnSplint!N212&lt;0,0,RnSplint!N212)</f>
        <v>28.728424285989789</v>
      </c>
      <c r="AF577" s="30"/>
      <c r="AG577" s="30"/>
      <c r="AH577" s="30"/>
      <c r="AI577" s="30"/>
      <c r="AJ577" s="30"/>
      <c r="AK577" s="30"/>
      <c r="AL577" s="30"/>
      <c r="AM577" s="30"/>
      <c r="AN577" s="55">
        <f t="shared" si="186"/>
        <v>190.17930518572368</v>
      </c>
      <c r="AO577" s="55">
        <f t="shared" si="187"/>
        <v>13.790551301007646</v>
      </c>
      <c r="AP577" s="55">
        <f t="shared" si="188"/>
        <v>0.18418407970495043</v>
      </c>
      <c r="AQ577" s="55"/>
      <c r="AR577" s="55"/>
      <c r="AS577" s="55"/>
      <c r="AT577" s="55"/>
      <c r="AU577" s="30"/>
      <c r="AV577" s="30"/>
      <c r="AW577" s="2"/>
      <c r="AX577" s="2"/>
    </row>
    <row r="578" spans="1:50" x14ac:dyDescent="0.2">
      <c r="A578" s="2"/>
      <c r="B578" s="61">
        <f t="shared" si="169"/>
        <v>42169</v>
      </c>
      <c r="C578" s="62">
        <f t="shared" si="176"/>
        <v>165</v>
      </c>
      <c r="D578" s="63">
        <f t="shared" si="177"/>
        <v>6.6554116193378325</v>
      </c>
      <c r="G578" s="357" t="str">
        <f>IF(MakeSchedule!C545="","",MakeSchedule!C545)</f>
        <v/>
      </c>
      <c r="H578" s="358"/>
      <c r="I578" s="358"/>
      <c r="J578" s="359" t="str">
        <f>IF(MakeSchedule!B545="","",MakeSchedule!B545)</f>
        <v/>
      </c>
      <c r="K578" s="63">
        <f t="shared" si="170"/>
        <v>6.6554116193378325</v>
      </c>
      <c r="L578" s="63">
        <f t="shared" si="178"/>
        <v>6.6554116193378325</v>
      </c>
      <c r="M578" s="63">
        <f t="shared" si="179"/>
        <v>29.013513034928852</v>
      </c>
      <c r="N578" s="63" t="str">
        <f t="shared" si="171"/>
        <v/>
      </c>
      <c r="O578" s="64">
        <f t="shared" si="180"/>
        <v>0.18278733356248344</v>
      </c>
      <c r="P578" s="63" t="str">
        <f t="shared" si="181"/>
        <v/>
      </c>
      <c r="Q578" s="64" t="e">
        <f t="shared" si="172"/>
        <v>#N/A</v>
      </c>
      <c r="R578" s="63">
        <f t="shared" si="185"/>
        <v>0.18278733356248344</v>
      </c>
      <c r="S578" s="65">
        <f t="shared" si="173"/>
        <v>0.35</v>
      </c>
      <c r="T578" s="65">
        <f t="shared" si="182"/>
        <v>0.9</v>
      </c>
      <c r="U578" s="64" t="e">
        <f t="shared" si="183"/>
        <v>#N/A</v>
      </c>
      <c r="V578" s="63">
        <f t="shared" si="174"/>
        <v>5.9898704574040496</v>
      </c>
      <c r="W578" s="63" t="str">
        <f t="shared" si="175"/>
        <v/>
      </c>
      <c r="X578" s="63">
        <f t="shared" si="184"/>
        <v>0</v>
      </c>
      <c r="Y578" s="30"/>
      <c r="Z578" s="30"/>
      <c r="AA578" s="30"/>
      <c r="AB578" s="55">
        <f>PMSplint!N214</f>
        <v>6.6897609346934326</v>
      </c>
      <c r="AC578" s="55">
        <f>PMSplint!N213</f>
        <v>6.6554116193378325</v>
      </c>
      <c r="AD578" s="55">
        <f>IF(RnSplint!N214&lt;0,0,RnSplint!N214)</f>
        <v>29.28452496638808</v>
      </c>
      <c r="AE578" s="55">
        <f>IF(RnSplint!N213&lt;0,0,RnSplint!N213)</f>
        <v>29.013513034928852</v>
      </c>
      <c r="AF578" s="30"/>
      <c r="AG578" s="30"/>
      <c r="AH578" s="30"/>
      <c r="AI578" s="30"/>
      <c r="AJ578" s="30"/>
      <c r="AK578" s="30"/>
      <c r="AL578" s="30"/>
      <c r="AM578" s="30"/>
      <c r="AN578" s="55">
        <f t="shared" si="186"/>
        <v>193.09687177047513</v>
      </c>
      <c r="AO578" s="55">
        <f t="shared" si="187"/>
        <v>13.895930043378714</v>
      </c>
      <c r="AP578" s="55">
        <f t="shared" si="188"/>
        <v>0.18278733356248344</v>
      </c>
      <c r="AQ578" s="55"/>
      <c r="AR578" s="55"/>
      <c r="AS578" s="55"/>
      <c r="AT578" s="55"/>
      <c r="AU578" s="30"/>
      <c r="AV578" s="30"/>
      <c r="AW578" s="2"/>
      <c r="AX578" s="2"/>
    </row>
    <row r="579" spans="1:50" x14ac:dyDescent="0.2">
      <c r="A579" s="2"/>
      <c r="B579" s="61">
        <f t="shared" si="169"/>
        <v>42170</v>
      </c>
      <c r="C579" s="62">
        <f t="shared" si="176"/>
        <v>166</v>
      </c>
      <c r="D579" s="63">
        <f t="shared" si="177"/>
        <v>6.6897609346934326</v>
      </c>
      <c r="G579" s="357" t="str">
        <f>IF(MakeSchedule!C546="","",MakeSchedule!C546)</f>
        <v/>
      </c>
      <c r="H579" s="358"/>
      <c r="I579" s="358"/>
      <c r="J579" s="359" t="str">
        <f>IF(MakeSchedule!B546="","",MakeSchedule!B546)</f>
        <v/>
      </c>
      <c r="K579" s="63">
        <f t="shared" si="170"/>
        <v>6.6897609346934326</v>
      </c>
      <c r="L579" s="63">
        <f t="shared" si="178"/>
        <v>6.6897609346934326</v>
      </c>
      <c r="M579" s="63">
        <f t="shared" si="179"/>
        <v>29.28452496638808</v>
      </c>
      <c r="N579" s="63" t="str">
        <f t="shared" si="171"/>
        <v/>
      </c>
      <c r="O579" s="64">
        <f t="shared" si="180"/>
        <v>0.1814718747145069</v>
      </c>
      <c r="P579" s="63" t="str">
        <f t="shared" si="181"/>
        <v/>
      </c>
      <c r="Q579" s="64" t="e">
        <f t="shared" si="172"/>
        <v>#N/A</v>
      </c>
      <c r="R579" s="63">
        <f t="shared" si="185"/>
        <v>0.1814718747145069</v>
      </c>
      <c r="S579" s="65">
        <f t="shared" si="173"/>
        <v>0.35</v>
      </c>
      <c r="T579" s="65">
        <f t="shared" si="182"/>
        <v>0.9</v>
      </c>
      <c r="U579" s="64" t="e">
        <f t="shared" si="183"/>
        <v>#N/A</v>
      </c>
      <c r="V579" s="63">
        <f t="shared" si="174"/>
        <v>6.0207848412240894</v>
      </c>
      <c r="W579" s="63" t="str">
        <f t="shared" si="175"/>
        <v/>
      </c>
      <c r="X579" s="63">
        <f t="shared" si="184"/>
        <v>0</v>
      </c>
      <c r="Y579" s="30"/>
      <c r="Z579" s="30"/>
      <c r="AA579" s="30"/>
      <c r="AB579" s="55">
        <f>PMSplint!N215</f>
        <v>6.7228753106162502</v>
      </c>
      <c r="AC579" s="55">
        <f>PMSplint!N214</f>
        <v>6.6897609346934326</v>
      </c>
      <c r="AD579" s="55">
        <f>IF(RnSplint!N215&lt;0,0,RnSplint!N215)</f>
        <v>29.540150094778799</v>
      </c>
      <c r="AE579" s="55">
        <f>IF(RnSplint!N214&lt;0,0,RnSplint!N214)</f>
        <v>29.28452496638808</v>
      </c>
      <c r="AF579" s="30"/>
      <c r="AG579" s="30"/>
      <c r="AH579" s="30"/>
      <c r="AI579" s="30"/>
      <c r="AJ579" s="30"/>
      <c r="AK579" s="30"/>
      <c r="AL579" s="30"/>
      <c r="AM579" s="30"/>
      <c r="AN579" s="55">
        <f t="shared" si="186"/>
        <v>195.90647111119748</v>
      </c>
      <c r="AO579" s="55">
        <f t="shared" si="187"/>
        <v>13.996659283957635</v>
      </c>
      <c r="AP579" s="55">
        <f t="shared" si="188"/>
        <v>0.1814718747145069</v>
      </c>
      <c r="AQ579" s="55"/>
      <c r="AR579" s="55"/>
      <c r="AS579" s="55"/>
      <c r="AT579" s="55"/>
      <c r="AU579" s="30"/>
      <c r="AV579" s="30"/>
      <c r="AW579" s="2"/>
      <c r="AX579" s="2"/>
    </row>
    <row r="580" spans="1:50" x14ac:dyDescent="0.2">
      <c r="A580" s="2"/>
      <c r="B580" s="61">
        <f t="shared" si="169"/>
        <v>42171</v>
      </c>
      <c r="C580" s="62">
        <f t="shared" si="176"/>
        <v>167</v>
      </c>
      <c r="D580" s="63">
        <f t="shared" si="177"/>
        <v>6.7228753106162502</v>
      </c>
      <c r="G580" s="357" t="str">
        <f>IF(MakeSchedule!C547="","",MakeSchedule!C547)</f>
        <v/>
      </c>
      <c r="H580" s="358"/>
      <c r="I580" s="358"/>
      <c r="J580" s="359" t="str">
        <f>IF(MakeSchedule!B547="","",MakeSchedule!B547)</f>
        <v/>
      </c>
      <c r="K580" s="63">
        <f t="shared" si="170"/>
        <v>6.7228753106162502</v>
      </c>
      <c r="L580" s="63">
        <f t="shared" si="178"/>
        <v>6.7228753106162502</v>
      </c>
      <c r="M580" s="63">
        <f t="shared" si="179"/>
        <v>29.540150094778799</v>
      </c>
      <c r="N580" s="63" t="str">
        <f t="shared" si="171"/>
        <v/>
      </c>
      <c r="O580" s="64">
        <f t="shared" si="180"/>
        <v>0.18023944423000432</v>
      </c>
      <c r="P580" s="63" t="str">
        <f t="shared" si="181"/>
        <v/>
      </c>
      <c r="Q580" s="64" t="e">
        <f t="shared" si="172"/>
        <v>#N/A</v>
      </c>
      <c r="R580" s="63">
        <f t="shared" si="185"/>
        <v>0.18023944423000432</v>
      </c>
      <c r="S580" s="65">
        <f t="shared" si="173"/>
        <v>0.35</v>
      </c>
      <c r="T580" s="65">
        <f t="shared" si="182"/>
        <v>0.9</v>
      </c>
      <c r="U580" s="64" t="e">
        <f t="shared" si="183"/>
        <v>#N/A</v>
      </c>
      <c r="V580" s="63">
        <f t="shared" si="174"/>
        <v>6.0505877795546255</v>
      </c>
      <c r="W580" s="63" t="str">
        <f t="shared" si="175"/>
        <v/>
      </c>
      <c r="X580" s="63">
        <f t="shared" si="184"/>
        <v>0</v>
      </c>
      <c r="Y580" s="30"/>
      <c r="Z580" s="30"/>
      <c r="AA580" s="30"/>
      <c r="AB580" s="55">
        <f>PMSplint!N216</f>
        <v>6.7546817895044136</v>
      </c>
      <c r="AC580" s="55">
        <f>PMSplint!N215</f>
        <v>6.7228753106162502</v>
      </c>
      <c r="AD580" s="55">
        <f>IF(RnSplint!N216&lt;0,0,RnSplint!N216)</f>
        <v>29.779078434512336</v>
      </c>
      <c r="AE580" s="55">
        <f>IF(RnSplint!N215&lt;0,0,RnSplint!N215)</f>
        <v>29.540150094778799</v>
      </c>
      <c r="AF580" s="30"/>
      <c r="AG580" s="30"/>
      <c r="AH580" s="30"/>
      <c r="AI580" s="30"/>
      <c r="AJ580" s="30"/>
      <c r="AK580" s="30"/>
      <c r="AL580" s="30"/>
      <c r="AM580" s="30"/>
      <c r="AN580" s="55">
        <f t="shared" si="186"/>
        <v>198.59474574408668</v>
      </c>
      <c r="AO580" s="55">
        <f t="shared" si="187"/>
        <v>14.092364803115434</v>
      </c>
      <c r="AP580" s="55">
        <f t="shared" si="188"/>
        <v>0.18023944423000432</v>
      </c>
      <c r="AQ580" s="55"/>
      <c r="AR580" s="55"/>
      <c r="AS580" s="55"/>
      <c r="AT580" s="55"/>
      <c r="AU580" s="30"/>
      <c r="AV580" s="30"/>
      <c r="AW580" s="2"/>
      <c r="AX580" s="2"/>
    </row>
    <row r="581" spans="1:50" x14ac:dyDescent="0.2">
      <c r="A581" s="2"/>
      <c r="B581" s="61">
        <f t="shared" si="169"/>
        <v>42172</v>
      </c>
      <c r="C581" s="62">
        <f t="shared" si="176"/>
        <v>168</v>
      </c>
      <c r="D581" s="63">
        <f t="shared" si="177"/>
        <v>6.7546817895044136</v>
      </c>
      <c r="G581" s="357" t="str">
        <f>IF(MakeSchedule!C548="","",MakeSchedule!C548)</f>
        <v/>
      </c>
      <c r="H581" s="358"/>
      <c r="I581" s="358"/>
      <c r="J581" s="359" t="str">
        <f>IF(MakeSchedule!B548="","",MakeSchedule!B548)</f>
        <v/>
      </c>
      <c r="K581" s="63">
        <f t="shared" si="170"/>
        <v>6.7546817895044136</v>
      </c>
      <c r="L581" s="63">
        <f t="shared" si="178"/>
        <v>6.7546817895044136</v>
      </c>
      <c r="M581" s="63">
        <f t="shared" si="179"/>
        <v>29.779078434512336</v>
      </c>
      <c r="N581" s="63" t="str">
        <f t="shared" si="171"/>
        <v/>
      </c>
      <c r="O581" s="64">
        <f t="shared" si="180"/>
        <v>0.17909177573763124</v>
      </c>
      <c r="P581" s="63" t="str">
        <f t="shared" si="181"/>
        <v/>
      </c>
      <c r="Q581" s="64" t="e">
        <f t="shared" si="172"/>
        <v>#N/A</v>
      </c>
      <c r="R581" s="63">
        <f t="shared" si="185"/>
        <v>0.17909177573763124</v>
      </c>
      <c r="S581" s="65">
        <f t="shared" si="173"/>
        <v>0.35</v>
      </c>
      <c r="T581" s="65">
        <f t="shared" si="182"/>
        <v>0.9</v>
      </c>
      <c r="U581" s="64" t="e">
        <f t="shared" si="183"/>
        <v>#N/A</v>
      </c>
      <c r="V581" s="63">
        <f t="shared" si="174"/>
        <v>6.079213610553972</v>
      </c>
      <c r="W581" s="63" t="str">
        <f t="shared" si="175"/>
        <v/>
      </c>
      <c r="X581" s="63">
        <f t="shared" si="184"/>
        <v>0</v>
      </c>
      <c r="Y581" s="30"/>
      <c r="Z581" s="30"/>
      <c r="AA581" s="30"/>
      <c r="AB581" s="55">
        <f>PMSplint!N217</f>
        <v>6.7851074137560472</v>
      </c>
      <c r="AC581" s="55">
        <f>PMSplint!N216</f>
        <v>6.7546817895044136</v>
      </c>
      <c r="AD581" s="55">
        <f>IF(RnSplint!N217&lt;0,0,RnSplint!N217)</f>
        <v>30</v>
      </c>
      <c r="AE581" s="55">
        <f>IF(RnSplint!N216&lt;0,0,RnSplint!N216)</f>
        <v>29.779078434512336</v>
      </c>
      <c r="AF581" s="30"/>
      <c r="AG581" s="30"/>
      <c r="AH581" s="30"/>
      <c r="AI581" s="30"/>
      <c r="AJ581" s="30"/>
      <c r="AK581" s="30"/>
      <c r="AL581" s="30"/>
      <c r="AM581" s="30"/>
      <c r="AN581" s="55">
        <f t="shared" si="186"/>
        <v>201.14819880982407</v>
      </c>
      <c r="AO581" s="55">
        <f t="shared" si="187"/>
        <v>14.182672484754912</v>
      </c>
      <c r="AP581" s="55">
        <f t="shared" si="188"/>
        <v>0.17909177573763124</v>
      </c>
      <c r="AQ581" s="55"/>
      <c r="AR581" s="55"/>
      <c r="AS581" s="55"/>
      <c r="AT581" s="55"/>
      <c r="AU581" s="30"/>
      <c r="AV581" s="30"/>
      <c r="AW581" s="2"/>
      <c r="AX581" s="2"/>
    </row>
    <row r="582" spans="1:50" x14ac:dyDescent="0.2">
      <c r="A582" s="2"/>
      <c r="B582" s="61">
        <f t="shared" si="169"/>
        <v>42173</v>
      </c>
      <c r="C582" s="62">
        <f t="shared" si="176"/>
        <v>169</v>
      </c>
      <c r="D582" s="63">
        <f t="shared" si="177"/>
        <v>6.7851074137560472</v>
      </c>
      <c r="G582" s="357" t="str">
        <f>IF(MakeSchedule!C549="","",MakeSchedule!C549)</f>
        <v/>
      </c>
      <c r="H582" s="358"/>
      <c r="I582" s="358"/>
      <c r="J582" s="359" t="str">
        <f>IF(MakeSchedule!B549="","",MakeSchedule!B549)</f>
        <v/>
      </c>
      <c r="K582" s="63">
        <f t="shared" si="170"/>
        <v>6.7851074137560472</v>
      </c>
      <c r="L582" s="63">
        <f t="shared" si="178"/>
        <v>6.7851074137560472</v>
      </c>
      <c r="M582" s="63">
        <f t="shared" si="179"/>
        <v>30</v>
      </c>
      <c r="N582" s="63" t="str">
        <f t="shared" si="171"/>
        <v/>
      </c>
      <c r="O582" s="64">
        <f t="shared" si="180"/>
        <v>0.17803062874128392</v>
      </c>
      <c r="P582" s="63" t="str">
        <f t="shared" si="181"/>
        <v/>
      </c>
      <c r="Q582" s="64" t="e">
        <f t="shared" si="172"/>
        <v>#N/A</v>
      </c>
      <c r="R582" s="63">
        <f t="shared" si="185"/>
        <v>0.17803062874128392</v>
      </c>
      <c r="S582" s="65">
        <f t="shared" si="173"/>
        <v>0.35</v>
      </c>
      <c r="T582" s="65">
        <f t="shared" si="182"/>
        <v>0.9</v>
      </c>
      <c r="U582" s="64" t="e">
        <f t="shared" si="183"/>
        <v>#N/A</v>
      </c>
      <c r="V582" s="63">
        <f t="shared" si="174"/>
        <v>6.1065966723804426</v>
      </c>
      <c r="W582" s="63" t="str">
        <f t="shared" si="175"/>
        <v/>
      </c>
      <c r="X582" s="63">
        <f t="shared" si="184"/>
        <v>0</v>
      </c>
      <c r="Y582" s="30"/>
      <c r="Z582" s="30"/>
      <c r="AA582" s="30"/>
      <c r="AB582" s="55">
        <f>PMSplint!N218</f>
        <v>6.8140941815019502</v>
      </c>
      <c r="AC582" s="55">
        <f>PMSplint!N217</f>
        <v>6.7851074137560472</v>
      </c>
      <c r="AD582" s="55">
        <f>IF(RnSplint!N218&lt;0,0,RnSplint!N218)</f>
        <v>30.201947140156062</v>
      </c>
      <c r="AE582" s="55">
        <f>IF(RnSplint!N217&lt;0,0,RnSplint!N217)</f>
        <v>30</v>
      </c>
      <c r="AF582" s="30"/>
      <c r="AG582" s="30"/>
      <c r="AH582" s="30"/>
      <c r="AI582" s="30"/>
      <c r="AJ582" s="30"/>
      <c r="AK582" s="30"/>
      <c r="AL582" s="30"/>
      <c r="AM582" s="30"/>
      <c r="AN582" s="55">
        <f t="shared" si="186"/>
        <v>203.55322241268141</v>
      </c>
      <c r="AO582" s="55">
        <f t="shared" si="187"/>
        <v>14.267207940332312</v>
      </c>
      <c r="AP582" s="55">
        <f t="shared" si="188"/>
        <v>0.17803062874128392</v>
      </c>
      <c r="AQ582" s="55"/>
      <c r="AR582" s="55"/>
      <c r="AS582" s="55"/>
      <c r="AT582" s="55"/>
      <c r="AU582" s="30"/>
      <c r="AV582" s="30"/>
      <c r="AW582" s="2"/>
      <c r="AX582" s="2"/>
    </row>
    <row r="583" spans="1:50" x14ac:dyDescent="0.2">
      <c r="A583" s="2"/>
      <c r="B583" s="61">
        <f t="shared" ref="B583:B600" si="189">B582+1</f>
        <v>42174</v>
      </c>
      <c r="C583" s="62">
        <f t="shared" si="176"/>
        <v>170</v>
      </c>
      <c r="D583" s="63">
        <f t="shared" si="177"/>
        <v>6.8140941815019502</v>
      </c>
      <c r="G583" s="357" t="str">
        <f>IF(MakeSchedule!C550="","",MakeSchedule!C550)</f>
        <v/>
      </c>
      <c r="H583" s="358"/>
      <c r="I583" s="358"/>
      <c r="J583" s="359" t="str">
        <f>IF(MakeSchedule!B550="","",MakeSchedule!B550)</f>
        <v/>
      </c>
      <c r="K583" s="63">
        <f t="shared" si="170"/>
        <v>6.8140941815019502</v>
      </c>
      <c r="L583" s="63">
        <f t="shared" si="178"/>
        <v>6.8140941815019502</v>
      </c>
      <c r="M583" s="63">
        <f t="shared" si="179"/>
        <v>30.201947140156062</v>
      </c>
      <c r="N583" s="63" t="str">
        <f t="shared" si="171"/>
        <v/>
      </c>
      <c r="O583" s="64">
        <f t="shared" si="180"/>
        <v>0.17705662399461997</v>
      </c>
      <c r="P583" s="63" t="str">
        <f t="shared" si="181"/>
        <v/>
      </c>
      <c r="Q583" s="64" t="e">
        <f t="shared" si="172"/>
        <v>#N/A</v>
      </c>
      <c r="R583" s="63">
        <f t="shared" si="185"/>
        <v>0.17705662399461997</v>
      </c>
      <c r="S583" s="65">
        <f t="shared" si="173"/>
        <v>0.35</v>
      </c>
      <c r="T583" s="65">
        <f t="shared" si="182"/>
        <v>0.9</v>
      </c>
      <c r="U583" s="64" t="e">
        <f t="shared" si="183"/>
        <v>#N/A</v>
      </c>
      <c r="V583" s="63">
        <f t="shared" si="174"/>
        <v>6.1326847633517554</v>
      </c>
      <c r="W583" s="63" t="str">
        <f t="shared" si="175"/>
        <v/>
      </c>
      <c r="X583" s="63">
        <f t="shared" si="184"/>
        <v>0</v>
      </c>
      <c r="Y583" s="30"/>
      <c r="Z583" s="30"/>
      <c r="AA583" s="30"/>
      <c r="AB583" s="55">
        <f>PMSplint!N219</f>
        <v>6.8416439138036091</v>
      </c>
      <c r="AC583" s="55">
        <f>PMSplint!N218</f>
        <v>6.8140941815019502</v>
      </c>
      <c r="AD583" s="55">
        <f>IF(RnSplint!N219&lt;0,0,RnSplint!N219)</f>
        <v>30.385321541906581</v>
      </c>
      <c r="AE583" s="55">
        <f>IF(RnSplint!N218&lt;0,0,RnSplint!N218)</f>
        <v>30.201947140156062</v>
      </c>
      <c r="AF583" s="30"/>
      <c r="AG583" s="30"/>
      <c r="AH583" s="30"/>
      <c r="AI583" s="30"/>
      <c r="AJ583" s="30"/>
      <c r="AK583" s="30"/>
      <c r="AL583" s="30"/>
      <c r="AM583" s="30"/>
      <c r="AN583" s="55">
        <f t="shared" si="186"/>
        <v>205.79891227776687</v>
      </c>
      <c r="AO583" s="55">
        <f t="shared" si="187"/>
        <v>14.345693161285965</v>
      </c>
      <c r="AP583" s="55">
        <f t="shared" si="188"/>
        <v>0.17705662399461997</v>
      </c>
      <c r="AQ583" s="55"/>
      <c r="AR583" s="55"/>
      <c r="AS583" s="55"/>
      <c r="AT583" s="55"/>
      <c r="AU583" s="30"/>
      <c r="AV583" s="30"/>
      <c r="AW583" s="2"/>
      <c r="AX583" s="2"/>
    </row>
    <row r="584" spans="1:50" x14ac:dyDescent="0.2">
      <c r="A584" s="2"/>
      <c r="B584" s="61">
        <f t="shared" si="189"/>
        <v>42175</v>
      </c>
      <c r="C584" s="62">
        <f t="shared" si="176"/>
        <v>171</v>
      </c>
      <c r="D584" s="63">
        <f t="shared" si="177"/>
        <v>6.8416439138036091</v>
      </c>
      <c r="G584" s="357" t="str">
        <f>IF(MakeSchedule!C551="","",MakeSchedule!C551)</f>
        <v/>
      </c>
      <c r="H584" s="358"/>
      <c r="I584" s="358"/>
      <c r="J584" s="359" t="str">
        <f>IF(MakeSchedule!B551="","",MakeSchedule!B551)</f>
        <v/>
      </c>
      <c r="K584" s="63">
        <f t="shared" si="170"/>
        <v>6.8416439138036091</v>
      </c>
      <c r="L584" s="63">
        <f t="shared" si="178"/>
        <v>6.8416439138036091</v>
      </c>
      <c r="M584" s="63">
        <f t="shared" si="179"/>
        <v>30.385321541906581</v>
      </c>
      <c r="N584" s="63" t="str">
        <f t="shared" si="171"/>
        <v/>
      </c>
      <c r="O584" s="64">
        <f t="shared" si="180"/>
        <v>0.17616578565217669</v>
      </c>
      <c r="P584" s="63" t="str">
        <f t="shared" si="181"/>
        <v/>
      </c>
      <c r="Q584" s="64" t="e">
        <f t="shared" si="172"/>
        <v>#N/A</v>
      </c>
      <c r="R584" s="63">
        <f t="shared" si="185"/>
        <v>0.17616578565217669</v>
      </c>
      <c r="S584" s="65">
        <f t="shared" si="173"/>
        <v>0.35</v>
      </c>
      <c r="T584" s="65">
        <f t="shared" si="182"/>
        <v>0.9</v>
      </c>
      <c r="U584" s="64" t="e">
        <f t="shared" si="183"/>
        <v>#N/A</v>
      </c>
      <c r="V584" s="63">
        <f t="shared" si="174"/>
        <v>6.1574795224232481</v>
      </c>
      <c r="W584" s="63" t="str">
        <f t="shared" si="175"/>
        <v/>
      </c>
      <c r="X584" s="63">
        <f t="shared" si="184"/>
        <v>0</v>
      </c>
      <c r="Y584" s="30"/>
      <c r="Z584" s="30"/>
      <c r="AA584" s="30"/>
      <c r="AB584" s="55">
        <f>PMSplint!N220</f>
        <v>6.8677733874551725</v>
      </c>
      <c r="AC584" s="55">
        <f>PMSplint!N219</f>
        <v>6.8416439138036091</v>
      </c>
      <c r="AD584" s="55">
        <f>IF(RnSplint!N220&lt;0,0,RnSplint!N220)</f>
        <v>30.550867226680545</v>
      </c>
      <c r="AE584" s="55">
        <f>IF(RnSplint!N219&lt;0,0,RnSplint!N219)</f>
        <v>30.385321541906581</v>
      </c>
      <c r="AF584" s="30"/>
      <c r="AG584" s="30"/>
      <c r="AH584" s="30"/>
      <c r="AI584" s="30"/>
      <c r="AJ584" s="30"/>
      <c r="AK584" s="30"/>
      <c r="AL584" s="30"/>
      <c r="AM584" s="30"/>
      <c r="AN584" s="55">
        <f t="shared" si="186"/>
        <v>207.88555019615086</v>
      </c>
      <c r="AO584" s="55">
        <f t="shared" si="187"/>
        <v>14.418236722850367</v>
      </c>
      <c r="AP584" s="55">
        <f t="shared" si="188"/>
        <v>0.17616578565217669</v>
      </c>
      <c r="AQ584" s="55"/>
      <c r="AR584" s="55"/>
      <c r="AS584" s="55"/>
      <c r="AT584" s="55"/>
      <c r="AU584" s="30"/>
      <c r="AV584" s="30"/>
      <c r="AW584" s="2"/>
      <c r="AX584" s="2"/>
    </row>
    <row r="585" spans="1:50" x14ac:dyDescent="0.2">
      <c r="A585" s="2"/>
      <c r="B585" s="61">
        <f t="shared" si="189"/>
        <v>42176</v>
      </c>
      <c r="C585" s="62">
        <f t="shared" si="176"/>
        <v>172</v>
      </c>
      <c r="D585" s="63">
        <f t="shared" si="177"/>
        <v>6.8677733874551725</v>
      </c>
      <c r="G585" s="357" t="str">
        <f>IF(MakeSchedule!C552="","",MakeSchedule!C552)</f>
        <v/>
      </c>
      <c r="H585" s="358"/>
      <c r="I585" s="358"/>
      <c r="J585" s="359" t="str">
        <f>IF(MakeSchedule!B552="","",MakeSchedule!B552)</f>
        <v/>
      </c>
      <c r="K585" s="63">
        <f t="shared" si="170"/>
        <v>6.8677733874551725</v>
      </c>
      <c r="L585" s="63">
        <f t="shared" si="178"/>
        <v>6.8677733874551725</v>
      </c>
      <c r="M585" s="63">
        <f t="shared" si="179"/>
        <v>30.550867226680545</v>
      </c>
      <c r="N585" s="63" t="str">
        <f t="shared" si="171"/>
        <v/>
      </c>
      <c r="O585" s="64">
        <f t="shared" si="180"/>
        <v>0.17535330953819814</v>
      </c>
      <c r="P585" s="63" t="str">
        <f t="shared" si="181"/>
        <v/>
      </c>
      <c r="Q585" s="64" t="e">
        <f t="shared" si="172"/>
        <v>#N/A</v>
      </c>
      <c r="R585" s="63">
        <f t="shared" si="185"/>
        <v>0.17535330953819814</v>
      </c>
      <c r="S585" s="65">
        <f t="shared" si="173"/>
        <v>0.35</v>
      </c>
      <c r="T585" s="65">
        <f t="shared" si="182"/>
        <v>0.9</v>
      </c>
      <c r="U585" s="64" t="e">
        <f t="shared" si="183"/>
        <v>#N/A</v>
      </c>
      <c r="V585" s="63">
        <f t="shared" si="174"/>
        <v>6.1809960487096554</v>
      </c>
      <c r="W585" s="63" t="str">
        <f t="shared" si="175"/>
        <v/>
      </c>
      <c r="X585" s="63">
        <f t="shared" si="184"/>
        <v>0</v>
      </c>
      <c r="Y585" s="30"/>
      <c r="Z585" s="30"/>
      <c r="AA585" s="30"/>
      <c r="AB585" s="55">
        <f>PMSplint!N221</f>
        <v>6.8924993792507969</v>
      </c>
      <c r="AC585" s="55">
        <f>PMSplint!N220</f>
        <v>6.8677733874551725</v>
      </c>
      <c r="AD585" s="55">
        <f>IF(RnSplint!N221&lt;0,0,RnSplint!N221)</f>
        <v>30.699328215906956</v>
      </c>
      <c r="AE585" s="55">
        <f>IF(RnSplint!N220&lt;0,0,RnSplint!N220)</f>
        <v>30.550867226680545</v>
      </c>
      <c r="AF585" s="30"/>
      <c r="AG585" s="30"/>
      <c r="AH585" s="30"/>
      <c r="AI585" s="30"/>
      <c r="AJ585" s="30"/>
      <c r="AK585" s="30"/>
      <c r="AL585" s="30"/>
      <c r="AM585" s="30"/>
      <c r="AN585" s="55">
        <f t="shared" si="186"/>
        <v>209.81643290307306</v>
      </c>
      <c r="AO585" s="55">
        <f t="shared" si="187"/>
        <v>14.485041694902817</v>
      </c>
      <c r="AP585" s="55">
        <f t="shared" si="188"/>
        <v>0.17535330953819814</v>
      </c>
      <c r="AQ585" s="55"/>
      <c r="AR585" s="55"/>
      <c r="AS585" s="55"/>
      <c r="AT585" s="55"/>
      <c r="AU585" s="30"/>
      <c r="AV585" s="30"/>
      <c r="AW585" s="2"/>
      <c r="AX585" s="2"/>
    </row>
    <row r="586" spans="1:50" x14ac:dyDescent="0.2">
      <c r="A586" s="2"/>
      <c r="B586" s="61">
        <f t="shared" si="189"/>
        <v>42177</v>
      </c>
      <c r="C586" s="62">
        <f t="shared" si="176"/>
        <v>173</v>
      </c>
      <c r="D586" s="63">
        <f t="shared" si="177"/>
        <v>6.8924993792507969</v>
      </c>
      <c r="G586" s="357" t="str">
        <f>IF(MakeSchedule!C553="","",MakeSchedule!C553)</f>
        <v/>
      </c>
      <c r="H586" s="358"/>
      <c r="I586" s="358"/>
      <c r="J586" s="359" t="str">
        <f>IF(MakeSchedule!B553="","",MakeSchedule!B553)</f>
        <v/>
      </c>
      <c r="K586" s="63">
        <f t="shared" si="170"/>
        <v>6.8924993792507969</v>
      </c>
      <c r="L586" s="63">
        <f t="shared" si="178"/>
        <v>6.8924993792507969</v>
      </c>
      <c r="M586" s="63">
        <f t="shared" si="179"/>
        <v>30.699328215906956</v>
      </c>
      <c r="N586" s="63" t="str">
        <f t="shared" si="171"/>
        <v/>
      </c>
      <c r="O586" s="64">
        <f t="shared" si="180"/>
        <v>0.17461474447720043</v>
      </c>
      <c r="P586" s="63" t="str">
        <f t="shared" si="181"/>
        <v/>
      </c>
      <c r="Q586" s="64" t="e">
        <f t="shared" si="172"/>
        <v>#N/A</v>
      </c>
      <c r="R586" s="63">
        <f t="shared" si="185"/>
        <v>0.17461474447720043</v>
      </c>
      <c r="S586" s="65">
        <f t="shared" si="173"/>
        <v>0.35</v>
      </c>
      <c r="T586" s="65">
        <f t="shared" si="182"/>
        <v>0.9</v>
      </c>
      <c r="U586" s="64" t="e">
        <f t="shared" si="183"/>
        <v>#N/A</v>
      </c>
      <c r="V586" s="63">
        <f t="shared" si="174"/>
        <v>6.2032494413257178</v>
      </c>
      <c r="W586" s="63" t="str">
        <f t="shared" si="175"/>
        <v/>
      </c>
      <c r="X586" s="63">
        <f t="shared" si="184"/>
        <v>0</v>
      </c>
      <c r="Y586" s="30"/>
      <c r="Z586" s="30"/>
      <c r="AA586" s="30"/>
      <c r="AB586" s="55">
        <f>PMSplint!N222</f>
        <v>6.9158386659846371</v>
      </c>
      <c r="AC586" s="55">
        <f>PMSplint!N221</f>
        <v>6.8924993792507969</v>
      </c>
      <c r="AD586" s="55">
        <f>IF(RnSplint!N222&lt;0,0,RnSplint!N222)</f>
        <v>30.831448531014811</v>
      </c>
      <c r="AE586" s="55">
        <f>IF(RnSplint!N221&lt;0,0,RnSplint!N221)</f>
        <v>30.699328215906956</v>
      </c>
      <c r="AF586" s="30"/>
      <c r="AG586" s="30"/>
      <c r="AH586" s="30"/>
      <c r="AI586" s="30"/>
      <c r="AJ586" s="30"/>
      <c r="AK586" s="30"/>
      <c r="AL586" s="30"/>
      <c r="AM586" s="30"/>
      <c r="AN586" s="55">
        <f t="shared" si="186"/>
        <v>211.59510067155517</v>
      </c>
      <c r="AO586" s="55">
        <f t="shared" si="187"/>
        <v>14.546308833224845</v>
      </c>
      <c r="AP586" s="55">
        <f t="shared" si="188"/>
        <v>0.17461474447720043</v>
      </c>
      <c r="AQ586" s="55"/>
      <c r="AR586" s="55"/>
      <c r="AS586" s="55"/>
      <c r="AT586" s="55"/>
      <c r="AU586" s="30"/>
      <c r="AV586" s="30"/>
      <c r="AW586" s="2"/>
      <c r="AX586" s="2"/>
    </row>
    <row r="587" spans="1:50" x14ac:dyDescent="0.2">
      <c r="A587" s="2"/>
      <c r="B587" s="61">
        <f t="shared" si="189"/>
        <v>42178</v>
      </c>
      <c r="C587" s="62">
        <f t="shared" si="176"/>
        <v>174</v>
      </c>
      <c r="D587" s="63">
        <f t="shared" si="177"/>
        <v>6.9158386659846371</v>
      </c>
      <c r="G587" s="357" t="str">
        <f>IF(MakeSchedule!C554="","",MakeSchedule!C554)</f>
        <v/>
      </c>
      <c r="H587" s="358"/>
      <c r="I587" s="358"/>
      <c r="J587" s="359" t="str">
        <f>IF(MakeSchedule!B554="","",MakeSchedule!B554)</f>
        <v/>
      </c>
      <c r="K587" s="63">
        <f t="shared" si="170"/>
        <v>6.9158386659846371</v>
      </c>
      <c r="L587" s="63">
        <f t="shared" si="178"/>
        <v>6.9158386659846371</v>
      </c>
      <c r="M587" s="63">
        <f t="shared" si="179"/>
        <v>30.831448531014811</v>
      </c>
      <c r="N587" s="63" t="str">
        <f t="shared" si="171"/>
        <v/>
      </c>
      <c r="O587" s="64">
        <f t="shared" si="180"/>
        <v>0.17394595150616174</v>
      </c>
      <c r="P587" s="63" t="str">
        <f t="shared" si="181"/>
        <v/>
      </c>
      <c r="Q587" s="64" t="e">
        <f t="shared" si="172"/>
        <v>#N/A</v>
      </c>
      <c r="R587" s="63">
        <f t="shared" si="185"/>
        <v>0.17394595150616174</v>
      </c>
      <c r="S587" s="65">
        <f t="shared" si="173"/>
        <v>0.35</v>
      </c>
      <c r="T587" s="65">
        <f t="shared" si="182"/>
        <v>0.9</v>
      </c>
      <c r="U587" s="64" t="e">
        <f t="shared" si="183"/>
        <v>#N/A</v>
      </c>
      <c r="V587" s="63">
        <f t="shared" si="174"/>
        <v>6.2242547993861734</v>
      </c>
      <c r="W587" s="63" t="str">
        <f t="shared" si="175"/>
        <v/>
      </c>
      <c r="X587" s="63">
        <f t="shared" si="184"/>
        <v>0</v>
      </c>
      <c r="Y587" s="30"/>
      <c r="Z587" s="30"/>
      <c r="AA587" s="30"/>
      <c r="AB587" s="55">
        <f>PMSplint!N223</f>
        <v>6.9378080244508462</v>
      </c>
      <c r="AC587" s="55">
        <f>PMSplint!N222</f>
        <v>6.9158386659846371</v>
      </c>
      <c r="AD587" s="55">
        <f>IF(RnSplint!N223&lt;0,0,RnSplint!N223)</f>
        <v>30.947972193433113</v>
      </c>
      <c r="AE587" s="55">
        <f>IF(RnSplint!N222&lt;0,0,RnSplint!N222)</f>
        <v>30.831448531014811</v>
      </c>
      <c r="AF587" s="30"/>
      <c r="AG587" s="30"/>
      <c r="AH587" s="30"/>
      <c r="AI587" s="30"/>
      <c r="AJ587" s="30"/>
      <c r="AK587" s="30"/>
      <c r="AL587" s="30"/>
      <c r="AM587" s="30"/>
      <c r="AN587" s="55">
        <f t="shared" si="186"/>
        <v>213.22532387910746</v>
      </c>
      <c r="AO587" s="55">
        <f t="shared" si="187"/>
        <v>14.602236947779867</v>
      </c>
      <c r="AP587" s="55">
        <f t="shared" si="188"/>
        <v>0.17394595150616174</v>
      </c>
      <c r="AQ587" s="55"/>
      <c r="AR587" s="55"/>
      <c r="AS587" s="55"/>
      <c r="AT587" s="55"/>
      <c r="AU587" s="30"/>
      <c r="AV587" s="30"/>
      <c r="AW587" s="2"/>
      <c r="AX587" s="2"/>
    </row>
    <row r="588" spans="1:50" x14ac:dyDescent="0.2">
      <c r="A588" s="2"/>
      <c r="B588" s="61">
        <f t="shared" si="189"/>
        <v>42179</v>
      </c>
      <c r="C588" s="62">
        <f t="shared" si="176"/>
        <v>175</v>
      </c>
      <c r="D588" s="63">
        <f t="shared" si="177"/>
        <v>6.9378080244508462</v>
      </c>
      <c r="G588" s="357" t="str">
        <f>IF(MakeSchedule!C555="","",MakeSchedule!C555)</f>
        <v/>
      </c>
      <c r="H588" s="358"/>
      <c r="I588" s="358"/>
      <c r="J588" s="359" t="str">
        <f>IF(MakeSchedule!B555="","",MakeSchedule!B555)</f>
        <v/>
      </c>
      <c r="K588" s="63">
        <f t="shared" si="170"/>
        <v>6.9378080244508462</v>
      </c>
      <c r="L588" s="63">
        <f t="shared" si="178"/>
        <v>6.9378080244508462</v>
      </c>
      <c r="M588" s="63">
        <f t="shared" si="179"/>
        <v>30.947972193433113</v>
      </c>
      <c r="N588" s="63" t="str">
        <f t="shared" si="171"/>
        <v/>
      </c>
      <c r="O588" s="64">
        <f t="shared" si="180"/>
        <v>0.1733430678341229</v>
      </c>
      <c r="P588" s="63" t="str">
        <f t="shared" si="181"/>
        <v/>
      </c>
      <c r="Q588" s="64" t="e">
        <f t="shared" si="172"/>
        <v>#N/A</v>
      </c>
      <c r="R588" s="63">
        <f t="shared" si="185"/>
        <v>0.1733430678341229</v>
      </c>
      <c r="S588" s="65">
        <f t="shared" si="173"/>
        <v>0.35</v>
      </c>
      <c r="T588" s="65">
        <f t="shared" si="182"/>
        <v>0.9</v>
      </c>
      <c r="U588" s="64" t="e">
        <f t="shared" si="183"/>
        <v>#N/A</v>
      </c>
      <c r="V588" s="63">
        <f t="shared" si="174"/>
        <v>6.2440272220057613</v>
      </c>
      <c r="W588" s="63" t="str">
        <f t="shared" si="175"/>
        <v/>
      </c>
      <c r="X588" s="63">
        <f t="shared" si="184"/>
        <v>0</v>
      </c>
      <c r="Y588" s="30"/>
      <c r="Z588" s="30"/>
      <c r="AA588" s="30"/>
      <c r="AB588" s="55">
        <f>PMSplint!N224</f>
        <v>6.9584242314435771</v>
      </c>
      <c r="AC588" s="55">
        <f>PMSplint!N223</f>
        <v>6.9378080244508462</v>
      </c>
      <c r="AD588" s="55">
        <f>IF(RnSplint!N224&lt;0,0,RnSplint!N224)</f>
        <v>31.049643224590856</v>
      </c>
      <c r="AE588" s="55">
        <f>IF(RnSplint!N223&lt;0,0,RnSplint!N223)</f>
        <v>30.947972193433113</v>
      </c>
      <c r="AF588" s="30"/>
      <c r="AG588" s="30"/>
      <c r="AH588" s="30"/>
      <c r="AI588" s="30"/>
      <c r="AJ588" s="30"/>
      <c r="AK588" s="30"/>
      <c r="AL588" s="30"/>
      <c r="AM588" s="30"/>
      <c r="AN588" s="55">
        <f t="shared" si="186"/>
        <v>214.71108982408191</v>
      </c>
      <c r="AO588" s="55">
        <f t="shared" si="187"/>
        <v>14.653023231541056</v>
      </c>
      <c r="AP588" s="55">
        <f t="shared" si="188"/>
        <v>0.1733430678341229</v>
      </c>
      <c r="AQ588" s="55"/>
      <c r="AR588" s="55"/>
      <c r="AS588" s="55"/>
      <c r="AT588" s="55"/>
      <c r="AU588" s="30"/>
      <c r="AV588" s="30"/>
      <c r="AW588" s="2"/>
      <c r="AX588" s="2"/>
    </row>
    <row r="589" spans="1:50" x14ac:dyDescent="0.2">
      <c r="A589" s="2"/>
      <c r="B589" s="61">
        <f t="shared" si="189"/>
        <v>42180</v>
      </c>
      <c r="C589" s="62">
        <f t="shared" si="176"/>
        <v>176</v>
      </c>
      <c r="D589" s="63">
        <f t="shared" si="177"/>
        <v>6.9584242314435771</v>
      </c>
      <c r="G589" s="357" t="str">
        <f>IF(MakeSchedule!C556="","",MakeSchedule!C556)</f>
        <v/>
      </c>
      <c r="H589" s="358"/>
      <c r="I589" s="358"/>
      <c r="J589" s="359" t="str">
        <f>IF(MakeSchedule!B556="","",MakeSchedule!B556)</f>
        <v/>
      </c>
      <c r="K589" s="63">
        <f t="shared" si="170"/>
        <v>6.9584242314435771</v>
      </c>
      <c r="L589" s="63">
        <f t="shared" si="178"/>
        <v>6.9584242314435771</v>
      </c>
      <c r="M589" s="63">
        <f t="shared" si="179"/>
        <v>31.049643224590856</v>
      </c>
      <c r="N589" s="63" t="str">
        <f t="shared" si="171"/>
        <v/>
      </c>
      <c r="O589" s="64">
        <f t="shared" si="180"/>
        <v>0.17280247487125991</v>
      </c>
      <c r="P589" s="63" t="str">
        <f t="shared" si="181"/>
        <v/>
      </c>
      <c r="Q589" s="64" t="e">
        <f t="shared" si="172"/>
        <v>#N/A</v>
      </c>
      <c r="R589" s="63">
        <f t="shared" si="185"/>
        <v>0.17280247487125991</v>
      </c>
      <c r="S589" s="65">
        <f t="shared" si="173"/>
        <v>0.35</v>
      </c>
      <c r="T589" s="65">
        <f t="shared" si="182"/>
        <v>0.9</v>
      </c>
      <c r="U589" s="64" t="e">
        <f t="shared" si="183"/>
        <v>#N/A</v>
      </c>
      <c r="V589" s="63">
        <f t="shared" si="174"/>
        <v>6.2625818082992195</v>
      </c>
      <c r="W589" s="63" t="str">
        <f t="shared" si="175"/>
        <v/>
      </c>
      <c r="X589" s="63">
        <f t="shared" si="184"/>
        <v>0</v>
      </c>
      <c r="Y589" s="30"/>
      <c r="Z589" s="30"/>
      <c r="AA589" s="30"/>
      <c r="AB589" s="55">
        <f>PMSplint!N225</f>
        <v>6.9777040637569847</v>
      </c>
      <c r="AC589" s="55">
        <f>PMSplint!N224</f>
        <v>6.9584242314435771</v>
      </c>
      <c r="AD589" s="55">
        <f>IF(RnSplint!N225&lt;0,0,RnSplint!N225)</f>
        <v>31.137205645917035</v>
      </c>
      <c r="AE589" s="55">
        <f>IF(RnSplint!N224&lt;0,0,RnSplint!N224)</f>
        <v>31.049643224590856</v>
      </c>
      <c r="AF589" s="30"/>
      <c r="AG589" s="30"/>
      <c r="AH589" s="30"/>
      <c r="AI589" s="30"/>
      <c r="AJ589" s="30"/>
      <c r="AK589" s="30"/>
      <c r="AL589" s="30"/>
      <c r="AM589" s="30"/>
      <c r="AN589" s="55">
        <f t="shared" si="186"/>
        <v>216.05658979167089</v>
      </c>
      <c r="AO589" s="55">
        <f t="shared" si="187"/>
        <v>14.698863554427291</v>
      </c>
      <c r="AP589" s="55">
        <f t="shared" si="188"/>
        <v>0.17280247487125991</v>
      </c>
      <c r="AQ589" s="55"/>
      <c r="AR589" s="55"/>
      <c r="AS589" s="55"/>
      <c r="AT589" s="55"/>
      <c r="AU589" s="30"/>
      <c r="AV589" s="30"/>
      <c r="AW589" s="2"/>
      <c r="AX589" s="2"/>
    </row>
    <row r="590" spans="1:50" x14ac:dyDescent="0.2">
      <c r="A590" s="2"/>
      <c r="B590" s="61">
        <f t="shared" si="189"/>
        <v>42181</v>
      </c>
      <c r="C590" s="62">
        <f t="shared" si="176"/>
        <v>177</v>
      </c>
      <c r="D590" s="63">
        <f t="shared" si="177"/>
        <v>6.9777040637569847</v>
      </c>
      <c r="G590" s="357" t="str">
        <f>IF(MakeSchedule!C557="","",MakeSchedule!C557)</f>
        <v/>
      </c>
      <c r="H590" s="358"/>
      <c r="I590" s="358"/>
      <c r="J590" s="359" t="str">
        <f>IF(MakeSchedule!B557="","",MakeSchedule!B557)</f>
        <v/>
      </c>
      <c r="K590" s="63">
        <f t="shared" si="170"/>
        <v>6.9777040637569847</v>
      </c>
      <c r="L590" s="63">
        <f t="shared" si="178"/>
        <v>6.9777040637569847</v>
      </c>
      <c r="M590" s="63">
        <f t="shared" si="179"/>
        <v>31.137205645917035</v>
      </c>
      <c r="N590" s="63" t="str">
        <f t="shared" si="171"/>
        <v/>
      </c>
      <c r="O590" s="64">
        <f t="shared" si="180"/>
        <v>0.17232076976009453</v>
      </c>
      <c r="P590" s="63" t="str">
        <f t="shared" si="181"/>
        <v/>
      </c>
      <c r="Q590" s="64" t="e">
        <f t="shared" si="172"/>
        <v>#N/A</v>
      </c>
      <c r="R590" s="63">
        <f t="shared" si="185"/>
        <v>0.17232076976009453</v>
      </c>
      <c r="S590" s="65">
        <f t="shared" si="173"/>
        <v>0.35</v>
      </c>
      <c r="T590" s="65">
        <f t="shared" si="182"/>
        <v>0.9</v>
      </c>
      <c r="U590" s="64" t="e">
        <f t="shared" si="183"/>
        <v>#N/A</v>
      </c>
      <c r="V590" s="63">
        <f t="shared" si="174"/>
        <v>6.2799336573812861</v>
      </c>
      <c r="W590" s="63" t="str">
        <f t="shared" si="175"/>
        <v/>
      </c>
      <c r="X590" s="63">
        <f t="shared" si="184"/>
        <v>0</v>
      </c>
      <c r="Y590" s="30"/>
      <c r="Z590" s="30"/>
      <c r="AA590" s="30"/>
      <c r="AB590" s="55">
        <f>PMSplint!N226</f>
        <v>6.995664298185222</v>
      </c>
      <c r="AC590" s="55">
        <f>PMSplint!N225</f>
        <v>6.9777040637569847</v>
      </c>
      <c r="AD590" s="55">
        <f>IF(RnSplint!N226&lt;0,0,RnSplint!N226)</f>
        <v>31.211403478840651</v>
      </c>
      <c r="AE590" s="55">
        <f>IF(RnSplint!N225&lt;0,0,RnSplint!N225)</f>
        <v>31.137205645917035</v>
      </c>
      <c r="AF590" s="30"/>
      <c r="AG590" s="30"/>
      <c r="AH590" s="30"/>
      <c r="AI590" s="30"/>
      <c r="AJ590" s="30"/>
      <c r="AK590" s="30"/>
      <c r="AL590" s="30"/>
      <c r="AM590" s="30"/>
      <c r="AN590" s="55">
        <f t="shared" si="186"/>
        <v>217.26620636955224</v>
      </c>
      <c r="AO590" s="55">
        <f t="shared" si="187"/>
        <v>14.739952726164091</v>
      </c>
      <c r="AP590" s="55">
        <f t="shared" si="188"/>
        <v>0.17232076976009453</v>
      </c>
      <c r="AQ590" s="55"/>
      <c r="AR590" s="55"/>
      <c r="AS590" s="55"/>
      <c r="AT590" s="55"/>
      <c r="AU590" s="30"/>
      <c r="AV590" s="30"/>
      <c r="AW590" s="2"/>
      <c r="AX590" s="2"/>
    </row>
    <row r="591" spans="1:50" x14ac:dyDescent="0.2">
      <c r="A591" s="2"/>
      <c r="B591" s="61">
        <f t="shared" si="189"/>
        <v>42182</v>
      </c>
      <c r="C591" s="62">
        <f t="shared" si="176"/>
        <v>178</v>
      </c>
      <c r="D591" s="63">
        <f t="shared" si="177"/>
        <v>6.995664298185222</v>
      </c>
      <c r="G591" s="357" t="str">
        <f>IF(MakeSchedule!C558="","",MakeSchedule!C558)</f>
        <v/>
      </c>
      <c r="H591" s="358"/>
      <c r="I591" s="358"/>
      <c r="J591" s="359" t="str">
        <f>IF(MakeSchedule!B558="","",MakeSchedule!B558)</f>
        <v/>
      </c>
      <c r="K591" s="63">
        <f t="shared" si="170"/>
        <v>6.995664298185222</v>
      </c>
      <c r="L591" s="63">
        <f t="shared" si="178"/>
        <v>6.995664298185222</v>
      </c>
      <c r="M591" s="63">
        <f t="shared" si="179"/>
        <v>31.211403478840651</v>
      </c>
      <c r="N591" s="63" t="str">
        <f t="shared" si="171"/>
        <v/>
      </c>
      <c r="O591" s="64">
        <f t="shared" si="180"/>
        <v>0.17189473993272947</v>
      </c>
      <c r="P591" s="63" t="str">
        <f t="shared" si="181"/>
        <v/>
      </c>
      <c r="Q591" s="64" t="e">
        <f t="shared" si="172"/>
        <v>#N/A</v>
      </c>
      <c r="R591" s="63">
        <f t="shared" si="185"/>
        <v>0.17189473993272947</v>
      </c>
      <c r="S591" s="65">
        <f t="shared" si="173"/>
        <v>0.35</v>
      </c>
      <c r="T591" s="65">
        <f t="shared" si="182"/>
        <v>0.9</v>
      </c>
      <c r="U591" s="64" t="e">
        <f t="shared" si="183"/>
        <v>#N/A</v>
      </c>
      <c r="V591" s="63">
        <f t="shared" si="174"/>
        <v>6.2960978683666999</v>
      </c>
      <c r="W591" s="63" t="str">
        <f t="shared" si="175"/>
        <v/>
      </c>
      <c r="X591" s="63">
        <f t="shared" si="184"/>
        <v>0</v>
      </c>
      <c r="Y591" s="30"/>
      <c r="Z591" s="30"/>
      <c r="AA591" s="30"/>
      <c r="AB591" s="55">
        <f>PMSplint!N227</f>
        <v>7.0123217115224463</v>
      </c>
      <c r="AC591" s="55">
        <f>PMSplint!N226</f>
        <v>6.995664298185222</v>
      </c>
      <c r="AD591" s="55">
        <f>IF(RnSplint!N227&lt;0,0,RnSplint!N227)</f>
        <v>31.272980744790704</v>
      </c>
      <c r="AE591" s="55">
        <f>IF(RnSplint!N226&lt;0,0,RnSplint!N226)</f>
        <v>31.211403478840651</v>
      </c>
      <c r="AF591" s="30"/>
      <c r="AG591" s="30"/>
      <c r="AH591" s="30"/>
      <c r="AI591" s="30"/>
      <c r="AJ591" s="30"/>
      <c r="AK591" s="30"/>
      <c r="AL591" s="30"/>
      <c r="AM591" s="30"/>
      <c r="AN591" s="55">
        <f t="shared" si="186"/>
        <v>218.34450101317958</v>
      </c>
      <c r="AO591" s="55">
        <f t="shared" si="187"/>
        <v>14.776484731260666</v>
      </c>
      <c r="AP591" s="55">
        <f t="shared" si="188"/>
        <v>0.17189473993272947</v>
      </c>
      <c r="AQ591" s="55"/>
      <c r="AR591" s="55"/>
      <c r="AS591" s="55"/>
      <c r="AT591" s="55"/>
      <c r="AU591" s="30"/>
      <c r="AV591" s="30"/>
      <c r="AW591" s="2"/>
      <c r="AX591" s="2"/>
    </row>
    <row r="592" spans="1:50" x14ac:dyDescent="0.2">
      <c r="A592" s="2"/>
      <c r="B592" s="61">
        <f t="shared" si="189"/>
        <v>42183</v>
      </c>
      <c r="C592" s="62">
        <f t="shared" si="176"/>
        <v>179</v>
      </c>
      <c r="D592" s="63">
        <f t="shared" si="177"/>
        <v>7.0123217115224463</v>
      </c>
      <c r="G592" s="357" t="str">
        <f>IF(MakeSchedule!C559="","",MakeSchedule!C559)</f>
        <v/>
      </c>
      <c r="H592" s="358"/>
      <c r="I592" s="358"/>
      <c r="J592" s="359" t="str">
        <f>IF(MakeSchedule!B559="","",MakeSchedule!B559)</f>
        <v/>
      </c>
      <c r="K592" s="63">
        <f t="shared" si="170"/>
        <v>7.0123217115224463</v>
      </c>
      <c r="L592" s="63">
        <f t="shared" si="178"/>
        <v>7.0123217115224463</v>
      </c>
      <c r="M592" s="63">
        <f t="shared" si="179"/>
        <v>31.272980744790704</v>
      </c>
      <c r="N592" s="63" t="str">
        <f t="shared" si="171"/>
        <v/>
      </c>
      <c r="O592" s="64">
        <f t="shared" si="180"/>
        <v>0.1715213402936471</v>
      </c>
      <c r="P592" s="63" t="str">
        <f t="shared" si="181"/>
        <v/>
      </c>
      <c r="Q592" s="64" t="e">
        <f t="shared" si="172"/>
        <v>#N/A</v>
      </c>
      <c r="R592" s="63">
        <f t="shared" si="185"/>
        <v>0.1715213402936471</v>
      </c>
      <c r="S592" s="65">
        <f t="shared" si="173"/>
        <v>0.35</v>
      </c>
      <c r="T592" s="65">
        <f t="shared" si="182"/>
        <v>0.9</v>
      </c>
      <c r="U592" s="64" t="e">
        <f t="shared" si="183"/>
        <v>#N/A</v>
      </c>
      <c r="V592" s="63">
        <f t="shared" si="174"/>
        <v>6.3110895403702019</v>
      </c>
      <c r="W592" s="63" t="str">
        <f t="shared" si="175"/>
        <v/>
      </c>
      <c r="X592" s="63">
        <f t="shared" si="184"/>
        <v>0</v>
      </c>
      <c r="Y592" s="30"/>
      <c r="Z592" s="30"/>
      <c r="AA592" s="30"/>
      <c r="AB592" s="55">
        <f>PMSplint!N228</f>
        <v>7.0276930805628064</v>
      </c>
      <c r="AC592" s="55">
        <f>PMSplint!N227</f>
        <v>7.0123217115224463</v>
      </c>
      <c r="AD592" s="55">
        <f>IF(RnSplint!N228&lt;0,0,RnSplint!N228)</f>
        <v>31.322681465196194</v>
      </c>
      <c r="AE592" s="55">
        <f>IF(RnSplint!N227&lt;0,0,RnSplint!N227)</f>
        <v>31.272980744790704</v>
      </c>
      <c r="AF592" s="30"/>
      <c r="AG592" s="30"/>
      <c r="AH592" s="30"/>
      <c r="AI592" s="30"/>
      <c r="AJ592" s="30"/>
      <c r="AK592" s="30"/>
      <c r="AL592" s="30"/>
      <c r="AM592" s="30"/>
      <c r="AN592" s="55">
        <f t="shared" si="186"/>
        <v>219.29620186071926</v>
      </c>
      <c r="AO592" s="55">
        <f t="shared" si="187"/>
        <v>14.808652938762501</v>
      </c>
      <c r="AP592" s="55">
        <f t="shared" si="188"/>
        <v>0.1715213402936471</v>
      </c>
      <c r="AQ592" s="55"/>
      <c r="AR592" s="55"/>
      <c r="AS592" s="55"/>
      <c r="AT592" s="55"/>
      <c r="AU592" s="30"/>
      <c r="AV592" s="30"/>
      <c r="AW592" s="2"/>
      <c r="AX592" s="2"/>
    </row>
    <row r="593" spans="1:50" x14ac:dyDescent="0.2">
      <c r="A593" s="2"/>
      <c r="B593" s="61">
        <f t="shared" si="189"/>
        <v>42184</v>
      </c>
      <c r="C593" s="62">
        <f t="shared" si="176"/>
        <v>180</v>
      </c>
      <c r="D593" s="63">
        <f t="shared" si="177"/>
        <v>7.0276930805628064</v>
      </c>
      <c r="G593" s="357" t="str">
        <f>IF(MakeSchedule!C560="","",MakeSchedule!C560)</f>
        <v/>
      </c>
      <c r="H593" s="358"/>
      <c r="I593" s="358"/>
      <c r="J593" s="359" t="str">
        <f>IF(MakeSchedule!B560="","",MakeSchedule!B560)</f>
        <v/>
      </c>
      <c r="K593" s="63">
        <f t="shared" si="170"/>
        <v>7.0276930805628064</v>
      </c>
      <c r="L593" s="63">
        <f t="shared" si="178"/>
        <v>7.0276930805628064</v>
      </c>
      <c r="M593" s="63">
        <f t="shared" si="179"/>
        <v>31.322681465196194</v>
      </c>
      <c r="N593" s="63" t="str">
        <f t="shared" si="171"/>
        <v/>
      </c>
      <c r="O593" s="64">
        <f t="shared" si="180"/>
        <v>0.17119767269070027</v>
      </c>
      <c r="P593" s="63" t="str">
        <f t="shared" si="181"/>
        <v/>
      </c>
      <c r="Q593" s="64" t="e">
        <f t="shared" si="172"/>
        <v>#N/A</v>
      </c>
      <c r="R593" s="63">
        <f t="shared" si="185"/>
        <v>0.17119767269070027</v>
      </c>
      <c r="S593" s="65">
        <f t="shared" si="173"/>
        <v>0.35</v>
      </c>
      <c r="T593" s="65">
        <f t="shared" si="182"/>
        <v>0.9</v>
      </c>
      <c r="U593" s="64" t="e">
        <f t="shared" si="183"/>
        <v>#N/A</v>
      </c>
      <c r="V593" s="63">
        <f t="shared" si="174"/>
        <v>6.3249237725065255</v>
      </c>
      <c r="W593" s="63" t="str">
        <f t="shared" si="175"/>
        <v/>
      </c>
      <c r="X593" s="63">
        <f t="shared" si="184"/>
        <v>0</v>
      </c>
      <c r="Y593" s="30"/>
      <c r="Z593" s="30"/>
      <c r="AA593" s="30"/>
      <c r="AB593" s="55">
        <f>PMSplint!N229</f>
        <v>7.0417951821004605</v>
      </c>
      <c r="AC593" s="55">
        <f>PMSplint!N228</f>
        <v>7.0276930805628064</v>
      </c>
      <c r="AD593" s="55">
        <f>IF(RnSplint!N229&lt;0,0,RnSplint!N229)</f>
        <v>31.361249661486106</v>
      </c>
      <c r="AE593" s="55">
        <f>IF(RnSplint!N228&lt;0,0,RnSplint!N228)</f>
        <v>31.322681465196194</v>
      </c>
      <c r="AF593" s="30"/>
      <c r="AG593" s="30"/>
      <c r="AH593" s="30"/>
      <c r="AI593" s="30"/>
      <c r="AJ593" s="30"/>
      <c r="AK593" s="30"/>
      <c r="AL593" s="30"/>
      <c r="AM593" s="30"/>
      <c r="AN593" s="55">
        <f t="shared" si="186"/>
        <v>220.12619179763215</v>
      </c>
      <c r="AO593" s="55">
        <f t="shared" si="187"/>
        <v>14.83665028898478</v>
      </c>
      <c r="AP593" s="55">
        <f t="shared" si="188"/>
        <v>0.17119767269070027</v>
      </c>
      <c r="AQ593" s="55"/>
      <c r="AR593" s="55"/>
      <c r="AS593" s="55"/>
      <c r="AT593" s="55"/>
      <c r="AU593" s="30"/>
      <c r="AV593" s="30"/>
      <c r="AW593" s="2"/>
      <c r="AX593" s="2"/>
    </row>
    <row r="594" spans="1:50" x14ac:dyDescent="0.2">
      <c r="A594" s="2"/>
      <c r="B594" s="61">
        <f t="shared" si="189"/>
        <v>42185</v>
      </c>
      <c r="C594" s="62">
        <f t="shared" si="176"/>
        <v>181</v>
      </c>
      <c r="D594" s="63">
        <f t="shared" si="177"/>
        <v>7.0417951821004605</v>
      </c>
      <c r="G594" s="357" t="str">
        <f>IF(MakeSchedule!C561="","",MakeSchedule!C561)</f>
        <v/>
      </c>
      <c r="H594" s="358"/>
      <c r="I594" s="358"/>
      <c r="J594" s="359" t="str">
        <f>IF(MakeSchedule!B561="","",MakeSchedule!B561)</f>
        <v/>
      </c>
      <c r="K594" s="63">
        <f t="shared" si="170"/>
        <v>7.0417951821004605</v>
      </c>
      <c r="L594" s="63">
        <f t="shared" si="178"/>
        <v>7.0417951821004605</v>
      </c>
      <c r="M594" s="63">
        <f t="shared" si="179"/>
        <v>31.361249661486106</v>
      </c>
      <c r="N594" s="63" t="str">
        <f t="shared" si="171"/>
        <v/>
      </c>
      <c r="O594" s="64">
        <f t="shared" si="180"/>
        <v>0.17092096738983309</v>
      </c>
      <c r="P594" s="63" t="str">
        <f t="shared" si="181"/>
        <v/>
      </c>
      <c r="Q594" s="64" t="e">
        <f t="shared" si="172"/>
        <v>#N/A</v>
      </c>
      <c r="R594" s="63">
        <f t="shared" si="185"/>
        <v>0.17092096738983309</v>
      </c>
      <c r="S594" s="65">
        <f t="shared" si="173"/>
        <v>0.35</v>
      </c>
      <c r="T594" s="65">
        <f t="shared" si="182"/>
        <v>0.9</v>
      </c>
      <c r="U594" s="64" t="e">
        <f t="shared" si="183"/>
        <v>#N/A</v>
      </c>
      <c r="V594" s="63">
        <f t="shared" si="174"/>
        <v>6.3376156638904142</v>
      </c>
      <c r="W594" s="63" t="str">
        <f t="shared" si="175"/>
        <v/>
      </c>
      <c r="X594" s="63">
        <f t="shared" si="184"/>
        <v>0</v>
      </c>
      <c r="Y594" s="30"/>
      <c r="Z594" s="30"/>
      <c r="AA594" s="30"/>
      <c r="AB594" s="55">
        <f>PMSplint!N230</f>
        <v>7.0546447929295608</v>
      </c>
      <c r="AC594" s="55">
        <f>PMSplint!N229</f>
        <v>7.0417951821004605</v>
      </c>
      <c r="AD594" s="55">
        <f>IF(RnSplint!N230&lt;0,0,RnSplint!N230)</f>
        <v>31.389429355089455</v>
      </c>
      <c r="AE594" s="55">
        <f>IF(RnSplint!N229&lt;0,0,RnSplint!N229)</f>
        <v>31.361249661486106</v>
      </c>
      <c r="AF594" s="30"/>
      <c r="AG594" s="30"/>
      <c r="AH594" s="30"/>
      <c r="AI594" s="30"/>
      <c r="AJ594" s="30"/>
      <c r="AK594" s="30"/>
      <c r="AL594" s="30"/>
      <c r="AM594" s="30"/>
      <c r="AN594" s="55">
        <f t="shared" si="186"/>
        <v>220.83949677090257</v>
      </c>
      <c r="AO594" s="55">
        <f t="shared" si="187"/>
        <v>14.860669459041963</v>
      </c>
      <c r="AP594" s="55">
        <f t="shared" si="188"/>
        <v>0.17092096738983309</v>
      </c>
      <c r="AQ594" s="55"/>
      <c r="AR594" s="55"/>
      <c r="AS594" s="55"/>
      <c r="AT594" s="55"/>
      <c r="AU594" s="30"/>
      <c r="AV594" s="30"/>
      <c r="AW594" s="2"/>
      <c r="AX594" s="2"/>
    </row>
    <row r="595" spans="1:50" x14ac:dyDescent="0.2">
      <c r="A595" s="2"/>
      <c r="B595" s="61">
        <f t="shared" si="189"/>
        <v>42186</v>
      </c>
      <c r="C595" s="62">
        <f t="shared" si="176"/>
        <v>182</v>
      </c>
      <c r="D595" s="63">
        <f t="shared" si="177"/>
        <v>7.0546447929295608</v>
      </c>
      <c r="G595" s="357" t="str">
        <f>IF(MakeSchedule!C562="","",MakeSchedule!C562)</f>
        <v/>
      </c>
      <c r="H595" s="358"/>
      <c r="I595" s="358"/>
      <c r="J595" s="359" t="str">
        <f>IF(MakeSchedule!B562="","",MakeSchedule!B562)</f>
        <v/>
      </c>
      <c r="K595" s="63">
        <f t="shared" si="170"/>
        <v>7.0546447929295608</v>
      </c>
      <c r="L595" s="63">
        <f t="shared" si="178"/>
        <v>7.0546447929295608</v>
      </c>
      <c r="M595" s="63">
        <f t="shared" si="179"/>
        <v>31.389429355089455</v>
      </c>
      <c r="N595" s="63" t="str">
        <f t="shared" si="171"/>
        <v/>
      </c>
      <c r="O595" s="64">
        <f t="shared" si="180"/>
        <v>0.17068856631369614</v>
      </c>
      <c r="P595" s="63" t="str">
        <f t="shared" si="181"/>
        <v/>
      </c>
      <c r="Q595" s="64" t="e">
        <f t="shared" si="172"/>
        <v>#N/A</v>
      </c>
      <c r="R595" s="63">
        <f t="shared" si="185"/>
        <v>0.17068856631369614</v>
      </c>
      <c r="S595" s="65">
        <f t="shared" si="173"/>
        <v>0.35</v>
      </c>
      <c r="T595" s="65">
        <f t="shared" si="182"/>
        <v>0.9</v>
      </c>
      <c r="U595" s="64" t="e">
        <f t="shared" si="183"/>
        <v>#N/A</v>
      </c>
      <c r="V595" s="63">
        <f t="shared" si="174"/>
        <v>6.3491803136366052</v>
      </c>
      <c r="W595" s="63" t="str">
        <f t="shared" si="175"/>
        <v/>
      </c>
      <c r="X595" s="63">
        <f t="shared" si="184"/>
        <v>0</v>
      </c>
      <c r="Y595" s="30"/>
      <c r="Z595" s="30"/>
      <c r="AA595" s="30"/>
      <c r="AB595" s="55">
        <f>PMSplint!N231</f>
        <v>7.0662586898442612</v>
      </c>
      <c r="AC595" s="55">
        <f>PMSplint!N230</f>
        <v>7.0546447929295608</v>
      </c>
      <c r="AD595" s="55">
        <f>IF(RnSplint!N231&lt;0,0,RnSplint!N231)</f>
        <v>31.407964567435229</v>
      </c>
      <c r="AE595" s="55">
        <f>IF(RnSplint!N230&lt;0,0,RnSplint!N230)</f>
        <v>31.389429355089455</v>
      </c>
      <c r="AF595" s="30"/>
      <c r="AG595" s="30"/>
      <c r="AH595" s="30"/>
      <c r="AI595" s="30"/>
      <c r="AJ595" s="30"/>
      <c r="AK595" s="30"/>
      <c r="AL595" s="30"/>
      <c r="AM595" s="30"/>
      <c r="AN595" s="55">
        <f t="shared" si="186"/>
        <v>221.44127435291213</v>
      </c>
      <c r="AO595" s="55">
        <f t="shared" si="187"/>
        <v>14.880903008652133</v>
      </c>
      <c r="AP595" s="55">
        <f t="shared" si="188"/>
        <v>0.17068856631369614</v>
      </c>
      <c r="AQ595" s="55"/>
      <c r="AR595" s="55"/>
      <c r="AS595" s="55"/>
      <c r="AT595" s="55"/>
      <c r="AU595" s="30"/>
      <c r="AV595" s="30"/>
      <c r="AW595" s="2"/>
      <c r="AX595" s="2"/>
    </row>
    <row r="596" spans="1:50" x14ac:dyDescent="0.2">
      <c r="A596" s="2"/>
      <c r="B596" s="61">
        <f t="shared" si="189"/>
        <v>42187</v>
      </c>
      <c r="C596" s="62">
        <f t="shared" si="176"/>
        <v>183</v>
      </c>
      <c r="D596" s="63">
        <f t="shared" si="177"/>
        <v>7.0662586898442612</v>
      </c>
      <c r="G596" s="357" t="str">
        <f>IF(MakeSchedule!C563="","",MakeSchedule!C563)</f>
        <v/>
      </c>
      <c r="H596" s="358"/>
      <c r="I596" s="358"/>
      <c r="J596" s="359" t="str">
        <f>IF(MakeSchedule!B563="","",MakeSchedule!B563)</f>
        <v/>
      </c>
      <c r="K596" s="63">
        <f t="shared" si="170"/>
        <v>7.0662586898442612</v>
      </c>
      <c r="L596" s="63">
        <f t="shared" si="178"/>
        <v>7.0662586898442612</v>
      </c>
      <c r="M596" s="63">
        <f t="shared" si="179"/>
        <v>31.407964567435229</v>
      </c>
      <c r="N596" s="63" t="str">
        <f t="shared" si="171"/>
        <v/>
      </c>
      <c r="O596" s="64">
        <f t="shared" si="180"/>
        <v>0.17049790784217783</v>
      </c>
      <c r="P596" s="63" t="str">
        <f t="shared" si="181"/>
        <v/>
      </c>
      <c r="Q596" s="64" t="e">
        <f t="shared" si="172"/>
        <v>#N/A</v>
      </c>
      <c r="R596" s="63">
        <f t="shared" si="185"/>
        <v>0.17049790784217783</v>
      </c>
      <c r="S596" s="65">
        <f t="shared" si="173"/>
        <v>0.35</v>
      </c>
      <c r="T596" s="65">
        <f t="shared" si="182"/>
        <v>0.9</v>
      </c>
      <c r="U596" s="64" t="e">
        <f t="shared" si="183"/>
        <v>#N/A</v>
      </c>
      <c r="V596" s="63">
        <f t="shared" si="174"/>
        <v>6.3596328208598356</v>
      </c>
      <c r="W596" s="63" t="str">
        <f t="shared" si="175"/>
        <v/>
      </c>
      <c r="X596" s="63">
        <f t="shared" si="184"/>
        <v>0</v>
      </c>
      <c r="Y596" s="30"/>
      <c r="Z596" s="30"/>
      <c r="AA596" s="30"/>
      <c r="AB596" s="55">
        <f>PMSplint!N232</f>
        <v>7.0766536496387156</v>
      </c>
      <c r="AC596" s="55">
        <f>PMSplint!N231</f>
        <v>7.0662586898442612</v>
      </c>
      <c r="AD596" s="55">
        <f>IF(RnSplint!N232&lt;0,0,RnSplint!N232)</f>
        <v>31.417599319952423</v>
      </c>
      <c r="AE596" s="55">
        <f>IF(RnSplint!N231&lt;0,0,RnSplint!N231)</f>
        <v>31.407964567435229</v>
      </c>
      <c r="AF596" s="30"/>
      <c r="AG596" s="30"/>
      <c r="AH596" s="30"/>
      <c r="AI596" s="30"/>
      <c r="AJ596" s="30"/>
      <c r="AK596" s="30"/>
      <c r="AL596" s="30"/>
      <c r="AM596" s="30"/>
      <c r="AN596" s="55">
        <f t="shared" si="186"/>
        <v>221.93680255495985</v>
      </c>
      <c r="AO596" s="55">
        <f t="shared" si="187"/>
        <v>14.897543507402817</v>
      </c>
      <c r="AP596" s="55">
        <f t="shared" si="188"/>
        <v>0.17049790784217783</v>
      </c>
      <c r="AQ596" s="55"/>
      <c r="AR596" s="55"/>
      <c r="AS596" s="55"/>
      <c r="AT596" s="55"/>
      <c r="AU596" s="30"/>
      <c r="AV596" s="30"/>
      <c r="AW596" s="2"/>
      <c r="AX596" s="2"/>
    </row>
    <row r="597" spans="1:50" x14ac:dyDescent="0.2">
      <c r="A597" s="2"/>
      <c r="B597" s="61">
        <f t="shared" si="189"/>
        <v>42188</v>
      </c>
      <c r="C597" s="62">
        <f t="shared" si="176"/>
        <v>184</v>
      </c>
      <c r="D597" s="63">
        <f t="shared" si="177"/>
        <v>7.0766536496387156</v>
      </c>
      <c r="G597" s="357" t="str">
        <f>IF(MakeSchedule!C564="","",MakeSchedule!C564)</f>
        <v/>
      </c>
      <c r="H597" s="358"/>
      <c r="I597" s="358"/>
      <c r="J597" s="359" t="str">
        <f>IF(MakeSchedule!B564="","",MakeSchedule!B564)</f>
        <v/>
      </c>
      <c r="K597" s="63">
        <f t="shared" si="170"/>
        <v>7.0766536496387156</v>
      </c>
      <c r="L597" s="63">
        <f t="shared" si="178"/>
        <v>7.0766536496387156</v>
      </c>
      <c r="M597" s="63">
        <f t="shared" si="179"/>
        <v>31.417599319952423</v>
      </c>
      <c r="N597" s="63" t="str">
        <f t="shared" si="171"/>
        <v/>
      </c>
      <c r="O597" s="64">
        <f t="shared" si="180"/>
        <v>0.17034651300517686</v>
      </c>
      <c r="P597" s="63" t="str">
        <f t="shared" si="181"/>
        <v/>
      </c>
      <c r="Q597" s="64" t="e">
        <f t="shared" si="172"/>
        <v>#N/A</v>
      </c>
      <c r="R597" s="63">
        <f t="shared" si="185"/>
        <v>0.17034651300517686</v>
      </c>
      <c r="S597" s="65">
        <f t="shared" si="173"/>
        <v>0.35</v>
      </c>
      <c r="T597" s="65">
        <f t="shared" si="182"/>
        <v>0.9</v>
      </c>
      <c r="U597" s="64" t="e">
        <f t="shared" si="183"/>
        <v>#N/A</v>
      </c>
      <c r="V597" s="63">
        <f t="shared" si="174"/>
        <v>6.3689882846748445</v>
      </c>
      <c r="W597" s="63" t="str">
        <f t="shared" si="175"/>
        <v/>
      </c>
      <c r="X597" s="63">
        <f t="shared" si="184"/>
        <v>0</v>
      </c>
      <c r="Y597" s="30"/>
      <c r="Z597" s="30"/>
      <c r="AA597" s="30"/>
      <c r="AB597" s="55">
        <f>PMSplint!N233</f>
        <v>7.0858464491070778</v>
      </c>
      <c r="AC597" s="55">
        <f>PMSplint!N232</f>
        <v>7.0766536496387156</v>
      </c>
      <c r="AD597" s="55">
        <f>IF(RnSplint!N233&lt;0,0,RnSplint!N233)</f>
        <v>31.419077634070042</v>
      </c>
      <c r="AE597" s="55">
        <f>IF(RnSplint!N232&lt;0,0,RnSplint!N232)</f>
        <v>31.417599319952423</v>
      </c>
      <c r="AF597" s="30"/>
      <c r="AG597" s="30"/>
      <c r="AH597" s="30"/>
      <c r="AI597" s="30"/>
      <c r="AJ597" s="30"/>
      <c r="AK597" s="30"/>
      <c r="AL597" s="30"/>
      <c r="AM597" s="30"/>
      <c r="AN597" s="55">
        <f t="shared" si="186"/>
        <v>222.33146889042814</v>
      </c>
      <c r="AO597" s="55">
        <f t="shared" si="187"/>
        <v>14.910783644410785</v>
      </c>
      <c r="AP597" s="55">
        <f t="shared" si="188"/>
        <v>0.17034651300517686</v>
      </c>
      <c r="AQ597" s="55"/>
      <c r="AR597" s="55"/>
      <c r="AS597" s="55"/>
      <c r="AT597" s="55"/>
      <c r="AU597" s="30"/>
      <c r="AV597" s="30"/>
      <c r="AW597" s="2"/>
      <c r="AX597" s="2"/>
    </row>
    <row r="598" spans="1:50" x14ac:dyDescent="0.2">
      <c r="A598" s="2"/>
      <c r="B598" s="61">
        <f t="shared" si="189"/>
        <v>42189</v>
      </c>
      <c r="C598" s="62">
        <f t="shared" si="176"/>
        <v>185</v>
      </c>
      <c r="D598" s="63">
        <f t="shared" si="177"/>
        <v>7.0858464491070778</v>
      </c>
      <c r="G598" s="357" t="str">
        <f>IF(MakeSchedule!C565="","",MakeSchedule!C565)</f>
        <v/>
      </c>
      <c r="H598" s="358"/>
      <c r="I598" s="358"/>
      <c r="J598" s="359" t="str">
        <f>IF(MakeSchedule!B565="","",MakeSchedule!B565)</f>
        <v/>
      </c>
      <c r="K598" s="63">
        <f t="shared" si="170"/>
        <v>7.0858464491070778</v>
      </c>
      <c r="L598" s="63">
        <f t="shared" si="178"/>
        <v>7.0858464491070778</v>
      </c>
      <c r="M598" s="63">
        <f t="shared" si="179"/>
        <v>31.419077634070042</v>
      </c>
      <c r="N598" s="63" t="str">
        <f t="shared" si="171"/>
        <v/>
      </c>
      <c r="O598" s="64">
        <f t="shared" si="180"/>
        <v>0.1702319729256663</v>
      </c>
      <c r="P598" s="63" t="str">
        <f t="shared" si="181"/>
        <v/>
      </c>
      <c r="Q598" s="64" t="e">
        <f t="shared" si="172"/>
        <v>#N/A</v>
      </c>
      <c r="R598" s="63">
        <f t="shared" si="185"/>
        <v>0.1702319729256663</v>
      </c>
      <c r="S598" s="65">
        <f t="shared" si="173"/>
        <v>0.35</v>
      </c>
      <c r="T598" s="65">
        <f t="shared" si="182"/>
        <v>0.9</v>
      </c>
      <c r="U598" s="64" t="e">
        <f t="shared" si="183"/>
        <v>#N/A</v>
      </c>
      <c r="V598" s="63">
        <f t="shared" si="174"/>
        <v>6.3772618041963698</v>
      </c>
      <c r="W598" s="63" t="str">
        <f t="shared" si="175"/>
        <v/>
      </c>
      <c r="X598" s="63">
        <f t="shared" si="184"/>
        <v>0</v>
      </c>
      <c r="Y598" s="30"/>
      <c r="Z598" s="30"/>
      <c r="AA598" s="30"/>
      <c r="AB598" s="55">
        <f>PMSplint!N234</f>
        <v>7.0938538650435019</v>
      </c>
      <c r="AC598" s="55">
        <f>PMSplint!N233</f>
        <v>7.0858464491070778</v>
      </c>
      <c r="AD598" s="55">
        <f>IF(RnSplint!N234&lt;0,0,RnSplint!N234)</f>
        <v>31.413143531217084</v>
      </c>
      <c r="AE598" s="55">
        <f>IF(RnSplint!N233&lt;0,0,RnSplint!N233)</f>
        <v>31.419077634070042</v>
      </c>
      <c r="AF598" s="30"/>
      <c r="AG598" s="30"/>
      <c r="AH598" s="30"/>
      <c r="AI598" s="30"/>
      <c r="AJ598" s="30"/>
      <c r="AK598" s="30"/>
      <c r="AL598" s="30"/>
      <c r="AM598" s="30"/>
      <c r="AN598" s="55">
        <f t="shared" si="186"/>
        <v>222.63075968759483</v>
      </c>
      <c r="AO598" s="55">
        <f t="shared" si="187"/>
        <v>14.920816321086283</v>
      </c>
      <c r="AP598" s="55">
        <f t="shared" si="188"/>
        <v>0.1702319729256663</v>
      </c>
      <c r="AQ598" s="55"/>
      <c r="AR598" s="55"/>
      <c r="AS598" s="55"/>
      <c r="AT598" s="55"/>
      <c r="AU598" s="30"/>
      <c r="AV598" s="30"/>
      <c r="AW598" s="2"/>
      <c r="AX598" s="2"/>
    </row>
    <row r="599" spans="1:50" x14ac:dyDescent="0.2">
      <c r="A599" s="2"/>
      <c r="B599" s="61">
        <f t="shared" si="189"/>
        <v>42190</v>
      </c>
      <c r="C599" s="62">
        <f t="shared" si="176"/>
        <v>186</v>
      </c>
      <c r="D599" s="63">
        <f t="shared" si="177"/>
        <v>7.0938538650435019</v>
      </c>
      <c r="G599" s="357" t="str">
        <f>IF(MakeSchedule!C566="","",MakeSchedule!C566)</f>
        <v/>
      </c>
      <c r="H599" s="358"/>
      <c r="I599" s="358"/>
      <c r="J599" s="359" t="str">
        <f>IF(MakeSchedule!B566="","",MakeSchedule!B566)</f>
        <v/>
      </c>
      <c r="K599" s="63">
        <f t="shared" si="170"/>
        <v>7.0938538650435019</v>
      </c>
      <c r="L599" s="63">
        <f t="shared" si="178"/>
        <v>7.0938538650435019</v>
      </c>
      <c r="M599" s="63">
        <f t="shared" si="179"/>
        <v>31.413143531217084</v>
      </c>
      <c r="N599" s="63" t="str">
        <f t="shared" si="171"/>
        <v/>
      </c>
      <c r="O599" s="64">
        <f t="shared" si="180"/>
        <v>0.17015193739503084</v>
      </c>
      <c r="P599" s="63" t="str">
        <f t="shared" si="181"/>
        <v/>
      </c>
      <c r="Q599" s="64" t="e">
        <f t="shared" si="172"/>
        <v>#N/A</v>
      </c>
      <c r="R599" s="63">
        <f t="shared" si="185"/>
        <v>0.17015193739503084</v>
      </c>
      <c r="S599" s="65">
        <f t="shared" si="173"/>
        <v>0.35</v>
      </c>
      <c r="T599" s="65">
        <f t="shared" si="182"/>
        <v>0.9</v>
      </c>
      <c r="U599" s="64" t="e">
        <f t="shared" si="183"/>
        <v>#N/A</v>
      </c>
      <c r="V599" s="63">
        <f t="shared" si="174"/>
        <v>6.3844684785391514</v>
      </c>
      <c r="W599" s="63" t="str">
        <f t="shared" si="175"/>
        <v/>
      </c>
      <c r="X599" s="63">
        <f t="shared" si="184"/>
        <v>0</v>
      </c>
      <c r="Y599" s="30"/>
      <c r="Z599" s="30"/>
      <c r="AA599" s="30"/>
      <c r="AB599" s="55">
        <f>PMSplint!N235</f>
        <v>7.1006926742421435</v>
      </c>
      <c r="AC599" s="55">
        <f>PMSplint!N234</f>
        <v>7.0938538650435019</v>
      </c>
      <c r="AD599" s="55">
        <f>IF(RnSplint!N235&lt;0,0,RnSplint!N235)</f>
        <v>31.400541032822542</v>
      </c>
      <c r="AE599" s="55">
        <f>IF(RnSplint!N234&lt;0,0,RnSplint!N234)</f>
        <v>31.413143531217084</v>
      </c>
      <c r="AF599" s="30"/>
      <c r="AG599" s="30"/>
      <c r="AH599" s="30"/>
      <c r="AI599" s="30"/>
      <c r="AJ599" s="30"/>
      <c r="AK599" s="30"/>
      <c r="AL599" s="30"/>
      <c r="AM599" s="30"/>
      <c r="AN599" s="55">
        <f t="shared" si="186"/>
        <v>222.84024965209059</v>
      </c>
      <c r="AO599" s="55">
        <f t="shared" si="187"/>
        <v>14.92783472751794</v>
      </c>
      <c r="AP599" s="55">
        <f t="shared" si="188"/>
        <v>0.17015193739503084</v>
      </c>
      <c r="AQ599" s="55"/>
      <c r="AR599" s="55"/>
      <c r="AS599" s="55"/>
      <c r="AT599" s="55"/>
      <c r="AU599" s="30"/>
      <c r="AV599" s="30"/>
      <c r="AW599" s="2"/>
      <c r="AX599" s="2"/>
    </row>
    <row r="600" spans="1:50" x14ac:dyDescent="0.2">
      <c r="A600" s="2"/>
      <c r="B600" s="61">
        <f t="shared" si="189"/>
        <v>42191</v>
      </c>
      <c r="C600" s="62">
        <f t="shared" si="176"/>
        <v>187</v>
      </c>
      <c r="D600" s="63">
        <f t="shared" si="177"/>
        <v>7.1006926742421435</v>
      </c>
      <c r="G600" s="357" t="str">
        <f>IF(MakeSchedule!C567="","",MakeSchedule!C567)</f>
        <v/>
      </c>
      <c r="H600" s="358"/>
      <c r="I600" s="358"/>
      <c r="J600" s="359" t="str">
        <f>IF(MakeSchedule!B567="","",MakeSchedule!B567)</f>
        <v/>
      </c>
      <c r="K600" s="63">
        <f t="shared" si="170"/>
        <v>7.1006926742421435</v>
      </c>
      <c r="L600" s="63">
        <f t="shared" si="178"/>
        <v>7.1006926742421435</v>
      </c>
      <c r="M600" s="63">
        <f t="shared" si="179"/>
        <v>31.400541032822542</v>
      </c>
      <c r="N600" s="63" t="str">
        <f t="shared" si="171"/>
        <v/>
      </c>
      <c r="O600" s="64">
        <f t="shared" si="180"/>
        <v>0.17010410448342783</v>
      </c>
      <c r="P600" s="63" t="str">
        <f t="shared" si="181"/>
        <v/>
      </c>
      <c r="Q600" s="64" t="e">
        <f t="shared" si="172"/>
        <v>#N/A</v>
      </c>
      <c r="R600" s="63">
        <f t="shared" si="185"/>
        <v>0.17010410448342783</v>
      </c>
      <c r="S600" s="65">
        <f t="shared" si="173"/>
        <v>0.35</v>
      </c>
      <c r="T600" s="65">
        <f t="shared" si="182"/>
        <v>0.9</v>
      </c>
      <c r="U600" s="64" t="e">
        <f t="shared" si="183"/>
        <v>#N/A</v>
      </c>
      <c r="V600" s="63">
        <f t="shared" si="174"/>
        <v>6.3906234068179293</v>
      </c>
      <c r="W600" s="63" t="str">
        <f t="shared" si="175"/>
        <v/>
      </c>
      <c r="X600" s="63">
        <f t="shared" si="184"/>
        <v>0</v>
      </c>
      <c r="Y600" s="30"/>
      <c r="Z600" s="30"/>
      <c r="AA600" s="30"/>
      <c r="AB600" s="55">
        <f>PMSplint!N236</f>
        <v>7.1063796534971519</v>
      </c>
      <c r="AC600" s="55">
        <f>PMSplint!N235</f>
        <v>7.1006926742421435</v>
      </c>
      <c r="AD600" s="55">
        <f>IF(RnSplint!N236&lt;0,0,RnSplint!N236)</f>
        <v>31.382014160315421</v>
      </c>
      <c r="AE600" s="55">
        <f>IF(RnSplint!N235&lt;0,0,RnSplint!N235)</f>
        <v>31.400541032822542</v>
      </c>
      <c r="AF600" s="30"/>
      <c r="AG600" s="30"/>
      <c r="AH600" s="30"/>
      <c r="AI600" s="30"/>
      <c r="AJ600" s="30"/>
      <c r="AK600" s="30"/>
      <c r="AL600" s="30"/>
      <c r="AM600" s="30"/>
      <c r="AN600" s="55">
        <f t="shared" si="186"/>
        <v>222.96559167900284</v>
      </c>
      <c r="AO600" s="55">
        <f t="shared" si="187"/>
        <v>14.932032402824568</v>
      </c>
      <c r="AP600" s="55">
        <f t="shared" si="188"/>
        <v>0.17010410448342783</v>
      </c>
      <c r="AQ600" s="55"/>
      <c r="AR600" s="55"/>
      <c r="AS600" s="55"/>
      <c r="AT600" s="55"/>
      <c r="AU600" s="30"/>
      <c r="AV600" s="30"/>
      <c r="AW600" s="2"/>
      <c r="AX600" s="2"/>
    </row>
    <row r="601" spans="1:50" x14ac:dyDescent="0.2">
      <c r="A601" s="2"/>
      <c r="B601" s="61">
        <f t="shared" ref="B601:B623" si="190">B600+1</f>
        <v>42192</v>
      </c>
      <c r="C601" s="62">
        <f t="shared" si="176"/>
        <v>188</v>
      </c>
      <c r="D601" s="63">
        <f t="shared" si="177"/>
        <v>7.1063796534971519</v>
      </c>
      <c r="G601" s="357" t="str">
        <f>IF(MakeSchedule!C568="","",MakeSchedule!C568)</f>
        <v/>
      </c>
      <c r="H601" s="358"/>
      <c r="I601" s="358"/>
      <c r="J601" s="359" t="str">
        <f>IF(MakeSchedule!B568="","",MakeSchedule!B568)</f>
        <v/>
      </c>
      <c r="K601" s="63">
        <f t="shared" si="170"/>
        <v>7.1063796534971519</v>
      </c>
      <c r="L601" s="63">
        <f t="shared" si="178"/>
        <v>7.1063796534971519</v>
      </c>
      <c r="M601" s="63">
        <f t="shared" si="179"/>
        <v>31.382014160315421</v>
      </c>
      <c r="N601" s="63" t="str">
        <f t="shared" si="171"/>
        <v/>
      </c>
      <c r="O601" s="64">
        <f t="shared" si="180"/>
        <v>0.17008621110603242</v>
      </c>
      <c r="P601" s="63" t="str">
        <f t="shared" si="181"/>
        <v/>
      </c>
      <c r="Q601" s="64" t="e">
        <f t="shared" si="172"/>
        <v>#N/A</v>
      </c>
      <c r="R601" s="63">
        <f t="shared" si="185"/>
        <v>0.17008621110603242</v>
      </c>
      <c r="S601" s="65">
        <f t="shared" si="173"/>
        <v>0.35</v>
      </c>
      <c r="T601" s="65">
        <f t="shared" si="182"/>
        <v>0.9</v>
      </c>
      <c r="U601" s="64" t="e">
        <f t="shared" si="183"/>
        <v>#N/A</v>
      </c>
      <c r="V601" s="63">
        <f t="shared" si="174"/>
        <v>6.3957416881474369</v>
      </c>
      <c r="W601" s="63" t="str">
        <f t="shared" si="175"/>
        <v/>
      </c>
      <c r="X601" s="63">
        <f t="shared" si="184"/>
        <v>0</v>
      </c>
      <c r="Y601" s="30"/>
      <c r="Z601" s="30"/>
      <c r="AA601" s="30"/>
      <c r="AB601" s="55">
        <f>PMSplint!N237</f>
        <v>7.1109315796026875</v>
      </c>
      <c r="AC601" s="55">
        <f>PMSplint!N236</f>
        <v>7.1063796534971519</v>
      </c>
      <c r="AD601" s="55">
        <f>IF(RnSplint!N237&lt;0,0,RnSplint!N237)</f>
        <v>31.358306935124713</v>
      </c>
      <c r="AE601" s="55">
        <f>IF(RnSplint!N236&lt;0,0,RnSplint!N236)</f>
        <v>31.382014160315421</v>
      </c>
      <c r="AF601" s="30"/>
      <c r="AG601" s="30"/>
      <c r="AH601" s="30"/>
      <c r="AI601" s="30"/>
      <c r="AJ601" s="30"/>
      <c r="AK601" s="30"/>
      <c r="AL601" s="30"/>
      <c r="AM601" s="30"/>
      <c r="AN601" s="55">
        <f t="shared" si="186"/>
        <v>223.01250691462502</v>
      </c>
      <c r="AO601" s="55">
        <f t="shared" si="187"/>
        <v>14.933603279671823</v>
      </c>
      <c r="AP601" s="55">
        <f t="shared" si="188"/>
        <v>0.17008621110603242</v>
      </c>
      <c r="AQ601" s="55"/>
      <c r="AR601" s="55"/>
      <c r="AS601" s="55"/>
      <c r="AT601" s="55"/>
      <c r="AU601" s="30"/>
      <c r="AV601" s="30"/>
      <c r="AW601" s="2"/>
      <c r="AX601" s="2"/>
    </row>
    <row r="602" spans="1:50" x14ac:dyDescent="0.2">
      <c r="A602" s="2"/>
      <c r="B602" s="61">
        <f t="shared" si="190"/>
        <v>42193</v>
      </c>
      <c r="C602" s="62">
        <f t="shared" si="176"/>
        <v>189</v>
      </c>
      <c r="D602" s="63">
        <f t="shared" si="177"/>
        <v>7.1109315796026875</v>
      </c>
      <c r="G602" s="357" t="str">
        <f>IF(MakeSchedule!C569="","",MakeSchedule!C569)</f>
        <v/>
      </c>
      <c r="H602" s="358"/>
      <c r="I602" s="358"/>
      <c r="J602" s="359" t="str">
        <f>IF(MakeSchedule!B569="","",MakeSchedule!B569)</f>
        <v/>
      </c>
      <c r="K602" s="63">
        <f t="shared" si="170"/>
        <v>7.1109315796026875</v>
      </c>
      <c r="L602" s="63">
        <f t="shared" si="178"/>
        <v>7.1109315796026875</v>
      </c>
      <c r="M602" s="63">
        <f t="shared" si="179"/>
        <v>31.358306935124713</v>
      </c>
      <c r="N602" s="63" t="str">
        <f t="shared" si="171"/>
        <v/>
      </c>
      <c r="O602" s="64">
        <f t="shared" si="180"/>
        <v>0.17009602448188513</v>
      </c>
      <c r="P602" s="63" t="str">
        <f t="shared" si="181"/>
        <v/>
      </c>
      <c r="Q602" s="64" t="e">
        <f t="shared" si="172"/>
        <v>#N/A</v>
      </c>
      <c r="R602" s="63">
        <f t="shared" si="185"/>
        <v>0.17009602448188513</v>
      </c>
      <c r="S602" s="65">
        <f t="shared" si="173"/>
        <v>0.35</v>
      </c>
      <c r="T602" s="65">
        <f t="shared" si="182"/>
        <v>0.9</v>
      </c>
      <c r="U602" s="64" t="e">
        <f t="shared" si="183"/>
        <v>#N/A</v>
      </c>
      <c r="V602" s="63">
        <f t="shared" si="174"/>
        <v>6.3998384216424187</v>
      </c>
      <c r="W602" s="63" t="str">
        <f t="shared" si="175"/>
        <v/>
      </c>
      <c r="X602" s="63">
        <f t="shared" si="184"/>
        <v>0</v>
      </c>
      <c r="Y602" s="30"/>
      <c r="Z602" s="30"/>
      <c r="AA602" s="30"/>
      <c r="AB602" s="55">
        <f>PMSplint!N238</f>
        <v>7.1143652293528987</v>
      </c>
      <c r="AC602" s="55">
        <f>PMSplint!N237</f>
        <v>7.1109315796026875</v>
      </c>
      <c r="AD602" s="55">
        <f>IF(RnSplint!N238&lt;0,0,RnSplint!N238)</f>
        <v>31.330163378679416</v>
      </c>
      <c r="AE602" s="55">
        <f>IF(RnSplint!N237&lt;0,0,RnSplint!N237)</f>
        <v>31.358306935124713</v>
      </c>
      <c r="AF602" s="30"/>
      <c r="AG602" s="30"/>
      <c r="AH602" s="30"/>
      <c r="AI602" s="30"/>
      <c r="AJ602" s="30"/>
      <c r="AK602" s="30"/>
      <c r="AL602" s="30"/>
      <c r="AM602" s="30"/>
      <c r="AN602" s="55">
        <f t="shared" si="186"/>
        <v>222.98677506785228</v>
      </c>
      <c r="AO602" s="55">
        <f t="shared" si="187"/>
        <v>14.932741713022839</v>
      </c>
      <c r="AP602" s="55">
        <f t="shared" si="188"/>
        <v>0.17009602448188513</v>
      </c>
      <c r="AQ602" s="55"/>
      <c r="AR602" s="55"/>
      <c r="AS602" s="55"/>
      <c r="AT602" s="55"/>
      <c r="AU602" s="30"/>
      <c r="AV602" s="30"/>
      <c r="AW602" s="2"/>
      <c r="AX602" s="2"/>
    </row>
    <row r="603" spans="1:50" x14ac:dyDescent="0.2">
      <c r="A603" s="2"/>
      <c r="B603" s="61">
        <f t="shared" si="190"/>
        <v>42194</v>
      </c>
      <c r="C603" s="62">
        <f t="shared" si="176"/>
        <v>190</v>
      </c>
      <c r="D603" s="63">
        <f t="shared" si="177"/>
        <v>7.1143652293528987</v>
      </c>
      <c r="G603" s="357" t="str">
        <f>IF(MakeSchedule!C570="","",MakeSchedule!C570)</f>
        <v/>
      </c>
      <c r="H603" s="358"/>
      <c r="I603" s="358"/>
      <c r="J603" s="359" t="str">
        <f>IF(MakeSchedule!B570="","",MakeSchedule!B570)</f>
        <v/>
      </c>
      <c r="K603" s="63">
        <f t="shared" si="170"/>
        <v>7.1143652293528987</v>
      </c>
      <c r="L603" s="63">
        <f t="shared" si="178"/>
        <v>7.1143652293528987</v>
      </c>
      <c r="M603" s="63">
        <f t="shared" si="179"/>
        <v>31.330163378679416</v>
      </c>
      <c r="N603" s="63" t="str">
        <f t="shared" si="171"/>
        <v/>
      </c>
      <c r="O603" s="64">
        <f t="shared" si="180"/>
        <v>0.17013133443597644</v>
      </c>
      <c r="P603" s="63" t="str">
        <f t="shared" si="181"/>
        <v/>
      </c>
      <c r="Q603" s="64" t="e">
        <f t="shared" si="172"/>
        <v>#N/A</v>
      </c>
      <c r="R603" s="63">
        <f t="shared" si="185"/>
        <v>0.17013133443597644</v>
      </c>
      <c r="S603" s="65">
        <f t="shared" si="173"/>
        <v>0.35</v>
      </c>
      <c r="T603" s="65">
        <f t="shared" si="182"/>
        <v>0.9</v>
      </c>
      <c r="U603" s="64" t="e">
        <f t="shared" si="183"/>
        <v>#N/A</v>
      </c>
      <c r="V603" s="63">
        <f t="shared" si="174"/>
        <v>6.402928706417609</v>
      </c>
      <c r="W603" s="63" t="str">
        <f t="shared" si="175"/>
        <v/>
      </c>
      <c r="X603" s="63">
        <f t="shared" si="184"/>
        <v>0</v>
      </c>
      <c r="Y603" s="30"/>
      <c r="Z603" s="30"/>
      <c r="AA603" s="30"/>
      <c r="AB603" s="55">
        <f>PMSplint!N239</f>
        <v>7.1166973795419421</v>
      </c>
      <c r="AC603" s="55">
        <f>PMSplint!N238</f>
        <v>7.1143652293528987</v>
      </c>
      <c r="AD603" s="55">
        <f>IF(RnSplint!N239&lt;0,0,RnSplint!N239)</f>
        <v>31.29832751240853</v>
      </c>
      <c r="AE603" s="55">
        <f>IF(RnSplint!N238&lt;0,0,RnSplint!N238)</f>
        <v>31.330163378679416</v>
      </c>
      <c r="AF603" s="30"/>
      <c r="AG603" s="30"/>
      <c r="AH603" s="30"/>
      <c r="AI603" s="30"/>
      <c r="AJ603" s="30"/>
      <c r="AK603" s="30"/>
      <c r="AL603" s="30"/>
      <c r="AM603" s="30"/>
      <c r="AN603" s="55">
        <f t="shared" si="186"/>
        <v>222.89422497122237</v>
      </c>
      <c r="AO603" s="55">
        <f t="shared" si="187"/>
        <v>14.929642493081419</v>
      </c>
      <c r="AP603" s="55">
        <f t="shared" si="188"/>
        <v>0.17013133443597644</v>
      </c>
      <c r="AQ603" s="55"/>
      <c r="AR603" s="55"/>
      <c r="AS603" s="55"/>
      <c r="AT603" s="55"/>
      <c r="AU603" s="30"/>
      <c r="AV603" s="30"/>
      <c r="AW603" s="2"/>
      <c r="AX603" s="2"/>
    </row>
    <row r="604" spans="1:50" x14ac:dyDescent="0.2">
      <c r="A604" s="2"/>
      <c r="B604" s="61">
        <f t="shared" si="190"/>
        <v>42195</v>
      </c>
      <c r="C604" s="62">
        <f t="shared" si="176"/>
        <v>191</v>
      </c>
      <c r="D604" s="63">
        <f t="shared" si="177"/>
        <v>7.1166973795419421</v>
      </c>
      <c r="G604" s="357" t="str">
        <f>IF(MakeSchedule!C571="","",MakeSchedule!C571)</f>
        <v/>
      </c>
      <c r="H604" s="358"/>
      <c r="I604" s="358"/>
      <c r="J604" s="359" t="str">
        <f>IF(MakeSchedule!B571="","",MakeSchedule!B571)</f>
        <v/>
      </c>
      <c r="K604" s="63">
        <f t="shared" si="170"/>
        <v>7.1166973795419421</v>
      </c>
      <c r="L604" s="63">
        <f t="shared" si="178"/>
        <v>7.1166973795419421</v>
      </c>
      <c r="M604" s="63">
        <f t="shared" si="179"/>
        <v>31.29832751240853</v>
      </c>
      <c r="N604" s="63" t="str">
        <f t="shared" si="171"/>
        <v/>
      </c>
      <c r="O604" s="64">
        <f t="shared" si="180"/>
        <v>0.17018994650743452</v>
      </c>
      <c r="P604" s="63" t="str">
        <f t="shared" si="181"/>
        <v/>
      </c>
      <c r="Q604" s="64" t="e">
        <f t="shared" si="172"/>
        <v>#N/A</v>
      </c>
      <c r="R604" s="63">
        <f t="shared" si="185"/>
        <v>0.17018994650743452</v>
      </c>
      <c r="S604" s="65">
        <f t="shared" si="173"/>
        <v>0.35</v>
      </c>
      <c r="T604" s="65">
        <f t="shared" si="182"/>
        <v>0.9</v>
      </c>
      <c r="U604" s="64" t="e">
        <f t="shared" si="183"/>
        <v>#N/A</v>
      </c>
      <c r="V604" s="63">
        <f t="shared" si="174"/>
        <v>6.4050276415877478</v>
      </c>
      <c r="W604" s="63" t="str">
        <f t="shared" si="175"/>
        <v/>
      </c>
      <c r="X604" s="63">
        <f t="shared" si="184"/>
        <v>0</v>
      </c>
      <c r="Y604" s="30"/>
      <c r="Z604" s="30"/>
      <c r="AA604" s="30"/>
      <c r="AB604" s="55">
        <f>PMSplint!N240</f>
        <v>7.1179448069639726</v>
      </c>
      <c r="AC604" s="55">
        <f>PMSplint!N239</f>
        <v>7.1166973795419421</v>
      </c>
      <c r="AD604" s="55">
        <f>IF(RnSplint!N240&lt;0,0,RnSplint!N240)</f>
        <v>31.26354335774106</v>
      </c>
      <c r="AE604" s="55">
        <f>IF(RnSplint!N239&lt;0,0,RnSplint!N239)</f>
        <v>31.29832751240853</v>
      </c>
      <c r="AF604" s="30"/>
      <c r="AG604" s="30"/>
      <c r="AH604" s="30"/>
      <c r="AI604" s="30"/>
      <c r="AJ604" s="30"/>
      <c r="AK604" s="30"/>
      <c r="AL604" s="30"/>
      <c r="AM604" s="30"/>
      <c r="AN604" s="55">
        <f t="shared" si="186"/>
        <v>222.74072539160326</v>
      </c>
      <c r="AO604" s="55">
        <f t="shared" si="187"/>
        <v>14.924500842292959</v>
      </c>
      <c r="AP604" s="55">
        <f t="shared" si="188"/>
        <v>0.17018994650743452</v>
      </c>
      <c r="AQ604" s="55"/>
      <c r="AR604" s="55"/>
      <c r="AS604" s="55"/>
      <c r="AT604" s="55"/>
      <c r="AU604" s="30"/>
      <c r="AV604" s="30"/>
      <c r="AW604" s="2"/>
      <c r="AX604" s="2"/>
    </row>
    <row r="605" spans="1:50" x14ac:dyDescent="0.2">
      <c r="A605" s="2"/>
      <c r="B605" s="61">
        <f t="shared" si="190"/>
        <v>42196</v>
      </c>
      <c r="C605" s="62">
        <f t="shared" si="176"/>
        <v>192</v>
      </c>
      <c r="D605" s="63">
        <f t="shared" si="177"/>
        <v>7.1179448069639726</v>
      </c>
      <c r="G605" s="357" t="str">
        <f>IF(MakeSchedule!C572="","",MakeSchedule!C572)</f>
        <v/>
      </c>
      <c r="H605" s="358"/>
      <c r="I605" s="358"/>
      <c r="J605" s="359" t="str">
        <f>IF(MakeSchedule!B572="","",MakeSchedule!B572)</f>
        <v/>
      </c>
      <c r="K605" s="63">
        <f t="shared" si="170"/>
        <v>7.1179448069639726</v>
      </c>
      <c r="L605" s="63">
        <f t="shared" si="178"/>
        <v>7.1179448069639726</v>
      </c>
      <c r="M605" s="63">
        <f t="shared" si="179"/>
        <v>31.26354335774106</v>
      </c>
      <c r="N605" s="63" t="str">
        <f t="shared" si="171"/>
        <v/>
      </c>
      <c r="O605" s="64">
        <f t="shared" si="180"/>
        <v>0.1702696758374056</v>
      </c>
      <c r="P605" s="63" t="str">
        <f t="shared" si="181"/>
        <v/>
      </c>
      <c r="Q605" s="64" t="e">
        <f t="shared" si="172"/>
        <v>#N/A</v>
      </c>
      <c r="R605" s="63">
        <f t="shared" si="185"/>
        <v>0.1702696758374056</v>
      </c>
      <c r="S605" s="65">
        <f t="shared" si="173"/>
        <v>0.35</v>
      </c>
      <c r="T605" s="65">
        <f t="shared" si="182"/>
        <v>0.9</v>
      </c>
      <c r="U605" s="64" t="e">
        <f t="shared" si="183"/>
        <v>#N/A</v>
      </c>
      <c r="V605" s="63">
        <f t="shared" si="174"/>
        <v>6.4061503262675759</v>
      </c>
      <c r="W605" s="63" t="str">
        <f t="shared" si="175"/>
        <v/>
      </c>
      <c r="X605" s="63">
        <f t="shared" si="184"/>
        <v>0</v>
      </c>
      <c r="Y605" s="30"/>
      <c r="Z605" s="30"/>
      <c r="AA605" s="30"/>
      <c r="AB605" s="55">
        <f>PMSplint!N241</f>
        <v>7.1181242884131413</v>
      </c>
      <c r="AC605" s="55">
        <f>PMSplint!N240</f>
        <v>7.1179448069639726</v>
      </c>
      <c r="AD605" s="55">
        <f>IF(RnSplint!N241&lt;0,0,RnSplint!N241)</f>
        <v>31.226554936105988</v>
      </c>
      <c r="AE605" s="55">
        <f>IF(RnSplint!N240&lt;0,0,RnSplint!N240)</f>
        <v>31.26354335774106</v>
      </c>
      <c r="AF605" s="30"/>
      <c r="AG605" s="30"/>
      <c r="AH605" s="30"/>
      <c r="AI605" s="30"/>
      <c r="AJ605" s="30"/>
      <c r="AK605" s="30"/>
      <c r="AL605" s="30"/>
      <c r="AM605" s="30"/>
      <c r="AN605" s="55">
        <f t="shared" si="186"/>
        <v>222.53217609052598</v>
      </c>
      <c r="AO605" s="55">
        <f t="shared" si="187"/>
        <v>14.917512396191464</v>
      </c>
      <c r="AP605" s="55">
        <f t="shared" si="188"/>
        <v>0.1702696758374056</v>
      </c>
      <c r="AQ605" s="55"/>
      <c r="AR605" s="55"/>
      <c r="AS605" s="55"/>
      <c r="AT605" s="55"/>
      <c r="AU605" s="30"/>
      <c r="AV605" s="30"/>
      <c r="AW605" s="2"/>
      <c r="AX605" s="2"/>
    </row>
    <row r="606" spans="1:50" x14ac:dyDescent="0.2">
      <c r="A606" s="2"/>
      <c r="B606" s="61">
        <f t="shared" si="190"/>
        <v>42197</v>
      </c>
      <c r="C606" s="62">
        <f t="shared" si="176"/>
        <v>193</v>
      </c>
      <c r="D606" s="63">
        <f t="shared" si="177"/>
        <v>7.1181242884131413</v>
      </c>
      <c r="G606" s="357" t="str">
        <f>IF(MakeSchedule!C573="","",MakeSchedule!C573)</f>
        <v/>
      </c>
      <c r="H606" s="358"/>
      <c r="I606" s="358"/>
      <c r="J606" s="359" t="str">
        <f>IF(MakeSchedule!B573="","",MakeSchedule!B573)</f>
        <v/>
      </c>
      <c r="K606" s="63">
        <f t="shared" si="170"/>
        <v>7.1181242884131413</v>
      </c>
      <c r="L606" s="63">
        <f t="shared" si="178"/>
        <v>7.1181242884131413</v>
      </c>
      <c r="M606" s="63">
        <f t="shared" si="179"/>
        <v>31.226554936105988</v>
      </c>
      <c r="N606" s="63" t="str">
        <f t="shared" si="171"/>
        <v/>
      </c>
      <c r="O606" s="64">
        <f t="shared" si="180"/>
        <v>0.1703683418195775</v>
      </c>
      <c r="P606" s="63" t="str">
        <f t="shared" si="181"/>
        <v/>
      </c>
      <c r="Q606" s="64" t="e">
        <f t="shared" si="172"/>
        <v>#N/A</v>
      </c>
      <c r="R606" s="63">
        <f t="shared" si="185"/>
        <v>0.1703683418195775</v>
      </c>
      <c r="S606" s="65">
        <f t="shared" si="173"/>
        <v>0.35</v>
      </c>
      <c r="T606" s="65">
        <f t="shared" si="182"/>
        <v>0.9</v>
      </c>
      <c r="U606" s="64" t="e">
        <f t="shared" si="183"/>
        <v>#N/A</v>
      </c>
      <c r="V606" s="63">
        <f t="shared" si="174"/>
        <v>6.4063118595718276</v>
      </c>
      <c r="W606" s="63" t="str">
        <f t="shared" si="175"/>
        <v/>
      </c>
      <c r="X606" s="63">
        <f t="shared" si="184"/>
        <v>0</v>
      </c>
      <c r="Y606" s="30"/>
      <c r="Z606" s="30"/>
      <c r="AA606" s="30"/>
      <c r="AB606" s="55">
        <f>PMSplint!N242</f>
        <v>7.1172526006836039</v>
      </c>
      <c r="AC606" s="55">
        <f>PMSplint!N241</f>
        <v>7.1181242884131413</v>
      </c>
      <c r="AD606" s="55">
        <f>IF(RnSplint!N242&lt;0,0,RnSplint!N242)</f>
        <v>31.188106268932327</v>
      </c>
      <c r="AE606" s="55">
        <f>IF(RnSplint!N241&lt;0,0,RnSplint!N241)</f>
        <v>31.226554936105988</v>
      </c>
      <c r="AF606" s="30"/>
      <c r="AG606" s="30"/>
      <c r="AH606" s="30"/>
      <c r="AI606" s="30"/>
      <c r="AJ606" s="30"/>
      <c r="AK606" s="30"/>
      <c r="AL606" s="30"/>
      <c r="AM606" s="30"/>
      <c r="AN606" s="55">
        <f t="shared" si="186"/>
        <v>222.27449913416331</v>
      </c>
      <c r="AO606" s="55">
        <f t="shared" si="187"/>
        <v>14.908873167820676</v>
      </c>
      <c r="AP606" s="55">
        <f t="shared" si="188"/>
        <v>0.1703683418195775</v>
      </c>
      <c r="AQ606" s="55"/>
      <c r="AR606" s="55"/>
      <c r="AS606" s="55"/>
      <c r="AT606" s="55"/>
      <c r="AU606" s="30"/>
      <c r="AV606" s="30"/>
      <c r="AW606" s="2"/>
      <c r="AX606" s="2"/>
    </row>
    <row r="607" spans="1:50" x14ac:dyDescent="0.2">
      <c r="A607" s="2"/>
      <c r="B607" s="61">
        <f t="shared" si="190"/>
        <v>42198</v>
      </c>
      <c r="C607" s="62">
        <f t="shared" si="176"/>
        <v>194</v>
      </c>
      <c r="D607" s="63">
        <f t="shared" si="177"/>
        <v>7.1172526006836039</v>
      </c>
      <c r="G607" s="357" t="str">
        <f>IF(MakeSchedule!C574="","",MakeSchedule!C574)</f>
        <v/>
      </c>
      <c r="H607" s="358"/>
      <c r="I607" s="358"/>
      <c r="J607" s="359" t="str">
        <f>IF(MakeSchedule!B574="","",MakeSchedule!B574)</f>
        <v/>
      </c>
      <c r="K607" s="63">
        <f t="shared" si="170"/>
        <v>7.1172526006836039</v>
      </c>
      <c r="L607" s="63">
        <f t="shared" si="178"/>
        <v>7.1172526006836039</v>
      </c>
      <c r="M607" s="63">
        <f t="shared" si="179"/>
        <v>31.188106268932327</v>
      </c>
      <c r="N607" s="63" t="str">
        <f t="shared" si="171"/>
        <v/>
      </c>
      <c r="O607" s="64">
        <f t="shared" si="180"/>
        <v>0.17048376350438071</v>
      </c>
      <c r="P607" s="63" t="str">
        <f t="shared" si="181"/>
        <v/>
      </c>
      <c r="Q607" s="64" t="e">
        <f t="shared" si="172"/>
        <v>#N/A</v>
      </c>
      <c r="R607" s="63">
        <f t="shared" si="185"/>
        <v>0.17048376350438071</v>
      </c>
      <c r="S607" s="65">
        <f t="shared" si="173"/>
        <v>0.35</v>
      </c>
      <c r="T607" s="65">
        <f t="shared" si="182"/>
        <v>0.9</v>
      </c>
      <c r="U607" s="64" t="e">
        <f t="shared" si="183"/>
        <v>#N/A</v>
      </c>
      <c r="V607" s="63">
        <f t="shared" si="174"/>
        <v>6.4055273406152438</v>
      </c>
      <c r="W607" s="63" t="str">
        <f t="shared" si="175"/>
        <v/>
      </c>
      <c r="X607" s="63">
        <f t="shared" si="184"/>
        <v>0</v>
      </c>
      <c r="Y607" s="30"/>
      <c r="Z607" s="30"/>
      <c r="AA607" s="30"/>
      <c r="AB607" s="55">
        <f>PMSplint!N243</f>
        <v>7.1153465205695134</v>
      </c>
      <c r="AC607" s="55">
        <f>PMSplint!N242</f>
        <v>7.1172526006836039</v>
      </c>
      <c r="AD607" s="55">
        <f>IF(RnSplint!N243&lt;0,0,RnSplint!N243)</f>
        <v>31.148941377649063</v>
      </c>
      <c r="AE607" s="55">
        <f>IF(RnSplint!N242&lt;0,0,RnSplint!N242)</f>
        <v>31.188106268932327</v>
      </c>
      <c r="AF607" s="30"/>
      <c r="AG607" s="30"/>
      <c r="AH607" s="30"/>
      <c r="AI607" s="30"/>
      <c r="AJ607" s="30"/>
      <c r="AK607" s="30"/>
      <c r="AL607" s="30"/>
      <c r="AM607" s="30"/>
      <c r="AN607" s="55">
        <f t="shared" si="186"/>
        <v>221.97363045295521</v>
      </c>
      <c r="AO607" s="55">
        <f t="shared" si="187"/>
        <v>14.89877949541355</v>
      </c>
      <c r="AP607" s="55">
        <f t="shared" si="188"/>
        <v>0.17048376350438071</v>
      </c>
      <c r="AQ607" s="55"/>
      <c r="AR607" s="55"/>
      <c r="AS607" s="55"/>
      <c r="AT607" s="55"/>
      <c r="AU607" s="30"/>
      <c r="AV607" s="30"/>
      <c r="AW607" s="2"/>
      <c r="AX607" s="2"/>
    </row>
    <row r="608" spans="1:50" x14ac:dyDescent="0.2">
      <c r="A608" s="2"/>
      <c r="B608" s="61">
        <f t="shared" si="190"/>
        <v>42199</v>
      </c>
      <c r="C608" s="62">
        <f t="shared" si="176"/>
        <v>195</v>
      </c>
      <c r="D608" s="63">
        <f t="shared" si="177"/>
        <v>7.1153465205695134</v>
      </c>
      <c r="G608" s="357" t="str">
        <f>IF(MakeSchedule!C575="","",MakeSchedule!C575)</f>
        <v/>
      </c>
      <c r="H608" s="358"/>
      <c r="I608" s="358"/>
      <c r="J608" s="359" t="str">
        <f>IF(MakeSchedule!B575="","",MakeSchedule!B575)</f>
        <v/>
      </c>
      <c r="K608" s="63">
        <f t="shared" si="170"/>
        <v>7.1153465205695134</v>
      </c>
      <c r="L608" s="63">
        <f t="shared" si="178"/>
        <v>7.1153465205695134</v>
      </c>
      <c r="M608" s="63">
        <f t="shared" si="179"/>
        <v>31.148941377649063</v>
      </c>
      <c r="N608" s="63" t="str">
        <f t="shared" si="171"/>
        <v/>
      </c>
      <c r="O608" s="64">
        <f t="shared" si="180"/>
        <v>0.17061375575477317</v>
      </c>
      <c r="P608" s="63" t="str">
        <f t="shared" si="181"/>
        <v/>
      </c>
      <c r="Q608" s="64" t="e">
        <f t="shared" si="172"/>
        <v>#N/A</v>
      </c>
      <c r="R608" s="63">
        <f t="shared" si="185"/>
        <v>0.17061375575477317</v>
      </c>
      <c r="S608" s="65">
        <f t="shared" si="173"/>
        <v>0.35</v>
      </c>
      <c r="T608" s="65">
        <f t="shared" si="182"/>
        <v>0.9</v>
      </c>
      <c r="U608" s="64" t="e">
        <f t="shared" si="183"/>
        <v>#N/A</v>
      </c>
      <c r="V608" s="63">
        <f t="shared" si="174"/>
        <v>6.4038118685125625</v>
      </c>
      <c r="W608" s="63" t="str">
        <f t="shared" si="175"/>
        <v/>
      </c>
      <c r="X608" s="63">
        <f t="shared" si="184"/>
        <v>0</v>
      </c>
      <c r="Y608" s="30"/>
      <c r="Z608" s="30"/>
      <c r="AA608" s="30"/>
      <c r="AB608" s="55">
        <f>PMSplint!N244</f>
        <v>7.1124228248650248</v>
      </c>
      <c r="AC608" s="55">
        <f>PMSplint!N243</f>
        <v>7.1153465205695134</v>
      </c>
      <c r="AD608" s="55">
        <f>IF(RnSplint!N244&lt;0,0,RnSplint!N244)</f>
        <v>31.1098042836852</v>
      </c>
      <c r="AE608" s="55">
        <f>IF(RnSplint!N243&lt;0,0,RnSplint!N243)</f>
        <v>31.148941377649063</v>
      </c>
      <c r="AF608" s="30"/>
      <c r="AG608" s="30"/>
      <c r="AH608" s="30"/>
      <c r="AI608" s="30"/>
      <c r="AJ608" s="30"/>
      <c r="AK608" s="30"/>
      <c r="AL608" s="30"/>
      <c r="AM608" s="30"/>
      <c r="AN608" s="55">
        <f t="shared" si="186"/>
        <v>221.63551165087901</v>
      </c>
      <c r="AO608" s="55">
        <f t="shared" si="187"/>
        <v>14.887427972987107</v>
      </c>
      <c r="AP608" s="55">
        <f t="shared" si="188"/>
        <v>0.17061375575477317</v>
      </c>
      <c r="AQ608" s="55"/>
      <c r="AR608" s="55"/>
      <c r="AS608" s="55"/>
      <c r="AT608" s="55"/>
      <c r="AU608" s="30"/>
      <c r="AV608" s="30"/>
      <c r="AW608" s="2"/>
      <c r="AX608" s="2"/>
    </row>
    <row r="609" spans="1:50" x14ac:dyDescent="0.2">
      <c r="A609" s="2"/>
      <c r="B609" s="61">
        <f t="shared" si="190"/>
        <v>42200</v>
      </c>
      <c r="C609" s="62">
        <f t="shared" si="176"/>
        <v>196</v>
      </c>
      <c r="D609" s="63">
        <f t="shared" si="177"/>
        <v>7.1124228248650248</v>
      </c>
      <c r="G609" s="357" t="str">
        <f>IF(MakeSchedule!C576="","",MakeSchedule!C576)</f>
        <v/>
      </c>
      <c r="H609" s="358"/>
      <c r="I609" s="358"/>
      <c r="J609" s="359" t="str">
        <f>IF(MakeSchedule!B576="","",MakeSchedule!B576)</f>
        <v/>
      </c>
      <c r="K609" s="63">
        <f t="shared" si="170"/>
        <v>7.1124228248650248</v>
      </c>
      <c r="L609" s="63">
        <f t="shared" si="178"/>
        <v>7.1124228248650248</v>
      </c>
      <c r="M609" s="63">
        <f t="shared" si="179"/>
        <v>31.1098042836852</v>
      </c>
      <c r="N609" s="63" t="str">
        <f t="shared" si="171"/>
        <v/>
      </c>
      <c r="O609" s="64">
        <f t="shared" si="180"/>
        <v>0.17075612615719163</v>
      </c>
      <c r="P609" s="63" t="str">
        <f t="shared" si="181"/>
        <v/>
      </c>
      <c r="Q609" s="64" t="e">
        <f t="shared" si="172"/>
        <v>#N/A</v>
      </c>
      <c r="R609" s="63">
        <f t="shared" si="185"/>
        <v>0.17075612615719163</v>
      </c>
      <c r="S609" s="65">
        <f t="shared" si="173"/>
        <v>0.35</v>
      </c>
      <c r="T609" s="65">
        <f t="shared" si="182"/>
        <v>0.9</v>
      </c>
      <c r="U609" s="64" t="e">
        <f t="shared" si="183"/>
        <v>#N/A</v>
      </c>
      <c r="V609" s="63">
        <f t="shared" si="174"/>
        <v>6.4011805423785226</v>
      </c>
      <c r="W609" s="63" t="str">
        <f t="shared" si="175"/>
        <v/>
      </c>
      <c r="X609" s="63">
        <f t="shared" si="184"/>
        <v>0</v>
      </c>
      <c r="Y609" s="30"/>
      <c r="Z609" s="30"/>
      <c r="AA609" s="30"/>
      <c r="AB609" s="55">
        <f>PMSplint!N245</f>
        <v>7.1084982903642908</v>
      </c>
      <c r="AC609" s="55">
        <f>PMSplint!N244</f>
        <v>7.1124228248650248</v>
      </c>
      <c r="AD609" s="55">
        <f>IF(RnSplint!N245&lt;0,0,RnSplint!N245)</f>
        <v>31.071439008469738</v>
      </c>
      <c r="AE609" s="55">
        <f>IF(RnSplint!N244&lt;0,0,RnSplint!N244)</f>
        <v>31.1098042836852</v>
      </c>
      <c r="AF609" s="30"/>
      <c r="AG609" s="30"/>
      <c r="AH609" s="30"/>
      <c r="AI609" s="30"/>
      <c r="AJ609" s="30"/>
      <c r="AK609" s="30"/>
      <c r="AL609" s="30"/>
      <c r="AM609" s="30"/>
      <c r="AN609" s="55">
        <f t="shared" si="186"/>
        <v>221.26608206436634</v>
      </c>
      <c r="AO609" s="55">
        <f t="shared" si="187"/>
        <v>14.875015363500179</v>
      </c>
      <c r="AP609" s="55">
        <f t="shared" si="188"/>
        <v>0.17075612615719163</v>
      </c>
      <c r="AQ609" s="55"/>
      <c r="AR609" s="55"/>
      <c r="AS609" s="55"/>
      <c r="AT609" s="55"/>
      <c r="AU609" s="30"/>
      <c r="AV609" s="30"/>
      <c r="AW609" s="2"/>
      <c r="AX609" s="2"/>
    </row>
    <row r="610" spans="1:50" x14ac:dyDescent="0.2">
      <c r="A610" s="2"/>
      <c r="B610" s="61">
        <f t="shared" si="190"/>
        <v>42201</v>
      </c>
      <c r="C610" s="62">
        <f t="shared" si="176"/>
        <v>197</v>
      </c>
      <c r="D610" s="63">
        <f t="shared" si="177"/>
        <v>7.1084982903642908</v>
      </c>
      <c r="G610" s="357" t="str">
        <f>IF(MakeSchedule!C577="","",MakeSchedule!C577)</f>
        <v/>
      </c>
      <c r="H610" s="358"/>
      <c r="I610" s="358"/>
      <c r="J610" s="359" t="str">
        <f>IF(MakeSchedule!B577="","",MakeSchedule!B577)</f>
        <v/>
      </c>
      <c r="K610" s="63">
        <f t="shared" si="170"/>
        <v>7.1084982903642908</v>
      </c>
      <c r="L610" s="63">
        <f t="shared" si="178"/>
        <v>7.1084982903642908</v>
      </c>
      <c r="M610" s="63">
        <f t="shared" si="179"/>
        <v>31.071439008469738</v>
      </c>
      <c r="N610" s="63" t="str">
        <f t="shared" si="171"/>
        <v/>
      </c>
      <c r="O610" s="64">
        <f t="shared" si="180"/>
        <v>0.17090867269574242</v>
      </c>
      <c r="P610" s="63" t="str">
        <f t="shared" si="181"/>
        <v/>
      </c>
      <c r="Q610" s="64" t="e">
        <f t="shared" si="172"/>
        <v>#N/A</v>
      </c>
      <c r="R610" s="63">
        <f t="shared" si="185"/>
        <v>0.17090867269574242</v>
      </c>
      <c r="S610" s="65">
        <f t="shared" si="173"/>
        <v>0.35</v>
      </c>
      <c r="T610" s="65">
        <f t="shared" si="182"/>
        <v>0.9</v>
      </c>
      <c r="U610" s="64" t="e">
        <f t="shared" si="183"/>
        <v>#N/A</v>
      </c>
      <c r="V610" s="63">
        <f t="shared" si="174"/>
        <v>6.3976484613278615</v>
      </c>
      <c r="W610" s="63" t="str">
        <f t="shared" si="175"/>
        <v/>
      </c>
      <c r="X610" s="63">
        <f t="shared" si="184"/>
        <v>0</v>
      </c>
      <c r="Y610" s="30"/>
      <c r="Z610" s="30"/>
      <c r="AA610" s="30"/>
      <c r="AB610" s="55">
        <f>PMSplint!N246</f>
        <v>7.1035896938614673</v>
      </c>
      <c r="AC610" s="55">
        <f>PMSplint!N245</f>
        <v>7.1084982903642908</v>
      </c>
      <c r="AD610" s="55">
        <f>IF(RnSplint!N246&lt;0,0,RnSplint!N246)</f>
        <v>31.034589573431674</v>
      </c>
      <c r="AE610" s="55">
        <f>IF(RnSplint!N245&lt;0,0,RnSplint!N245)</f>
        <v>31.071439008469738</v>
      </c>
      <c r="AF610" s="30"/>
      <c r="AG610" s="30"/>
      <c r="AH610" s="30"/>
      <c r="AI610" s="30"/>
      <c r="AJ610" s="30"/>
      <c r="AK610" s="30"/>
      <c r="AL610" s="30"/>
      <c r="AM610" s="30"/>
      <c r="AN610" s="55">
        <f t="shared" si="186"/>
        <v>220.87127107086548</v>
      </c>
      <c r="AO610" s="55">
        <f t="shared" si="187"/>
        <v>14.861738494229586</v>
      </c>
      <c r="AP610" s="55">
        <f t="shared" si="188"/>
        <v>0.17090867269574242</v>
      </c>
      <c r="AQ610" s="55"/>
      <c r="AR610" s="55"/>
      <c r="AS610" s="55"/>
      <c r="AT610" s="55"/>
      <c r="AU610" s="30"/>
      <c r="AV610" s="30"/>
      <c r="AW610" s="2"/>
      <c r="AX610" s="2"/>
    </row>
    <row r="611" spans="1:50" x14ac:dyDescent="0.2">
      <c r="A611" s="2"/>
      <c r="B611" s="61">
        <f t="shared" si="190"/>
        <v>42202</v>
      </c>
      <c r="C611" s="62">
        <f t="shared" si="176"/>
        <v>198</v>
      </c>
      <c r="D611" s="63">
        <f t="shared" si="177"/>
        <v>7.1035896938614673</v>
      </c>
      <c r="G611" s="357" t="str">
        <f>IF(MakeSchedule!C578="","",MakeSchedule!C578)</f>
        <v/>
      </c>
      <c r="H611" s="358"/>
      <c r="I611" s="358"/>
      <c r="J611" s="359" t="str">
        <f>IF(MakeSchedule!B578="","",MakeSchedule!B578)</f>
        <v/>
      </c>
      <c r="K611" s="63">
        <f t="shared" si="170"/>
        <v>7.1035896938614673</v>
      </c>
      <c r="L611" s="63">
        <f t="shared" si="178"/>
        <v>7.1035896938614673</v>
      </c>
      <c r="M611" s="63">
        <f t="shared" si="179"/>
        <v>31.034589573431674</v>
      </c>
      <c r="N611" s="63" t="str">
        <f t="shared" si="171"/>
        <v/>
      </c>
      <c r="O611" s="64">
        <f t="shared" si="180"/>
        <v>0.17106918220098125</v>
      </c>
      <c r="P611" s="63" t="str">
        <f t="shared" si="181"/>
        <v/>
      </c>
      <c r="Q611" s="64" t="e">
        <f t="shared" si="172"/>
        <v>#N/A</v>
      </c>
      <c r="R611" s="63">
        <f t="shared" si="185"/>
        <v>0.17106918220098125</v>
      </c>
      <c r="S611" s="65">
        <f t="shared" si="173"/>
        <v>0.35</v>
      </c>
      <c r="T611" s="65">
        <f t="shared" si="182"/>
        <v>0.9</v>
      </c>
      <c r="U611" s="64" t="e">
        <f t="shared" si="183"/>
        <v>#N/A</v>
      </c>
      <c r="V611" s="63">
        <f t="shared" si="174"/>
        <v>6.3932307244753206</v>
      </c>
      <c r="W611" s="63" t="str">
        <f t="shared" si="175"/>
        <v/>
      </c>
      <c r="X611" s="63">
        <f t="shared" si="184"/>
        <v>0</v>
      </c>
      <c r="Y611" s="30"/>
      <c r="Z611" s="30"/>
      <c r="AA611" s="30"/>
      <c r="AB611" s="55">
        <f>PMSplint!N247</f>
        <v>7.0977138121507055</v>
      </c>
      <c r="AC611" s="55">
        <f>PMSplint!N246</f>
        <v>7.1035896938614673</v>
      </c>
      <c r="AD611" s="55">
        <f>IF(RnSplint!N247&lt;0,0,RnSplint!N247)</f>
        <v>31</v>
      </c>
      <c r="AE611" s="55">
        <f>IF(RnSplint!N246&lt;0,0,RnSplint!N246)</f>
        <v>31.034589573431674</v>
      </c>
      <c r="AF611" s="30"/>
      <c r="AG611" s="30"/>
      <c r="AH611" s="30"/>
      <c r="AI611" s="30"/>
      <c r="AJ611" s="30"/>
      <c r="AK611" s="30"/>
      <c r="AL611" s="30"/>
      <c r="AM611" s="30"/>
      <c r="AN611" s="55">
        <f t="shared" si="186"/>
        <v>220.45699064704979</v>
      </c>
      <c r="AO611" s="55">
        <f t="shared" si="187"/>
        <v>14.847794134047312</v>
      </c>
      <c r="AP611" s="55">
        <f t="shared" si="188"/>
        <v>0.17106918220098125</v>
      </c>
      <c r="AQ611" s="55"/>
      <c r="AR611" s="55"/>
      <c r="AS611" s="55"/>
      <c r="AT611" s="55"/>
      <c r="AU611" s="30"/>
      <c r="AV611" s="30"/>
      <c r="AW611" s="2"/>
      <c r="AX611" s="2"/>
    </row>
    <row r="612" spans="1:50" x14ac:dyDescent="0.2">
      <c r="A612" s="2"/>
      <c r="B612" s="61">
        <f t="shared" si="190"/>
        <v>42203</v>
      </c>
      <c r="C612" s="62">
        <f t="shared" si="176"/>
        <v>199</v>
      </c>
      <c r="D612" s="63">
        <f t="shared" si="177"/>
        <v>7.0977138121507055</v>
      </c>
      <c r="G612" s="357" t="str">
        <f>IF(MakeSchedule!C579="","",MakeSchedule!C579)</f>
        <v/>
      </c>
      <c r="H612" s="358"/>
      <c r="I612" s="358"/>
      <c r="J612" s="359" t="str">
        <f>IF(MakeSchedule!B579="","",MakeSchedule!B579)</f>
        <v/>
      </c>
      <c r="K612" s="63">
        <f t="shared" si="170"/>
        <v>7.0977138121507055</v>
      </c>
      <c r="L612" s="63">
        <f t="shared" si="178"/>
        <v>7.0977138121507055</v>
      </c>
      <c r="M612" s="63">
        <f t="shared" si="179"/>
        <v>31</v>
      </c>
      <c r="N612" s="63" t="str">
        <f t="shared" si="171"/>
        <v/>
      </c>
      <c r="O612" s="64">
        <f t="shared" si="180"/>
        <v>0.17123542958666343</v>
      </c>
      <c r="P612" s="63" t="str">
        <f t="shared" si="181"/>
        <v/>
      </c>
      <c r="Q612" s="64" t="e">
        <f t="shared" si="172"/>
        <v>#N/A</v>
      </c>
      <c r="R612" s="63">
        <f t="shared" si="185"/>
        <v>0.17123542958666343</v>
      </c>
      <c r="S612" s="65">
        <f t="shared" si="173"/>
        <v>0.35</v>
      </c>
      <c r="T612" s="65">
        <f t="shared" si="182"/>
        <v>0.9</v>
      </c>
      <c r="U612" s="64" t="e">
        <f t="shared" si="183"/>
        <v>#N/A</v>
      </c>
      <c r="V612" s="63">
        <f t="shared" si="174"/>
        <v>6.3879424309356354</v>
      </c>
      <c r="W612" s="63" t="str">
        <f t="shared" si="175"/>
        <v/>
      </c>
      <c r="X612" s="63">
        <f t="shared" si="184"/>
        <v>0</v>
      </c>
      <c r="Y612" s="30"/>
      <c r="Z612" s="30"/>
      <c r="AA612" s="30"/>
      <c r="AB612" s="55">
        <f>PMSplint!N248</f>
        <v>7.0908862869129381</v>
      </c>
      <c r="AC612" s="55">
        <f>PMSplint!N247</f>
        <v>7.0977138121507055</v>
      </c>
      <c r="AD612" s="55">
        <f>IF(RnSplint!N248&lt;0,0,RnSplint!N248)</f>
        <v>30.968276415760045</v>
      </c>
      <c r="AE612" s="55">
        <f>IF(RnSplint!N247&lt;0,0,RnSplint!N247)</f>
        <v>31</v>
      </c>
      <c r="AF612" s="30"/>
      <c r="AG612" s="30"/>
      <c r="AH612" s="30"/>
      <c r="AI612" s="30"/>
      <c r="AJ612" s="30"/>
      <c r="AK612" s="30"/>
      <c r="AL612" s="30"/>
      <c r="AM612" s="30"/>
      <c r="AN612" s="55">
        <f t="shared" si="186"/>
        <v>220.02912817667186</v>
      </c>
      <c r="AO612" s="55">
        <f t="shared" si="187"/>
        <v>14.833378852327337</v>
      </c>
      <c r="AP612" s="55">
        <f t="shared" si="188"/>
        <v>0.17123542958666343</v>
      </c>
      <c r="AQ612" s="55"/>
      <c r="AR612" s="55"/>
      <c r="AS612" s="55"/>
      <c r="AT612" s="55"/>
      <c r="AU612" s="30"/>
      <c r="AV612" s="30"/>
      <c r="AW612" s="2"/>
      <c r="AX612" s="2"/>
    </row>
    <row r="613" spans="1:50" x14ac:dyDescent="0.2">
      <c r="A613" s="2"/>
      <c r="B613" s="61">
        <f t="shared" si="190"/>
        <v>42204</v>
      </c>
      <c r="C613" s="62">
        <f t="shared" si="176"/>
        <v>200</v>
      </c>
      <c r="D613" s="63">
        <f t="shared" si="177"/>
        <v>7.0908862869129381</v>
      </c>
      <c r="G613" s="357" t="str">
        <f>IF(MakeSchedule!C580="","",MakeSchedule!C580)</f>
        <v/>
      </c>
      <c r="H613" s="358"/>
      <c r="I613" s="358"/>
      <c r="J613" s="359" t="str">
        <f>IF(MakeSchedule!B580="","",MakeSchedule!B580)</f>
        <v/>
      </c>
      <c r="K613" s="63">
        <f t="shared" si="170"/>
        <v>7.0908862869129381</v>
      </c>
      <c r="L613" s="63">
        <f t="shared" si="178"/>
        <v>7.0908862869129381</v>
      </c>
      <c r="M613" s="63">
        <f t="shared" si="179"/>
        <v>30.968276415760045</v>
      </c>
      <c r="N613" s="63" t="str">
        <f t="shared" si="171"/>
        <v/>
      </c>
      <c r="O613" s="64">
        <f t="shared" si="180"/>
        <v>0.17140557321930172</v>
      </c>
      <c r="P613" s="63" t="str">
        <f t="shared" si="181"/>
        <v/>
      </c>
      <c r="Q613" s="64" t="e">
        <f t="shared" si="172"/>
        <v>#N/A</v>
      </c>
      <c r="R613" s="63">
        <f t="shared" si="185"/>
        <v>0.17140557321930172</v>
      </c>
      <c r="S613" s="65">
        <f t="shared" si="173"/>
        <v>0.35</v>
      </c>
      <c r="T613" s="65">
        <f t="shared" si="182"/>
        <v>0.9</v>
      </c>
      <c r="U613" s="64" t="e">
        <f t="shared" si="183"/>
        <v>#N/A</v>
      </c>
      <c r="V613" s="63">
        <f t="shared" si="174"/>
        <v>6.381797658221644</v>
      </c>
      <c r="W613" s="63" t="str">
        <f t="shared" si="175"/>
        <v/>
      </c>
      <c r="X613" s="63">
        <f t="shared" si="184"/>
        <v>0</v>
      </c>
      <c r="Y613" s="30"/>
      <c r="Z613" s="30"/>
      <c r="AA613" s="30"/>
      <c r="AB613" s="55">
        <f>PMSplint!N249</f>
        <v>7.0831182193761935</v>
      </c>
      <c r="AC613" s="55">
        <f>PMSplint!N248</f>
        <v>7.0908862869129381</v>
      </c>
      <c r="AD613" s="55">
        <f>IF(RnSplint!N249&lt;0,0,RnSplint!N249)</f>
        <v>30.939473372922411</v>
      </c>
      <c r="AE613" s="55">
        <f>IF(RnSplint!N248&lt;0,0,RnSplint!N248)</f>
        <v>30.968276415760045</v>
      </c>
      <c r="AF613" s="30"/>
      <c r="AG613" s="30"/>
      <c r="AH613" s="30"/>
      <c r="AI613" s="30"/>
      <c r="AJ613" s="30"/>
      <c r="AK613" s="30"/>
      <c r="AL613" s="30"/>
      <c r="AM613" s="30"/>
      <c r="AN613" s="55">
        <f t="shared" si="186"/>
        <v>219.59252656584226</v>
      </c>
      <c r="AO613" s="55">
        <f t="shared" si="187"/>
        <v>14.81865468137517</v>
      </c>
      <c r="AP613" s="55">
        <f t="shared" si="188"/>
        <v>0.17140557321930172</v>
      </c>
      <c r="AQ613" s="55"/>
      <c r="AR613" s="55"/>
      <c r="AS613" s="55"/>
      <c r="AT613" s="55"/>
      <c r="AU613" s="30"/>
      <c r="AV613" s="30"/>
      <c r="AW613" s="2"/>
      <c r="AX613" s="2"/>
    </row>
    <row r="614" spans="1:50" x14ac:dyDescent="0.2">
      <c r="A614" s="2"/>
      <c r="B614" s="61">
        <f t="shared" si="190"/>
        <v>42205</v>
      </c>
      <c r="C614" s="62">
        <f t="shared" si="176"/>
        <v>201</v>
      </c>
      <c r="D614" s="63">
        <f t="shared" si="177"/>
        <v>7.0831182193761935</v>
      </c>
      <c r="G614" s="357" t="str">
        <f>IF(MakeSchedule!C581="","",MakeSchedule!C581)</f>
        <v/>
      </c>
      <c r="H614" s="358"/>
      <c r="I614" s="358"/>
      <c r="J614" s="359" t="str">
        <f>IF(MakeSchedule!B581="","",MakeSchedule!B581)</f>
        <v/>
      </c>
      <c r="K614" s="63">
        <f t="shared" si="170"/>
        <v>7.0831182193761935</v>
      </c>
      <c r="L614" s="63">
        <f t="shared" si="178"/>
        <v>7.0831182193761935</v>
      </c>
      <c r="M614" s="63">
        <f t="shared" si="179"/>
        <v>30.939473372922411</v>
      </c>
      <c r="N614" s="63" t="str">
        <f t="shared" si="171"/>
        <v/>
      </c>
      <c r="O614" s="64">
        <f t="shared" si="180"/>
        <v>0.17157934786319143</v>
      </c>
      <c r="P614" s="63" t="str">
        <f t="shared" si="181"/>
        <v/>
      </c>
      <c r="Q614" s="64" t="e">
        <f t="shared" si="172"/>
        <v>#N/A</v>
      </c>
      <c r="R614" s="63">
        <f t="shared" si="185"/>
        <v>0.17157934786319143</v>
      </c>
      <c r="S614" s="65">
        <f t="shared" si="173"/>
        <v>0.35</v>
      </c>
      <c r="T614" s="65">
        <f t="shared" si="182"/>
        <v>0.9</v>
      </c>
      <c r="U614" s="64" t="e">
        <f t="shared" si="183"/>
        <v>#N/A</v>
      </c>
      <c r="V614" s="63">
        <f t="shared" si="174"/>
        <v>6.374806397438574</v>
      </c>
      <c r="W614" s="63" t="str">
        <f t="shared" si="175"/>
        <v/>
      </c>
      <c r="X614" s="63">
        <f t="shared" si="184"/>
        <v>0</v>
      </c>
      <c r="Y614" s="30"/>
      <c r="Z614" s="30"/>
      <c r="AA614" s="30"/>
      <c r="AB614" s="55">
        <f>PMSplint!N250</f>
        <v>7.0744195756552841</v>
      </c>
      <c r="AC614" s="55">
        <f>PMSplint!N249</f>
        <v>7.0831182193761935</v>
      </c>
      <c r="AD614" s="55">
        <f>IF(RnSplint!N250&lt;0,0,RnSplint!N250)</f>
        <v>30.913507529854034</v>
      </c>
      <c r="AE614" s="55">
        <f>IF(RnSplint!N249&lt;0,0,RnSplint!N249)</f>
        <v>30.939473372922411</v>
      </c>
      <c r="AF614" s="30"/>
      <c r="AG614" s="30"/>
      <c r="AH614" s="30"/>
      <c r="AI614" s="30"/>
      <c r="AJ614" s="30"/>
      <c r="AK614" s="30"/>
      <c r="AL614" s="30"/>
      <c r="AM614" s="30"/>
      <c r="AN614" s="55">
        <f t="shared" si="186"/>
        <v>219.14794754565133</v>
      </c>
      <c r="AO614" s="55">
        <f t="shared" si="187"/>
        <v>14.80364642733848</v>
      </c>
      <c r="AP614" s="55">
        <f t="shared" si="188"/>
        <v>0.17157934786319143</v>
      </c>
      <c r="AQ614" s="55"/>
      <c r="AR614" s="55"/>
      <c r="AS614" s="55"/>
      <c r="AT614" s="55"/>
      <c r="AU614" s="30"/>
      <c r="AV614" s="30"/>
      <c r="AW614" s="2"/>
      <c r="AX614" s="2"/>
    </row>
    <row r="615" spans="1:50" x14ac:dyDescent="0.2">
      <c r="A615" s="2"/>
      <c r="B615" s="61">
        <f t="shared" si="190"/>
        <v>42206</v>
      </c>
      <c r="C615" s="62">
        <f t="shared" si="176"/>
        <v>202</v>
      </c>
      <c r="D615" s="63">
        <f t="shared" si="177"/>
        <v>7.0744195756552841</v>
      </c>
      <c r="G615" s="357" t="str">
        <f>IF(MakeSchedule!C582="","",MakeSchedule!C582)</f>
        <v/>
      </c>
      <c r="H615" s="358"/>
      <c r="I615" s="358"/>
      <c r="J615" s="359" t="str">
        <f>IF(MakeSchedule!B582="","",MakeSchedule!B582)</f>
        <v/>
      </c>
      <c r="K615" s="63">
        <f t="shared" si="170"/>
        <v>7.0744195756552841</v>
      </c>
      <c r="L615" s="63">
        <f t="shared" si="178"/>
        <v>7.0744195756552841</v>
      </c>
      <c r="M615" s="63">
        <f t="shared" si="179"/>
        <v>30.913507529854034</v>
      </c>
      <c r="N615" s="63" t="str">
        <f t="shared" si="171"/>
        <v/>
      </c>
      <c r="O615" s="64">
        <f t="shared" si="180"/>
        <v>0.17175688998882704</v>
      </c>
      <c r="P615" s="63" t="str">
        <f t="shared" si="181"/>
        <v/>
      </c>
      <c r="Q615" s="64" t="e">
        <f t="shared" si="172"/>
        <v>#N/A</v>
      </c>
      <c r="R615" s="63">
        <f t="shared" si="185"/>
        <v>0.17175688998882704</v>
      </c>
      <c r="S615" s="65">
        <f t="shared" si="173"/>
        <v>0.35</v>
      </c>
      <c r="T615" s="65">
        <f t="shared" si="182"/>
        <v>0.9</v>
      </c>
      <c r="U615" s="64" t="e">
        <f t="shared" si="183"/>
        <v>#N/A</v>
      </c>
      <c r="V615" s="63">
        <f t="shared" si="174"/>
        <v>6.3669776180897557</v>
      </c>
      <c r="W615" s="63" t="str">
        <f t="shared" si="175"/>
        <v/>
      </c>
      <c r="X615" s="63">
        <f t="shared" si="184"/>
        <v>0</v>
      </c>
      <c r="Y615" s="30"/>
      <c r="Z615" s="30"/>
      <c r="AA615" s="30"/>
      <c r="AB615" s="55">
        <f>PMSplint!N251</f>
        <v>7.0648003218650155</v>
      </c>
      <c r="AC615" s="55">
        <f>PMSplint!N250</f>
        <v>7.0744195756552841</v>
      </c>
      <c r="AD615" s="55">
        <f>IF(RnSplint!N251&lt;0,0,RnSplint!N251)</f>
        <v>30.890295544921848</v>
      </c>
      <c r="AE615" s="55">
        <f>IF(RnSplint!N250&lt;0,0,RnSplint!N250)</f>
        <v>30.913507529854034</v>
      </c>
      <c r="AF615" s="30"/>
      <c r="AG615" s="30"/>
      <c r="AH615" s="30"/>
      <c r="AI615" s="30"/>
      <c r="AJ615" s="30"/>
      <c r="AK615" s="30"/>
      <c r="AL615" s="30"/>
      <c r="AM615" s="30"/>
      <c r="AN615" s="55">
        <f t="shared" si="186"/>
        <v>218.6951228213664</v>
      </c>
      <c r="AO615" s="55">
        <f t="shared" si="187"/>
        <v>14.788344154142694</v>
      </c>
      <c r="AP615" s="55">
        <f t="shared" si="188"/>
        <v>0.17175688998882704</v>
      </c>
      <c r="AQ615" s="55"/>
      <c r="AR615" s="55"/>
      <c r="AS615" s="55"/>
      <c r="AT615" s="55"/>
      <c r="AU615" s="30"/>
      <c r="AV615" s="30"/>
      <c r="AW615" s="2"/>
      <c r="AX615" s="2"/>
    </row>
    <row r="616" spans="1:50" x14ac:dyDescent="0.2">
      <c r="A616" s="2"/>
      <c r="B616" s="61">
        <f t="shared" si="190"/>
        <v>42207</v>
      </c>
      <c r="C616" s="62">
        <f t="shared" si="176"/>
        <v>203</v>
      </c>
      <c r="D616" s="63">
        <f t="shared" si="177"/>
        <v>7.0648003218650155</v>
      </c>
      <c r="G616" s="357" t="str">
        <f>IF(MakeSchedule!C583="","",MakeSchedule!C583)</f>
        <v/>
      </c>
      <c r="H616" s="358"/>
      <c r="I616" s="358"/>
      <c r="J616" s="359" t="str">
        <f>IF(MakeSchedule!B583="","",MakeSchedule!B583)</f>
        <v/>
      </c>
      <c r="K616" s="63">
        <f t="shared" si="170"/>
        <v>7.0648003218650155</v>
      </c>
      <c r="L616" s="63">
        <f t="shared" si="178"/>
        <v>7.0648003218650155</v>
      </c>
      <c r="M616" s="63">
        <f t="shared" si="179"/>
        <v>30.890295544921848</v>
      </c>
      <c r="N616" s="63" t="str">
        <f t="shared" si="171"/>
        <v/>
      </c>
      <c r="O616" s="64">
        <f t="shared" si="180"/>
        <v>0.17193834381823711</v>
      </c>
      <c r="P616" s="63" t="str">
        <f t="shared" si="181"/>
        <v/>
      </c>
      <c r="Q616" s="64" t="e">
        <f t="shared" si="172"/>
        <v>#N/A</v>
      </c>
      <c r="R616" s="63">
        <f t="shared" si="185"/>
        <v>0.17193834381823711</v>
      </c>
      <c r="S616" s="65">
        <f t="shared" si="173"/>
        <v>0.35</v>
      </c>
      <c r="T616" s="65">
        <f t="shared" si="182"/>
        <v>0.9</v>
      </c>
      <c r="U616" s="64" t="e">
        <f t="shared" si="183"/>
        <v>#N/A</v>
      </c>
      <c r="V616" s="63">
        <f t="shared" si="174"/>
        <v>6.358320289678514</v>
      </c>
      <c r="W616" s="63" t="str">
        <f t="shared" si="175"/>
        <v/>
      </c>
      <c r="X616" s="63">
        <f t="shared" si="184"/>
        <v>0</v>
      </c>
      <c r="Y616" s="30"/>
      <c r="Z616" s="30"/>
      <c r="AA616" s="30"/>
      <c r="AB616" s="55">
        <f>PMSplint!N252</f>
        <v>7.0542704241201983</v>
      </c>
      <c r="AC616" s="55">
        <f>PMSplint!N251</f>
        <v>7.0648003218650155</v>
      </c>
      <c r="AD616" s="55">
        <f>IF(RnSplint!N252&lt;0,0,RnSplint!N252)</f>
        <v>30.869754076492779</v>
      </c>
      <c r="AE616" s="55">
        <f>IF(RnSplint!N251&lt;0,0,RnSplint!N251)</f>
        <v>30.890295544921848</v>
      </c>
      <c r="AF616" s="30"/>
      <c r="AG616" s="30"/>
      <c r="AH616" s="30"/>
      <c r="AI616" s="30"/>
      <c r="AJ616" s="30"/>
      <c r="AK616" s="30"/>
      <c r="AL616" s="30"/>
      <c r="AM616" s="30"/>
      <c r="AN616" s="55">
        <f t="shared" si="186"/>
        <v>218.23376990826932</v>
      </c>
      <c r="AO616" s="55">
        <f t="shared" si="187"/>
        <v>14.772737387101596</v>
      </c>
      <c r="AP616" s="55">
        <f t="shared" si="188"/>
        <v>0.17193834381823711</v>
      </c>
      <c r="AQ616" s="55"/>
      <c r="AR616" s="55"/>
      <c r="AS616" s="55"/>
      <c r="AT616" s="55"/>
      <c r="AU616" s="30"/>
      <c r="AV616" s="30"/>
      <c r="AW616" s="2"/>
      <c r="AX616" s="2"/>
    </row>
    <row r="617" spans="1:50" x14ac:dyDescent="0.2">
      <c r="A617" s="2"/>
      <c r="B617" s="61">
        <f t="shared" si="190"/>
        <v>42208</v>
      </c>
      <c r="C617" s="62">
        <f t="shared" si="176"/>
        <v>204</v>
      </c>
      <c r="D617" s="63">
        <f t="shared" si="177"/>
        <v>7.0542704241201983</v>
      </c>
      <c r="G617" s="357" t="str">
        <f>IF(MakeSchedule!C584="","",MakeSchedule!C584)</f>
        <v/>
      </c>
      <c r="H617" s="358"/>
      <c r="I617" s="358"/>
      <c r="J617" s="359" t="str">
        <f>IF(MakeSchedule!B584="","",MakeSchedule!B584)</f>
        <v/>
      </c>
      <c r="K617" s="63">
        <f t="shared" si="170"/>
        <v>7.0542704241201983</v>
      </c>
      <c r="L617" s="63">
        <f t="shared" si="178"/>
        <v>7.0542704241201983</v>
      </c>
      <c r="M617" s="63">
        <f t="shared" si="179"/>
        <v>30.869754076492779</v>
      </c>
      <c r="N617" s="63" t="str">
        <f t="shared" si="171"/>
        <v/>
      </c>
      <c r="O617" s="64">
        <f t="shared" si="180"/>
        <v>0.17212386109652966</v>
      </c>
      <c r="P617" s="63" t="str">
        <f t="shared" si="181"/>
        <v/>
      </c>
      <c r="Q617" s="64" t="e">
        <f t="shared" si="172"/>
        <v>#N/A</v>
      </c>
      <c r="R617" s="63">
        <f t="shared" si="185"/>
        <v>0.17212386109652966</v>
      </c>
      <c r="S617" s="65">
        <f t="shared" si="173"/>
        <v>0.35</v>
      </c>
      <c r="T617" s="65">
        <f t="shared" si="182"/>
        <v>0.9</v>
      </c>
      <c r="U617" s="64" t="e">
        <f t="shared" si="183"/>
        <v>#N/A</v>
      </c>
      <c r="V617" s="63">
        <f t="shared" si="174"/>
        <v>6.3488433817081784</v>
      </c>
      <c r="W617" s="63" t="str">
        <f t="shared" si="175"/>
        <v/>
      </c>
      <c r="X617" s="63">
        <f t="shared" si="184"/>
        <v>0</v>
      </c>
      <c r="Y617" s="30"/>
      <c r="Z617" s="30"/>
      <c r="AA617" s="30"/>
      <c r="AB617" s="55">
        <f>PMSplint!N253</f>
        <v>7.0428398485356372</v>
      </c>
      <c r="AC617" s="55">
        <f>PMSplint!N252</f>
        <v>7.0542704241201983</v>
      </c>
      <c r="AD617" s="55">
        <f>IF(RnSplint!N253&lt;0,0,RnSplint!N253)</f>
        <v>30.85179978293376</v>
      </c>
      <c r="AE617" s="55">
        <f>IF(RnSplint!N252&lt;0,0,RnSplint!N252)</f>
        <v>30.869754076492779</v>
      </c>
      <c r="AF617" s="30"/>
      <c r="AG617" s="30"/>
      <c r="AH617" s="30"/>
      <c r="AI617" s="30"/>
      <c r="AJ617" s="30"/>
      <c r="AK617" s="30"/>
      <c r="AL617" s="30"/>
      <c r="AM617" s="30"/>
      <c r="AN617" s="55">
        <f t="shared" si="186"/>
        <v>217.76359318166695</v>
      </c>
      <c r="AO617" s="55">
        <f t="shared" si="187"/>
        <v>14.756815143575762</v>
      </c>
      <c r="AP617" s="55">
        <f t="shared" si="188"/>
        <v>0.17212386109652966</v>
      </c>
      <c r="AQ617" s="55"/>
      <c r="AR617" s="55"/>
      <c r="AS617" s="55"/>
      <c r="AT617" s="55"/>
      <c r="AU617" s="30"/>
      <c r="AV617" s="30"/>
      <c r="AW617" s="2"/>
      <c r="AX617" s="2"/>
    </row>
    <row r="618" spans="1:50" x14ac:dyDescent="0.2">
      <c r="A618" s="2"/>
      <c r="B618" s="61">
        <f t="shared" si="190"/>
        <v>42209</v>
      </c>
      <c r="C618" s="62">
        <f t="shared" si="176"/>
        <v>205</v>
      </c>
      <c r="D618" s="63">
        <f t="shared" si="177"/>
        <v>7.0428398485356372</v>
      </c>
      <c r="G618" s="357" t="str">
        <f>IF(MakeSchedule!C585="","",MakeSchedule!C585)</f>
        <v/>
      </c>
      <c r="H618" s="358"/>
      <c r="I618" s="358"/>
      <c r="J618" s="359" t="str">
        <f>IF(MakeSchedule!B585="","",MakeSchedule!B585)</f>
        <v/>
      </c>
      <c r="K618" s="63">
        <f t="shared" si="170"/>
        <v>7.0428398485356372</v>
      </c>
      <c r="L618" s="63">
        <f t="shared" si="178"/>
        <v>7.0428398485356372</v>
      </c>
      <c r="M618" s="63">
        <f t="shared" si="179"/>
        <v>30.85179978293376</v>
      </c>
      <c r="N618" s="63" t="str">
        <f t="shared" si="171"/>
        <v/>
      </c>
      <c r="O618" s="64">
        <f t="shared" si="180"/>
        <v>0.17231360087335235</v>
      </c>
      <c r="P618" s="63" t="str">
        <f t="shared" si="181"/>
        <v/>
      </c>
      <c r="Q618" s="64" t="e">
        <f t="shared" si="172"/>
        <v>#N/A</v>
      </c>
      <c r="R618" s="63">
        <f t="shared" si="185"/>
        <v>0.17231360087335235</v>
      </c>
      <c r="S618" s="65">
        <f t="shared" si="173"/>
        <v>0.35</v>
      </c>
      <c r="T618" s="65">
        <f t="shared" si="182"/>
        <v>0.9</v>
      </c>
      <c r="U618" s="64" t="e">
        <f t="shared" si="183"/>
        <v>#N/A</v>
      </c>
      <c r="V618" s="63">
        <f t="shared" si="174"/>
        <v>6.3385558636820738</v>
      </c>
      <c r="W618" s="63" t="str">
        <f t="shared" si="175"/>
        <v/>
      </c>
      <c r="X618" s="63">
        <f t="shared" si="184"/>
        <v>0</v>
      </c>
      <c r="Y618" s="30"/>
      <c r="Z618" s="30"/>
      <c r="AA618" s="30"/>
      <c r="AB618" s="55">
        <f>PMSplint!N254</f>
        <v>7.0305185612261427</v>
      </c>
      <c r="AC618" s="55">
        <f>PMSplint!N253</f>
        <v>7.0428398485356372</v>
      </c>
      <c r="AD618" s="55">
        <f>IF(RnSplint!N254&lt;0,0,RnSplint!N254)</f>
        <v>30.836349322611724</v>
      </c>
      <c r="AE618" s="55">
        <f>IF(RnSplint!N253&lt;0,0,RnSplint!N253)</f>
        <v>30.85179978293376</v>
      </c>
      <c r="AF618" s="30"/>
      <c r="AG618" s="30"/>
      <c r="AH618" s="30"/>
      <c r="AI618" s="30"/>
      <c r="AJ618" s="30"/>
      <c r="AK618" s="30"/>
      <c r="AL618" s="30"/>
      <c r="AM618" s="30"/>
      <c r="AN618" s="55">
        <f t="shared" si="186"/>
        <v>217.28428491028902</v>
      </c>
      <c r="AO618" s="55">
        <f t="shared" si="187"/>
        <v>14.740565963024927</v>
      </c>
      <c r="AP618" s="55">
        <f t="shared" si="188"/>
        <v>0.17231360087335235</v>
      </c>
      <c r="AQ618" s="55"/>
      <c r="AR618" s="55"/>
      <c r="AS618" s="55"/>
      <c r="AT618" s="55"/>
      <c r="AU618" s="30"/>
      <c r="AV618" s="30"/>
      <c r="AW618" s="2"/>
      <c r="AX618" s="2"/>
    </row>
    <row r="619" spans="1:50" x14ac:dyDescent="0.2">
      <c r="A619" s="2"/>
      <c r="B619" s="61">
        <f t="shared" si="190"/>
        <v>42210</v>
      </c>
      <c r="C619" s="62">
        <f t="shared" si="176"/>
        <v>206</v>
      </c>
      <c r="D619" s="63">
        <f t="shared" si="177"/>
        <v>7.0305185612261427</v>
      </c>
      <c r="G619" s="357" t="str">
        <f>IF(MakeSchedule!C586="","",MakeSchedule!C586)</f>
        <v/>
      </c>
      <c r="H619" s="358"/>
      <c r="I619" s="358"/>
      <c r="J619" s="359" t="str">
        <f>IF(MakeSchedule!B586="","",MakeSchedule!B586)</f>
        <v/>
      </c>
      <c r="K619" s="63">
        <f t="shared" si="170"/>
        <v>7.0305185612261427</v>
      </c>
      <c r="L619" s="63">
        <f t="shared" si="178"/>
        <v>7.0305185612261427</v>
      </c>
      <c r="M619" s="63">
        <f t="shared" si="179"/>
        <v>30.836349322611724</v>
      </c>
      <c r="N619" s="63" t="str">
        <f t="shared" si="171"/>
        <v/>
      </c>
      <c r="O619" s="64">
        <f t="shared" si="180"/>
        <v>0.17250772929454367</v>
      </c>
      <c r="P619" s="63" t="str">
        <f t="shared" si="181"/>
        <v/>
      </c>
      <c r="Q619" s="64" t="e">
        <f t="shared" si="172"/>
        <v>#N/A</v>
      </c>
      <c r="R619" s="63">
        <f t="shared" si="185"/>
        <v>0.17250772929454367</v>
      </c>
      <c r="S619" s="65">
        <f t="shared" si="173"/>
        <v>0.35</v>
      </c>
      <c r="T619" s="65">
        <f t="shared" si="182"/>
        <v>0.9</v>
      </c>
      <c r="U619" s="64" t="e">
        <f t="shared" si="183"/>
        <v>#N/A</v>
      </c>
      <c r="V619" s="63">
        <f t="shared" si="174"/>
        <v>6.3274667051035287</v>
      </c>
      <c r="W619" s="63" t="str">
        <f t="shared" si="175"/>
        <v/>
      </c>
      <c r="X619" s="63">
        <f t="shared" si="184"/>
        <v>0</v>
      </c>
      <c r="Y619" s="30"/>
      <c r="Z619" s="30"/>
      <c r="AA619" s="30"/>
      <c r="AB619" s="55">
        <f>PMSplint!N255</f>
        <v>7.0173165283065222</v>
      </c>
      <c r="AC619" s="55">
        <f>PMSplint!N254</f>
        <v>7.0305185612261427</v>
      </c>
      <c r="AD619" s="55">
        <f>IF(RnSplint!N255&lt;0,0,RnSplint!N255)</f>
        <v>30.823319353893602</v>
      </c>
      <c r="AE619" s="55">
        <f>IF(RnSplint!N254&lt;0,0,RnSplint!N254)</f>
        <v>30.836349322611724</v>
      </c>
      <c r="AF619" s="30"/>
      <c r="AG619" s="30"/>
      <c r="AH619" s="30"/>
      <c r="AI619" s="30"/>
      <c r="AJ619" s="30"/>
      <c r="AK619" s="30"/>
      <c r="AL619" s="30"/>
      <c r="AM619" s="30"/>
      <c r="AN619" s="55">
        <f t="shared" si="186"/>
        <v>216.79552627307493</v>
      </c>
      <c r="AO619" s="55">
        <f t="shared" si="187"/>
        <v>14.723977936450289</v>
      </c>
      <c r="AP619" s="55">
        <f t="shared" si="188"/>
        <v>0.17250772929454367</v>
      </c>
      <c r="AQ619" s="55"/>
      <c r="AR619" s="55"/>
      <c r="AS619" s="55"/>
      <c r="AT619" s="55"/>
      <c r="AU619" s="30"/>
      <c r="AV619" s="30"/>
      <c r="AW619" s="2"/>
      <c r="AX619" s="2"/>
    </row>
    <row r="620" spans="1:50" x14ac:dyDescent="0.2">
      <c r="A620" s="2"/>
      <c r="B620" s="61">
        <f t="shared" si="190"/>
        <v>42211</v>
      </c>
      <c r="C620" s="62">
        <f t="shared" si="176"/>
        <v>207</v>
      </c>
      <c r="D620" s="63">
        <f t="shared" si="177"/>
        <v>7.0173165283065222</v>
      </c>
      <c r="G620" s="357" t="str">
        <f>IF(MakeSchedule!C587="","",MakeSchedule!C587)</f>
        <v/>
      </c>
      <c r="H620" s="358"/>
      <c r="I620" s="358"/>
      <c r="J620" s="359" t="str">
        <f>IF(MakeSchedule!B587="","",MakeSchedule!B587)</f>
        <v/>
      </c>
      <c r="K620" s="63">
        <f t="shared" si="170"/>
        <v>7.0173165283065222</v>
      </c>
      <c r="L620" s="63">
        <f t="shared" si="178"/>
        <v>7.0173165283065222</v>
      </c>
      <c r="M620" s="63">
        <f t="shared" si="179"/>
        <v>30.823319353893602</v>
      </c>
      <c r="N620" s="63" t="str">
        <f t="shared" si="171"/>
        <v/>
      </c>
      <c r="O620" s="64">
        <f t="shared" si="180"/>
        <v>0.17270641940425252</v>
      </c>
      <c r="P620" s="63" t="str">
        <f t="shared" si="181"/>
        <v/>
      </c>
      <c r="Q620" s="64" t="e">
        <f t="shared" si="172"/>
        <v>#N/A</v>
      </c>
      <c r="R620" s="63">
        <f t="shared" si="185"/>
        <v>0.17270641940425252</v>
      </c>
      <c r="S620" s="65">
        <f t="shared" si="173"/>
        <v>0.35</v>
      </c>
      <c r="T620" s="65">
        <f t="shared" si="182"/>
        <v>0.9</v>
      </c>
      <c r="U620" s="64" t="e">
        <f t="shared" si="183"/>
        <v>#N/A</v>
      </c>
      <c r="V620" s="63">
        <f t="shared" si="174"/>
        <v>6.3155848754758699</v>
      </c>
      <c r="W620" s="63" t="str">
        <f t="shared" si="175"/>
        <v/>
      </c>
      <c r="X620" s="63">
        <f t="shared" si="184"/>
        <v>0</v>
      </c>
      <c r="Y620" s="30"/>
      <c r="Z620" s="30"/>
      <c r="AA620" s="30"/>
      <c r="AB620" s="55">
        <f>PMSplint!N256</f>
        <v>7.0032437158915837</v>
      </c>
      <c r="AC620" s="55">
        <f>PMSplint!N255</f>
        <v>7.0173165283065222</v>
      </c>
      <c r="AD620" s="55">
        <f>IF(RnSplint!N256&lt;0,0,RnSplint!N256)</f>
        <v>30.812626535146325</v>
      </c>
      <c r="AE620" s="55">
        <f>IF(RnSplint!N255&lt;0,0,RnSplint!N255)</f>
        <v>30.823319353893602</v>
      </c>
      <c r="AF620" s="30"/>
      <c r="AG620" s="30"/>
      <c r="AH620" s="30"/>
      <c r="AI620" s="30"/>
      <c r="AJ620" s="30"/>
      <c r="AK620" s="30"/>
      <c r="AL620" s="30"/>
      <c r="AM620" s="30"/>
      <c r="AN620" s="55">
        <f t="shared" si="186"/>
        <v>216.29698835934789</v>
      </c>
      <c r="AO620" s="55">
        <f t="shared" si="187"/>
        <v>14.707038735222937</v>
      </c>
      <c r="AP620" s="55">
        <f t="shared" si="188"/>
        <v>0.17270641940425252</v>
      </c>
      <c r="AQ620" s="55"/>
      <c r="AR620" s="55"/>
      <c r="AS620" s="55"/>
      <c r="AT620" s="55"/>
      <c r="AU620" s="30"/>
      <c r="AV620" s="30"/>
      <c r="AW620" s="2"/>
      <c r="AX620" s="2"/>
    </row>
    <row r="621" spans="1:50" x14ac:dyDescent="0.2">
      <c r="A621" s="2"/>
      <c r="B621" s="61">
        <f t="shared" si="190"/>
        <v>42212</v>
      </c>
      <c r="C621" s="62">
        <f t="shared" si="176"/>
        <v>208</v>
      </c>
      <c r="D621" s="63">
        <f t="shared" si="177"/>
        <v>7.0032437158915837</v>
      </c>
      <c r="G621" s="357" t="str">
        <f>IF(MakeSchedule!C588="","",MakeSchedule!C588)</f>
        <v/>
      </c>
      <c r="H621" s="358"/>
      <c r="I621" s="358"/>
      <c r="J621" s="359" t="str">
        <f>IF(MakeSchedule!B588="","",MakeSchedule!B588)</f>
        <v/>
      </c>
      <c r="K621" s="63">
        <f t="shared" si="170"/>
        <v>7.0032437158915837</v>
      </c>
      <c r="L621" s="63">
        <f t="shared" si="178"/>
        <v>7.0032437158915837</v>
      </c>
      <c r="M621" s="63">
        <f t="shared" si="179"/>
        <v>30.812626535146325</v>
      </c>
      <c r="N621" s="63" t="str">
        <f t="shared" si="171"/>
        <v/>
      </c>
      <c r="O621" s="64">
        <f t="shared" si="180"/>
        <v>0.17290985095779965</v>
      </c>
      <c r="P621" s="63" t="str">
        <f t="shared" si="181"/>
        <v/>
      </c>
      <c r="Q621" s="64" t="e">
        <f t="shared" si="172"/>
        <v>#N/A</v>
      </c>
      <c r="R621" s="63">
        <f t="shared" si="185"/>
        <v>0.17290985095779965</v>
      </c>
      <c r="S621" s="65">
        <f t="shared" si="173"/>
        <v>0.35</v>
      </c>
      <c r="T621" s="65">
        <f t="shared" si="182"/>
        <v>0.9</v>
      </c>
      <c r="U621" s="64" t="e">
        <f t="shared" si="183"/>
        <v>#N/A</v>
      </c>
      <c r="V621" s="63">
        <f t="shared" si="174"/>
        <v>6.3029193443024258</v>
      </c>
      <c r="W621" s="63" t="str">
        <f t="shared" si="175"/>
        <v/>
      </c>
      <c r="X621" s="63">
        <f t="shared" si="184"/>
        <v>0</v>
      </c>
      <c r="Y621" s="30"/>
      <c r="Z621" s="30"/>
      <c r="AA621" s="30"/>
      <c r="AB621" s="55">
        <f>PMSplint!N257</f>
        <v>6.9883100900961344</v>
      </c>
      <c r="AC621" s="55">
        <f>PMSplint!N256</f>
        <v>7.0032437158915837</v>
      </c>
      <c r="AD621" s="55">
        <f>IF(RnSplint!N257&lt;0,0,RnSplint!N257)</f>
        <v>30.804187524736829</v>
      </c>
      <c r="AE621" s="55">
        <f>IF(RnSplint!N256&lt;0,0,RnSplint!N256)</f>
        <v>30.812626535146325</v>
      </c>
      <c r="AF621" s="30"/>
      <c r="AG621" s="30"/>
      <c r="AH621" s="30"/>
      <c r="AI621" s="30"/>
      <c r="AJ621" s="30"/>
      <c r="AK621" s="30"/>
      <c r="AL621" s="30"/>
      <c r="AM621" s="30"/>
      <c r="AN621" s="55">
        <f t="shared" si="186"/>
        <v>215.78833315237776</v>
      </c>
      <c r="AO621" s="55">
        <f t="shared" si="187"/>
        <v>14.689735639295138</v>
      </c>
      <c r="AP621" s="55">
        <f t="shared" si="188"/>
        <v>0.17290985095779965</v>
      </c>
      <c r="AQ621" s="55"/>
      <c r="AR621" s="55"/>
      <c r="AS621" s="55"/>
      <c r="AT621" s="55"/>
      <c r="AU621" s="30"/>
      <c r="AV621" s="30"/>
      <c r="AW621" s="2"/>
      <c r="AX621" s="2"/>
    </row>
    <row r="622" spans="1:50" x14ac:dyDescent="0.2">
      <c r="A622" s="2"/>
      <c r="B622" s="61">
        <f t="shared" si="190"/>
        <v>42213</v>
      </c>
      <c r="C622" s="62">
        <f t="shared" si="176"/>
        <v>209</v>
      </c>
      <c r="D622" s="63">
        <f t="shared" si="177"/>
        <v>6.9883100900961344</v>
      </c>
      <c r="G622" s="357" t="str">
        <f>IF(MakeSchedule!C589="","",MakeSchedule!C589)</f>
        <v/>
      </c>
      <c r="H622" s="358"/>
      <c r="I622" s="358"/>
      <c r="J622" s="359" t="str">
        <f>IF(MakeSchedule!B589="","",MakeSchedule!B589)</f>
        <v/>
      </c>
      <c r="K622" s="63">
        <f t="shared" si="170"/>
        <v>6.9883100900961344</v>
      </c>
      <c r="L622" s="63">
        <f t="shared" si="178"/>
        <v>6.9883100900961344</v>
      </c>
      <c r="M622" s="63">
        <f t="shared" si="179"/>
        <v>30.804187524736829</v>
      </c>
      <c r="N622" s="63" t="str">
        <f t="shared" si="171"/>
        <v/>
      </c>
      <c r="O622" s="64">
        <f t="shared" si="180"/>
        <v>0.17311821024555121</v>
      </c>
      <c r="P622" s="63" t="str">
        <f t="shared" si="181"/>
        <v/>
      </c>
      <c r="Q622" s="64" t="e">
        <f t="shared" si="172"/>
        <v>#N/A</v>
      </c>
      <c r="R622" s="63">
        <f t="shared" si="185"/>
        <v>0.17311821024555121</v>
      </c>
      <c r="S622" s="65">
        <f t="shared" si="173"/>
        <v>0.35</v>
      </c>
      <c r="T622" s="65">
        <f t="shared" si="182"/>
        <v>0.9</v>
      </c>
      <c r="U622" s="64" t="e">
        <f t="shared" si="183"/>
        <v>#N/A</v>
      </c>
      <c r="V622" s="63">
        <f t="shared" si="174"/>
        <v>6.2894790810865207</v>
      </c>
      <c r="W622" s="63" t="str">
        <f t="shared" si="175"/>
        <v/>
      </c>
      <c r="X622" s="63">
        <f t="shared" si="184"/>
        <v>0</v>
      </c>
      <c r="Y622" s="30"/>
      <c r="Z622" s="30"/>
      <c r="AA622" s="30"/>
      <c r="AB622" s="55">
        <f>PMSplint!N258</f>
        <v>6.9725256170349859</v>
      </c>
      <c r="AC622" s="55">
        <f>PMSplint!N257</f>
        <v>6.9883100900961344</v>
      </c>
      <c r="AD622" s="55">
        <f>IF(RnSplint!N258&lt;0,0,RnSplint!N258)</f>
        <v>30.797918981032041</v>
      </c>
      <c r="AE622" s="55">
        <f>IF(RnSplint!N257&lt;0,0,RnSplint!N257)</f>
        <v>30.804187524736829</v>
      </c>
      <c r="AF622" s="30"/>
      <c r="AG622" s="30"/>
      <c r="AH622" s="30"/>
      <c r="AI622" s="30"/>
      <c r="AJ622" s="30"/>
      <c r="AK622" s="30"/>
      <c r="AL622" s="30"/>
      <c r="AM622" s="30"/>
      <c r="AN622" s="55">
        <f t="shared" si="186"/>
        <v>215.26921449633184</v>
      </c>
      <c r="AO622" s="55">
        <f t="shared" si="187"/>
        <v>14.67205556479159</v>
      </c>
      <c r="AP622" s="55">
        <f t="shared" si="188"/>
        <v>0.17311821024555121</v>
      </c>
      <c r="AQ622" s="55"/>
      <c r="AR622" s="55"/>
      <c r="AS622" s="55"/>
      <c r="AT622" s="55"/>
      <c r="AU622" s="30"/>
      <c r="AV622" s="30"/>
      <c r="AW622" s="2"/>
      <c r="AX622" s="2"/>
    </row>
    <row r="623" spans="1:50" x14ac:dyDescent="0.2">
      <c r="A623" s="2"/>
      <c r="B623" s="61">
        <f t="shared" si="190"/>
        <v>42214</v>
      </c>
      <c r="C623" s="62">
        <f t="shared" si="176"/>
        <v>210</v>
      </c>
      <c r="D623" s="63">
        <f t="shared" si="177"/>
        <v>6.9725256170349859</v>
      </c>
      <c r="G623" s="357" t="str">
        <f>IF(MakeSchedule!C590="","",MakeSchedule!C590)</f>
        <v/>
      </c>
      <c r="H623" s="358"/>
      <c r="I623" s="358"/>
      <c r="J623" s="359" t="str">
        <f>IF(MakeSchedule!B590="","",MakeSchedule!B590)</f>
        <v/>
      </c>
      <c r="K623" s="63">
        <f t="shared" si="170"/>
        <v>6.9725256170349859</v>
      </c>
      <c r="L623" s="63">
        <f t="shared" si="178"/>
        <v>6.9725256170349859</v>
      </c>
      <c r="M623" s="63">
        <f t="shared" si="179"/>
        <v>30.797918981032041</v>
      </c>
      <c r="N623" s="63" t="str">
        <f t="shared" si="171"/>
        <v/>
      </c>
      <c r="O623" s="64">
        <f t="shared" si="180"/>
        <v>0.17333168992806935</v>
      </c>
      <c r="P623" s="63" t="str">
        <f t="shared" si="181"/>
        <v/>
      </c>
      <c r="Q623" s="64" t="e">
        <f t="shared" si="172"/>
        <v>#N/A</v>
      </c>
      <c r="R623" s="63">
        <f t="shared" si="185"/>
        <v>0.17333168992806935</v>
      </c>
      <c r="S623" s="65">
        <f t="shared" si="173"/>
        <v>0.35</v>
      </c>
      <c r="T623" s="65">
        <f t="shared" si="182"/>
        <v>0.9</v>
      </c>
      <c r="U623" s="64" t="e">
        <f t="shared" si="183"/>
        <v>#N/A</v>
      </c>
      <c r="V623" s="63">
        <f t="shared" si="174"/>
        <v>6.2752730553314873</v>
      </c>
      <c r="W623" s="63" t="str">
        <f t="shared" si="175"/>
        <v/>
      </c>
      <c r="X623" s="63">
        <f t="shared" si="184"/>
        <v>0</v>
      </c>
      <c r="Y623" s="30"/>
      <c r="Z623" s="30"/>
      <c r="AA623" s="30"/>
      <c r="AB623" s="55">
        <f>PMSplint!N259</f>
        <v>6.9559002628229436</v>
      </c>
      <c r="AC623" s="55">
        <f>PMSplint!N258</f>
        <v>6.9725256170349859</v>
      </c>
      <c r="AD623" s="55">
        <f>IF(RnSplint!N259&lt;0,0,RnSplint!N259)</f>
        <v>30.793737562398892</v>
      </c>
      <c r="AE623" s="55">
        <f>IF(RnSplint!N258&lt;0,0,RnSplint!N258)</f>
        <v>30.797918981032041</v>
      </c>
      <c r="AF623" s="30"/>
      <c r="AG623" s="30"/>
      <c r="AH623" s="30"/>
      <c r="AI623" s="30"/>
      <c r="AJ623" s="30"/>
      <c r="AK623" s="30"/>
      <c r="AL623" s="30"/>
      <c r="AM623" s="30"/>
      <c r="AN623" s="55">
        <f t="shared" si="186"/>
        <v>214.73927904661394</v>
      </c>
      <c r="AO623" s="55">
        <f t="shared" si="187"/>
        <v>14.653985090978288</v>
      </c>
      <c r="AP623" s="55">
        <f t="shared" si="188"/>
        <v>0.17333168992806935</v>
      </c>
      <c r="AQ623" s="55"/>
      <c r="AR623" s="55"/>
      <c r="AS623" s="55"/>
      <c r="AT623" s="55"/>
      <c r="AU623" s="30"/>
      <c r="AV623" s="30"/>
      <c r="AW623" s="2"/>
      <c r="AX623" s="2"/>
    </row>
    <row r="624" spans="1:50" x14ac:dyDescent="0.2">
      <c r="A624" s="2"/>
      <c r="B624" s="61">
        <f>B623+1</f>
        <v>42215</v>
      </c>
      <c r="C624" s="62">
        <f t="shared" si="176"/>
        <v>211</v>
      </c>
      <c r="D624" s="63">
        <f t="shared" si="177"/>
        <v>6.9559002628229436</v>
      </c>
      <c r="G624" s="357" t="str">
        <f>IF(MakeSchedule!C591="","",MakeSchedule!C591)</f>
        <v/>
      </c>
      <c r="H624" s="358"/>
      <c r="I624" s="358"/>
      <c r="J624" s="359" t="str">
        <f>IF(MakeSchedule!B591="","",MakeSchedule!B591)</f>
        <v/>
      </c>
      <c r="K624" s="63">
        <f t="shared" si="170"/>
        <v>6.9559002628229436</v>
      </c>
      <c r="L624" s="63">
        <f t="shared" si="178"/>
        <v>6.9559002628229436</v>
      </c>
      <c r="M624" s="63">
        <f t="shared" si="179"/>
        <v>30.793737562398892</v>
      </c>
      <c r="N624" s="63" t="str">
        <f t="shared" si="171"/>
        <v/>
      </c>
      <c r="O624" s="64">
        <f t="shared" si="180"/>
        <v>0.17355048888279748</v>
      </c>
      <c r="P624" s="63" t="str">
        <f t="shared" si="181"/>
        <v/>
      </c>
      <c r="Q624" s="64" t="e">
        <f t="shared" si="172"/>
        <v>#N/A</v>
      </c>
      <c r="R624" s="63">
        <f>IF(OR(P624="",O624&gt;P624),O624,P624)</f>
        <v>0.17355048888279748</v>
      </c>
      <c r="S624" s="65">
        <f t="shared" si="173"/>
        <v>0.35</v>
      </c>
      <c r="T624" s="65">
        <f t="shared" si="182"/>
        <v>0.9</v>
      </c>
      <c r="U624" s="64" t="e">
        <f t="shared" si="183"/>
        <v>#N/A</v>
      </c>
      <c r="V624" s="63">
        <f t="shared" si="174"/>
        <v>6.2603102365406498</v>
      </c>
      <c r="W624" s="63" t="str">
        <f t="shared" si="175"/>
        <v/>
      </c>
      <c r="X624" s="63">
        <f t="shared" si="184"/>
        <v>0</v>
      </c>
      <c r="Y624" s="30"/>
      <c r="Z624" s="30"/>
      <c r="AA624" s="30"/>
      <c r="AB624" s="55">
        <f>PMSplint!N260</f>
        <v>6.9384439935748148</v>
      </c>
      <c r="AC624" s="55">
        <f>PMSplint!N259</f>
        <v>6.9559002628229436</v>
      </c>
      <c r="AD624" s="55">
        <f>IF(RnSplint!N260&lt;0,0,RnSplint!N260)</f>
        <v>30.791559927204318</v>
      </c>
      <c r="AE624" s="55">
        <f>IF(RnSplint!N259&lt;0,0,RnSplint!N259)</f>
        <v>30.793737562398892</v>
      </c>
      <c r="AF624" s="30"/>
      <c r="AG624" s="30"/>
      <c r="AH624" s="30"/>
      <c r="AI624" s="30"/>
      <c r="AJ624" s="30"/>
      <c r="AK624" s="30"/>
      <c r="AL624" s="30"/>
      <c r="AM624" s="30"/>
      <c r="AN624" s="55">
        <f t="shared" si="186"/>
        <v>214.1981672035912</v>
      </c>
      <c r="AO624" s="55">
        <f t="shared" si="187"/>
        <v>14.635510486607265</v>
      </c>
      <c r="AP624" s="55">
        <f t="shared" si="188"/>
        <v>0.17355048888279748</v>
      </c>
      <c r="AQ624" s="55"/>
      <c r="AR624" s="55"/>
      <c r="AS624" s="55"/>
      <c r="AT624" s="55"/>
      <c r="AU624" s="30"/>
      <c r="AV624" s="30"/>
      <c r="AW624" s="2"/>
      <c r="AX624" s="2"/>
    </row>
    <row r="625" spans="1:50" x14ac:dyDescent="0.2">
      <c r="A625" s="2"/>
      <c r="B625" s="61">
        <f>B624+1</f>
        <v>42216</v>
      </c>
      <c r="C625" s="62">
        <f t="shared" si="176"/>
        <v>212</v>
      </c>
      <c r="D625" s="63">
        <f t="shared" si="177"/>
        <v>6.9384439935748148</v>
      </c>
      <c r="G625" s="357" t="str">
        <f>IF(MakeSchedule!C592="","",MakeSchedule!C592)</f>
        <v/>
      </c>
      <c r="H625" s="358"/>
      <c r="I625" s="358"/>
      <c r="J625" s="359" t="str">
        <f>IF(MakeSchedule!B592="","",MakeSchedule!B592)</f>
        <v/>
      </c>
      <c r="K625" s="63">
        <f t="shared" si="170"/>
        <v>6.9384439935748148</v>
      </c>
      <c r="L625" s="63">
        <f t="shared" si="178"/>
        <v>6.9384439935748148</v>
      </c>
      <c r="M625" s="63">
        <f t="shared" si="179"/>
        <v>30.791559927204318</v>
      </c>
      <c r="N625" s="63" t="str">
        <f>IF(C625=$E$7,O625,"")</f>
        <v/>
      </c>
      <c r="O625" s="64">
        <f t="shared" si="180"/>
        <v>0.1737748120625304</v>
      </c>
      <c r="P625" s="63" t="str">
        <f t="shared" si="181"/>
        <v/>
      </c>
      <c r="Q625" s="64" t="e">
        <f>IF(AND(C$49:C$625&lt;F$7,$U$44&gt;2),#N/A,IF(P625="",#N/A,P625))</f>
        <v>#N/A</v>
      </c>
      <c r="R625" s="63">
        <f>IF(OR(P625="",O625&gt;P625),O625,P625)</f>
        <v>0.1737748120625304</v>
      </c>
      <c r="S625" s="65">
        <f t="shared" si="173"/>
        <v>0.35</v>
      </c>
      <c r="T625" s="65">
        <f t="shared" si="182"/>
        <v>0.9</v>
      </c>
      <c r="U625" s="64" t="e">
        <f t="shared" si="183"/>
        <v>#N/A</v>
      </c>
      <c r="V625" s="63">
        <f t="shared" si="174"/>
        <v>6.2445995942173331</v>
      </c>
      <c r="W625" s="63" t="str">
        <f t="shared" si="175"/>
        <v/>
      </c>
      <c r="X625" s="63">
        <f t="shared" si="184"/>
        <v>0</v>
      </c>
      <c r="Y625" s="30"/>
      <c r="Z625" s="30"/>
      <c r="AA625" s="30"/>
      <c r="AB625" s="55">
        <f>PMSplint!N261</f>
        <v>6.9201667754054093</v>
      </c>
      <c r="AC625" s="55">
        <f>PMSplint!N260</f>
        <v>6.9384439935748148</v>
      </c>
      <c r="AD625" s="55">
        <f>IF(RnSplint!N261&lt;0,0,RnSplint!N261)</f>
        <v>30.791302733815247</v>
      </c>
      <c r="AE625" s="55">
        <f>IF(RnSplint!N260&lt;0,0,RnSplint!N260)</f>
        <v>30.791559927204318</v>
      </c>
      <c r="AF625" s="30"/>
      <c r="AG625" s="30"/>
      <c r="AH625" s="30"/>
      <c r="AI625" s="30"/>
      <c r="AJ625" s="30"/>
      <c r="AK625" s="30"/>
      <c r="AL625" s="30"/>
      <c r="AM625" s="30"/>
      <c r="AN625" s="55">
        <f t="shared" si="186"/>
        <v>213.64551402970977</v>
      </c>
      <c r="AO625" s="55">
        <f t="shared" si="187"/>
        <v>14.616617735636032</v>
      </c>
      <c r="AP625" s="55">
        <f t="shared" si="188"/>
        <v>0.1737748120625304</v>
      </c>
      <c r="AQ625" s="55"/>
      <c r="AR625" s="55"/>
      <c r="AS625" s="55"/>
      <c r="AT625" s="55"/>
      <c r="AU625" s="30"/>
      <c r="AV625" s="30"/>
      <c r="AW625" s="2"/>
      <c r="AX625" s="2"/>
    </row>
    <row r="626" spans="1:50" x14ac:dyDescent="0.2">
      <c r="A626" s="60" t="s">
        <v>75</v>
      </c>
      <c r="B626" s="60" t="s">
        <v>75</v>
      </c>
      <c r="C626" s="60" t="s">
        <v>75</v>
      </c>
      <c r="D626" s="60" t="s">
        <v>75</v>
      </c>
      <c r="E626" s="60" t="s">
        <v>75</v>
      </c>
      <c r="F626" s="60" t="s">
        <v>75</v>
      </c>
      <c r="G626" s="60" t="s">
        <v>75</v>
      </c>
      <c r="H626" s="60" t="s">
        <v>75</v>
      </c>
      <c r="I626" s="60" t="s">
        <v>75</v>
      </c>
      <c r="J626" s="60" t="s">
        <v>75</v>
      </c>
      <c r="K626" s="60" t="s">
        <v>75</v>
      </c>
      <c r="L626" s="60" t="s">
        <v>75</v>
      </c>
      <c r="M626" s="60" t="s">
        <v>75</v>
      </c>
      <c r="N626" s="60" t="s">
        <v>75</v>
      </c>
      <c r="O626" s="60" t="s">
        <v>75</v>
      </c>
      <c r="P626" s="60" t="s">
        <v>75</v>
      </c>
      <c r="Q626" s="60" t="s">
        <v>75</v>
      </c>
      <c r="R626" s="60" t="s">
        <v>75</v>
      </c>
      <c r="S626" s="60" t="s">
        <v>75</v>
      </c>
      <c r="T626" s="60" t="s">
        <v>75</v>
      </c>
      <c r="U626" s="60" t="s">
        <v>75</v>
      </c>
      <c r="V626" s="60" t="s">
        <v>75</v>
      </c>
      <c r="W626" s="60" t="s">
        <v>75</v>
      </c>
      <c r="X626" s="60" t="s">
        <v>75</v>
      </c>
      <c r="Y626" s="30"/>
      <c r="Z626" s="30"/>
      <c r="AA626" s="30"/>
      <c r="AB626" s="29" t="s">
        <v>75</v>
      </c>
      <c r="AC626" s="29" t="s">
        <v>75</v>
      </c>
      <c r="AD626" s="29" t="s">
        <v>75</v>
      </c>
      <c r="AE626" s="29" t="s">
        <v>75</v>
      </c>
      <c r="AF626" s="30"/>
      <c r="AG626" s="30"/>
      <c r="AH626" s="30"/>
      <c r="AI626" s="30"/>
      <c r="AJ626" s="30"/>
      <c r="AK626" s="30"/>
      <c r="AL626" s="30"/>
      <c r="AM626" s="30"/>
      <c r="AN626" s="30"/>
      <c r="AO626" s="30"/>
      <c r="AP626" s="30"/>
      <c r="AQ626" s="30"/>
      <c r="AR626" s="30"/>
      <c r="AS626" s="30"/>
      <c r="AT626" s="30"/>
      <c r="AU626" s="30"/>
      <c r="AV626" s="30"/>
      <c r="AW626" s="2"/>
      <c r="AX626" s="2"/>
    </row>
    <row r="627" spans="1:50" x14ac:dyDescent="0.2">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2"/>
      <c r="AX627" s="2"/>
    </row>
    <row r="628" spans="1:50" x14ac:dyDescent="0.2">
      <c r="A628" s="2"/>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2"/>
      <c r="AX628" s="2"/>
    </row>
    <row r="629" spans="1:50" x14ac:dyDescent="0.2">
      <c r="A629" s="2"/>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2"/>
      <c r="AX629" s="2"/>
    </row>
    <row r="630" spans="1:50" x14ac:dyDescent="0.2">
      <c r="A630" s="2"/>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2"/>
      <c r="AX630" s="2"/>
    </row>
    <row r="631" spans="1:50" x14ac:dyDescent="0.2">
      <c r="A631" s="2"/>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2"/>
      <c r="AX631" s="2"/>
    </row>
    <row r="632" spans="1:50" x14ac:dyDescent="0.2">
      <c r="A632" s="2"/>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2"/>
      <c r="AX632" s="2"/>
    </row>
    <row r="633" spans="1:50" x14ac:dyDescent="0.2">
      <c r="A633" s="2"/>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2"/>
      <c r="AX633" s="2"/>
    </row>
    <row r="634" spans="1:50"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row>
    <row r="635" spans="1:50"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row>
    <row r="636" spans="1:50"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row>
    <row r="637" spans="1:50"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row>
    <row r="638" spans="1:50"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row>
    <row r="639" spans="1:50"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row>
    <row r="640" spans="1:50"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row>
    <row r="641" spans="1:50"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row>
    <row r="642" spans="1:50"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row>
    <row r="643" spans="1:50"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row>
  </sheetData>
  <mergeCells count="2">
    <mergeCell ref="N4:O5"/>
    <mergeCell ref="Q4:R5"/>
  </mergeCells>
  <phoneticPr fontId="0" type="noConversion"/>
  <pageMargins left="0.75" right="0.75" top="1" bottom="1" header="0.5" footer="0.5"/>
  <pageSetup orientation="portrait" horizontalDpi="360" verticalDpi="36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Z129"/>
  <sheetViews>
    <sheetView topLeftCell="A3" zoomScale="120" workbookViewId="0">
      <pane xSplit="2" ySplit="2" topLeftCell="C5" activePane="bottomRight" state="frozen"/>
      <selection activeCell="A3" sqref="A3"/>
      <selection pane="topRight" activeCell="C3" sqref="C3"/>
      <selection pane="bottomLeft" activeCell="A5" sqref="A5"/>
      <selection pane="bottomRight" activeCell="G56" sqref="G56"/>
    </sheetView>
  </sheetViews>
  <sheetFormatPr defaultRowHeight="12.75" x14ac:dyDescent="0.2"/>
  <cols>
    <col min="2" max="2" width="18.5703125" customWidth="1"/>
  </cols>
  <sheetData>
    <row r="1" spans="1:26" ht="13.5" thickBot="1" x14ac:dyDescent="0.25">
      <c r="A1" s="20">
        <f>Crop!$D$2</f>
        <v>3.07</v>
      </c>
      <c r="B1" s="20" t="str">
        <f>CONCATENATE(N1,O1,P1,Q1)</f>
        <v>Stone fruits</v>
      </c>
      <c r="C1" s="20">
        <f t="shared" ref="C1:M1" si="0">SUM(O5:O101)</f>
        <v>0</v>
      </c>
      <c r="D1" s="20">
        <f t="shared" si="0"/>
        <v>50</v>
      </c>
      <c r="E1" s="20">
        <f t="shared" si="0"/>
        <v>90</v>
      </c>
      <c r="F1" s="25">
        <f t="shared" si="0"/>
        <v>0.55000000000000004</v>
      </c>
      <c r="G1" s="25">
        <f t="shared" si="0"/>
        <v>1.1499999999999999</v>
      </c>
      <c r="H1" s="25">
        <f t="shared" si="0"/>
        <v>1.1499999999999999</v>
      </c>
      <c r="I1" s="25">
        <f t="shared" si="0"/>
        <v>0.65</v>
      </c>
      <c r="J1" s="20">
        <f t="shared" si="0"/>
        <v>3</v>
      </c>
      <c r="K1" s="20">
        <f t="shared" si="0"/>
        <v>1</v>
      </c>
      <c r="L1" s="20">
        <f t="shared" si="0"/>
        <v>10</v>
      </c>
      <c r="M1" s="20">
        <f t="shared" si="0"/>
        <v>15</v>
      </c>
      <c r="N1" s="20" t="str">
        <f>CONCATENATE(N6,N7,N8,N9,N10,N11,N12,N13,N14,N15,N16,N17,N18,N19,N20,N21,N22,N23,N24,N25,N26,N27,N28,N29,N30,N31,N32,N33,N34,N35)</f>
        <v/>
      </c>
      <c r="O1" s="20" t="str">
        <f>CONCATENATE(N36,N37,N38,N39,N40,N41,N42,N43,N44,N45,N46,N47,N48,N49,N50,N51,N52,N53,N54,N55,N56,N57,N60,N61,N62,N63,N64,N65,N66,N67)</f>
        <v>Stone fruits</v>
      </c>
      <c r="P1" s="20" t="str">
        <f>CONCATENATE(N68,N69,N70,N71,N72,N73,N74,N75,N76,N77,N78,N79,N80,N81,N82,N83,N84,N85,N86,N87,N88,N89,N90,N91,N92,N93,N94,N95,N96,N97)</f>
        <v/>
      </c>
      <c r="Q1" s="20" t="str">
        <f>CONCATENATE(N98,N99,N100,N101,N102,N103,N104,N105,N106,N107,N108,N109,N110,N111,N112,N113,N114,N115,N116,N117,N118,N119,N120,N121,N122,N123,N124,N125,N126,N127)</f>
        <v/>
      </c>
      <c r="R1" s="20"/>
      <c r="S1" s="20"/>
      <c r="T1" s="20"/>
      <c r="U1" s="20"/>
      <c r="V1" s="20"/>
      <c r="W1" s="20"/>
      <c r="X1" s="20"/>
      <c r="Y1" s="20"/>
      <c r="Z1" s="39"/>
    </row>
    <row r="2" spans="1:26" ht="17.25" thickTop="1" thickBot="1" x14ac:dyDescent="0.3">
      <c r="A2" s="383" t="s">
        <v>142</v>
      </c>
      <c r="B2" s="384"/>
      <c r="C2" s="384"/>
      <c r="D2" s="384"/>
      <c r="E2" s="384"/>
      <c r="F2" s="384"/>
      <c r="G2" s="384"/>
      <c r="H2" s="384"/>
      <c r="I2" s="384"/>
      <c r="J2" s="384"/>
      <c r="K2" s="384"/>
      <c r="L2" s="384"/>
      <c r="M2" s="384"/>
      <c r="N2" s="20"/>
      <c r="O2" s="20"/>
      <c r="P2" s="20"/>
      <c r="Q2" s="20"/>
      <c r="R2" s="20"/>
      <c r="S2" s="20"/>
      <c r="T2" s="20"/>
      <c r="U2" s="20"/>
      <c r="V2" s="20"/>
      <c r="W2" s="20"/>
      <c r="X2" s="20"/>
      <c r="Y2" s="20"/>
      <c r="Z2" s="39"/>
    </row>
    <row r="3" spans="1:26" ht="15.75" thickTop="1" x14ac:dyDescent="0.25">
      <c r="A3" s="21" t="s">
        <v>76</v>
      </c>
      <c r="B3" s="22" t="s">
        <v>76</v>
      </c>
      <c r="C3" s="22" t="s">
        <v>77</v>
      </c>
      <c r="D3" s="22" t="s">
        <v>77</v>
      </c>
      <c r="E3" s="22" t="s">
        <v>77</v>
      </c>
      <c r="F3" s="22"/>
      <c r="G3" s="22"/>
      <c r="H3" s="22"/>
      <c r="I3" s="22"/>
      <c r="J3" s="22" t="s">
        <v>78</v>
      </c>
      <c r="K3" s="22" t="s">
        <v>78</v>
      </c>
      <c r="L3" s="22" t="s">
        <v>79</v>
      </c>
      <c r="M3" s="22" t="s">
        <v>79</v>
      </c>
      <c r="N3" s="22" t="s">
        <v>76</v>
      </c>
      <c r="O3" s="22" t="s">
        <v>77</v>
      </c>
      <c r="P3" s="22" t="s">
        <v>77</v>
      </c>
      <c r="Q3" s="22" t="s">
        <v>77</v>
      </c>
      <c r="R3" s="22"/>
      <c r="S3" s="22"/>
      <c r="T3" s="22"/>
      <c r="U3" s="22"/>
      <c r="V3" s="22" t="s">
        <v>78</v>
      </c>
      <c r="W3" s="22" t="s">
        <v>78</v>
      </c>
      <c r="X3" s="22" t="s">
        <v>79</v>
      </c>
      <c r="Y3" s="22" t="s">
        <v>79</v>
      </c>
      <c r="Z3" s="39"/>
    </row>
    <row r="4" spans="1:26" ht="15.75" thickBot="1" x14ac:dyDescent="0.3">
      <c r="A4" s="23" t="s">
        <v>80</v>
      </c>
      <c r="B4" s="24" t="s">
        <v>81</v>
      </c>
      <c r="C4" s="24" t="s">
        <v>17</v>
      </c>
      <c r="D4" s="24" t="s">
        <v>69</v>
      </c>
      <c r="E4" s="24" t="s">
        <v>4</v>
      </c>
      <c r="F4" s="22" t="s">
        <v>56</v>
      </c>
      <c r="G4" s="22" t="s">
        <v>57</v>
      </c>
      <c r="H4" s="22" t="s">
        <v>60</v>
      </c>
      <c r="I4" s="22" t="s">
        <v>58</v>
      </c>
      <c r="J4" s="24" t="s">
        <v>0</v>
      </c>
      <c r="K4" s="24" t="s">
        <v>34</v>
      </c>
      <c r="L4" s="24" t="s">
        <v>0</v>
      </c>
      <c r="M4" s="24" t="s">
        <v>34</v>
      </c>
      <c r="N4" s="80" t="s">
        <v>81</v>
      </c>
      <c r="O4" s="80" t="s">
        <v>17</v>
      </c>
      <c r="P4" s="80" t="s">
        <v>69</v>
      </c>
      <c r="Q4" s="80" t="s">
        <v>4</v>
      </c>
      <c r="R4" s="81" t="s">
        <v>56</v>
      </c>
      <c r="S4" s="81" t="s">
        <v>57</v>
      </c>
      <c r="T4" s="81" t="s">
        <v>60</v>
      </c>
      <c r="U4" s="81" t="s">
        <v>58</v>
      </c>
      <c r="V4" s="80" t="s">
        <v>0</v>
      </c>
      <c r="W4" s="80" t="s">
        <v>34</v>
      </c>
      <c r="X4" s="80" t="s">
        <v>0</v>
      </c>
      <c r="Y4" s="80" t="s">
        <v>34</v>
      </c>
      <c r="Z4" s="39"/>
    </row>
    <row r="5" spans="1:26" ht="13.5" thickTop="1" x14ac:dyDescent="0.2">
      <c r="A5" s="209">
        <v>1.01</v>
      </c>
      <c r="B5" s="210" t="s">
        <v>83</v>
      </c>
      <c r="C5" s="211">
        <v>7</v>
      </c>
      <c r="D5" s="211">
        <v>30</v>
      </c>
      <c r="E5" s="211">
        <v>100</v>
      </c>
      <c r="F5" s="212">
        <v>0.4</v>
      </c>
      <c r="G5" s="212">
        <v>1.1499999999999999</v>
      </c>
      <c r="H5" s="212">
        <v>1.1499999999999999</v>
      </c>
      <c r="I5" s="212">
        <v>0.4</v>
      </c>
      <c r="J5" s="210">
        <v>6</v>
      </c>
      <c r="K5" s="210">
        <v>20</v>
      </c>
      <c r="L5" s="210">
        <v>7</v>
      </c>
      <c r="M5" s="210">
        <v>20</v>
      </c>
      <c r="N5" s="208" t="str">
        <f>IF($A$1=$A5,B5,"")</f>
        <v/>
      </c>
      <c r="O5" s="208" t="str">
        <f t="shared" ref="O5:Y5" si="1">IF($A$1=$A5,C5,"")</f>
        <v/>
      </c>
      <c r="P5" s="208" t="str">
        <f t="shared" si="1"/>
        <v/>
      </c>
      <c r="Q5" s="208" t="str">
        <f t="shared" si="1"/>
        <v/>
      </c>
      <c r="R5" s="208" t="str">
        <f t="shared" si="1"/>
        <v/>
      </c>
      <c r="S5" s="208" t="str">
        <f t="shared" si="1"/>
        <v/>
      </c>
      <c r="T5" s="208" t="str">
        <f t="shared" si="1"/>
        <v/>
      </c>
      <c r="U5" s="208" t="str">
        <f t="shared" si="1"/>
        <v/>
      </c>
      <c r="V5" s="208" t="str">
        <f t="shared" si="1"/>
        <v/>
      </c>
      <c r="W5" s="208" t="str">
        <f t="shared" si="1"/>
        <v/>
      </c>
      <c r="X5" s="208" t="str">
        <f t="shared" si="1"/>
        <v/>
      </c>
      <c r="Y5" s="208" t="str">
        <f t="shared" si="1"/>
        <v/>
      </c>
      <c r="Z5" s="39"/>
    </row>
    <row r="6" spans="1:26" x14ac:dyDescent="0.2">
      <c r="A6" s="213">
        <v>1.02</v>
      </c>
      <c r="B6" s="214" t="s">
        <v>84</v>
      </c>
      <c r="C6" s="215">
        <v>6</v>
      </c>
      <c r="D6" s="215">
        <v>19</v>
      </c>
      <c r="E6" s="215">
        <v>90</v>
      </c>
      <c r="F6" s="216">
        <v>0.65</v>
      </c>
      <c r="G6" s="216">
        <v>0.65</v>
      </c>
      <c r="H6" s="216">
        <v>0.65</v>
      </c>
      <c r="I6" s="216">
        <v>0.65</v>
      </c>
      <c r="J6" s="214">
        <v>7</v>
      </c>
      <c r="K6" s="214">
        <v>1</v>
      </c>
      <c r="L6" s="214">
        <v>5</v>
      </c>
      <c r="M6" s="214">
        <v>1</v>
      </c>
      <c r="N6" s="208" t="str">
        <f t="shared" ref="N6:N20" si="2">IF($A$1=$A6,B6,"")</f>
        <v/>
      </c>
      <c r="O6" s="208" t="str">
        <f t="shared" ref="O6:O68" si="3">IF($A$1=$A6,C6,"")</f>
        <v/>
      </c>
      <c r="P6" s="208" t="str">
        <f t="shared" ref="P6:P68" si="4">IF($A$1=$A6,D6,"")</f>
        <v/>
      </c>
      <c r="Q6" s="208" t="str">
        <f t="shared" ref="Q6:Q68" si="5">IF($A$1=$A6,E6,"")</f>
        <v/>
      </c>
      <c r="R6" s="208" t="str">
        <f t="shared" ref="R6:R68" si="6">IF($A$1=$A6,F6,"")</f>
        <v/>
      </c>
      <c r="S6" s="208" t="str">
        <f t="shared" ref="S6:S68" si="7">IF($A$1=$A6,G6,"")</f>
        <v/>
      </c>
      <c r="T6" s="208" t="str">
        <f t="shared" ref="T6:T68" si="8">IF($A$1=$A6,H6,"")</f>
        <v/>
      </c>
      <c r="U6" s="208" t="str">
        <f t="shared" ref="U6:U68" si="9">IF($A$1=$A6,I6,"")</f>
        <v/>
      </c>
      <c r="V6" s="208" t="str">
        <f t="shared" ref="V6:V68" si="10">IF($A$1=$A6,J6,"")</f>
        <v/>
      </c>
      <c r="W6" s="208" t="str">
        <f t="shared" ref="W6:W68" si="11">IF($A$1=$A6,K6,"")</f>
        <v/>
      </c>
      <c r="X6" s="208" t="str">
        <f t="shared" ref="X6:X68" si="12">IF($A$1=$A6,L6,"")</f>
        <v/>
      </c>
      <c r="Y6" s="208" t="str">
        <f t="shared" ref="Y6:Y68" si="13">IF($A$1=$A6,M6,"")</f>
        <v/>
      </c>
      <c r="Z6" s="39"/>
    </row>
    <row r="7" spans="1:26" x14ac:dyDescent="0.2">
      <c r="A7" s="213">
        <v>1.03</v>
      </c>
      <c r="B7" s="214" t="s">
        <v>85</v>
      </c>
      <c r="C7" s="215">
        <v>12</v>
      </c>
      <c r="D7" s="215">
        <v>25</v>
      </c>
      <c r="E7" s="215">
        <v>95</v>
      </c>
      <c r="F7" s="216">
        <v>0.25</v>
      </c>
      <c r="G7" s="216">
        <v>1</v>
      </c>
      <c r="H7" s="216">
        <v>1</v>
      </c>
      <c r="I7" s="216">
        <v>0.25</v>
      </c>
      <c r="J7" s="214">
        <v>1</v>
      </c>
      <c r="K7" s="214">
        <v>1</v>
      </c>
      <c r="L7" s="214">
        <v>12</v>
      </c>
      <c r="M7" s="214">
        <v>31</v>
      </c>
      <c r="N7" s="208" t="str">
        <f t="shared" si="2"/>
        <v/>
      </c>
      <c r="O7" s="208" t="str">
        <f t="shared" si="3"/>
        <v/>
      </c>
      <c r="P7" s="208" t="str">
        <f t="shared" si="4"/>
        <v/>
      </c>
      <c r="Q7" s="208" t="str">
        <f t="shared" si="5"/>
        <v/>
      </c>
      <c r="R7" s="208" t="str">
        <f t="shared" si="6"/>
        <v/>
      </c>
      <c r="S7" s="208" t="str">
        <f t="shared" si="7"/>
        <v/>
      </c>
      <c r="T7" s="208" t="str">
        <f t="shared" si="8"/>
        <v/>
      </c>
      <c r="U7" s="208" t="str">
        <f t="shared" si="9"/>
        <v/>
      </c>
      <c r="V7" s="208" t="str">
        <f t="shared" si="10"/>
        <v/>
      </c>
      <c r="W7" s="208" t="str">
        <f t="shared" si="11"/>
        <v/>
      </c>
      <c r="X7" s="208" t="str">
        <f t="shared" si="12"/>
        <v/>
      </c>
      <c r="Y7" s="208" t="str">
        <f t="shared" si="13"/>
        <v/>
      </c>
      <c r="Z7" s="39"/>
    </row>
    <row r="8" spans="1:26" x14ac:dyDescent="0.2">
      <c r="A8" s="213">
        <v>1.04</v>
      </c>
      <c r="B8" s="214" t="s">
        <v>86</v>
      </c>
      <c r="C8" s="215">
        <v>20</v>
      </c>
      <c r="D8" s="215">
        <v>45</v>
      </c>
      <c r="E8" s="215">
        <v>75</v>
      </c>
      <c r="F8" s="216">
        <v>0.7</v>
      </c>
      <c r="G8" s="216">
        <v>1.1000000000000001</v>
      </c>
      <c r="H8" s="216">
        <v>1.1000000000000001</v>
      </c>
      <c r="I8" s="216">
        <v>0.15</v>
      </c>
      <c r="J8" s="214">
        <v>11</v>
      </c>
      <c r="K8" s="214">
        <v>1</v>
      </c>
      <c r="L8" s="214">
        <v>5</v>
      </c>
      <c r="M8" s="214">
        <v>31</v>
      </c>
      <c r="N8" s="208" t="str">
        <f t="shared" si="2"/>
        <v/>
      </c>
      <c r="O8" s="208" t="str">
        <f t="shared" si="3"/>
        <v/>
      </c>
      <c r="P8" s="208" t="str">
        <f t="shared" si="4"/>
        <v/>
      </c>
      <c r="Q8" s="208" t="str">
        <f t="shared" si="5"/>
        <v/>
      </c>
      <c r="R8" s="208" t="str">
        <f t="shared" si="6"/>
        <v/>
      </c>
      <c r="S8" s="208" t="str">
        <f t="shared" si="7"/>
        <v/>
      </c>
      <c r="T8" s="208" t="str">
        <f t="shared" si="8"/>
        <v/>
      </c>
      <c r="U8" s="208" t="str">
        <f t="shared" si="9"/>
        <v/>
      </c>
      <c r="V8" s="208" t="str">
        <f t="shared" si="10"/>
        <v/>
      </c>
      <c r="W8" s="208" t="str">
        <f t="shared" si="11"/>
        <v/>
      </c>
      <c r="X8" s="208" t="str">
        <f t="shared" si="12"/>
        <v/>
      </c>
      <c r="Y8" s="208" t="str">
        <f t="shared" si="13"/>
        <v/>
      </c>
      <c r="Z8" s="39"/>
    </row>
    <row r="9" spans="1:26" x14ac:dyDescent="0.2">
      <c r="A9" s="213">
        <v>1.05</v>
      </c>
      <c r="B9" s="214" t="s">
        <v>87</v>
      </c>
      <c r="C9" s="215">
        <v>24</v>
      </c>
      <c r="D9" s="215">
        <v>40</v>
      </c>
      <c r="E9" s="215">
        <v>91</v>
      </c>
      <c r="F9" s="216">
        <v>0.2</v>
      </c>
      <c r="G9" s="216">
        <v>0.9</v>
      </c>
      <c r="H9" s="216">
        <v>0.9</v>
      </c>
      <c r="I9" s="216">
        <v>0.1</v>
      </c>
      <c r="J9" s="214">
        <v>6</v>
      </c>
      <c r="K9" s="214">
        <v>15</v>
      </c>
      <c r="L9" s="214">
        <v>9</v>
      </c>
      <c r="M9" s="214">
        <v>30</v>
      </c>
      <c r="N9" s="208" t="str">
        <f t="shared" si="2"/>
        <v/>
      </c>
      <c r="O9" s="208" t="str">
        <f t="shared" si="3"/>
        <v/>
      </c>
      <c r="P9" s="208" t="str">
        <f t="shared" si="4"/>
        <v/>
      </c>
      <c r="Q9" s="208" t="str">
        <f t="shared" si="5"/>
        <v/>
      </c>
      <c r="R9" s="208" t="str">
        <f t="shared" si="6"/>
        <v/>
      </c>
      <c r="S9" s="208" t="str">
        <f t="shared" si="7"/>
        <v/>
      </c>
      <c r="T9" s="208" t="str">
        <f t="shared" si="8"/>
        <v/>
      </c>
      <c r="U9" s="208" t="str">
        <f t="shared" si="9"/>
        <v/>
      </c>
      <c r="V9" s="208" t="str">
        <f t="shared" si="10"/>
        <v/>
      </c>
      <c r="W9" s="208" t="str">
        <f t="shared" si="11"/>
        <v/>
      </c>
      <c r="X9" s="208" t="str">
        <f t="shared" si="12"/>
        <v/>
      </c>
      <c r="Y9" s="208" t="str">
        <f t="shared" si="13"/>
        <v/>
      </c>
      <c r="Z9" s="39"/>
    </row>
    <row r="10" spans="1:26" x14ac:dyDescent="0.2">
      <c r="A10" s="213">
        <v>1.06</v>
      </c>
      <c r="B10" s="214" t="s">
        <v>88</v>
      </c>
      <c r="C10" s="215">
        <v>24</v>
      </c>
      <c r="D10" s="215">
        <v>40</v>
      </c>
      <c r="E10" s="215">
        <v>91</v>
      </c>
      <c r="F10" s="216">
        <v>0.2</v>
      </c>
      <c r="G10" s="216">
        <v>1</v>
      </c>
      <c r="H10" s="216">
        <v>1</v>
      </c>
      <c r="I10" s="216">
        <v>0.1</v>
      </c>
      <c r="J10" s="214">
        <v>6</v>
      </c>
      <c r="K10" s="214">
        <v>15</v>
      </c>
      <c r="L10" s="214">
        <v>9</v>
      </c>
      <c r="M10" s="214">
        <v>30</v>
      </c>
      <c r="N10" s="208" t="str">
        <f t="shared" si="2"/>
        <v/>
      </c>
      <c r="O10" s="208" t="str">
        <f t="shared" si="3"/>
        <v/>
      </c>
      <c r="P10" s="208" t="str">
        <f t="shared" si="4"/>
        <v/>
      </c>
      <c r="Q10" s="208" t="str">
        <f t="shared" si="5"/>
        <v/>
      </c>
      <c r="R10" s="208" t="str">
        <f t="shared" si="6"/>
        <v/>
      </c>
      <c r="S10" s="208" t="str">
        <f t="shared" si="7"/>
        <v/>
      </c>
      <c r="T10" s="208" t="str">
        <f t="shared" si="8"/>
        <v/>
      </c>
      <c r="U10" s="208" t="str">
        <f t="shared" si="9"/>
        <v/>
      </c>
      <c r="V10" s="208" t="str">
        <f t="shared" si="10"/>
        <v/>
      </c>
      <c r="W10" s="208" t="str">
        <f t="shared" si="11"/>
        <v/>
      </c>
      <c r="X10" s="208" t="str">
        <f t="shared" si="12"/>
        <v/>
      </c>
      <c r="Y10" s="208" t="str">
        <f t="shared" si="13"/>
        <v/>
      </c>
      <c r="Z10" s="39"/>
    </row>
    <row r="11" spans="1:26" x14ac:dyDescent="0.2">
      <c r="A11" s="213">
        <v>1.07</v>
      </c>
      <c r="B11" s="214" t="s">
        <v>89</v>
      </c>
      <c r="C11" s="215">
        <v>22</v>
      </c>
      <c r="D11" s="215">
        <v>56</v>
      </c>
      <c r="E11" s="215">
        <v>89</v>
      </c>
      <c r="F11" s="216">
        <v>0.8</v>
      </c>
      <c r="G11" s="216">
        <v>1</v>
      </c>
      <c r="H11" s="216">
        <v>1</v>
      </c>
      <c r="I11" s="216">
        <v>0.85</v>
      </c>
      <c r="J11" s="214">
        <v>3</v>
      </c>
      <c r="K11" s="214">
        <v>1</v>
      </c>
      <c r="L11" s="214">
        <v>5</v>
      </c>
      <c r="M11" s="214">
        <v>31</v>
      </c>
      <c r="N11" s="208" t="str">
        <f t="shared" si="2"/>
        <v/>
      </c>
      <c r="O11" s="208" t="str">
        <f t="shared" si="3"/>
        <v/>
      </c>
      <c r="P11" s="208" t="str">
        <f t="shared" si="4"/>
        <v/>
      </c>
      <c r="Q11" s="208" t="str">
        <f t="shared" si="5"/>
        <v/>
      </c>
      <c r="R11" s="208" t="str">
        <f t="shared" si="6"/>
        <v/>
      </c>
      <c r="S11" s="208" t="str">
        <f t="shared" si="7"/>
        <v/>
      </c>
      <c r="T11" s="208" t="str">
        <f t="shared" si="8"/>
        <v/>
      </c>
      <c r="U11" s="208" t="str">
        <f t="shared" si="9"/>
        <v/>
      </c>
      <c r="V11" s="208" t="str">
        <f t="shared" si="10"/>
        <v/>
      </c>
      <c r="W11" s="208" t="str">
        <f t="shared" si="11"/>
        <v/>
      </c>
      <c r="X11" s="208" t="str">
        <f t="shared" si="12"/>
        <v/>
      </c>
      <c r="Y11" s="208" t="str">
        <f t="shared" si="13"/>
        <v/>
      </c>
      <c r="Z11" s="39"/>
    </row>
    <row r="12" spans="1:26" x14ac:dyDescent="0.2">
      <c r="A12" s="213">
        <v>1.08</v>
      </c>
      <c r="B12" s="214" t="s">
        <v>90</v>
      </c>
      <c r="C12" s="215">
        <v>25</v>
      </c>
      <c r="D12" s="215">
        <v>60</v>
      </c>
      <c r="E12" s="215">
        <v>90</v>
      </c>
      <c r="F12" s="216">
        <v>0.3</v>
      </c>
      <c r="G12" s="216">
        <v>0.9</v>
      </c>
      <c r="H12" s="216">
        <v>0.9</v>
      </c>
      <c r="I12" s="216">
        <v>0.9</v>
      </c>
      <c r="J12" s="214">
        <v>4</v>
      </c>
      <c r="K12" s="214">
        <v>1</v>
      </c>
      <c r="L12" s="214">
        <v>6</v>
      </c>
      <c r="M12" s="214">
        <v>20</v>
      </c>
      <c r="N12" s="208" t="str">
        <f t="shared" si="2"/>
        <v/>
      </c>
      <c r="O12" s="208" t="str">
        <f t="shared" si="3"/>
        <v/>
      </c>
      <c r="P12" s="208" t="str">
        <f t="shared" si="4"/>
        <v/>
      </c>
      <c r="Q12" s="208" t="str">
        <f t="shared" si="5"/>
        <v/>
      </c>
      <c r="R12" s="208" t="str">
        <f t="shared" si="6"/>
        <v/>
      </c>
      <c r="S12" s="208" t="str">
        <f t="shared" si="7"/>
        <v/>
      </c>
      <c r="T12" s="208" t="str">
        <f t="shared" si="8"/>
        <v/>
      </c>
      <c r="U12" s="208" t="str">
        <f t="shared" si="9"/>
        <v/>
      </c>
      <c r="V12" s="208" t="str">
        <f t="shared" si="10"/>
        <v/>
      </c>
      <c r="W12" s="208" t="str">
        <f t="shared" si="11"/>
        <v/>
      </c>
      <c r="X12" s="208" t="str">
        <f t="shared" si="12"/>
        <v/>
      </c>
      <c r="Y12" s="208" t="str">
        <f t="shared" si="13"/>
        <v/>
      </c>
      <c r="Z12" s="39"/>
    </row>
    <row r="13" spans="1:26" x14ac:dyDescent="0.2">
      <c r="A13" s="213">
        <v>1.0900000000000001</v>
      </c>
      <c r="B13" s="214" t="s">
        <v>91</v>
      </c>
      <c r="C13" s="215">
        <v>20</v>
      </c>
      <c r="D13" s="215">
        <v>50</v>
      </c>
      <c r="E13" s="215">
        <v>83</v>
      </c>
      <c r="F13" s="216">
        <v>0.3</v>
      </c>
      <c r="G13" s="216">
        <v>1</v>
      </c>
      <c r="H13" s="216">
        <v>1</v>
      </c>
      <c r="I13" s="216">
        <v>0.8</v>
      </c>
      <c r="J13" s="214">
        <v>3</v>
      </c>
      <c r="K13" s="214">
        <v>15</v>
      </c>
      <c r="L13" s="214">
        <v>7</v>
      </c>
      <c r="M13" s="214">
        <v>1</v>
      </c>
      <c r="N13" s="208" t="str">
        <f t="shared" si="2"/>
        <v/>
      </c>
      <c r="O13" s="208" t="str">
        <f t="shared" si="3"/>
        <v/>
      </c>
      <c r="P13" s="208" t="str">
        <f t="shared" si="4"/>
        <v/>
      </c>
      <c r="Q13" s="208" t="str">
        <f t="shared" si="5"/>
        <v/>
      </c>
      <c r="R13" s="208" t="str">
        <f t="shared" si="6"/>
        <v/>
      </c>
      <c r="S13" s="208" t="str">
        <f t="shared" si="7"/>
        <v/>
      </c>
      <c r="T13" s="208" t="str">
        <f t="shared" si="8"/>
        <v/>
      </c>
      <c r="U13" s="208" t="str">
        <f t="shared" si="9"/>
        <v/>
      </c>
      <c r="V13" s="208" t="str">
        <f t="shared" si="10"/>
        <v/>
      </c>
      <c r="W13" s="208" t="str">
        <f t="shared" si="11"/>
        <v/>
      </c>
      <c r="X13" s="208" t="str">
        <f t="shared" si="12"/>
        <v/>
      </c>
      <c r="Y13" s="208" t="str">
        <f t="shared" si="13"/>
        <v/>
      </c>
      <c r="Z13" s="39"/>
    </row>
    <row r="14" spans="1:26" x14ac:dyDescent="0.2">
      <c r="A14" s="217">
        <v>1.1000000000000001</v>
      </c>
      <c r="B14" s="218" t="s">
        <v>92</v>
      </c>
      <c r="C14" s="219">
        <v>25</v>
      </c>
      <c r="D14" s="219">
        <v>63</v>
      </c>
      <c r="E14" s="219">
        <v>88</v>
      </c>
      <c r="F14" s="220">
        <v>0.3</v>
      </c>
      <c r="G14" s="220">
        <v>1</v>
      </c>
      <c r="H14" s="220">
        <v>1</v>
      </c>
      <c r="I14" s="220">
        <v>0.85</v>
      </c>
      <c r="J14" s="218">
        <v>8</v>
      </c>
      <c r="K14" s="218">
        <v>1</v>
      </c>
      <c r="L14" s="218">
        <v>11</v>
      </c>
      <c r="M14" s="218">
        <v>15</v>
      </c>
      <c r="N14" s="208" t="str">
        <f t="shared" si="2"/>
        <v/>
      </c>
      <c r="O14" s="208" t="str">
        <f t="shared" si="3"/>
        <v/>
      </c>
      <c r="P14" s="208" t="str">
        <f t="shared" si="4"/>
        <v/>
      </c>
      <c r="Q14" s="208" t="str">
        <f t="shared" si="5"/>
        <v/>
      </c>
      <c r="R14" s="208" t="str">
        <f t="shared" si="6"/>
        <v/>
      </c>
      <c r="S14" s="208" t="str">
        <f t="shared" si="7"/>
        <v/>
      </c>
      <c r="T14" s="208" t="str">
        <f t="shared" si="8"/>
        <v/>
      </c>
      <c r="U14" s="208" t="str">
        <f t="shared" si="9"/>
        <v/>
      </c>
      <c r="V14" s="208" t="str">
        <f t="shared" si="10"/>
        <v/>
      </c>
      <c r="W14" s="208" t="str">
        <f t="shared" si="11"/>
        <v/>
      </c>
      <c r="X14" s="208" t="str">
        <f t="shared" si="12"/>
        <v/>
      </c>
      <c r="Y14" s="208" t="str">
        <f t="shared" si="13"/>
        <v/>
      </c>
      <c r="Z14" s="39"/>
    </row>
    <row r="15" spans="1:26" x14ac:dyDescent="0.2">
      <c r="A15" s="213">
        <v>1.1100000000000001</v>
      </c>
      <c r="B15" s="214" t="s">
        <v>93</v>
      </c>
      <c r="C15" s="215">
        <v>20</v>
      </c>
      <c r="D15" s="215">
        <v>50</v>
      </c>
      <c r="E15" s="215">
        <v>83</v>
      </c>
      <c r="F15" s="216">
        <v>0.85</v>
      </c>
      <c r="G15" s="216">
        <v>0.95</v>
      </c>
      <c r="H15" s="216">
        <v>0.95</v>
      </c>
      <c r="I15" s="216">
        <v>0.8</v>
      </c>
      <c r="J15" s="214">
        <v>1</v>
      </c>
      <c r="K15" s="214">
        <v>15</v>
      </c>
      <c r="L15" s="214">
        <v>5</v>
      </c>
      <c r="M15" s="214">
        <v>15</v>
      </c>
      <c r="N15" s="208" t="str">
        <f t="shared" si="2"/>
        <v/>
      </c>
      <c r="O15" s="208" t="str">
        <f t="shared" si="3"/>
        <v/>
      </c>
      <c r="P15" s="208" t="str">
        <f t="shared" si="4"/>
        <v/>
      </c>
      <c r="Q15" s="208" t="str">
        <f t="shared" si="5"/>
        <v/>
      </c>
      <c r="R15" s="208" t="str">
        <f t="shared" si="6"/>
        <v/>
      </c>
      <c r="S15" s="208" t="str">
        <f t="shared" si="7"/>
        <v/>
      </c>
      <c r="T15" s="208" t="str">
        <f t="shared" si="8"/>
        <v/>
      </c>
      <c r="U15" s="208" t="str">
        <f t="shared" si="9"/>
        <v/>
      </c>
      <c r="V15" s="208" t="str">
        <f t="shared" si="10"/>
        <v/>
      </c>
      <c r="W15" s="208" t="str">
        <f t="shared" si="11"/>
        <v/>
      </c>
      <c r="X15" s="208" t="str">
        <f t="shared" si="12"/>
        <v/>
      </c>
      <c r="Y15" s="208" t="str">
        <f t="shared" si="13"/>
        <v/>
      </c>
      <c r="Z15" s="39"/>
    </row>
    <row r="16" spans="1:26" x14ac:dyDescent="0.2">
      <c r="A16" s="213">
        <v>1.1200000000000001</v>
      </c>
      <c r="B16" s="214" t="s">
        <v>94</v>
      </c>
      <c r="C16" s="215">
        <v>15</v>
      </c>
      <c r="D16" s="215">
        <v>40</v>
      </c>
      <c r="E16" s="215">
        <v>90</v>
      </c>
      <c r="F16" s="216">
        <v>0.8</v>
      </c>
      <c r="G16" s="216">
        <v>0.95</v>
      </c>
      <c r="H16" s="216">
        <v>0.95</v>
      </c>
      <c r="I16" s="216">
        <v>0.95</v>
      </c>
      <c r="J16" s="214">
        <v>9</v>
      </c>
      <c r="K16" s="214">
        <v>15</v>
      </c>
      <c r="L16" s="214">
        <v>1</v>
      </c>
      <c r="M16" s="214">
        <v>15</v>
      </c>
      <c r="N16" s="208" t="str">
        <f t="shared" si="2"/>
        <v/>
      </c>
      <c r="O16" s="208" t="str">
        <f t="shared" si="3"/>
        <v/>
      </c>
      <c r="P16" s="208" t="str">
        <f t="shared" si="4"/>
        <v/>
      </c>
      <c r="Q16" s="208" t="str">
        <f t="shared" si="5"/>
        <v/>
      </c>
      <c r="R16" s="208" t="str">
        <f t="shared" si="6"/>
        <v/>
      </c>
      <c r="S16" s="208" t="str">
        <f t="shared" si="7"/>
        <v/>
      </c>
      <c r="T16" s="208" t="str">
        <f t="shared" si="8"/>
        <v/>
      </c>
      <c r="U16" s="208" t="str">
        <f t="shared" si="9"/>
        <v/>
      </c>
      <c r="V16" s="208" t="str">
        <f t="shared" si="10"/>
        <v/>
      </c>
      <c r="W16" s="208" t="str">
        <f t="shared" si="11"/>
        <v/>
      </c>
      <c r="X16" s="208" t="str">
        <f t="shared" si="12"/>
        <v/>
      </c>
      <c r="Y16" s="208" t="str">
        <f t="shared" si="13"/>
        <v/>
      </c>
      <c r="Z16" s="39"/>
    </row>
    <row r="17" spans="1:26" x14ac:dyDescent="0.2">
      <c r="A17" s="213">
        <v>1.1299999999999999</v>
      </c>
      <c r="B17" s="214" t="s">
        <v>95</v>
      </c>
      <c r="C17" s="215">
        <v>20</v>
      </c>
      <c r="D17" s="215">
        <v>45</v>
      </c>
      <c r="E17" s="215">
        <v>75</v>
      </c>
      <c r="F17" s="216">
        <v>0.2</v>
      </c>
      <c r="G17" s="216">
        <v>1.05</v>
      </c>
      <c r="H17" s="216">
        <v>1.05</v>
      </c>
      <c r="I17" s="216">
        <v>0.6</v>
      </c>
      <c r="J17" s="214">
        <v>5</v>
      </c>
      <c r="K17" s="214">
        <v>1</v>
      </c>
      <c r="L17" s="214">
        <v>9</v>
      </c>
      <c r="M17" s="214">
        <v>30</v>
      </c>
      <c r="N17" s="208" t="str">
        <f t="shared" si="2"/>
        <v/>
      </c>
      <c r="O17" s="208" t="str">
        <f t="shared" si="3"/>
        <v/>
      </c>
      <c r="P17" s="208" t="str">
        <f t="shared" si="4"/>
        <v/>
      </c>
      <c r="Q17" s="208" t="str">
        <f t="shared" si="5"/>
        <v/>
      </c>
      <c r="R17" s="208" t="str">
        <f t="shared" si="6"/>
        <v/>
      </c>
      <c r="S17" s="208" t="str">
        <f t="shared" si="7"/>
        <v/>
      </c>
      <c r="T17" s="208" t="str">
        <f t="shared" si="8"/>
        <v/>
      </c>
      <c r="U17" s="208" t="str">
        <f t="shared" si="9"/>
        <v/>
      </c>
      <c r="V17" s="208" t="str">
        <f t="shared" si="10"/>
        <v/>
      </c>
      <c r="W17" s="208" t="str">
        <f t="shared" si="11"/>
        <v/>
      </c>
      <c r="X17" s="208" t="str">
        <f t="shared" si="12"/>
        <v/>
      </c>
      <c r="Y17" s="208" t="str">
        <f t="shared" si="13"/>
        <v/>
      </c>
      <c r="Z17" s="39"/>
    </row>
    <row r="18" spans="1:26" x14ac:dyDescent="0.2">
      <c r="A18" s="213">
        <v>1.1399999999999999</v>
      </c>
      <c r="B18" s="214" t="s">
        <v>96</v>
      </c>
      <c r="C18" s="215">
        <v>20</v>
      </c>
      <c r="D18" s="215">
        <v>45</v>
      </c>
      <c r="E18" s="215">
        <v>100</v>
      </c>
      <c r="F18" s="216">
        <v>0.2</v>
      </c>
      <c r="G18" s="216">
        <v>1</v>
      </c>
      <c r="H18" s="216">
        <v>1</v>
      </c>
      <c r="I18" s="216">
        <v>1</v>
      </c>
      <c r="J18" s="214">
        <v>5</v>
      </c>
      <c r="K18" s="214">
        <v>1</v>
      </c>
      <c r="L18" s="214">
        <v>8</v>
      </c>
      <c r="M18" s="214">
        <v>15</v>
      </c>
      <c r="N18" s="208" t="str">
        <f t="shared" si="2"/>
        <v/>
      </c>
      <c r="O18" s="208" t="str">
        <f t="shared" si="3"/>
        <v/>
      </c>
      <c r="P18" s="208" t="str">
        <f t="shared" si="4"/>
        <v/>
      </c>
      <c r="Q18" s="208" t="str">
        <f t="shared" si="5"/>
        <v/>
      </c>
      <c r="R18" s="208" t="str">
        <f t="shared" si="6"/>
        <v/>
      </c>
      <c r="S18" s="208" t="str">
        <f t="shared" si="7"/>
        <v/>
      </c>
      <c r="T18" s="208" t="str">
        <f t="shared" si="8"/>
        <v/>
      </c>
      <c r="U18" s="208" t="str">
        <f t="shared" si="9"/>
        <v/>
      </c>
      <c r="V18" s="208" t="str">
        <f t="shared" si="10"/>
        <v/>
      </c>
      <c r="W18" s="208" t="str">
        <f t="shared" si="11"/>
        <v/>
      </c>
      <c r="X18" s="208" t="str">
        <f t="shared" si="12"/>
        <v/>
      </c>
      <c r="Y18" s="208" t="str">
        <f t="shared" si="13"/>
        <v/>
      </c>
      <c r="Z18" s="39"/>
    </row>
    <row r="19" spans="1:26" x14ac:dyDescent="0.2">
      <c r="A19" s="213">
        <v>1.1499999999999999</v>
      </c>
      <c r="B19" s="214" t="s">
        <v>97</v>
      </c>
      <c r="C19" s="215">
        <v>15</v>
      </c>
      <c r="D19" s="215">
        <v>25</v>
      </c>
      <c r="E19" s="215">
        <v>85</v>
      </c>
      <c r="F19" s="216">
        <v>0.35</v>
      </c>
      <c r="G19" s="216">
        <v>0.95</v>
      </c>
      <c r="H19" s="216">
        <v>0.95</v>
      </c>
      <c r="I19" s="216">
        <v>0.5</v>
      </c>
      <c r="J19" s="214">
        <v>5</v>
      </c>
      <c r="K19" s="214">
        <v>15</v>
      </c>
      <c r="L19" s="214">
        <v>10</v>
      </c>
      <c r="M19" s="214">
        <v>15</v>
      </c>
      <c r="N19" s="208" t="str">
        <f t="shared" si="2"/>
        <v/>
      </c>
      <c r="O19" s="208" t="str">
        <f t="shared" si="3"/>
        <v/>
      </c>
      <c r="P19" s="208" t="str">
        <f t="shared" si="4"/>
        <v/>
      </c>
      <c r="Q19" s="208" t="str">
        <f t="shared" si="5"/>
        <v/>
      </c>
      <c r="R19" s="208" t="str">
        <f t="shared" si="6"/>
        <v/>
      </c>
      <c r="S19" s="208" t="str">
        <f t="shared" si="7"/>
        <v/>
      </c>
      <c r="T19" s="208" t="str">
        <f t="shared" si="8"/>
        <v/>
      </c>
      <c r="U19" s="208" t="str">
        <f t="shared" si="9"/>
        <v/>
      </c>
      <c r="V19" s="208" t="str">
        <f t="shared" si="10"/>
        <v/>
      </c>
      <c r="W19" s="208" t="str">
        <f t="shared" si="11"/>
        <v/>
      </c>
      <c r="X19" s="208" t="str">
        <f t="shared" si="12"/>
        <v/>
      </c>
      <c r="Y19" s="208" t="str">
        <f t="shared" si="13"/>
        <v/>
      </c>
      <c r="Z19" s="39"/>
    </row>
    <row r="20" spans="1:26" x14ac:dyDescent="0.2">
      <c r="A20" s="213">
        <v>1.1599999999999999</v>
      </c>
      <c r="B20" s="214" t="s">
        <v>98</v>
      </c>
      <c r="C20" s="215">
        <v>19</v>
      </c>
      <c r="D20" s="215">
        <v>47</v>
      </c>
      <c r="E20" s="215">
        <v>85</v>
      </c>
      <c r="F20" s="216">
        <v>0.8</v>
      </c>
      <c r="G20" s="216">
        <v>0.85</v>
      </c>
      <c r="H20" s="216">
        <v>0.85</v>
      </c>
      <c r="I20" s="216">
        <v>0.85</v>
      </c>
      <c r="J20" s="214">
        <v>3</v>
      </c>
      <c r="K20" s="214">
        <v>15</v>
      </c>
      <c r="L20" s="214">
        <v>6</v>
      </c>
      <c r="M20" s="214">
        <v>15</v>
      </c>
      <c r="N20" s="208" t="str">
        <f t="shared" si="2"/>
        <v/>
      </c>
      <c r="O20" s="208" t="str">
        <f t="shared" si="3"/>
        <v/>
      </c>
      <c r="P20" s="208" t="str">
        <f t="shared" si="4"/>
        <v/>
      </c>
      <c r="Q20" s="208" t="str">
        <f t="shared" si="5"/>
        <v/>
      </c>
      <c r="R20" s="208" t="str">
        <f t="shared" si="6"/>
        <v/>
      </c>
      <c r="S20" s="208" t="str">
        <f t="shared" si="7"/>
        <v/>
      </c>
      <c r="T20" s="208" t="str">
        <f t="shared" si="8"/>
        <v/>
      </c>
      <c r="U20" s="208" t="str">
        <f t="shared" si="9"/>
        <v/>
      </c>
      <c r="V20" s="208" t="str">
        <f t="shared" si="10"/>
        <v/>
      </c>
      <c r="W20" s="208" t="str">
        <f t="shared" si="11"/>
        <v/>
      </c>
      <c r="X20" s="208" t="str">
        <f t="shared" si="12"/>
        <v/>
      </c>
      <c r="Y20" s="208" t="str">
        <f t="shared" si="13"/>
        <v/>
      </c>
      <c r="Z20" s="39"/>
    </row>
    <row r="21" spans="1:26" x14ac:dyDescent="0.2">
      <c r="A21" s="213">
        <v>1.17</v>
      </c>
      <c r="B21" s="214" t="s">
        <v>99</v>
      </c>
      <c r="C21" s="215">
        <v>23</v>
      </c>
      <c r="D21" s="215">
        <v>54</v>
      </c>
      <c r="E21" s="215">
        <v>85</v>
      </c>
      <c r="F21" s="216">
        <v>0.8</v>
      </c>
      <c r="G21" s="216">
        <v>0.9</v>
      </c>
      <c r="H21" s="216">
        <v>0.9</v>
      </c>
      <c r="I21" s="216">
        <v>0.85</v>
      </c>
      <c r="J21" s="214">
        <v>4</v>
      </c>
      <c r="K21" s="214">
        <v>1</v>
      </c>
      <c r="L21" s="214">
        <v>11</v>
      </c>
      <c r="M21" s="214">
        <v>15</v>
      </c>
      <c r="N21" s="208" t="str">
        <f t="shared" ref="N21:N86" si="14">IF($A$1=$A21,B21,"")</f>
        <v/>
      </c>
      <c r="O21" s="208" t="str">
        <f t="shared" si="3"/>
        <v/>
      </c>
      <c r="P21" s="208" t="str">
        <f t="shared" si="4"/>
        <v/>
      </c>
      <c r="Q21" s="208" t="str">
        <f t="shared" si="5"/>
        <v/>
      </c>
      <c r="R21" s="208" t="str">
        <f t="shared" si="6"/>
        <v/>
      </c>
      <c r="S21" s="208" t="str">
        <f t="shared" si="7"/>
        <v/>
      </c>
      <c r="T21" s="208" t="str">
        <f t="shared" si="8"/>
        <v/>
      </c>
      <c r="U21" s="208" t="str">
        <f t="shared" si="9"/>
        <v/>
      </c>
      <c r="V21" s="208" t="str">
        <f t="shared" si="10"/>
        <v/>
      </c>
      <c r="W21" s="208" t="str">
        <f t="shared" si="11"/>
        <v/>
      </c>
      <c r="X21" s="208" t="str">
        <f t="shared" si="12"/>
        <v/>
      </c>
      <c r="Y21" s="208" t="str">
        <f t="shared" si="13"/>
        <v/>
      </c>
      <c r="Z21" s="39"/>
    </row>
    <row r="22" spans="1:26" x14ac:dyDescent="0.2">
      <c r="A22" s="213">
        <v>1.18</v>
      </c>
      <c r="B22" s="214" t="s">
        <v>100</v>
      </c>
      <c r="C22" s="215">
        <v>17</v>
      </c>
      <c r="D22" s="215">
        <v>45</v>
      </c>
      <c r="E22" s="215">
        <v>80</v>
      </c>
      <c r="F22" s="216">
        <v>0.2</v>
      </c>
      <c r="G22" s="216">
        <v>1.1000000000000001</v>
      </c>
      <c r="H22" s="216">
        <v>1.1000000000000001</v>
      </c>
      <c r="I22" s="216">
        <v>0.25</v>
      </c>
      <c r="J22" s="214">
        <v>4</v>
      </c>
      <c r="K22" s="214">
        <v>1</v>
      </c>
      <c r="L22" s="214">
        <v>7</v>
      </c>
      <c r="M22" s="214">
        <v>31</v>
      </c>
      <c r="N22" s="208" t="str">
        <f t="shared" si="14"/>
        <v/>
      </c>
      <c r="O22" s="208" t="str">
        <f t="shared" si="3"/>
        <v/>
      </c>
      <c r="P22" s="208" t="str">
        <f t="shared" si="4"/>
        <v/>
      </c>
      <c r="Q22" s="208" t="str">
        <f t="shared" si="5"/>
        <v/>
      </c>
      <c r="R22" s="208" t="str">
        <f t="shared" si="6"/>
        <v/>
      </c>
      <c r="S22" s="208" t="str">
        <f t="shared" si="7"/>
        <v/>
      </c>
      <c r="T22" s="208" t="str">
        <f t="shared" si="8"/>
        <v/>
      </c>
      <c r="U22" s="208" t="str">
        <f t="shared" si="9"/>
        <v/>
      </c>
      <c r="V22" s="208" t="str">
        <f t="shared" si="10"/>
        <v/>
      </c>
      <c r="W22" s="208" t="str">
        <f t="shared" si="11"/>
        <v/>
      </c>
      <c r="X22" s="208" t="str">
        <f t="shared" si="12"/>
        <v/>
      </c>
      <c r="Y22" s="208" t="str">
        <f t="shared" si="13"/>
        <v/>
      </c>
      <c r="Z22" s="39"/>
    </row>
    <row r="23" spans="1:26" x14ac:dyDescent="0.2">
      <c r="A23" s="213">
        <v>1.19</v>
      </c>
      <c r="B23" s="214" t="s">
        <v>101</v>
      </c>
      <c r="C23" s="215">
        <v>20</v>
      </c>
      <c r="D23" s="215">
        <v>45</v>
      </c>
      <c r="E23" s="215">
        <v>75</v>
      </c>
      <c r="F23" s="216">
        <v>0.33</v>
      </c>
      <c r="G23" s="216">
        <v>1.1000000000000001</v>
      </c>
      <c r="H23" s="216">
        <v>1.1000000000000001</v>
      </c>
      <c r="I23" s="216">
        <v>0.15</v>
      </c>
      <c r="J23" s="214">
        <v>11</v>
      </c>
      <c r="K23" s="214">
        <v>1</v>
      </c>
      <c r="L23" s="214">
        <v>5</v>
      </c>
      <c r="M23" s="214">
        <v>31</v>
      </c>
      <c r="N23" s="208" t="str">
        <f t="shared" si="14"/>
        <v/>
      </c>
      <c r="O23" s="208" t="str">
        <f t="shared" si="3"/>
        <v/>
      </c>
      <c r="P23" s="208" t="str">
        <f t="shared" si="4"/>
        <v/>
      </c>
      <c r="Q23" s="208" t="str">
        <f t="shared" si="5"/>
        <v/>
      </c>
      <c r="R23" s="208" t="str">
        <f t="shared" si="6"/>
        <v/>
      </c>
      <c r="S23" s="208" t="str">
        <f t="shared" si="7"/>
        <v/>
      </c>
      <c r="T23" s="208" t="str">
        <f t="shared" si="8"/>
        <v/>
      </c>
      <c r="U23" s="208" t="str">
        <f t="shared" si="9"/>
        <v/>
      </c>
      <c r="V23" s="208" t="str">
        <f t="shared" si="10"/>
        <v/>
      </c>
      <c r="W23" s="208" t="str">
        <f t="shared" si="11"/>
        <v/>
      </c>
      <c r="X23" s="208" t="str">
        <f t="shared" si="12"/>
        <v/>
      </c>
      <c r="Y23" s="208" t="str">
        <f t="shared" si="13"/>
        <v/>
      </c>
      <c r="Z23" s="39"/>
    </row>
    <row r="24" spans="1:26" x14ac:dyDescent="0.2">
      <c r="A24" s="217">
        <v>1.2</v>
      </c>
      <c r="B24" s="218" t="s">
        <v>102</v>
      </c>
      <c r="C24" s="219">
        <v>20</v>
      </c>
      <c r="D24" s="219">
        <v>45</v>
      </c>
      <c r="E24" s="219">
        <v>75</v>
      </c>
      <c r="F24" s="220">
        <v>0.33</v>
      </c>
      <c r="G24" s="220">
        <v>1.05</v>
      </c>
      <c r="H24" s="220">
        <v>1.05</v>
      </c>
      <c r="I24" s="220">
        <v>0.15</v>
      </c>
      <c r="J24" s="218">
        <v>11</v>
      </c>
      <c r="K24" s="218">
        <v>1</v>
      </c>
      <c r="L24" s="218">
        <v>5</v>
      </c>
      <c r="M24" s="218">
        <v>31</v>
      </c>
      <c r="N24" s="208" t="str">
        <f t="shared" si="14"/>
        <v/>
      </c>
      <c r="O24" s="208" t="str">
        <f t="shared" si="3"/>
        <v/>
      </c>
      <c r="P24" s="208" t="str">
        <f t="shared" si="4"/>
        <v/>
      </c>
      <c r="Q24" s="208" t="str">
        <f t="shared" si="5"/>
        <v/>
      </c>
      <c r="R24" s="208" t="str">
        <f t="shared" si="6"/>
        <v/>
      </c>
      <c r="S24" s="208" t="str">
        <f t="shared" si="7"/>
        <v/>
      </c>
      <c r="T24" s="208" t="str">
        <f t="shared" si="8"/>
        <v/>
      </c>
      <c r="U24" s="208" t="str">
        <f t="shared" si="9"/>
        <v/>
      </c>
      <c r="V24" s="208" t="str">
        <f t="shared" si="10"/>
        <v/>
      </c>
      <c r="W24" s="208" t="str">
        <f t="shared" si="11"/>
        <v/>
      </c>
      <c r="X24" s="208" t="str">
        <f t="shared" si="12"/>
        <v/>
      </c>
      <c r="Y24" s="208" t="str">
        <f t="shared" si="13"/>
        <v/>
      </c>
      <c r="Z24" s="39"/>
    </row>
    <row r="25" spans="1:26" x14ac:dyDescent="0.2">
      <c r="A25" s="213">
        <v>1.21</v>
      </c>
      <c r="B25" s="214" t="s">
        <v>103</v>
      </c>
      <c r="C25" s="215">
        <v>24</v>
      </c>
      <c r="D25" s="215">
        <v>40</v>
      </c>
      <c r="E25" s="215">
        <v>91</v>
      </c>
      <c r="F25" s="216">
        <v>0.2</v>
      </c>
      <c r="G25" s="216">
        <v>1</v>
      </c>
      <c r="H25" s="216">
        <v>1</v>
      </c>
      <c r="I25" s="216">
        <v>0.1</v>
      </c>
      <c r="J25" s="214">
        <v>6</v>
      </c>
      <c r="K25" s="214">
        <v>15</v>
      </c>
      <c r="L25" s="214">
        <v>9</v>
      </c>
      <c r="M25" s="214">
        <v>30</v>
      </c>
      <c r="N25" s="208" t="str">
        <f t="shared" si="14"/>
        <v/>
      </c>
      <c r="O25" s="208" t="str">
        <f t="shared" si="3"/>
        <v/>
      </c>
      <c r="P25" s="208" t="str">
        <f t="shared" si="4"/>
        <v/>
      </c>
      <c r="Q25" s="208" t="str">
        <f t="shared" si="5"/>
        <v/>
      </c>
      <c r="R25" s="208" t="str">
        <f t="shared" si="6"/>
        <v/>
      </c>
      <c r="S25" s="208" t="str">
        <f t="shared" si="7"/>
        <v/>
      </c>
      <c r="T25" s="208" t="str">
        <f t="shared" si="8"/>
        <v/>
      </c>
      <c r="U25" s="208" t="str">
        <f t="shared" si="9"/>
        <v/>
      </c>
      <c r="V25" s="208" t="str">
        <f t="shared" si="10"/>
        <v/>
      </c>
      <c r="W25" s="208" t="str">
        <f t="shared" si="11"/>
        <v/>
      </c>
      <c r="X25" s="208" t="str">
        <f t="shared" si="12"/>
        <v/>
      </c>
      <c r="Y25" s="208" t="str">
        <f t="shared" si="13"/>
        <v/>
      </c>
      <c r="Z25" s="39"/>
    </row>
    <row r="26" spans="1:26" x14ac:dyDescent="0.2">
      <c r="A26" s="213">
        <v>1.22</v>
      </c>
      <c r="B26" s="214" t="s">
        <v>104</v>
      </c>
      <c r="C26" s="215">
        <v>25</v>
      </c>
      <c r="D26" s="215">
        <v>65</v>
      </c>
      <c r="E26" s="215">
        <v>90</v>
      </c>
      <c r="F26" s="216">
        <v>0.8</v>
      </c>
      <c r="G26" s="216">
        <v>0.8</v>
      </c>
      <c r="H26" s="216">
        <v>0.8</v>
      </c>
      <c r="I26" s="216">
        <v>0.8</v>
      </c>
      <c r="J26" s="214">
        <v>3</v>
      </c>
      <c r="K26" s="214">
        <v>15</v>
      </c>
      <c r="L26" s="214">
        <v>7</v>
      </c>
      <c r="M26" s="214">
        <v>15</v>
      </c>
      <c r="N26" s="208" t="str">
        <f t="shared" si="14"/>
        <v/>
      </c>
      <c r="O26" s="208" t="str">
        <f t="shared" si="3"/>
        <v/>
      </c>
      <c r="P26" s="208" t="str">
        <f t="shared" si="4"/>
        <v/>
      </c>
      <c r="Q26" s="208" t="str">
        <f t="shared" si="5"/>
        <v/>
      </c>
      <c r="R26" s="208" t="str">
        <f t="shared" si="6"/>
        <v/>
      </c>
      <c r="S26" s="208" t="str">
        <f t="shared" si="7"/>
        <v/>
      </c>
      <c r="T26" s="208" t="str">
        <f t="shared" si="8"/>
        <v/>
      </c>
      <c r="U26" s="208" t="str">
        <f t="shared" si="9"/>
        <v/>
      </c>
      <c r="V26" s="208" t="str">
        <f t="shared" si="10"/>
        <v/>
      </c>
      <c r="W26" s="208" t="str">
        <f t="shared" si="11"/>
        <v/>
      </c>
      <c r="X26" s="208" t="str">
        <f t="shared" si="12"/>
        <v/>
      </c>
      <c r="Y26" s="208" t="str">
        <f t="shared" si="13"/>
        <v/>
      </c>
      <c r="Z26" s="39"/>
    </row>
    <row r="27" spans="1:26" x14ac:dyDescent="0.2">
      <c r="A27" s="213">
        <v>1.23</v>
      </c>
      <c r="B27" s="214" t="s">
        <v>105</v>
      </c>
      <c r="C27" s="215">
        <v>21</v>
      </c>
      <c r="D27" s="215">
        <v>50</v>
      </c>
      <c r="E27" s="215">
        <v>83</v>
      </c>
      <c r="F27" s="216">
        <v>0.8</v>
      </c>
      <c r="G27" s="216">
        <v>0.95</v>
      </c>
      <c r="H27" s="216">
        <v>0.95</v>
      </c>
      <c r="I27" s="216">
        <v>0.75</v>
      </c>
      <c r="J27" s="214">
        <v>4</v>
      </c>
      <c r="K27" s="214">
        <v>1</v>
      </c>
      <c r="L27" s="214">
        <v>11</v>
      </c>
      <c r="M27" s="214">
        <v>15</v>
      </c>
      <c r="N27" s="208" t="str">
        <f t="shared" si="14"/>
        <v/>
      </c>
      <c r="O27" s="208" t="str">
        <f t="shared" si="3"/>
        <v/>
      </c>
      <c r="P27" s="208" t="str">
        <f t="shared" si="4"/>
        <v/>
      </c>
      <c r="Q27" s="208" t="str">
        <f t="shared" si="5"/>
        <v/>
      </c>
      <c r="R27" s="208" t="str">
        <f t="shared" si="6"/>
        <v/>
      </c>
      <c r="S27" s="208" t="str">
        <f t="shared" si="7"/>
        <v/>
      </c>
      <c r="T27" s="208" t="str">
        <f t="shared" si="8"/>
        <v/>
      </c>
      <c r="U27" s="208" t="str">
        <f t="shared" si="9"/>
        <v/>
      </c>
      <c r="V27" s="208" t="str">
        <f t="shared" si="10"/>
        <v/>
      </c>
      <c r="W27" s="208" t="str">
        <f t="shared" si="11"/>
        <v/>
      </c>
      <c r="X27" s="208" t="str">
        <f t="shared" si="12"/>
        <v/>
      </c>
      <c r="Y27" s="208" t="str">
        <f t="shared" si="13"/>
        <v/>
      </c>
      <c r="Z27" s="39"/>
    </row>
    <row r="28" spans="1:26" x14ac:dyDescent="0.2">
      <c r="A28" s="213">
        <v>1.24</v>
      </c>
      <c r="B28" s="214" t="s">
        <v>106</v>
      </c>
      <c r="C28" s="215">
        <v>14</v>
      </c>
      <c r="D28" s="215">
        <v>36</v>
      </c>
      <c r="E28" s="215">
        <v>75</v>
      </c>
      <c r="F28" s="216">
        <v>0.3</v>
      </c>
      <c r="G28" s="216">
        <v>1</v>
      </c>
      <c r="H28" s="216">
        <v>1</v>
      </c>
      <c r="I28" s="216">
        <v>0.3</v>
      </c>
      <c r="J28" s="214">
        <v>11</v>
      </c>
      <c r="K28" s="214">
        <v>1</v>
      </c>
      <c r="L28" s="214">
        <v>5</v>
      </c>
      <c r="M28" s="214">
        <v>31</v>
      </c>
      <c r="N28" s="208" t="str">
        <f t="shared" si="14"/>
        <v/>
      </c>
      <c r="O28" s="208" t="str">
        <f t="shared" si="3"/>
        <v/>
      </c>
      <c r="P28" s="208" t="str">
        <f t="shared" si="4"/>
        <v/>
      </c>
      <c r="Q28" s="208" t="str">
        <f t="shared" si="5"/>
        <v/>
      </c>
      <c r="R28" s="208" t="str">
        <f t="shared" si="6"/>
        <v/>
      </c>
      <c r="S28" s="208" t="str">
        <f t="shared" si="7"/>
        <v/>
      </c>
      <c r="T28" s="208" t="str">
        <f t="shared" si="8"/>
        <v/>
      </c>
      <c r="U28" s="208" t="str">
        <f t="shared" si="9"/>
        <v/>
      </c>
      <c r="V28" s="208" t="str">
        <f t="shared" si="10"/>
        <v/>
      </c>
      <c r="W28" s="208" t="str">
        <f t="shared" si="11"/>
        <v/>
      </c>
      <c r="X28" s="208" t="str">
        <f t="shared" si="12"/>
        <v/>
      </c>
      <c r="Y28" s="208" t="str">
        <f t="shared" si="13"/>
        <v/>
      </c>
      <c r="Z28" s="39"/>
    </row>
    <row r="29" spans="1:26" x14ac:dyDescent="0.2">
      <c r="A29" s="213">
        <v>1.25</v>
      </c>
      <c r="B29" s="214" t="s">
        <v>107</v>
      </c>
      <c r="C29" s="215">
        <v>25</v>
      </c>
      <c r="D29" s="215">
        <v>63</v>
      </c>
      <c r="E29" s="215">
        <v>88</v>
      </c>
      <c r="F29" s="216">
        <v>0.3</v>
      </c>
      <c r="G29" s="216">
        <v>1</v>
      </c>
      <c r="H29" s="216">
        <v>1</v>
      </c>
      <c r="I29" s="216">
        <v>0.85</v>
      </c>
      <c r="J29" s="214">
        <v>8</v>
      </c>
      <c r="K29" s="214">
        <v>1</v>
      </c>
      <c r="L29" s="214">
        <v>11</v>
      </c>
      <c r="M29" s="214">
        <v>15</v>
      </c>
      <c r="N29" s="208" t="str">
        <f t="shared" si="14"/>
        <v/>
      </c>
      <c r="O29" s="208" t="str">
        <f t="shared" si="3"/>
        <v/>
      </c>
      <c r="P29" s="208" t="str">
        <f t="shared" si="4"/>
        <v/>
      </c>
      <c r="Q29" s="208" t="str">
        <f t="shared" si="5"/>
        <v/>
      </c>
      <c r="R29" s="208" t="str">
        <f t="shared" si="6"/>
        <v/>
      </c>
      <c r="S29" s="208" t="str">
        <f t="shared" si="7"/>
        <v/>
      </c>
      <c r="T29" s="208" t="str">
        <f t="shared" si="8"/>
        <v/>
      </c>
      <c r="U29" s="208" t="str">
        <f t="shared" si="9"/>
        <v/>
      </c>
      <c r="V29" s="208" t="str">
        <f t="shared" si="10"/>
        <v/>
      </c>
      <c r="W29" s="208" t="str">
        <f t="shared" si="11"/>
        <v/>
      </c>
      <c r="X29" s="208" t="str">
        <f t="shared" si="12"/>
        <v/>
      </c>
      <c r="Y29" s="208" t="str">
        <f t="shared" si="13"/>
        <v/>
      </c>
      <c r="Z29" s="39"/>
    </row>
    <row r="30" spans="1:26" x14ac:dyDescent="0.2">
      <c r="A30" s="213">
        <v>1.26</v>
      </c>
      <c r="B30" s="214" t="s">
        <v>108</v>
      </c>
      <c r="C30" s="215">
        <v>20</v>
      </c>
      <c r="D30" s="215">
        <v>45</v>
      </c>
      <c r="E30" s="215">
        <v>75</v>
      </c>
      <c r="F30" s="216">
        <v>0.33</v>
      </c>
      <c r="G30" s="216">
        <v>1.1000000000000001</v>
      </c>
      <c r="H30" s="216">
        <v>1.1000000000000001</v>
      </c>
      <c r="I30" s="216">
        <v>0.15</v>
      </c>
      <c r="J30" s="214">
        <v>11</v>
      </c>
      <c r="K30" s="214">
        <v>1</v>
      </c>
      <c r="L30" s="214">
        <v>5</v>
      </c>
      <c r="M30" s="214">
        <v>31</v>
      </c>
      <c r="N30" s="208" t="str">
        <f t="shared" si="14"/>
        <v/>
      </c>
      <c r="O30" s="208" t="str">
        <f t="shared" si="3"/>
        <v/>
      </c>
      <c r="P30" s="208" t="str">
        <f t="shared" si="4"/>
        <v/>
      </c>
      <c r="Q30" s="208" t="str">
        <f t="shared" si="5"/>
        <v/>
      </c>
      <c r="R30" s="208" t="str">
        <f t="shared" si="6"/>
        <v/>
      </c>
      <c r="S30" s="208" t="str">
        <f t="shared" si="7"/>
        <v/>
      </c>
      <c r="T30" s="208" t="str">
        <f t="shared" si="8"/>
        <v/>
      </c>
      <c r="U30" s="208" t="str">
        <f t="shared" si="9"/>
        <v/>
      </c>
      <c r="V30" s="208" t="str">
        <f t="shared" si="10"/>
        <v/>
      </c>
      <c r="W30" s="208" t="str">
        <f t="shared" si="11"/>
        <v/>
      </c>
      <c r="X30" s="208" t="str">
        <f t="shared" si="12"/>
        <v/>
      </c>
      <c r="Y30" s="208" t="str">
        <f t="shared" si="13"/>
        <v/>
      </c>
      <c r="Z30" s="39"/>
    </row>
    <row r="31" spans="1:26" x14ac:dyDescent="0.2">
      <c r="A31" s="213">
        <v>1.27</v>
      </c>
      <c r="B31" s="214" t="s">
        <v>109</v>
      </c>
      <c r="C31" s="215">
        <v>10</v>
      </c>
      <c r="D31" s="215">
        <v>26</v>
      </c>
      <c r="E31" s="215">
        <v>75</v>
      </c>
      <c r="F31" s="216">
        <v>0.55000000000000004</v>
      </c>
      <c r="G31" s="216">
        <v>1.2</v>
      </c>
      <c r="H31" s="216">
        <v>1.2</v>
      </c>
      <c r="I31" s="216">
        <v>0.55000000000000004</v>
      </c>
      <c r="J31" s="214">
        <v>3</v>
      </c>
      <c r="K31" s="214">
        <v>1</v>
      </c>
      <c r="L31" s="214">
        <v>10</v>
      </c>
      <c r="M31" s="214">
        <v>1</v>
      </c>
      <c r="N31" s="208" t="str">
        <f t="shared" si="14"/>
        <v/>
      </c>
      <c r="O31" s="208" t="str">
        <f t="shared" si="3"/>
        <v/>
      </c>
      <c r="P31" s="208" t="str">
        <f t="shared" si="4"/>
        <v/>
      </c>
      <c r="Q31" s="208" t="str">
        <f t="shared" si="5"/>
        <v/>
      </c>
      <c r="R31" s="208" t="str">
        <f t="shared" si="6"/>
        <v/>
      </c>
      <c r="S31" s="208" t="str">
        <f t="shared" si="7"/>
        <v/>
      </c>
      <c r="T31" s="208" t="str">
        <f t="shared" si="8"/>
        <v/>
      </c>
      <c r="U31" s="208" t="str">
        <f t="shared" si="9"/>
        <v/>
      </c>
      <c r="V31" s="208" t="str">
        <f t="shared" si="10"/>
        <v/>
      </c>
      <c r="W31" s="208" t="str">
        <f t="shared" si="11"/>
        <v/>
      </c>
      <c r="X31" s="208" t="str">
        <f t="shared" si="12"/>
        <v/>
      </c>
      <c r="Y31" s="208" t="str">
        <f t="shared" si="13"/>
        <v/>
      </c>
      <c r="Z31" s="39"/>
    </row>
    <row r="32" spans="1:26" x14ac:dyDescent="0.2">
      <c r="A32" s="213">
        <v>1.28</v>
      </c>
      <c r="B32" s="214" t="s">
        <v>110</v>
      </c>
      <c r="C32" s="221">
        <v>25</v>
      </c>
      <c r="D32" s="221">
        <v>70</v>
      </c>
      <c r="E32" s="221">
        <v>90</v>
      </c>
      <c r="F32" s="216">
        <v>0.55000000000000004</v>
      </c>
      <c r="G32" s="216">
        <v>1.2</v>
      </c>
      <c r="H32" s="216">
        <v>1.2</v>
      </c>
      <c r="I32" s="216">
        <v>0.55000000000000004</v>
      </c>
      <c r="J32" s="214">
        <v>3</v>
      </c>
      <c r="K32" s="214">
        <v>1</v>
      </c>
      <c r="L32" s="214">
        <v>8</v>
      </c>
      <c r="M32" s="214">
        <v>1</v>
      </c>
      <c r="N32" s="208" t="str">
        <f t="shared" si="14"/>
        <v/>
      </c>
      <c r="O32" s="208" t="str">
        <f t="shared" si="3"/>
        <v/>
      </c>
      <c r="P32" s="208" t="str">
        <f t="shared" si="4"/>
        <v/>
      </c>
      <c r="Q32" s="208" t="str">
        <f t="shared" si="5"/>
        <v/>
      </c>
      <c r="R32" s="208" t="str">
        <f t="shared" si="6"/>
        <v/>
      </c>
      <c r="S32" s="208" t="str">
        <f t="shared" si="7"/>
        <v/>
      </c>
      <c r="T32" s="208" t="str">
        <f t="shared" si="8"/>
        <v/>
      </c>
      <c r="U32" s="208" t="str">
        <f t="shared" si="9"/>
        <v/>
      </c>
      <c r="V32" s="208" t="str">
        <f t="shared" si="10"/>
        <v/>
      </c>
      <c r="W32" s="208" t="str">
        <f t="shared" si="11"/>
        <v/>
      </c>
      <c r="X32" s="208" t="str">
        <f t="shared" si="12"/>
        <v/>
      </c>
      <c r="Y32" s="208" t="str">
        <f t="shared" si="13"/>
        <v/>
      </c>
      <c r="Z32" s="39"/>
    </row>
    <row r="33" spans="1:26" x14ac:dyDescent="0.2">
      <c r="A33" s="213">
        <v>1.29</v>
      </c>
      <c r="B33" s="214" t="s">
        <v>111</v>
      </c>
      <c r="C33" s="221">
        <v>20</v>
      </c>
      <c r="D33" s="221">
        <v>47</v>
      </c>
      <c r="E33" s="221">
        <v>83</v>
      </c>
      <c r="F33" s="216">
        <v>0.2</v>
      </c>
      <c r="G33" s="216">
        <v>1</v>
      </c>
      <c r="H33" s="216">
        <v>1</v>
      </c>
      <c r="I33" s="216">
        <v>1</v>
      </c>
      <c r="J33" s="214">
        <v>3</v>
      </c>
      <c r="K33" s="214">
        <v>1</v>
      </c>
      <c r="L33" s="214">
        <v>5</v>
      </c>
      <c r="M33" s="214">
        <v>31</v>
      </c>
      <c r="N33" s="208" t="str">
        <f t="shared" si="14"/>
        <v/>
      </c>
      <c r="O33" s="208" t="str">
        <f t="shared" si="3"/>
        <v/>
      </c>
      <c r="P33" s="208" t="str">
        <f t="shared" si="4"/>
        <v/>
      </c>
      <c r="Q33" s="208" t="str">
        <f t="shared" si="5"/>
        <v/>
      </c>
      <c r="R33" s="208" t="str">
        <f t="shared" si="6"/>
        <v/>
      </c>
      <c r="S33" s="208" t="str">
        <f t="shared" si="7"/>
        <v/>
      </c>
      <c r="T33" s="208" t="str">
        <f t="shared" si="8"/>
        <v/>
      </c>
      <c r="U33" s="208" t="str">
        <f t="shared" si="9"/>
        <v/>
      </c>
      <c r="V33" s="208" t="str">
        <f t="shared" si="10"/>
        <v/>
      </c>
      <c r="W33" s="208" t="str">
        <f t="shared" si="11"/>
        <v/>
      </c>
      <c r="X33" s="208" t="str">
        <f t="shared" si="12"/>
        <v/>
      </c>
      <c r="Y33" s="208" t="str">
        <f t="shared" si="13"/>
        <v/>
      </c>
      <c r="Z33" s="39"/>
    </row>
    <row r="34" spans="1:26" x14ac:dyDescent="0.2">
      <c r="A34" s="217">
        <v>1.3</v>
      </c>
      <c r="B34" s="218" t="s">
        <v>112</v>
      </c>
      <c r="C34" s="222">
        <v>20</v>
      </c>
      <c r="D34" s="222">
        <v>45</v>
      </c>
      <c r="E34" s="222">
        <v>85</v>
      </c>
      <c r="F34" s="220">
        <v>0.8</v>
      </c>
      <c r="G34" s="220">
        <v>1</v>
      </c>
      <c r="H34" s="220">
        <v>1</v>
      </c>
      <c r="I34" s="220">
        <v>0.85</v>
      </c>
      <c r="J34" s="218">
        <v>3</v>
      </c>
      <c r="K34" s="218">
        <v>1</v>
      </c>
      <c r="L34" s="218">
        <v>8</v>
      </c>
      <c r="M34" s="218">
        <v>31</v>
      </c>
      <c r="N34" s="208" t="str">
        <f t="shared" si="14"/>
        <v/>
      </c>
      <c r="O34" s="208" t="str">
        <f t="shared" si="3"/>
        <v/>
      </c>
      <c r="P34" s="208" t="str">
        <f t="shared" si="4"/>
        <v/>
      </c>
      <c r="Q34" s="208" t="str">
        <f t="shared" si="5"/>
        <v/>
      </c>
      <c r="R34" s="208" t="str">
        <f t="shared" si="6"/>
        <v/>
      </c>
      <c r="S34" s="208" t="str">
        <f t="shared" si="7"/>
        <v/>
      </c>
      <c r="T34" s="208" t="str">
        <f t="shared" si="8"/>
        <v/>
      </c>
      <c r="U34" s="208" t="str">
        <f t="shared" si="9"/>
        <v/>
      </c>
      <c r="V34" s="208" t="str">
        <f t="shared" si="10"/>
        <v/>
      </c>
      <c r="W34" s="208" t="str">
        <f t="shared" si="11"/>
        <v/>
      </c>
      <c r="X34" s="208" t="str">
        <f t="shared" si="12"/>
        <v/>
      </c>
      <c r="Y34" s="208" t="str">
        <f t="shared" si="13"/>
        <v/>
      </c>
      <c r="Z34" s="39"/>
    </row>
    <row r="35" spans="1:26" x14ac:dyDescent="0.2">
      <c r="A35" s="213">
        <v>1.31</v>
      </c>
      <c r="B35" s="214" t="s">
        <v>113</v>
      </c>
      <c r="C35" s="221">
        <v>20</v>
      </c>
      <c r="D35" s="221">
        <v>45</v>
      </c>
      <c r="E35" s="221">
        <v>78</v>
      </c>
      <c r="F35" s="216">
        <v>0.8</v>
      </c>
      <c r="G35" s="216">
        <v>1.1000000000000001</v>
      </c>
      <c r="H35" s="216">
        <v>1.1000000000000001</v>
      </c>
      <c r="I35" s="216">
        <v>0.7</v>
      </c>
      <c r="J35" s="214">
        <v>4</v>
      </c>
      <c r="K35" s="214">
        <v>15</v>
      </c>
      <c r="L35" s="214">
        <v>8</v>
      </c>
      <c r="M35" s="214">
        <v>15</v>
      </c>
      <c r="N35" s="208" t="str">
        <f t="shared" si="14"/>
        <v/>
      </c>
      <c r="O35" s="208" t="str">
        <f t="shared" si="3"/>
        <v/>
      </c>
      <c r="P35" s="208" t="str">
        <f t="shared" si="4"/>
        <v/>
      </c>
      <c r="Q35" s="208" t="str">
        <f t="shared" si="5"/>
        <v/>
      </c>
      <c r="R35" s="208" t="str">
        <f t="shared" si="6"/>
        <v/>
      </c>
      <c r="S35" s="208" t="str">
        <f t="shared" si="7"/>
        <v/>
      </c>
      <c r="T35" s="208" t="str">
        <f t="shared" si="8"/>
        <v/>
      </c>
      <c r="U35" s="208" t="str">
        <f t="shared" si="9"/>
        <v/>
      </c>
      <c r="V35" s="208" t="str">
        <f t="shared" si="10"/>
        <v/>
      </c>
      <c r="W35" s="208" t="str">
        <f t="shared" si="11"/>
        <v/>
      </c>
      <c r="X35" s="208" t="str">
        <f t="shared" si="12"/>
        <v/>
      </c>
      <c r="Y35" s="208" t="str">
        <f t="shared" si="13"/>
        <v/>
      </c>
      <c r="Z35" s="39"/>
    </row>
    <row r="36" spans="1:26" x14ac:dyDescent="0.2">
      <c r="A36" s="213">
        <v>1.32</v>
      </c>
      <c r="B36" s="214" t="s">
        <v>114</v>
      </c>
      <c r="C36" s="221">
        <v>20</v>
      </c>
      <c r="D36" s="221">
        <v>45</v>
      </c>
      <c r="E36" s="221">
        <v>85</v>
      </c>
      <c r="F36" s="216">
        <v>0.8</v>
      </c>
      <c r="G36" s="216">
        <v>0.85</v>
      </c>
      <c r="H36" s="216">
        <v>0.85</v>
      </c>
      <c r="I36" s="216">
        <v>0.75</v>
      </c>
      <c r="J36" s="214">
        <v>4</v>
      </c>
      <c r="K36" s="214">
        <v>1</v>
      </c>
      <c r="L36" s="214">
        <v>5</v>
      </c>
      <c r="M36" s="214">
        <v>1</v>
      </c>
      <c r="N36" s="208" t="str">
        <f t="shared" si="14"/>
        <v/>
      </c>
      <c r="O36" s="208" t="str">
        <f t="shared" si="3"/>
        <v/>
      </c>
      <c r="P36" s="208" t="str">
        <f t="shared" si="4"/>
        <v/>
      </c>
      <c r="Q36" s="208" t="str">
        <f t="shared" si="5"/>
        <v/>
      </c>
      <c r="R36" s="208" t="str">
        <f t="shared" si="6"/>
        <v/>
      </c>
      <c r="S36" s="208" t="str">
        <f t="shared" si="7"/>
        <v/>
      </c>
      <c r="T36" s="208" t="str">
        <f t="shared" si="8"/>
        <v/>
      </c>
      <c r="U36" s="208" t="str">
        <f t="shared" si="9"/>
        <v/>
      </c>
      <c r="V36" s="208" t="str">
        <f t="shared" si="10"/>
        <v/>
      </c>
      <c r="W36" s="208" t="str">
        <f t="shared" si="11"/>
        <v/>
      </c>
      <c r="X36" s="208" t="str">
        <f t="shared" si="12"/>
        <v/>
      </c>
      <c r="Y36" s="208" t="str">
        <f t="shared" si="13"/>
        <v/>
      </c>
      <c r="Z36" s="39"/>
    </row>
    <row r="37" spans="1:26" x14ac:dyDescent="0.2">
      <c r="A37" s="213">
        <v>1.33</v>
      </c>
      <c r="B37" s="214" t="s">
        <v>115</v>
      </c>
      <c r="C37" s="221">
        <v>18</v>
      </c>
      <c r="D37" s="221">
        <v>24</v>
      </c>
      <c r="E37" s="221">
        <v>78</v>
      </c>
      <c r="F37" s="216">
        <v>1.1000000000000001</v>
      </c>
      <c r="G37" s="216">
        <v>1</v>
      </c>
      <c r="H37" s="216">
        <v>1</v>
      </c>
      <c r="I37" s="216">
        <v>0.6</v>
      </c>
      <c r="J37" s="214">
        <v>5</v>
      </c>
      <c r="K37" s="214">
        <v>1</v>
      </c>
      <c r="L37" s="214">
        <v>9</v>
      </c>
      <c r="M37" s="214">
        <v>27</v>
      </c>
      <c r="N37" s="208" t="str">
        <f t="shared" si="14"/>
        <v/>
      </c>
      <c r="O37" s="208" t="str">
        <f t="shared" si="3"/>
        <v/>
      </c>
      <c r="P37" s="208" t="str">
        <f t="shared" si="4"/>
        <v/>
      </c>
      <c r="Q37" s="208" t="str">
        <f t="shared" si="5"/>
        <v/>
      </c>
      <c r="R37" s="208" t="str">
        <f t="shared" si="6"/>
        <v/>
      </c>
      <c r="S37" s="208" t="str">
        <f t="shared" si="7"/>
        <v/>
      </c>
      <c r="T37" s="208" t="str">
        <f t="shared" si="8"/>
        <v/>
      </c>
      <c r="U37" s="208" t="str">
        <f t="shared" si="9"/>
        <v/>
      </c>
      <c r="V37" s="208" t="str">
        <f t="shared" si="10"/>
        <v/>
      </c>
      <c r="W37" s="208" t="str">
        <f t="shared" si="11"/>
        <v/>
      </c>
      <c r="X37" s="208" t="str">
        <f t="shared" si="12"/>
        <v/>
      </c>
      <c r="Y37" s="208" t="str">
        <f t="shared" si="13"/>
        <v/>
      </c>
      <c r="Z37" s="39"/>
    </row>
    <row r="38" spans="1:26" x14ac:dyDescent="0.2">
      <c r="A38" s="213">
        <v>1.34</v>
      </c>
      <c r="B38" s="214" t="s">
        <v>116</v>
      </c>
      <c r="C38" s="221">
        <v>17</v>
      </c>
      <c r="D38" s="221">
        <v>45</v>
      </c>
      <c r="E38" s="221">
        <v>80</v>
      </c>
      <c r="F38" s="216">
        <v>0.2</v>
      </c>
      <c r="G38" s="216">
        <v>1.05</v>
      </c>
      <c r="H38" s="216">
        <v>1.05</v>
      </c>
      <c r="I38" s="216">
        <v>0.25</v>
      </c>
      <c r="J38" s="214">
        <v>4</v>
      </c>
      <c r="K38" s="214">
        <v>1</v>
      </c>
      <c r="L38" s="214">
        <v>7</v>
      </c>
      <c r="M38" s="214">
        <v>31</v>
      </c>
      <c r="N38" s="208" t="str">
        <f t="shared" si="14"/>
        <v/>
      </c>
      <c r="O38" s="208" t="str">
        <f t="shared" si="3"/>
        <v/>
      </c>
      <c r="P38" s="208" t="str">
        <f t="shared" si="4"/>
        <v/>
      </c>
      <c r="Q38" s="208" t="str">
        <f t="shared" si="5"/>
        <v/>
      </c>
      <c r="R38" s="208" t="str">
        <f t="shared" si="6"/>
        <v/>
      </c>
      <c r="S38" s="208" t="str">
        <f t="shared" si="7"/>
        <v/>
      </c>
      <c r="T38" s="208" t="str">
        <f t="shared" si="8"/>
        <v/>
      </c>
      <c r="U38" s="208" t="str">
        <f t="shared" si="9"/>
        <v/>
      </c>
      <c r="V38" s="208" t="str">
        <f t="shared" si="10"/>
        <v/>
      </c>
      <c r="W38" s="208" t="str">
        <f t="shared" si="11"/>
        <v/>
      </c>
      <c r="X38" s="208" t="str">
        <f t="shared" si="12"/>
        <v/>
      </c>
      <c r="Y38" s="208" t="str">
        <f t="shared" si="13"/>
        <v/>
      </c>
      <c r="Z38" s="39"/>
    </row>
    <row r="39" spans="1:26" x14ac:dyDescent="0.2">
      <c r="A39" s="213">
        <v>1.35</v>
      </c>
      <c r="B39" s="214" t="s">
        <v>117</v>
      </c>
      <c r="C39" s="221">
        <v>17</v>
      </c>
      <c r="D39" s="221">
        <v>45</v>
      </c>
      <c r="E39" s="221">
        <v>80</v>
      </c>
      <c r="F39" s="216">
        <v>0.2</v>
      </c>
      <c r="G39" s="216">
        <v>1.05</v>
      </c>
      <c r="H39" s="216">
        <v>1.05</v>
      </c>
      <c r="I39" s="216">
        <v>0.25</v>
      </c>
      <c r="J39" s="214">
        <v>4</v>
      </c>
      <c r="K39" s="214">
        <v>1</v>
      </c>
      <c r="L39" s="214">
        <v>7</v>
      </c>
      <c r="M39" s="214">
        <v>31</v>
      </c>
      <c r="N39" s="208" t="str">
        <f t="shared" si="14"/>
        <v/>
      </c>
      <c r="O39" s="208" t="str">
        <f t="shared" si="3"/>
        <v/>
      </c>
      <c r="P39" s="208" t="str">
        <f t="shared" si="4"/>
        <v/>
      </c>
      <c r="Q39" s="208" t="str">
        <f t="shared" si="5"/>
        <v/>
      </c>
      <c r="R39" s="208" t="str">
        <f t="shared" si="6"/>
        <v/>
      </c>
      <c r="S39" s="208" t="str">
        <f t="shared" si="7"/>
        <v/>
      </c>
      <c r="T39" s="208" t="str">
        <f t="shared" si="8"/>
        <v/>
      </c>
      <c r="U39" s="208" t="str">
        <f t="shared" si="9"/>
        <v/>
      </c>
      <c r="V39" s="208" t="str">
        <f t="shared" si="10"/>
        <v/>
      </c>
      <c r="W39" s="208" t="str">
        <f t="shared" si="11"/>
        <v/>
      </c>
      <c r="X39" s="208" t="str">
        <f t="shared" si="12"/>
        <v/>
      </c>
      <c r="Y39" s="208" t="str">
        <f t="shared" si="13"/>
        <v/>
      </c>
      <c r="Z39" s="39"/>
    </row>
    <row r="40" spans="1:26" x14ac:dyDescent="0.2">
      <c r="A40" s="213">
        <v>1.36</v>
      </c>
      <c r="B40" s="214" t="s">
        <v>118</v>
      </c>
      <c r="C40" s="221">
        <v>16</v>
      </c>
      <c r="D40" s="221">
        <v>42</v>
      </c>
      <c r="E40" s="221">
        <v>75</v>
      </c>
      <c r="F40" s="216">
        <v>0.2</v>
      </c>
      <c r="G40" s="216">
        <v>1.05</v>
      </c>
      <c r="H40" s="216">
        <v>1.05</v>
      </c>
      <c r="I40" s="216">
        <v>0.5</v>
      </c>
      <c r="J40" s="214">
        <v>4</v>
      </c>
      <c r="K40" s="214">
        <v>1</v>
      </c>
      <c r="L40" s="214">
        <v>11</v>
      </c>
      <c r="M40" s="214">
        <v>15</v>
      </c>
      <c r="N40" s="208" t="str">
        <f t="shared" si="14"/>
        <v/>
      </c>
      <c r="O40" s="208" t="str">
        <f t="shared" si="3"/>
        <v/>
      </c>
      <c r="P40" s="208" t="str">
        <f t="shared" si="4"/>
        <v/>
      </c>
      <c r="Q40" s="208" t="str">
        <f t="shared" si="5"/>
        <v/>
      </c>
      <c r="R40" s="208" t="str">
        <f t="shared" si="6"/>
        <v/>
      </c>
      <c r="S40" s="208" t="str">
        <f t="shared" si="7"/>
        <v/>
      </c>
      <c r="T40" s="208" t="str">
        <f t="shared" si="8"/>
        <v/>
      </c>
      <c r="U40" s="208" t="str">
        <f t="shared" si="9"/>
        <v/>
      </c>
      <c r="V40" s="208" t="str">
        <f t="shared" si="10"/>
        <v/>
      </c>
      <c r="W40" s="208" t="str">
        <f t="shared" si="11"/>
        <v/>
      </c>
      <c r="X40" s="208" t="str">
        <f t="shared" si="12"/>
        <v/>
      </c>
      <c r="Y40" s="208" t="str">
        <f t="shared" si="13"/>
        <v/>
      </c>
      <c r="Z40" s="39"/>
    </row>
    <row r="41" spans="1:26" x14ac:dyDescent="0.2">
      <c r="A41" s="213">
        <v>1.37</v>
      </c>
      <c r="B41" s="214" t="s">
        <v>119</v>
      </c>
      <c r="C41" s="221">
        <v>33</v>
      </c>
      <c r="D41" s="221">
        <v>67</v>
      </c>
      <c r="E41" s="221">
        <v>92</v>
      </c>
      <c r="F41" s="216">
        <v>0.8</v>
      </c>
      <c r="G41" s="216">
        <v>0.95</v>
      </c>
      <c r="H41" s="216">
        <v>0.95</v>
      </c>
      <c r="I41" s="216">
        <v>0.9</v>
      </c>
      <c r="J41" s="214">
        <v>11</v>
      </c>
      <c r="K41" s="214">
        <v>15</v>
      </c>
      <c r="L41" s="214">
        <v>1</v>
      </c>
      <c r="M41" s="214">
        <v>31</v>
      </c>
      <c r="N41" s="208" t="str">
        <f t="shared" si="14"/>
        <v/>
      </c>
      <c r="O41" s="208" t="str">
        <f t="shared" si="3"/>
        <v/>
      </c>
      <c r="P41" s="208" t="str">
        <f t="shared" si="4"/>
        <v/>
      </c>
      <c r="Q41" s="208" t="str">
        <f t="shared" si="5"/>
        <v/>
      </c>
      <c r="R41" s="208" t="str">
        <f t="shared" si="6"/>
        <v/>
      </c>
      <c r="S41" s="208" t="str">
        <f t="shared" si="7"/>
        <v/>
      </c>
      <c r="T41" s="208" t="str">
        <f t="shared" si="8"/>
        <v/>
      </c>
      <c r="U41" s="208" t="str">
        <f t="shared" si="9"/>
        <v/>
      </c>
      <c r="V41" s="208" t="str">
        <f t="shared" si="10"/>
        <v/>
      </c>
      <c r="W41" s="208" t="str">
        <f t="shared" si="11"/>
        <v/>
      </c>
      <c r="X41" s="208" t="str">
        <f t="shared" si="12"/>
        <v/>
      </c>
      <c r="Y41" s="208" t="str">
        <f t="shared" si="13"/>
        <v/>
      </c>
      <c r="Z41" s="39"/>
    </row>
    <row r="42" spans="1:26" x14ac:dyDescent="0.2">
      <c r="A42" s="213">
        <v>1.38</v>
      </c>
      <c r="B42" s="214" t="s">
        <v>120</v>
      </c>
      <c r="C42" s="221">
        <v>20</v>
      </c>
      <c r="D42" s="221">
        <v>50</v>
      </c>
      <c r="E42" s="221">
        <v>80</v>
      </c>
      <c r="F42" s="216">
        <v>0.52</v>
      </c>
      <c r="G42" s="216">
        <v>0.9</v>
      </c>
      <c r="H42" s="216">
        <v>0.9</v>
      </c>
      <c r="I42" s="216">
        <v>0.7</v>
      </c>
      <c r="J42" s="214">
        <v>1</v>
      </c>
      <c r="K42" s="214">
        <v>15</v>
      </c>
      <c r="L42" s="214">
        <v>4</v>
      </c>
      <c r="M42" s="214">
        <v>15</v>
      </c>
      <c r="N42" s="208" t="str">
        <f t="shared" si="14"/>
        <v/>
      </c>
      <c r="O42" s="208" t="str">
        <f t="shared" si="3"/>
        <v/>
      </c>
      <c r="P42" s="208" t="str">
        <f t="shared" si="4"/>
        <v/>
      </c>
      <c r="Q42" s="208" t="str">
        <f t="shared" si="5"/>
        <v/>
      </c>
      <c r="R42" s="208" t="str">
        <f t="shared" si="6"/>
        <v/>
      </c>
      <c r="S42" s="208" t="str">
        <f t="shared" si="7"/>
        <v/>
      </c>
      <c r="T42" s="208" t="str">
        <f t="shared" si="8"/>
        <v/>
      </c>
      <c r="U42" s="208" t="str">
        <f t="shared" si="9"/>
        <v/>
      </c>
      <c r="V42" s="208" t="str">
        <f t="shared" si="10"/>
        <v/>
      </c>
      <c r="W42" s="208" t="str">
        <f t="shared" si="11"/>
        <v/>
      </c>
      <c r="X42" s="208" t="str">
        <f t="shared" si="12"/>
        <v/>
      </c>
      <c r="Y42" s="208" t="str">
        <f t="shared" si="13"/>
        <v/>
      </c>
      <c r="Z42" s="39"/>
    </row>
    <row r="43" spans="1:26" x14ac:dyDescent="0.2">
      <c r="A43" s="213">
        <v>1.39</v>
      </c>
      <c r="B43" s="214" t="s">
        <v>121</v>
      </c>
      <c r="C43" s="221">
        <v>15</v>
      </c>
      <c r="D43" s="221">
        <v>45</v>
      </c>
      <c r="E43" s="221">
        <v>80</v>
      </c>
      <c r="F43" s="216">
        <v>0.2</v>
      </c>
      <c r="G43" s="216">
        <v>0.7</v>
      </c>
      <c r="H43" s="216">
        <v>0.7</v>
      </c>
      <c r="I43" s="216">
        <v>0.7</v>
      </c>
      <c r="J43" s="214">
        <v>5</v>
      </c>
      <c r="K43" s="214">
        <v>1</v>
      </c>
      <c r="L43" s="214">
        <v>9</v>
      </c>
      <c r="M43" s="214">
        <v>30</v>
      </c>
      <c r="N43" s="208" t="str">
        <f t="shared" si="14"/>
        <v/>
      </c>
      <c r="O43" s="208" t="str">
        <f t="shared" si="3"/>
        <v/>
      </c>
      <c r="P43" s="208" t="str">
        <f t="shared" si="4"/>
        <v/>
      </c>
      <c r="Q43" s="208" t="str">
        <f t="shared" si="5"/>
        <v/>
      </c>
      <c r="R43" s="208" t="str">
        <f t="shared" si="6"/>
        <v/>
      </c>
      <c r="S43" s="208" t="str">
        <f t="shared" si="7"/>
        <v/>
      </c>
      <c r="T43" s="208" t="str">
        <f t="shared" si="8"/>
        <v/>
      </c>
      <c r="U43" s="208" t="str">
        <f t="shared" si="9"/>
        <v/>
      </c>
      <c r="V43" s="208" t="str">
        <f t="shared" si="10"/>
        <v/>
      </c>
      <c r="W43" s="208" t="str">
        <f t="shared" si="11"/>
        <v/>
      </c>
      <c r="X43" s="208" t="str">
        <f t="shared" si="12"/>
        <v/>
      </c>
      <c r="Y43" s="208" t="str">
        <f t="shared" si="13"/>
        <v/>
      </c>
      <c r="Z43" s="39"/>
    </row>
    <row r="44" spans="1:26" x14ac:dyDescent="0.2">
      <c r="A44" s="217">
        <v>1.4</v>
      </c>
      <c r="B44" s="218" t="s">
        <v>122</v>
      </c>
      <c r="C44" s="222">
        <v>15</v>
      </c>
      <c r="D44" s="222">
        <v>45</v>
      </c>
      <c r="E44" s="222">
        <v>80</v>
      </c>
      <c r="F44" s="220">
        <v>0.2</v>
      </c>
      <c r="G44" s="220">
        <v>1.1499999999999999</v>
      </c>
      <c r="H44" s="220">
        <v>1.1499999999999999</v>
      </c>
      <c r="I44" s="220">
        <v>0.95</v>
      </c>
      <c r="J44" s="218">
        <v>3</v>
      </c>
      <c r="K44" s="218">
        <v>15</v>
      </c>
      <c r="L44" s="218">
        <v>9</v>
      </c>
      <c r="M44" s="218">
        <v>30</v>
      </c>
      <c r="N44" s="208" t="str">
        <f t="shared" si="14"/>
        <v/>
      </c>
      <c r="O44" s="208" t="str">
        <f t="shared" si="3"/>
        <v/>
      </c>
      <c r="P44" s="208" t="str">
        <f t="shared" si="4"/>
        <v/>
      </c>
      <c r="Q44" s="208" t="str">
        <f t="shared" si="5"/>
        <v/>
      </c>
      <c r="R44" s="208" t="str">
        <f t="shared" si="6"/>
        <v/>
      </c>
      <c r="S44" s="208" t="str">
        <f t="shared" si="7"/>
        <v/>
      </c>
      <c r="T44" s="208" t="str">
        <f t="shared" si="8"/>
        <v/>
      </c>
      <c r="U44" s="208" t="str">
        <f t="shared" si="9"/>
        <v/>
      </c>
      <c r="V44" s="208" t="str">
        <f t="shared" si="10"/>
        <v/>
      </c>
      <c r="W44" s="208" t="str">
        <f t="shared" si="11"/>
        <v/>
      </c>
      <c r="X44" s="208" t="str">
        <f t="shared" si="12"/>
        <v/>
      </c>
      <c r="Y44" s="208" t="str">
        <f t="shared" si="13"/>
        <v/>
      </c>
      <c r="Z44" s="39"/>
    </row>
    <row r="45" spans="1:26" x14ac:dyDescent="0.2">
      <c r="A45" s="213">
        <v>1.41</v>
      </c>
      <c r="B45" s="214" t="s">
        <v>123</v>
      </c>
      <c r="C45" s="221">
        <v>20</v>
      </c>
      <c r="D45" s="221">
        <v>45</v>
      </c>
      <c r="E45" s="221">
        <v>80</v>
      </c>
      <c r="F45" s="216">
        <v>0.2</v>
      </c>
      <c r="G45" s="216">
        <v>1.1000000000000001</v>
      </c>
      <c r="H45" s="216">
        <v>1.1000000000000001</v>
      </c>
      <c r="I45" s="216">
        <v>0.4</v>
      </c>
      <c r="J45" s="214">
        <v>5</v>
      </c>
      <c r="K45" s="214">
        <v>1</v>
      </c>
      <c r="L45" s="214">
        <v>9</v>
      </c>
      <c r="M45" s="214">
        <v>10</v>
      </c>
      <c r="N45" s="208" t="str">
        <f t="shared" si="14"/>
        <v/>
      </c>
      <c r="O45" s="208" t="str">
        <f t="shared" si="3"/>
        <v/>
      </c>
      <c r="P45" s="208" t="str">
        <f t="shared" si="4"/>
        <v/>
      </c>
      <c r="Q45" s="208" t="str">
        <f t="shared" si="5"/>
        <v/>
      </c>
      <c r="R45" s="208" t="str">
        <f t="shared" si="6"/>
        <v/>
      </c>
      <c r="S45" s="208" t="str">
        <f t="shared" si="7"/>
        <v/>
      </c>
      <c r="T45" s="208" t="str">
        <f t="shared" si="8"/>
        <v/>
      </c>
      <c r="U45" s="208" t="str">
        <f t="shared" si="9"/>
        <v/>
      </c>
      <c r="V45" s="208" t="str">
        <f t="shared" si="10"/>
        <v/>
      </c>
      <c r="W45" s="208" t="str">
        <f t="shared" si="11"/>
        <v/>
      </c>
      <c r="X45" s="208" t="str">
        <f t="shared" si="12"/>
        <v/>
      </c>
      <c r="Y45" s="208" t="str">
        <f t="shared" si="13"/>
        <v/>
      </c>
      <c r="Z45" s="39"/>
    </row>
    <row r="46" spans="1:26" x14ac:dyDescent="0.2">
      <c r="A46" s="213">
        <v>1.42</v>
      </c>
      <c r="B46" s="214" t="s">
        <v>124</v>
      </c>
      <c r="C46" s="221">
        <v>20</v>
      </c>
      <c r="D46" s="221">
        <v>45</v>
      </c>
      <c r="E46" s="221">
        <v>78</v>
      </c>
      <c r="F46" s="216">
        <v>0.8</v>
      </c>
      <c r="G46" s="216">
        <v>1.1000000000000001</v>
      </c>
      <c r="H46" s="216">
        <v>1.1000000000000001</v>
      </c>
      <c r="I46" s="216">
        <v>0.7</v>
      </c>
      <c r="J46" s="214">
        <v>4</v>
      </c>
      <c r="K46" s="214">
        <v>15</v>
      </c>
      <c r="L46" s="214">
        <v>8</v>
      </c>
      <c r="M46" s="214">
        <v>15</v>
      </c>
      <c r="N46" s="208" t="str">
        <f t="shared" si="14"/>
        <v/>
      </c>
      <c r="O46" s="208" t="str">
        <f t="shared" si="3"/>
        <v/>
      </c>
      <c r="P46" s="208" t="str">
        <f t="shared" si="4"/>
        <v/>
      </c>
      <c r="Q46" s="208" t="str">
        <f t="shared" si="5"/>
        <v/>
      </c>
      <c r="R46" s="208" t="str">
        <f t="shared" si="6"/>
        <v/>
      </c>
      <c r="S46" s="208" t="str">
        <f t="shared" si="7"/>
        <v/>
      </c>
      <c r="T46" s="208" t="str">
        <f t="shared" si="8"/>
        <v/>
      </c>
      <c r="U46" s="208" t="str">
        <f t="shared" si="9"/>
        <v/>
      </c>
      <c r="V46" s="208" t="str">
        <f t="shared" si="10"/>
        <v/>
      </c>
      <c r="W46" s="208" t="str">
        <f t="shared" si="11"/>
        <v/>
      </c>
      <c r="X46" s="208" t="str">
        <f t="shared" si="12"/>
        <v/>
      </c>
      <c r="Y46" s="208" t="str">
        <f t="shared" si="13"/>
        <v/>
      </c>
      <c r="Z46" s="39"/>
    </row>
    <row r="47" spans="1:26" x14ac:dyDescent="0.2">
      <c r="A47" s="213">
        <v>1.43</v>
      </c>
      <c r="B47" s="214" t="s">
        <v>125</v>
      </c>
      <c r="C47" s="221">
        <v>25</v>
      </c>
      <c r="D47" s="221">
        <v>50</v>
      </c>
      <c r="E47" s="221">
        <v>80</v>
      </c>
      <c r="F47" s="216">
        <v>0.3</v>
      </c>
      <c r="G47" s="216">
        <v>1.1000000000000001</v>
      </c>
      <c r="H47" s="216">
        <v>1.1000000000000001</v>
      </c>
      <c r="I47" s="216">
        <v>0.65</v>
      </c>
      <c r="J47" s="214">
        <v>4</v>
      </c>
      <c r="K47" s="214">
        <v>1</v>
      </c>
      <c r="L47" s="214">
        <v>8</v>
      </c>
      <c r="M47" s="214">
        <v>31</v>
      </c>
      <c r="N47" s="208" t="str">
        <f t="shared" si="14"/>
        <v/>
      </c>
      <c r="O47" s="208" t="str">
        <f t="shared" si="3"/>
        <v/>
      </c>
      <c r="P47" s="208" t="str">
        <f t="shared" si="4"/>
        <v/>
      </c>
      <c r="Q47" s="208" t="str">
        <f t="shared" si="5"/>
        <v/>
      </c>
      <c r="R47" s="208" t="str">
        <f t="shared" si="6"/>
        <v/>
      </c>
      <c r="S47" s="208" t="str">
        <f t="shared" si="7"/>
        <v/>
      </c>
      <c r="T47" s="208" t="str">
        <f t="shared" si="8"/>
        <v/>
      </c>
      <c r="U47" s="208" t="str">
        <f t="shared" si="9"/>
        <v/>
      </c>
      <c r="V47" s="208" t="str">
        <f t="shared" si="10"/>
        <v/>
      </c>
      <c r="W47" s="208" t="str">
        <f t="shared" si="11"/>
        <v/>
      </c>
      <c r="X47" s="208" t="str">
        <f t="shared" si="12"/>
        <v/>
      </c>
      <c r="Y47" s="208" t="str">
        <f t="shared" si="13"/>
        <v/>
      </c>
      <c r="Z47" s="39"/>
    </row>
    <row r="48" spans="1:26" x14ac:dyDescent="0.2">
      <c r="A48" s="213">
        <v>1.44</v>
      </c>
      <c r="B48" s="214" t="s">
        <v>126</v>
      </c>
      <c r="C48" s="221">
        <v>33</v>
      </c>
      <c r="D48" s="221">
        <v>67</v>
      </c>
      <c r="E48" s="221">
        <v>92</v>
      </c>
      <c r="F48" s="216">
        <v>0.8</v>
      </c>
      <c r="G48" s="216">
        <v>0.9</v>
      </c>
      <c r="H48" s="216">
        <v>0.9</v>
      </c>
      <c r="I48" s="216">
        <v>0.9</v>
      </c>
      <c r="J48" s="214">
        <v>3</v>
      </c>
      <c r="K48" s="214">
        <v>1</v>
      </c>
      <c r="L48" s="214">
        <v>8</v>
      </c>
      <c r="M48" s="214">
        <v>31</v>
      </c>
      <c r="N48" s="208" t="str">
        <f t="shared" si="14"/>
        <v/>
      </c>
      <c r="O48" s="208" t="str">
        <f t="shared" si="3"/>
        <v/>
      </c>
      <c r="P48" s="208" t="str">
        <f t="shared" si="4"/>
        <v/>
      </c>
      <c r="Q48" s="208" t="str">
        <f t="shared" si="5"/>
        <v/>
      </c>
      <c r="R48" s="208" t="str">
        <f t="shared" si="6"/>
        <v/>
      </c>
      <c r="S48" s="208" t="str">
        <f t="shared" si="7"/>
        <v/>
      </c>
      <c r="T48" s="208" t="str">
        <f t="shared" si="8"/>
        <v/>
      </c>
      <c r="U48" s="208" t="str">
        <f t="shared" si="9"/>
        <v/>
      </c>
      <c r="V48" s="208" t="str">
        <f t="shared" si="10"/>
        <v/>
      </c>
      <c r="W48" s="208" t="str">
        <f t="shared" si="11"/>
        <v/>
      </c>
      <c r="X48" s="208" t="str">
        <f t="shared" si="12"/>
        <v/>
      </c>
      <c r="Y48" s="208" t="str">
        <f t="shared" si="13"/>
        <v/>
      </c>
      <c r="Z48" s="39"/>
    </row>
    <row r="49" spans="1:26" x14ac:dyDescent="0.2">
      <c r="A49" s="213">
        <v>1.45</v>
      </c>
      <c r="B49" s="214" t="s">
        <v>127</v>
      </c>
      <c r="C49" s="221">
        <v>20</v>
      </c>
      <c r="D49" s="221">
        <v>45</v>
      </c>
      <c r="E49" s="221">
        <v>75</v>
      </c>
      <c r="F49" s="216">
        <v>0.33</v>
      </c>
      <c r="G49" s="216">
        <v>1.1000000000000001</v>
      </c>
      <c r="H49" s="216">
        <v>1.1000000000000001</v>
      </c>
      <c r="I49" s="216">
        <v>0.15</v>
      </c>
      <c r="J49" s="214">
        <v>11</v>
      </c>
      <c r="K49" s="214">
        <v>1</v>
      </c>
      <c r="L49" s="214">
        <v>5</v>
      </c>
      <c r="M49" s="214">
        <v>31</v>
      </c>
      <c r="N49" s="208" t="str">
        <f t="shared" si="14"/>
        <v/>
      </c>
      <c r="O49" s="208" t="str">
        <f t="shared" si="3"/>
        <v/>
      </c>
      <c r="P49" s="208" t="str">
        <f t="shared" si="4"/>
        <v/>
      </c>
      <c r="Q49" s="208" t="str">
        <f t="shared" si="5"/>
        <v/>
      </c>
      <c r="R49" s="208" t="str">
        <f t="shared" si="6"/>
        <v/>
      </c>
      <c r="S49" s="208" t="str">
        <f t="shared" si="7"/>
        <v/>
      </c>
      <c r="T49" s="208" t="str">
        <f t="shared" si="8"/>
        <v/>
      </c>
      <c r="U49" s="208" t="str">
        <f t="shared" si="9"/>
        <v/>
      </c>
      <c r="V49" s="208" t="str">
        <f t="shared" si="10"/>
        <v/>
      </c>
      <c r="W49" s="208" t="str">
        <f t="shared" si="11"/>
        <v/>
      </c>
      <c r="X49" s="208" t="str">
        <f t="shared" si="12"/>
        <v/>
      </c>
      <c r="Y49" s="208" t="str">
        <f t="shared" si="13"/>
        <v/>
      </c>
      <c r="Z49" s="39"/>
    </row>
    <row r="50" spans="1:26" x14ac:dyDescent="0.2">
      <c r="A50" s="213">
        <v>1.46</v>
      </c>
      <c r="B50" s="214" t="s">
        <v>128</v>
      </c>
      <c r="C50" s="221">
        <v>20</v>
      </c>
      <c r="D50" s="221">
        <v>50</v>
      </c>
      <c r="E50" s="221">
        <v>75</v>
      </c>
      <c r="F50" s="216">
        <v>0.8</v>
      </c>
      <c r="G50" s="216">
        <v>1</v>
      </c>
      <c r="H50" s="216">
        <v>1</v>
      </c>
      <c r="I50" s="216">
        <v>0.75</v>
      </c>
      <c r="J50" s="214">
        <v>4</v>
      </c>
      <c r="K50" s="214">
        <v>1</v>
      </c>
      <c r="L50" s="214">
        <v>11</v>
      </c>
      <c r="M50" s="214">
        <v>15</v>
      </c>
      <c r="N50" s="208" t="str">
        <f t="shared" si="14"/>
        <v/>
      </c>
      <c r="O50" s="208" t="str">
        <f t="shared" si="3"/>
        <v/>
      </c>
      <c r="P50" s="208" t="str">
        <f t="shared" si="4"/>
        <v/>
      </c>
      <c r="Q50" s="208" t="str">
        <f t="shared" si="5"/>
        <v/>
      </c>
      <c r="R50" s="208" t="str">
        <f t="shared" si="6"/>
        <v/>
      </c>
      <c r="S50" s="208" t="str">
        <f t="shared" si="7"/>
        <v/>
      </c>
      <c r="T50" s="208" t="str">
        <f t="shared" si="8"/>
        <v/>
      </c>
      <c r="U50" s="208" t="str">
        <f t="shared" si="9"/>
        <v/>
      </c>
      <c r="V50" s="208" t="str">
        <f t="shared" si="10"/>
        <v/>
      </c>
      <c r="W50" s="208" t="str">
        <f t="shared" si="11"/>
        <v/>
      </c>
      <c r="X50" s="208" t="str">
        <f t="shared" si="12"/>
        <v/>
      </c>
      <c r="Y50" s="208" t="str">
        <f t="shared" si="13"/>
        <v/>
      </c>
      <c r="Z50" s="39"/>
    </row>
    <row r="51" spans="1:26" x14ac:dyDescent="0.2">
      <c r="A51" s="217">
        <v>2.0099999999999998</v>
      </c>
      <c r="B51" s="218" t="s">
        <v>129</v>
      </c>
      <c r="C51" s="222">
        <v>25</v>
      </c>
      <c r="D51" s="222">
        <v>50</v>
      </c>
      <c r="E51" s="222">
        <v>75</v>
      </c>
      <c r="F51" s="220">
        <v>1</v>
      </c>
      <c r="G51" s="220">
        <v>1</v>
      </c>
      <c r="H51" s="220">
        <v>1</v>
      </c>
      <c r="I51" s="220">
        <v>1</v>
      </c>
      <c r="J51" s="218">
        <v>1</v>
      </c>
      <c r="K51" s="218">
        <v>1</v>
      </c>
      <c r="L51" s="218">
        <v>12</v>
      </c>
      <c r="M51" s="218">
        <v>31</v>
      </c>
      <c r="N51" s="208" t="str">
        <f t="shared" si="14"/>
        <v/>
      </c>
      <c r="O51" s="208" t="str">
        <f t="shared" si="3"/>
        <v/>
      </c>
      <c r="P51" s="208" t="str">
        <f t="shared" si="4"/>
        <v/>
      </c>
      <c r="Q51" s="208" t="str">
        <f t="shared" si="5"/>
        <v/>
      </c>
      <c r="R51" s="208" t="str">
        <f t="shared" si="6"/>
        <v/>
      </c>
      <c r="S51" s="208" t="str">
        <f t="shared" si="7"/>
        <v/>
      </c>
      <c r="T51" s="208" t="str">
        <f t="shared" si="8"/>
        <v/>
      </c>
      <c r="U51" s="208" t="str">
        <f t="shared" si="9"/>
        <v/>
      </c>
      <c r="V51" s="208" t="str">
        <f t="shared" si="10"/>
        <v/>
      </c>
      <c r="W51" s="208" t="str">
        <f t="shared" si="11"/>
        <v/>
      </c>
      <c r="X51" s="208" t="str">
        <f t="shared" si="12"/>
        <v/>
      </c>
      <c r="Y51" s="208" t="str">
        <f t="shared" si="13"/>
        <v/>
      </c>
      <c r="Z51" s="39"/>
    </row>
    <row r="52" spans="1:26" x14ac:dyDescent="0.2">
      <c r="A52" s="213">
        <v>2.02</v>
      </c>
      <c r="B52" s="214" t="s">
        <v>130</v>
      </c>
      <c r="C52" s="221">
        <v>25</v>
      </c>
      <c r="D52" s="221">
        <v>50</v>
      </c>
      <c r="E52" s="221">
        <v>75</v>
      </c>
      <c r="F52" s="216">
        <v>0.95</v>
      </c>
      <c r="G52" s="216">
        <v>0.95</v>
      </c>
      <c r="H52" s="216">
        <v>0.95</v>
      </c>
      <c r="I52" s="216">
        <v>0.95</v>
      </c>
      <c r="J52" s="214">
        <v>1</v>
      </c>
      <c r="K52" s="214">
        <v>1</v>
      </c>
      <c r="L52" s="214">
        <v>12</v>
      </c>
      <c r="M52" s="214">
        <v>31</v>
      </c>
      <c r="N52" s="208" t="str">
        <f t="shared" si="14"/>
        <v/>
      </c>
      <c r="O52" s="208" t="str">
        <f t="shared" si="3"/>
        <v/>
      </c>
      <c r="P52" s="208" t="str">
        <f t="shared" si="4"/>
        <v/>
      </c>
      <c r="Q52" s="208" t="str">
        <f t="shared" si="5"/>
        <v/>
      </c>
      <c r="R52" s="208" t="str">
        <f t="shared" si="6"/>
        <v/>
      </c>
      <c r="S52" s="208" t="str">
        <f t="shared" si="7"/>
        <v/>
      </c>
      <c r="T52" s="208" t="str">
        <f t="shared" si="8"/>
        <v/>
      </c>
      <c r="U52" s="208" t="str">
        <f t="shared" si="9"/>
        <v/>
      </c>
      <c r="V52" s="208" t="str">
        <f t="shared" si="10"/>
        <v/>
      </c>
      <c r="W52" s="208" t="str">
        <f t="shared" si="11"/>
        <v/>
      </c>
      <c r="X52" s="208" t="str">
        <f t="shared" si="12"/>
        <v/>
      </c>
      <c r="Y52" s="208" t="str">
        <f t="shared" si="13"/>
        <v/>
      </c>
      <c r="Z52" s="39"/>
    </row>
    <row r="53" spans="1:26" x14ac:dyDescent="0.2">
      <c r="A53" s="213">
        <v>2.0299999999999998</v>
      </c>
      <c r="B53" s="214" t="s">
        <v>131</v>
      </c>
      <c r="C53" s="221">
        <v>25</v>
      </c>
      <c r="D53" s="221">
        <v>50</v>
      </c>
      <c r="E53" s="221">
        <v>75</v>
      </c>
      <c r="F53" s="216">
        <v>0.8</v>
      </c>
      <c r="G53" s="216">
        <v>0.8</v>
      </c>
      <c r="H53" s="216">
        <v>0.8</v>
      </c>
      <c r="I53" s="216">
        <v>0.8</v>
      </c>
      <c r="J53" s="214">
        <v>1</v>
      </c>
      <c r="K53" s="214">
        <v>1</v>
      </c>
      <c r="L53" s="214">
        <v>12</v>
      </c>
      <c r="M53" s="214">
        <v>31</v>
      </c>
      <c r="N53" s="208" t="str">
        <f t="shared" si="14"/>
        <v/>
      </c>
      <c r="O53" s="208" t="str">
        <f t="shared" si="3"/>
        <v/>
      </c>
      <c r="P53" s="208" t="str">
        <f t="shared" si="4"/>
        <v/>
      </c>
      <c r="Q53" s="208" t="str">
        <f t="shared" si="5"/>
        <v/>
      </c>
      <c r="R53" s="208" t="str">
        <f t="shared" si="6"/>
        <v/>
      </c>
      <c r="S53" s="208" t="str">
        <f t="shared" si="7"/>
        <v/>
      </c>
      <c r="T53" s="208" t="str">
        <f t="shared" si="8"/>
        <v/>
      </c>
      <c r="U53" s="208" t="str">
        <f t="shared" si="9"/>
        <v/>
      </c>
      <c r="V53" s="208" t="str">
        <f t="shared" si="10"/>
        <v/>
      </c>
      <c r="W53" s="208" t="str">
        <f t="shared" si="11"/>
        <v/>
      </c>
      <c r="X53" s="208" t="str">
        <f t="shared" si="12"/>
        <v/>
      </c>
      <c r="Y53" s="208" t="str">
        <f t="shared" si="13"/>
        <v/>
      </c>
      <c r="Z53" s="39"/>
    </row>
    <row r="54" spans="1:26" x14ac:dyDescent="0.2">
      <c r="A54" s="213">
        <v>2.04</v>
      </c>
      <c r="B54" s="214" t="s">
        <v>132</v>
      </c>
      <c r="C54" s="221">
        <v>25</v>
      </c>
      <c r="D54" s="221">
        <v>50</v>
      </c>
      <c r="E54" s="221">
        <v>75</v>
      </c>
      <c r="F54" s="216">
        <v>0.6</v>
      </c>
      <c r="G54" s="216">
        <v>0.6</v>
      </c>
      <c r="H54" s="216">
        <v>0.6</v>
      </c>
      <c r="I54" s="216">
        <v>0.6</v>
      </c>
      <c r="J54" s="214">
        <v>1</v>
      </c>
      <c r="K54" s="214">
        <v>1</v>
      </c>
      <c r="L54" s="214">
        <v>12</v>
      </c>
      <c r="M54" s="214">
        <v>31</v>
      </c>
      <c r="N54" s="208" t="str">
        <f t="shared" si="14"/>
        <v/>
      </c>
      <c r="O54" s="208" t="str">
        <f t="shared" si="3"/>
        <v/>
      </c>
      <c r="P54" s="208" t="str">
        <f t="shared" si="4"/>
        <v/>
      </c>
      <c r="Q54" s="208" t="str">
        <f t="shared" si="5"/>
        <v/>
      </c>
      <c r="R54" s="208" t="str">
        <f t="shared" si="6"/>
        <v/>
      </c>
      <c r="S54" s="208" t="str">
        <f t="shared" si="7"/>
        <v/>
      </c>
      <c r="T54" s="208" t="str">
        <f t="shared" si="8"/>
        <v/>
      </c>
      <c r="U54" s="208" t="str">
        <f t="shared" si="9"/>
        <v/>
      </c>
      <c r="V54" s="208" t="str">
        <f t="shared" si="10"/>
        <v/>
      </c>
      <c r="W54" s="208" t="str">
        <f t="shared" si="11"/>
        <v/>
      </c>
      <c r="X54" s="208" t="str">
        <f t="shared" si="12"/>
        <v/>
      </c>
      <c r="Y54" s="208" t="str">
        <f t="shared" si="13"/>
        <v/>
      </c>
      <c r="Z54" s="39"/>
    </row>
    <row r="55" spans="1:26" x14ac:dyDescent="0.2">
      <c r="A55" s="223">
        <v>3.01</v>
      </c>
      <c r="B55" s="224" t="s">
        <v>133</v>
      </c>
      <c r="C55" s="222">
        <v>0</v>
      </c>
      <c r="D55" s="222">
        <v>50</v>
      </c>
      <c r="E55" s="222">
        <v>90</v>
      </c>
      <c r="F55" s="220">
        <v>0.55000000000000004</v>
      </c>
      <c r="G55" s="220">
        <v>1.1499999999999999</v>
      </c>
      <c r="H55" s="220">
        <v>1.1499999999999999</v>
      </c>
      <c r="I55" s="220">
        <v>0.65</v>
      </c>
      <c r="J55" s="218">
        <v>3</v>
      </c>
      <c r="K55" s="218">
        <v>1</v>
      </c>
      <c r="L55" s="218">
        <v>10</v>
      </c>
      <c r="M55" s="218">
        <v>15</v>
      </c>
      <c r="N55" s="208" t="str">
        <f t="shared" si="14"/>
        <v/>
      </c>
      <c r="O55" s="208" t="str">
        <f t="shared" si="3"/>
        <v/>
      </c>
      <c r="P55" s="208" t="str">
        <f t="shared" si="4"/>
        <v/>
      </c>
      <c r="Q55" s="208" t="str">
        <f t="shared" si="5"/>
        <v/>
      </c>
      <c r="R55" s="208" t="str">
        <f t="shared" si="6"/>
        <v/>
      </c>
      <c r="S55" s="208" t="str">
        <f t="shared" si="7"/>
        <v/>
      </c>
      <c r="T55" s="208" t="str">
        <f t="shared" si="8"/>
        <v/>
      </c>
      <c r="U55" s="208" t="str">
        <f t="shared" si="9"/>
        <v/>
      </c>
      <c r="V55" s="208" t="str">
        <f t="shared" si="10"/>
        <v/>
      </c>
      <c r="W55" s="208" t="str">
        <f t="shared" si="11"/>
        <v/>
      </c>
      <c r="X55" s="208" t="str">
        <f t="shared" si="12"/>
        <v/>
      </c>
      <c r="Y55" s="208" t="str">
        <f t="shared" si="13"/>
        <v/>
      </c>
      <c r="Z55" s="39"/>
    </row>
    <row r="56" spans="1:26" x14ac:dyDescent="0.2">
      <c r="A56" s="195">
        <v>3.02</v>
      </c>
      <c r="B56" s="207" t="s">
        <v>134</v>
      </c>
      <c r="C56" s="203">
        <v>0</v>
      </c>
      <c r="D56" s="203">
        <v>50</v>
      </c>
      <c r="E56" s="203">
        <v>75</v>
      </c>
      <c r="F56" s="198">
        <v>0.55000000000000004</v>
      </c>
      <c r="G56" s="198">
        <v>1.05</v>
      </c>
      <c r="H56" s="198">
        <v>1.05</v>
      </c>
      <c r="I56" s="198">
        <v>0.8</v>
      </c>
      <c r="J56" s="196">
        <v>4</v>
      </c>
      <c r="K56" s="196">
        <v>1</v>
      </c>
      <c r="L56" s="196">
        <v>11</v>
      </c>
      <c r="M56" s="196">
        <v>15</v>
      </c>
      <c r="N56" s="208" t="str">
        <f t="shared" si="14"/>
        <v/>
      </c>
      <c r="O56" s="208" t="str">
        <f t="shared" si="3"/>
        <v/>
      </c>
      <c r="P56" s="208" t="str">
        <f t="shared" si="4"/>
        <v/>
      </c>
      <c r="Q56" s="208" t="str">
        <f t="shared" si="5"/>
        <v/>
      </c>
      <c r="R56" s="208" t="str">
        <f t="shared" si="6"/>
        <v/>
      </c>
      <c r="S56" s="208" t="str">
        <f t="shared" si="7"/>
        <v/>
      </c>
      <c r="T56" s="208" t="str">
        <f t="shared" si="8"/>
        <v/>
      </c>
      <c r="U56" s="208" t="str">
        <f t="shared" si="9"/>
        <v/>
      </c>
      <c r="V56" s="208" t="str">
        <f t="shared" si="10"/>
        <v/>
      </c>
      <c r="W56" s="208" t="str">
        <f t="shared" si="11"/>
        <v/>
      </c>
      <c r="X56" s="208" t="str">
        <f t="shared" si="12"/>
        <v/>
      </c>
      <c r="Y56" s="208" t="str">
        <f t="shared" si="13"/>
        <v/>
      </c>
      <c r="Z56" s="39"/>
    </row>
    <row r="57" spans="1:26" x14ac:dyDescent="0.2">
      <c r="A57" s="195">
        <v>3.03</v>
      </c>
      <c r="B57" s="207" t="s">
        <v>353</v>
      </c>
      <c r="C57" s="203">
        <v>0</v>
      </c>
      <c r="D57" s="203">
        <v>25</v>
      </c>
      <c r="E57" s="203">
        <v>75</v>
      </c>
      <c r="F57" s="198">
        <v>0.45</v>
      </c>
      <c r="G57" s="198">
        <v>0.8</v>
      </c>
      <c r="H57" s="198">
        <v>0.8</v>
      </c>
      <c r="I57" s="198">
        <v>0.35</v>
      </c>
      <c r="J57" s="196">
        <v>4</v>
      </c>
      <c r="K57" s="196">
        <v>1</v>
      </c>
      <c r="L57" s="196">
        <v>10</v>
      </c>
      <c r="M57" s="196">
        <v>1</v>
      </c>
      <c r="N57" s="208" t="str">
        <f t="shared" si="14"/>
        <v/>
      </c>
      <c r="O57" s="208" t="str">
        <f t="shared" si="3"/>
        <v/>
      </c>
      <c r="P57" s="208" t="str">
        <f t="shared" si="4"/>
        <v/>
      </c>
      <c r="Q57" s="208" t="str">
        <f t="shared" si="5"/>
        <v/>
      </c>
      <c r="R57" s="208" t="str">
        <f t="shared" si="6"/>
        <v/>
      </c>
      <c r="S57" s="208" t="str">
        <f t="shared" si="7"/>
        <v/>
      </c>
      <c r="T57" s="208" t="str">
        <f t="shared" si="8"/>
        <v/>
      </c>
      <c r="U57" s="208" t="str">
        <f t="shared" si="9"/>
        <v/>
      </c>
      <c r="V57" s="208" t="str">
        <f t="shared" si="10"/>
        <v/>
      </c>
      <c r="W57" s="208" t="str">
        <f t="shared" si="11"/>
        <v/>
      </c>
      <c r="X57" s="208" t="str">
        <f t="shared" si="12"/>
        <v/>
      </c>
      <c r="Y57" s="208" t="str">
        <f t="shared" si="13"/>
        <v/>
      </c>
      <c r="Z57" s="39"/>
    </row>
    <row r="58" spans="1:26" x14ac:dyDescent="0.2">
      <c r="A58" s="195">
        <v>3.04</v>
      </c>
      <c r="B58" s="207" t="s">
        <v>354</v>
      </c>
      <c r="C58" s="203">
        <v>0</v>
      </c>
      <c r="D58" s="203">
        <v>25</v>
      </c>
      <c r="E58" s="203">
        <v>75</v>
      </c>
      <c r="F58" s="198">
        <v>0.45</v>
      </c>
      <c r="G58" s="198">
        <v>1.1000000000000001</v>
      </c>
      <c r="H58" s="198">
        <v>1.1000000000000001</v>
      </c>
      <c r="I58" s="198">
        <v>0.35</v>
      </c>
      <c r="J58" s="196">
        <v>3</v>
      </c>
      <c r="K58" s="196">
        <v>15</v>
      </c>
      <c r="L58" s="196">
        <v>9</v>
      </c>
      <c r="M58" s="196">
        <v>10</v>
      </c>
      <c r="N58" s="208"/>
      <c r="O58" s="208"/>
      <c r="P58" s="208"/>
      <c r="Q58" s="208"/>
      <c r="R58" s="208"/>
      <c r="S58" s="208"/>
      <c r="T58" s="208"/>
      <c r="U58" s="208"/>
      <c r="V58" s="208"/>
      <c r="W58" s="208"/>
      <c r="X58" s="208"/>
      <c r="Y58" s="208"/>
      <c r="Z58" s="39"/>
    </row>
    <row r="59" spans="1:26" x14ac:dyDescent="0.2">
      <c r="A59" s="195">
        <v>3.05</v>
      </c>
      <c r="B59" s="207" t="s">
        <v>355</v>
      </c>
      <c r="C59" s="203">
        <v>0</v>
      </c>
      <c r="D59" s="203">
        <v>25</v>
      </c>
      <c r="E59" s="203">
        <v>75</v>
      </c>
      <c r="F59" s="198">
        <v>0.45</v>
      </c>
      <c r="G59" s="198">
        <v>1.1000000000000001</v>
      </c>
      <c r="H59" s="198">
        <v>1.1000000000000001</v>
      </c>
      <c r="I59" s="198">
        <v>0.35</v>
      </c>
      <c r="J59" s="196">
        <v>3</v>
      </c>
      <c r="K59" s="196">
        <v>15</v>
      </c>
      <c r="L59" s="196">
        <v>9</v>
      </c>
      <c r="M59" s="196">
        <v>10</v>
      </c>
      <c r="N59" s="208"/>
      <c r="O59" s="208"/>
      <c r="P59" s="208"/>
      <c r="Q59" s="208"/>
      <c r="R59" s="208"/>
      <c r="S59" s="208"/>
      <c r="T59" s="208"/>
      <c r="U59" s="208"/>
      <c r="V59" s="208"/>
      <c r="W59" s="208"/>
      <c r="X59" s="208"/>
      <c r="Y59" s="208"/>
      <c r="Z59" s="39"/>
    </row>
    <row r="60" spans="1:26" x14ac:dyDescent="0.2">
      <c r="A60" s="195">
        <v>3.06</v>
      </c>
      <c r="B60" s="207" t="s">
        <v>135</v>
      </c>
      <c r="C60" s="203">
        <v>0</v>
      </c>
      <c r="D60" s="203">
        <v>22</v>
      </c>
      <c r="E60" s="203">
        <v>67</v>
      </c>
      <c r="F60" s="198">
        <v>0.3</v>
      </c>
      <c r="G60" s="198">
        <v>1.05</v>
      </c>
      <c r="H60" s="198">
        <v>1.05</v>
      </c>
      <c r="I60" s="198">
        <v>1</v>
      </c>
      <c r="J60" s="196">
        <v>5</v>
      </c>
      <c r="K60" s="196">
        <v>1</v>
      </c>
      <c r="L60" s="196">
        <v>10</v>
      </c>
      <c r="M60" s="196">
        <v>31</v>
      </c>
      <c r="N60" s="208" t="str">
        <f t="shared" si="14"/>
        <v/>
      </c>
      <c r="O60" s="208" t="str">
        <f t="shared" si="3"/>
        <v/>
      </c>
      <c r="P60" s="208" t="str">
        <f t="shared" si="4"/>
        <v/>
      </c>
      <c r="Q60" s="208" t="str">
        <f t="shared" si="5"/>
        <v/>
      </c>
      <c r="R60" s="208" t="str">
        <f t="shared" si="6"/>
        <v/>
      </c>
      <c r="S60" s="208" t="str">
        <f t="shared" si="7"/>
        <v/>
      </c>
      <c r="T60" s="208" t="str">
        <f t="shared" si="8"/>
        <v/>
      </c>
      <c r="U60" s="208" t="str">
        <f t="shared" si="9"/>
        <v/>
      </c>
      <c r="V60" s="208" t="str">
        <f t="shared" si="10"/>
        <v/>
      </c>
      <c r="W60" s="208" t="str">
        <f t="shared" si="11"/>
        <v/>
      </c>
      <c r="X60" s="208" t="str">
        <f t="shared" si="12"/>
        <v/>
      </c>
      <c r="Y60" s="208" t="str">
        <f t="shared" si="13"/>
        <v/>
      </c>
      <c r="Z60" s="39"/>
    </row>
    <row r="61" spans="1:26" x14ac:dyDescent="0.2">
      <c r="A61" s="195">
        <v>3.07</v>
      </c>
      <c r="B61" s="207" t="s">
        <v>136</v>
      </c>
      <c r="C61" s="203">
        <v>0</v>
      </c>
      <c r="D61" s="203">
        <v>50</v>
      </c>
      <c r="E61" s="203">
        <v>90</v>
      </c>
      <c r="F61" s="198">
        <v>0.55000000000000004</v>
      </c>
      <c r="G61" s="198">
        <v>1.1499999999999999</v>
      </c>
      <c r="H61" s="198">
        <v>1.1499999999999999</v>
      </c>
      <c r="I61" s="198">
        <v>0.65</v>
      </c>
      <c r="J61" s="196">
        <v>3</v>
      </c>
      <c r="K61" s="196">
        <v>1</v>
      </c>
      <c r="L61" s="196">
        <v>10</v>
      </c>
      <c r="M61" s="196">
        <v>15</v>
      </c>
      <c r="N61" s="208" t="str">
        <f t="shared" si="14"/>
        <v>Stone fruits</v>
      </c>
      <c r="O61" s="208">
        <f t="shared" si="3"/>
        <v>0</v>
      </c>
      <c r="P61" s="208">
        <f t="shared" si="4"/>
        <v>50</v>
      </c>
      <c r="Q61" s="208">
        <f t="shared" si="5"/>
        <v>90</v>
      </c>
      <c r="R61" s="208">
        <f t="shared" si="6"/>
        <v>0.55000000000000004</v>
      </c>
      <c r="S61" s="208">
        <f t="shared" si="7"/>
        <v>1.1499999999999999</v>
      </c>
      <c r="T61" s="208">
        <f t="shared" si="8"/>
        <v>1.1499999999999999</v>
      </c>
      <c r="U61" s="208">
        <f t="shared" si="9"/>
        <v>0.65</v>
      </c>
      <c r="V61" s="208">
        <f t="shared" si="10"/>
        <v>3</v>
      </c>
      <c r="W61" s="208">
        <f t="shared" si="11"/>
        <v>1</v>
      </c>
      <c r="X61" s="208">
        <f t="shared" si="12"/>
        <v>10</v>
      </c>
      <c r="Y61" s="208">
        <f t="shared" si="13"/>
        <v>15</v>
      </c>
      <c r="Z61" s="39"/>
    </row>
    <row r="62" spans="1:26" x14ac:dyDescent="0.2">
      <c r="A62" s="195">
        <v>3.08</v>
      </c>
      <c r="B62" s="207" t="s">
        <v>137</v>
      </c>
      <c r="C62" s="203">
        <v>0</v>
      </c>
      <c r="D62" s="203">
        <v>50</v>
      </c>
      <c r="E62" s="203">
        <v>75</v>
      </c>
      <c r="F62" s="198">
        <v>0.55000000000000004</v>
      </c>
      <c r="G62" s="198">
        <v>1.1499999999999999</v>
      </c>
      <c r="H62" s="198">
        <v>1.1499999999999999</v>
      </c>
      <c r="I62" s="198">
        <v>0.8</v>
      </c>
      <c r="J62" s="196">
        <v>4</v>
      </c>
      <c r="K62" s="196">
        <v>1</v>
      </c>
      <c r="L62" s="196">
        <v>11</v>
      </c>
      <c r="M62" s="196">
        <v>15</v>
      </c>
      <c r="N62" s="208" t="str">
        <f t="shared" si="14"/>
        <v/>
      </c>
      <c r="O62" s="208" t="str">
        <f t="shared" si="3"/>
        <v/>
      </c>
      <c r="P62" s="208" t="str">
        <f t="shared" si="4"/>
        <v/>
      </c>
      <c r="Q62" s="208" t="str">
        <f t="shared" si="5"/>
        <v/>
      </c>
      <c r="R62" s="208" t="str">
        <f t="shared" si="6"/>
        <v/>
      </c>
      <c r="S62" s="208" t="str">
        <f t="shared" si="7"/>
        <v/>
      </c>
      <c r="T62" s="208" t="str">
        <f t="shared" si="8"/>
        <v/>
      </c>
      <c r="U62" s="208" t="str">
        <f t="shared" si="9"/>
        <v/>
      </c>
      <c r="V62" s="208" t="str">
        <f t="shared" si="10"/>
        <v/>
      </c>
      <c r="W62" s="208" t="str">
        <f t="shared" si="11"/>
        <v/>
      </c>
      <c r="X62" s="208" t="str">
        <f t="shared" si="12"/>
        <v/>
      </c>
      <c r="Y62" s="208" t="str">
        <f t="shared" si="13"/>
        <v/>
      </c>
      <c r="Z62" s="39"/>
    </row>
    <row r="63" spans="1:26" x14ac:dyDescent="0.2">
      <c r="A63" s="205">
        <v>4.01</v>
      </c>
      <c r="B63" s="200" t="s">
        <v>138</v>
      </c>
      <c r="C63" s="204">
        <v>0</v>
      </c>
      <c r="D63" s="204">
        <v>33</v>
      </c>
      <c r="E63" s="204">
        <v>67</v>
      </c>
      <c r="F63" s="202">
        <v>0.7</v>
      </c>
      <c r="G63" s="202">
        <v>0.7</v>
      </c>
      <c r="H63" s="202">
        <v>0.7</v>
      </c>
      <c r="I63" s="202">
        <v>0.7</v>
      </c>
      <c r="J63" s="200">
        <v>1</v>
      </c>
      <c r="K63" s="200">
        <v>1</v>
      </c>
      <c r="L63" s="200">
        <v>12</v>
      </c>
      <c r="M63" s="200">
        <v>31</v>
      </c>
      <c r="N63" s="208" t="str">
        <f t="shared" si="14"/>
        <v/>
      </c>
      <c r="O63" s="208" t="str">
        <f t="shared" si="3"/>
        <v/>
      </c>
      <c r="P63" s="208" t="str">
        <f t="shared" si="4"/>
        <v/>
      </c>
      <c r="Q63" s="208" t="str">
        <f t="shared" si="5"/>
        <v/>
      </c>
      <c r="R63" s="208" t="str">
        <f t="shared" si="6"/>
        <v/>
      </c>
      <c r="S63" s="208" t="str">
        <f t="shared" si="7"/>
        <v/>
      </c>
      <c r="T63" s="208" t="str">
        <f t="shared" si="8"/>
        <v/>
      </c>
      <c r="U63" s="208" t="str">
        <f t="shared" si="9"/>
        <v/>
      </c>
      <c r="V63" s="208" t="str">
        <f t="shared" si="10"/>
        <v/>
      </c>
      <c r="W63" s="208" t="str">
        <f t="shared" si="11"/>
        <v/>
      </c>
      <c r="X63" s="208" t="str">
        <f t="shared" si="12"/>
        <v/>
      </c>
      <c r="Y63" s="208" t="str">
        <f t="shared" si="13"/>
        <v/>
      </c>
      <c r="Z63" s="39"/>
    </row>
    <row r="64" spans="1:26" x14ac:dyDescent="0.2">
      <c r="A64" s="195">
        <v>4.0199999999999996</v>
      </c>
      <c r="B64" s="196" t="s">
        <v>356</v>
      </c>
      <c r="C64" s="203">
        <v>0</v>
      </c>
      <c r="D64" s="203">
        <v>33</v>
      </c>
      <c r="E64" s="203">
        <v>67</v>
      </c>
      <c r="F64" s="198">
        <v>1</v>
      </c>
      <c r="G64" s="198">
        <v>1</v>
      </c>
      <c r="H64" s="198">
        <v>1</v>
      </c>
      <c r="I64" s="198">
        <v>1</v>
      </c>
      <c r="J64" s="196">
        <v>1</v>
      </c>
      <c r="K64" s="196">
        <v>1</v>
      </c>
      <c r="L64" s="196">
        <v>12</v>
      </c>
      <c r="M64" s="196">
        <v>31</v>
      </c>
      <c r="N64" s="208" t="str">
        <f t="shared" si="14"/>
        <v/>
      </c>
      <c r="O64" s="208" t="str">
        <f t="shared" si="3"/>
        <v/>
      </c>
      <c r="P64" s="208" t="str">
        <f t="shared" si="4"/>
        <v/>
      </c>
      <c r="Q64" s="208" t="str">
        <f t="shared" si="5"/>
        <v/>
      </c>
      <c r="R64" s="208" t="str">
        <f t="shared" si="6"/>
        <v/>
      </c>
      <c r="S64" s="208" t="str">
        <f t="shared" si="7"/>
        <v/>
      </c>
      <c r="T64" s="208" t="str">
        <f t="shared" si="8"/>
        <v/>
      </c>
      <c r="U64" s="208" t="str">
        <f t="shared" si="9"/>
        <v/>
      </c>
      <c r="V64" s="208" t="str">
        <f t="shared" si="10"/>
        <v/>
      </c>
      <c r="W64" s="208" t="str">
        <f t="shared" si="11"/>
        <v/>
      </c>
      <c r="X64" s="208" t="str">
        <f t="shared" si="12"/>
        <v/>
      </c>
      <c r="Y64" s="208" t="str">
        <f t="shared" si="13"/>
        <v/>
      </c>
      <c r="Z64" s="39"/>
    </row>
    <row r="65" spans="1:26" x14ac:dyDescent="0.2">
      <c r="A65" s="195">
        <v>4.03</v>
      </c>
      <c r="B65" s="196" t="s">
        <v>357</v>
      </c>
      <c r="C65" s="203">
        <v>0</v>
      </c>
      <c r="D65" s="203">
        <v>33</v>
      </c>
      <c r="E65" s="203">
        <v>67</v>
      </c>
      <c r="F65" s="216">
        <v>0.7</v>
      </c>
      <c r="G65" s="216">
        <v>0.7</v>
      </c>
      <c r="H65" s="216">
        <v>0.7</v>
      </c>
      <c r="I65" s="216">
        <v>0.7</v>
      </c>
      <c r="J65" s="196">
        <v>1</v>
      </c>
      <c r="K65" s="196">
        <v>1</v>
      </c>
      <c r="L65" s="196">
        <v>12</v>
      </c>
      <c r="M65" s="196">
        <v>31</v>
      </c>
      <c r="N65" s="208" t="str">
        <f t="shared" si="14"/>
        <v/>
      </c>
      <c r="O65" s="208" t="str">
        <f t="shared" si="3"/>
        <v/>
      </c>
      <c r="P65" s="208" t="str">
        <f t="shared" si="4"/>
        <v/>
      </c>
      <c r="Q65" s="208" t="str">
        <f t="shared" si="5"/>
        <v/>
      </c>
      <c r="R65" s="208" t="str">
        <f t="shared" si="6"/>
        <v/>
      </c>
      <c r="S65" s="208" t="str">
        <f t="shared" si="7"/>
        <v/>
      </c>
      <c r="T65" s="208" t="str">
        <f t="shared" si="8"/>
        <v/>
      </c>
      <c r="U65" s="208" t="str">
        <f t="shared" si="9"/>
        <v/>
      </c>
      <c r="V65" s="208" t="str">
        <f t="shared" si="10"/>
        <v/>
      </c>
      <c r="W65" s="208" t="str">
        <f t="shared" si="11"/>
        <v/>
      </c>
      <c r="X65" s="208" t="str">
        <f t="shared" si="12"/>
        <v/>
      </c>
      <c r="Y65" s="208" t="str">
        <f t="shared" si="13"/>
        <v/>
      </c>
      <c r="Z65" s="39"/>
    </row>
    <row r="66" spans="1:26" x14ac:dyDescent="0.2">
      <c r="A66" s="195">
        <v>4.04</v>
      </c>
      <c r="B66" s="196" t="s">
        <v>139</v>
      </c>
      <c r="C66" s="203">
        <v>0</v>
      </c>
      <c r="D66" s="203">
        <v>33</v>
      </c>
      <c r="E66" s="203">
        <v>67</v>
      </c>
      <c r="F66" s="216">
        <v>0.95</v>
      </c>
      <c r="G66" s="216">
        <v>0.95</v>
      </c>
      <c r="H66" s="216">
        <v>0.95</v>
      </c>
      <c r="I66" s="216">
        <v>0.95</v>
      </c>
      <c r="J66" s="196">
        <v>1</v>
      </c>
      <c r="K66" s="196">
        <v>1</v>
      </c>
      <c r="L66" s="196">
        <v>12</v>
      </c>
      <c r="M66" s="196">
        <v>31</v>
      </c>
      <c r="N66" s="208" t="str">
        <f t="shared" si="14"/>
        <v/>
      </c>
      <c r="O66" s="208" t="str">
        <f t="shared" si="3"/>
        <v/>
      </c>
      <c r="P66" s="208" t="str">
        <f t="shared" si="4"/>
        <v/>
      </c>
      <c r="Q66" s="208" t="str">
        <f t="shared" si="5"/>
        <v/>
      </c>
      <c r="R66" s="208" t="str">
        <f t="shared" si="6"/>
        <v/>
      </c>
      <c r="S66" s="208" t="str">
        <f t="shared" si="7"/>
        <v/>
      </c>
      <c r="T66" s="208" t="str">
        <f t="shared" si="8"/>
        <v/>
      </c>
      <c r="U66" s="208" t="str">
        <f t="shared" si="9"/>
        <v/>
      </c>
      <c r="V66" s="208" t="str">
        <f t="shared" si="10"/>
        <v/>
      </c>
      <c r="W66" s="208" t="str">
        <f t="shared" si="11"/>
        <v/>
      </c>
      <c r="X66" s="208" t="str">
        <f t="shared" si="12"/>
        <v/>
      </c>
      <c r="Y66" s="208" t="str">
        <f t="shared" si="13"/>
        <v/>
      </c>
      <c r="Z66" s="39"/>
    </row>
    <row r="67" spans="1:26" x14ac:dyDescent="0.2">
      <c r="A67" s="195">
        <v>4.05</v>
      </c>
      <c r="B67" s="196" t="s">
        <v>140</v>
      </c>
      <c r="C67" s="203">
        <v>0</v>
      </c>
      <c r="D67" s="203">
        <v>33</v>
      </c>
      <c r="E67" s="203">
        <v>67</v>
      </c>
      <c r="F67" s="216">
        <v>1.1499999999999999</v>
      </c>
      <c r="G67" s="216">
        <v>1.1499999999999999</v>
      </c>
      <c r="H67" s="216">
        <v>1.1499999999999999</v>
      </c>
      <c r="I67" s="216">
        <v>1.1499999999999999</v>
      </c>
      <c r="J67" s="196">
        <v>1</v>
      </c>
      <c r="K67" s="196">
        <v>1</v>
      </c>
      <c r="L67" s="196">
        <v>12</v>
      </c>
      <c r="M67" s="196">
        <v>31</v>
      </c>
      <c r="N67" s="208" t="str">
        <f t="shared" si="14"/>
        <v/>
      </c>
      <c r="O67" s="208" t="str">
        <f t="shared" si="3"/>
        <v/>
      </c>
      <c r="P67" s="208" t="str">
        <f t="shared" si="4"/>
        <v/>
      </c>
      <c r="Q67" s="208" t="str">
        <f t="shared" si="5"/>
        <v/>
      </c>
      <c r="R67" s="208" t="str">
        <f t="shared" si="6"/>
        <v/>
      </c>
      <c r="S67" s="208" t="str">
        <f t="shared" si="7"/>
        <v/>
      </c>
      <c r="T67" s="208" t="str">
        <f t="shared" si="8"/>
        <v/>
      </c>
      <c r="U67" s="208" t="str">
        <f t="shared" si="9"/>
        <v/>
      </c>
      <c r="V67" s="208" t="str">
        <f t="shared" si="10"/>
        <v/>
      </c>
      <c r="W67" s="208" t="str">
        <f t="shared" si="11"/>
        <v/>
      </c>
      <c r="X67" s="208" t="str">
        <f t="shared" si="12"/>
        <v/>
      </c>
      <c r="Y67" s="208" t="str">
        <f t="shared" si="13"/>
        <v/>
      </c>
      <c r="Z67" s="39"/>
    </row>
    <row r="68" spans="1:26" x14ac:dyDescent="0.2">
      <c r="A68" s="195">
        <v>4.0599999999999996</v>
      </c>
      <c r="B68" s="196" t="s">
        <v>141</v>
      </c>
      <c r="C68" s="203">
        <v>0</v>
      </c>
      <c r="D68" s="203">
        <v>33</v>
      </c>
      <c r="E68" s="203">
        <v>67</v>
      </c>
      <c r="F68" s="216">
        <v>0.7</v>
      </c>
      <c r="G68" s="216">
        <v>0.55000000000000004</v>
      </c>
      <c r="H68" s="216">
        <v>0.55000000000000004</v>
      </c>
      <c r="I68" s="216">
        <v>0.7</v>
      </c>
      <c r="J68" s="196">
        <v>1</v>
      </c>
      <c r="K68" s="196">
        <v>1</v>
      </c>
      <c r="L68" s="196">
        <v>12</v>
      </c>
      <c r="M68" s="196">
        <v>31</v>
      </c>
      <c r="N68" s="208" t="str">
        <f t="shared" si="14"/>
        <v/>
      </c>
      <c r="O68" s="208" t="str">
        <f t="shared" si="3"/>
        <v/>
      </c>
      <c r="P68" s="208" t="str">
        <f t="shared" si="4"/>
        <v/>
      </c>
      <c r="Q68" s="208" t="str">
        <f t="shared" si="5"/>
        <v/>
      </c>
      <c r="R68" s="208" t="str">
        <f t="shared" si="6"/>
        <v/>
      </c>
      <c r="S68" s="208" t="str">
        <f t="shared" si="7"/>
        <v/>
      </c>
      <c r="T68" s="208" t="str">
        <f t="shared" si="8"/>
        <v/>
      </c>
      <c r="U68" s="208" t="str">
        <f t="shared" si="9"/>
        <v/>
      </c>
      <c r="V68" s="208" t="str">
        <f t="shared" si="10"/>
        <v/>
      </c>
      <c r="W68" s="208" t="str">
        <f t="shared" si="11"/>
        <v/>
      </c>
      <c r="X68" s="208" t="str">
        <f t="shared" si="12"/>
        <v/>
      </c>
      <c r="Y68" s="208" t="str">
        <f t="shared" si="13"/>
        <v/>
      </c>
      <c r="Z68" s="39"/>
    </row>
    <row r="69" spans="1:26" x14ac:dyDescent="0.2">
      <c r="A69" s="217">
        <v>1.47</v>
      </c>
      <c r="B69" s="218" t="s">
        <v>349</v>
      </c>
      <c r="C69" s="222">
        <v>33</v>
      </c>
      <c r="D69" s="222">
        <v>67</v>
      </c>
      <c r="E69" s="222">
        <f>15/75*100+67</f>
        <v>87</v>
      </c>
      <c r="F69" s="220">
        <v>0.5</v>
      </c>
      <c r="G69" s="220">
        <v>1.1499999999999999</v>
      </c>
      <c r="H69" s="220">
        <v>1.1499999999999999</v>
      </c>
      <c r="I69" s="220">
        <v>1.1000000000000001</v>
      </c>
      <c r="J69" s="218">
        <v>7</v>
      </c>
      <c r="K69" s="218">
        <v>18</v>
      </c>
      <c r="L69" s="218">
        <v>9</v>
      </c>
      <c r="M69" s="218">
        <v>30</v>
      </c>
      <c r="N69" s="208" t="str">
        <f t="shared" si="14"/>
        <v/>
      </c>
      <c r="O69" s="208" t="str">
        <f t="shared" ref="O69:O97" si="15">IF($A$1=$A69,C69,"")</f>
        <v/>
      </c>
      <c r="P69" s="208" t="str">
        <f t="shared" ref="P69:P97" si="16">IF($A$1=$A69,D69,"")</f>
        <v/>
      </c>
      <c r="Q69" s="208" t="str">
        <f t="shared" ref="Q69:Q97" si="17">IF($A$1=$A69,E69,"")</f>
        <v/>
      </c>
      <c r="R69" s="208" t="str">
        <f t="shared" ref="R69:R97" si="18">IF($A$1=$A69,F69,"")</f>
        <v/>
      </c>
      <c r="S69" s="208" t="str">
        <f t="shared" ref="S69:S97" si="19">IF($A$1=$A69,G69,"")</f>
        <v/>
      </c>
      <c r="T69" s="208" t="str">
        <f t="shared" ref="T69:T97" si="20">IF($A$1=$A69,H69,"")</f>
        <v/>
      </c>
      <c r="U69" s="208" t="str">
        <f t="shared" ref="U69:U97" si="21">IF($A$1=$A69,I69,"")</f>
        <v/>
      </c>
      <c r="V69" s="208" t="str">
        <f t="shared" ref="V69:V97" si="22">IF($A$1=$A69,J69,"")</f>
        <v/>
      </c>
      <c r="W69" s="208" t="str">
        <f t="shared" ref="W69:W97" si="23">IF($A$1=$A69,K69,"")</f>
        <v/>
      </c>
      <c r="X69" s="208" t="str">
        <f t="shared" ref="X69:X97" si="24">IF($A$1=$A69,L69,"")</f>
        <v/>
      </c>
      <c r="Y69" s="208" t="str">
        <f t="shared" ref="Y69:Y97" si="25">IF($A$1=$A69,M69,"")</f>
        <v/>
      </c>
      <c r="Z69" s="39"/>
    </row>
    <row r="70" spans="1:26" x14ac:dyDescent="0.2">
      <c r="A70" s="213">
        <v>3.48</v>
      </c>
      <c r="B70" s="214" t="s">
        <v>350</v>
      </c>
      <c r="C70" s="221">
        <v>0</v>
      </c>
      <c r="D70" s="221">
        <v>17</v>
      </c>
      <c r="E70" s="221">
        <v>68</v>
      </c>
      <c r="F70" s="216">
        <v>0.4</v>
      </c>
      <c r="G70" s="216">
        <v>1.25</v>
      </c>
      <c r="H70" s="216">
        <v>1.25</v>
      </c>
      <c r="I70" s="216">
        <v>0.75</v>
      </c>
      <c r="J70" s="214">
        <v>5</v>
      </c>
      <c r="K70" s="214">
        <v>15</v>
      </c>
      <c r="L70" s="214">
        <v>5</v>
      </c>
      <c r="M70" s="214">
        <v>14</v>
      </c>
      <c r="N70" s="208" t="str">
        <f t="shared" si="14"/>
        <v/>
      </c>
      <c r="O70" s="208" t="str">
        <f t="shared" si="15"/>
        <v/>
      </c>
      <c r="P70" s="208" t="str">
        <f t="shared" si="16"/>
        <v/>
      </c>
      <c r="Q70" s="208" t="str">
        <f t="shared" si="17"/>
        <v/>
      </c>
      <c r="R70" s="208" t="str">
        <f t="shared" si="18"/>
        <v/>
      </c>
      <c r="S70" s="208" t="str">
        <f t="shared" si="19"/>
        <v/>
      </c>
      <c r="T70" s="208" t="str">
        <f t="shared" si="20"/>
        <v/>
      </c>
      <c r="U70" s="208" t="str">
        <f t="shared" si="21"/>
        <v/>
      </c>
      <c r="V70" s="208" t="str">
        <f t="shared" si="22"/>
        <v/>
      </c>
      <c r="W70" s="208" t="str">
        <f t="shared" si="23"/>
        <v/>
      </c>
      <c r="X70" s="208" t="str">
        <f t="shared" si="24"/>
        <v/>
      </c>
      <c r="Y70" s="208" t="str">
        <f t="shared" si="25"/>
        <v/>
      </c>
      <c r="Z70" s="39"/>
    </row>
    <row r="71" spans="1:26" x14ac:dyDescent="0.2">
      <c r="A71" s="213"/>
      <c r="B71" s="214"/>
      <c r="C71" s="221"/>
      <c r="D71" s="221"/>
      <c r="E71" s="221"/>
      <c r="F71" s="216"/>
      <c r="G71" s="216"/>
      <c r="H71" s="216"/>
      <c r="I71" s="216"/>
      <c r="J71" s="214"/>
      <c r="K71" s="214"/>
      <c r="L71" s="214"/>
      <c r="M71" s="214"/>
      <c r="N71" s="208" t="str">
        <f t="shared" si="14"/>
        <v/>
      </c>
      <c r="O71" s="208" t="str">
        <f t="shared" si="15"/>
        <v/>
      </c>
      <c r="P71" s="208" t="str">
        <f t="shared" si="16"/>
        <v/>
      </c>
      <c r="Q71" s="208" t="str">
        <f t="shared" si="17"/>
        <v/>
      </c>
      <c r="R71" s="208" t="str">
        <f t="shared" si="18"/>
        <v/>
      </c>
      <c r="S71" s="208" t="str">
        <f t="shared" si="19"/>
        <v/>
      </c>
      <c r="T71" s="208" t="str">
        <f t="shared" si="20"/>
        <v/>
      </c>
      <c r="U71" s="208" t="str">
        <f t="shared" si="21"/>
        <v/>
      </c>
      <c r="V71" s="208" t="str">
        <f t="shared" si="22"/>
        <v/>
      </c>
      <c r="W71" s="208" t="str">
        <f t="shared" si="23"/>
        <v/>
      </c>
      <c r="X71" s="208" t="str">
        <f t="shared" si="24"/>
        <v/>
      </c>
      <c r="Y71" s="208" t="str">
        <f t="shared" si="25"/>
        <v/>
      </c>
      <c r="Z71" s="39"/>
    </row>
    <row r="72" spans="1:26" x14ac:dyDescent="0.2">
      <c r="A72" s="213"/>
      <c r="B72" s="214"/>
      <c r="C72" s="221"/>
      <c r="D72" s="221"/>
      <c r="E72" s="221"/>
      <c r="F72" s="216"/>
      <c r="G72" s="216"/>
      <c r="H72" s="216"/>
      <c r="I72" s="216"/>
      <c r="J72" s="214"/>
      <c r="K72" s="214"/>
      <c r="L72" s="214"/>
      <c r="M72" s="214"/>
      <c r="N72" s="208" t="str">
        <f t="shared" si="14"/>
        <v/>
      </c>
      <c r="O72" s="208" t="str">
        <f t="shared" si="15"/>
        <v/>
      </c>
      <c r="P72" s="208" t="str">
        <f t="shared" si="16"/>
        <v/>
      </c>
      <c r="Q72" s="208" t="str">
        <f t="shared" si="17"/>
        <v/>
      </c>
      <c r="R72" s="208" t="str">
        <f t="shared" si="18"/>
        <v/>
      </c>
      <c r="S72" s="208" t="str">
        <f t="shared" si="19"/>
        <v/>
      </c>
      <c r="T72" s="208" t="str">
        <f t="shared" si="20"/>
        <v/>
      </c>
      <c r="U72" s="208" t="str">
        <f t="shared" si="21"/>
        <v/>
      </c>
      <c r="V72" s="208" t="str">
        <f t="shared" si="22"/>
        <v/>
      </c>
      <c r="W72" s="208" t="str">
        <f t="shared" si="23"/>
        <v/>
      </c>
      <c r="X72" s="208" t="str">
        <f t="shared" si="24"/>
        <v/>
      </c>
      <c r="Y72" s="208" t="str">
        <f t="shared" si="25"/>
        <v/>
      </c>
      <c r="Z72" s="39"/>
    </row>
    <row r="73" spans="1:26" x14ac:dyDescent="0.2">
      <c r="A73" s="213"/>
      <c r="B73" s="214"/>
      <c r="C73" s="221"/>
      <c r="D73" s="221"/>
      <c r="E73" s="221"/>
      <c r="F73" s="216"/>
      <c r="G73" s="216"/>
      <c r="H73" s="216"/>
      <c r="I73" s="216"/>
      <c r="J73" s="214"/>
      <c r="K73" s="214"/>
      <c r="L73" s="214"/>
      <c r="M73" s="214"/>
      <c r="N73" s="208" t="str">
        <f t="shared" si="14"/>
        <v/>
      </c>
      <c r="O73" s="208" t="str">
        <f t="shared" si="15"/>
        <v/>
      </c>
      <c r="P73" s="208" t="str">
        <f t="shared" si="16"/>
        <v/>
      </c>
      <c r="Q73" s="208" t="str">
        <f t="shared" si="17"/>
        <v/>
      </c>
      <c r="R73" s="208" t="str">
        <f t="shared" si="18"/>
        <v/>
      </c>
      <c r="S73" s="208" t="str">
        <f t="shared" si="19"/>
        <v/>
      </c>
      <c r="T73" s="208" t="str">
        <f t="shared" si="20"/>
        <v/>
      </c>
      <c r="U73" s="208" t="str">
        <f t="shared" si="21"/>
        <v/>
      </c>
      <c r="V73" s="208" t="str">
        <f t="shared" si="22"/>
        <v/>
      </c>
      <c r="W73" s="208" t="str">
        <f t="shared" si="23"/>
        <v/>
      </c>
      <c r="X73" s="208" t="str">
        <f t="shared" si="24"/>
        <v/>
      </c>
      <c r="Y73" s="208" t="str">
        <f t="shared" si="25"/>
        <v/>
      </c>
      <c r="Z73" s="39"/>
    </row>
    <row r="74" spans="1:26" x14ac:dyDescent="0.2">
      <c r="A74" s="213"/>
      <c r="B74" s="214"/>
      <c r="C74" s="221"/>
      <c r="D74" s="221"/>
      <c r="E74" s="221"/>
      <c r="F74" s="216"/>
      <c r="G74" s="216"/>
      <c r="H74" s="216"/>
      <c r="I74" s="216"/>
      <c r="J74" s="214"/>
      <c r="K74" s="214"/>
      <c r="L74" s="214"/>
      <c r="M74" s="214"/>
      <c r="N74" s="208" t="str">
        <f t="shared" si="14"/>
        <v/>
      </c>
      <c r="O74" s="208" t="str">
        <f t="shared" si="15"/>
        <v/>
      </c>
      <c r="P74" s="208" t="str">
        <f t="shared" si="16"/>
        <v/>
      </c>
      <c r="Q74" s="208" t="str">
        <f t="shared" si="17"/>
        <v/>
      </c>
      <c r="R74" s="208" t="str">
        <f t="shared" si="18"/>
        <v/>
      </c>
      <c r="S74" s="208" t="str">
        <f t="shared" si="19"/>
        <v/>
      </c>
      <c r="T74" s="208" t="str">
        <f t="shared" si="20"/>
        <v/>
      </c>
      <c r="U74" s="208" t="str">
        <f t="shared" si="21"/>
        <v/>
      </c>
      <c r="V74" s="208" t="str">
        <f t="shared" si="22"/>
        <v/>
      </c>
      <c r="W74" s="208" t="str">
        <f t="shared" si="23"/>
        <v/>
      </c>
      <c r="X74" s="208" t="str">
        <f t="shared" si="24"/>
        <v/>
      </c>
      <c r="Y74" s="208" t="str">
        <f t="shared" si="25"/>
        <v/>
      </c>
      <c r="Z74" s="39"/>
    </row>
    <row r="75" spans="1:26" x14ac:dyDescent="0.2">
      <c r="A75" s="217"/>
      <c r="B75" s="218"/>
      <c r="C75" s="222"/>
      <c r="D75" s="222"/>
      <c r="E75" s="222"/>
      <c r="F75" s="220"/>
      <c r="G75" s="220"/>
      <c r="H75" s="220"/>
      <c r="I75" s="220"/>
      <c r="J75" s="218"/>
      <c r="K75" s="218"/>
      <c r="L75" s="218"/>
      <c r="M75" s="218"/>
      <c r="N75" s="208" t="str">
        <f t="shared" si="14"/>
        <v/>
      </c>
      <c r="O75" s="208" t="str">
        <f t="shared" si="15"/>
        <v/>
      </c>
      <c r="P75" s="208" t="str">
        <f t="shared" si="16"/>
        <v/>
      </c>
      <c r="Q75" s="208" t="str">
        <f t="shared" si="17"/>
        <v/>
      </c>
      <c r="R75" s="208" t="str">
        <f t="shared" si="18"/>
        <v/>
      </c>
      <c r="S75" s="208" t="str">
        <f t="shared" si="19"/>
        <v/>
      </c>
      <c r="T75" s="208" t="str">
        <f t="shared" si="20"/>
        <v/>
      </c>
      <c r="U75" s="208" t="str">
        <f t="shared" si="21"/>
        <v/>
      </c>
      <c r="V75" s="208" t="str">
        <f t="shared" si="22"/>
        <v/>
      </c>
      <c r="W75" s="208" t="str">
        <f t="shared" si="23"/>
        <v/>
      </c>
      <c r="X75" s="208" t="str">
        <f t="shared" si="24"/>
        <v/>
      </c>
      <c r="Y75" s="208" t="str">
        <f t="shared" si="25"/>
        <v/>
      </c>
      <c r="Z75" s="39"/>
    </row>
    <row r="76" spans="1:26" x14ac:dyDescent="0.2">
      <c r="A76" s="213"/>
      <c r="B76" s="214"/>
      <c r="C76" s="221"/>
      <c r="D76" s="221"/>
      <c r="E76" s="221"/>
      <c r="F76" s="216"/>
      <c r="G76" s="216"/>
      <c r="H76" s="216"/>
      <c r="I76" s="216"/>
      <c r="J76" s="214"/>
      <c r="K76" s="214"/>
      <c r="L76" s="214"/>
      <c r="M76" s="214"/>
      <c r="N76" s="208" t="str">
        <f t="shared" si="14"/>
        <v/>
      </c>
      <c r="O76" s="208" t="str">
        <f t="shared" si="15"/>
        <v/>
      </c>
      <c r="P76" s="208" t="str">
        <f t="shared" si="16"/>
        <v/>
      </c>
      <c r="Q76" s="208" t="str">
        <f t="shared" si="17"/>
        <v/>
      </c>
      <c r="R76" s="208" t="str">
        <f t="shared" si="18"/>
        <v/>
      </c>
      <c r="S76" s="208" t="str">
        <f t="shared" si="19"/>
        <v/>
      </c>
      <c r="T76" s="208" t="str">
        <f t="shared" si="20"/>
        <v/>
      </c>
      <c r="U76" s="208" t="str">
        <f t="shared" si="21"/>
        <v/>
      </c>
      <c r="V76" s="208" t="str">
        <f t="shared" si="22"/>
        <v/>
      </c>
      <c r="W76" s="208" t="str">
        <f t="shared" si="23"/>
        <v/>
      </c>
      <c r="X76" s="208" t="str">
        <f t="shared" si="24"/>
        <v/>
      </c>
      <c r="Y76" s="208" t="str">
        <f t="shared" si="25"/>
        <v/>
      </c>
      <c r="Z76" s="39"/>
    </row>
    <row r="77" spans="1:26" x14ac:dyDescent="0.2">
      <c r="A77" s="213"/>
      <c r="B77" s="214"/>
      <c r="C77" s="221"/>
      <c r="D77" s="221"/>
      <c r="E77" s="221"/>
      <c r="F77" s="216"/>
      <c r="G77" s="216"/>
      <c r="H77" s="216"/>
      <c r="I77" s="216"/>
      <c r="J77" s="214"/>
      <c r="K77" s="214"/>
      <c r="L77" s="214"/>
      <c r="M77" s="214"/>
      <c r="N77" s="208" t="str">
        <f t="shared" si="14"/>
        <v/>
      </c>
      <c r="O77" s="208" t="str">
        <f t="shared" si="15"/>
        <v/>
      </c>
      <c r="P77" s="208" t="str">
        <f t="shared" si="16"/>
        <v/>
      </c>
      <c r="Q77" s="208" t="str">
        <f t="shared" si="17"/>
        <v/>
      </c>
      <c r="R77" s="208" t="str">
        <f t="shared" si="18"/>
        <v/>
      </c>
      <c r="S77" s="208" t="str">
        <f t="shared" si="19"/>
        <v/>
      </c>
      <c r="T77" s="208" t="str">
        <f t="shared" si="20"/>
        <v/>
      </c>
      <c r="U77" s="208" t="str">
        <f t="shared" si="21"/>
        <v/>
      </c>
      <c r="V77" s="208" t="str">
        <f t="shared" si="22"/>
        <v/>
      </c>
      <c r="W77" s="208" t="str">
        <f t="shared" si="23"/>
        <v/>
      </c>
      <c r="X77" s="208" t="str">
        <f t="shared" si="24"/>
        <v/>
      </c>
      <c r="Y77" s="208" t="str">
        <f t="shared" si="25"/>
        <v/>
      </c>
      <c r="Z77" s="39"/>
    </row>
    <row r="78" spans="1:26" x14ac:dyDescent="0.2">
      <c r="A78" s="213"/>
      <c r="B78" s="214"/>
      <c r="C78" s="221"/>
      <c r="D78" s="221"/>
      <c r="E78" s="221"/>
      <c r="F78" s="216"/>
      <c r="G78" s="216"/>
      <c r="H78" s="216"/>
      <c r="I78" s="216"/>
      <c r="J78" s="214"/>
      <c r="K78" s="214"/>
      <c r="L78" s="214"/>
      <c r="M78" s="214"/>
      <c r="N78" s="208" t="str">
        <f t="shared" si="14"/>
        <v/>
      </c>
      <c r="O78" s="208" t="str">
        <f t="shared" si="15"/>
        <v/>
      </c>
      <c r="P78" s="208" t="str">
        <f t="shared" si="16"/>
        <v/>
      </c>
      <c r="Q78" s="208" t="str">
        <f t="shared" si="17"/>
        <v/>
      </c>
      <c r="R78" s="208" t="str">
        <f t="shared" si="18"/>
        <v/>
      </c>
      <c r="S78" s="208" t="str">
        <f t="shared" si="19"/>
        <v/>
      </c>
      <c r="T78" s="208" t="str">
        <f t="shared" si="20"/>
        <v/>
      </c>
      <c r="U78" s="208" t="str">
        <f t="shared" si="21"/>
        <v/>
      </c>
      <c r="V78" s="208" t="str">
        <f t="shared" si="22"/>
        <v/>
      </c>
      <c r="W78" s="208" t="str">
        <f t="shared" si="23"/>
        <v/>
      </c>
      <c r="X78" s="208" t="str">
        <f t="shared" si="24"/>
        <v/>
      </c>
      <c r="Y78" s="208" t="str">
        <f t="shared" si="25"/>
        <v/>
      </c>
      <c r="Z78" s="39"/>
    </row>
    <row r="79" spans="1:26" x14ac:dyDescent="0.2">
      <c r="A79" s="213"/>
      <c r="B79" s="214"/>
      <c r="C79" s="221"/>
      <c r="D79" s="221"/>
      <c r="E79" s="221"/>
      <c r="F79" s="216"/>
      <c r="G79" s="216"/>
      <c r="H79" s="216"/>
      <c r="I79" s="216"/>
      <c r="J79" s="214"/>
      <c r="K79" s="214"/>
      <c r="L79" s="214"/>
      <c r="M79" s="214"/>
      <c r="N79" s="208" t="str">
        <f t="shared" si="14"/>
        <v/>
      </c>
      <c r="O79" s="208" t="str">
        <f t="shared" si="15"/>
        <v/>
      </c>
      <c r="P79" s="208" t="str">
        <f t="shared" si="16"/>
        <v/>
      </c>
      <c r="Q79" s="208" t="str">
        <f t="shared" si="17"/>
        <v/>
      </c>
      <c r="R79" s="208" t="str">
        <f t="shared" si="18"/>
        <v/>
      </c>
      <c r="S79" s="208" t="str">
        <f t="shared" si="19"/>
        <v/>
      </c>
      <c r="T79" s="208" t="str">
        <f t="shared" si="20"/>
        <v/>
      </c>
      <c r="U79" s="208" t="str">
        <f t="shared" si="21"/>
        <v/>
      </c>
      <c r="V79" s="208" t="str">
        <f t="shared" si="22"/>
        <v/>
      </c>
      <c r="W79" s="208" t="str">
        <f t="shared" si="23"/>
        <v/>
      </c>
      <c r="X79" s="208" t="str">
        <f t="shared" si="24"/>
        <v/>
      </c>
      <c r="Y79" s="208" t="str">
        <f t="shared" si="25"/>
        <v/>
      </c>
      <c r="Z79" s="39"/>
    </row>
    <row r="80" spans="1:26" x14ac:dyDescent="0.2">
      <c r="A80" s="213"/>
      <c r="B80" s="214"/>
      <c r="C80" s="221"/>
      <c r="D80" s="221"/>
      <c r="E80" s="221"/>
      <c r="F80" s="216"/>
      <c r="G80" s="216"/>
      <c r="H80" s="216"/>
      <c r="I80" s="216"/>
      <c r="J80" s="214"/>
      <c r="K80" s="214"/>
      <c r="L80" s="214"/>
      <c r="M80" s="214"/>
      <c r="N80" s="208" t="str">
        <f t="shared" si="14"/>
        <v/>
      </c>
      <c r="O80" s="208" t="str">
        <f t="shared" si="15"/>
        <v/>
      </c>
      <c r="P80" s="208" t="str">
        <f t="shared" si="16"/>
        <v/>
      </c>
      <c r="Q80" s="208" t="str">
        <f t="shared" si="17"/>
        <v/>
      </c>
      <c r="R80" s="208" t="str">
        <f t="shared" si="18"/>
        <v/>
      </c>
      <c r="S80" s="208" t="str">
        <f t="shared" si="19"/>
        <v/>
      </c>
      <c r="T80" s="208" t="str">
        <f t="shared" si="20"/>
        <v/>
      </c>
      <c r="U80" s="208" t="str">
        <f t="shared" si="21"/>
        <v/>
      </c>
      <c r="V80" s="208" t="str">
        <f t="shared" si="22"/>
        <v/>
      </c>
      <c r="W80" s="208" t="str">
        <f t="shared" si="23"/>
        <v/>
      </c>
      <c r="X80" s="208" t="str">
        <f t="shared" si="24"/>
        <v/>
      </c>
      <c r="Y80" s="208" t="str">
        <f t="shared" si="25"/>
        <v/>
      </c>
      <c r="Z80" s="39"/>
    </row>
    <row r="81" spans="1:26" x14ac:dyDescent="0.2">
      <c r="A81" s="217"/>
      <c r="B81" s="218"/>
      <c r="C81" s="222"/>
      <c r="D81" s="222"/>
      <c r="E81" s="222"/>
      <c r="F81" s="220"/>
      <c r="G81" s="220"/>
      <c r="H81" s="220"/>
      <c r="I81" s="220"/>
      <c r="J81" s="218"/>
      <c r="K81" s="218"/>
      <c r="L81" s="218"/>
      <c r="M81" s="218"/>
      <c r="N81" s="208" t="str">
        <f t="shared" si="14"/>
        <v/>
      </c>
      <c r="O81" s="208" t="str">
        <f t="shared" si="15"/>
        <v/>
      </c>
      <c r="P81" s="208" t="str">
        <f t="shared" si="16"/>
        <v/>
      </c>
      <c r="Q81" s="208" t="str">
        <f t="shared" si="17"/>
        <v/>
      </c>
      <c r="R81" s="208" t="str">
        <f t="shared" si="18"/>
        <v/>
      </c>
      <c r="S81" s="208" t="str">
        <f t="shared" si="19"/>
        <v/>
      </c>
      <c r="T81" s="208" t="str">
        <f t="shared" si="20"/>
        <v/>
      </c>
      <c r="U81" s="208" t="str">
        <f t="shared" si="21"/>
        <v/>
      </c>
      <c r="V81" s="208" t="str">
        <f t="shared" si="22"/>
        <v/>
      </c>
      <c r="W81" s="208" t="str">
        <f t="shared" si="23"/>
        <v/>
      </c>
      <c r="X81" s="208" t="str">
        <f t="shared" si="24"/>
        <v/>
      </c>
      <c r="Y81" s="208" t="str">
        <f t="shared" si="25"/>
        <v/>
      </c>
      <c r="Z81" s="39"/>
    </row>
    <row r="82" spans="1:26" x14ac:dyDescent="0.2">
      <c r="A82" s="213"/>
      <c r="B82" s="214"/>
      <c r="C82" s="221"/>
      <c r="D82" s="221"/>
      <c r="E82" s="221"/>
      <c r="F82" s="216"/>
      <c r="G82" s="216"/>
      <c r="H82" s="216"/>
      <c r="I82" s="216"/>
      <c r="J82" s="214"/>
      <c r="K82" s="214"/>
      <c r="L82" s="214"/>
      <c r="M82" s="214"/>
      <c r="N82" s="208" t="str">
        <f t="shared" si="14"/>
        <v/>
      </c>
      <c r="O82" s="208" t="str">
        <f t="shared" si="15"/>
        <v/>
      </c>
      <c r="P82" s="208" t="str">
        <f t="shared" si="16"/>
        <v/>
      </c>
      <c r="Q82" s="208" t="str">
        <f t="shared" si="17"/>
        <v/>
      </c>
      <c r="R82" s="208" t="str">
        <f t="shared" si="18"/>
        <v/>
      </c>
      <c r="S82" s="208" t="str">
        <f t="shared" si="19"/>
        <v/>
      </c>
      <c r="T82" s="208" t="str">
        <f t="shared" si="20"/>
        <v/>
      </c>
      <c r="U82" s="208" t="str">
        <f t="shared" si="21"/>
        <v/>
      </c>
      <c r="V82" s="208" t="str">
        <f t="shared" si="22"/>
        <v/>
      </c>
      <c r="W82" s="208" t="str">
        <f t="shared" si="23"/>
        <v/>
      </c>
      <c r="X82" s="208" t="str">
        <f t="shared" si="24"/>
        <v/>
      </c>
      <c r="Y82" s="208" t="str">
        <f t="shared" si="25"/>
        <v/>
      </c>
      <c r="Z82" s="39"/>
    </row>
    <row r="83" spans="1:26" x14ac:dyDescent="0.2">
      <c r="A83" s="213"/>
      <c r="B83" s="214"/>
      <c r="C83" s="221"/>
      <c r="D83" s="221"/>
      <c r="E83" s="221"/>
      <c r="F83" s="216"/>
      <c r="G83" s="216"/>
      <c r="H83" s="216"/>
      <c r="I83" s="216"/>
      <c r="J83" s="214"/>
      <c r="K83" s="214"/>
      <c r="L83" s="214"/>
      <c r="M83" s="214"/>
      <c r="N83" s="208" t="str">
        <f t="shared" si="14"/>
        <v/>
      </c>
      <c r="O83" s="208" t="str">
        <f t="shared" si="15"/>
        <v/>
      </c>
      <c r="P83" s="208" t="str">
        <f t="shared" si="16"/>
        <v/>
      </c>
      <c r="Q83" s="208" t="str">
        <f t="shared" si="17"/>
        <v/>
      </c>
      <c r="R83" s="208" t="str">
        <f t="shared" si="18"/>
        <v/>
      </c>
      <c r="S83" s="208" t="str">
        <f t="shared" si="19"/>
        <v/>
      </c>
      <c r="T83" s="208" t="str">
        <f t="shared" si="20"/>
        <v/>
      </c>
      <c r="U83" s="208" t="str">
        <f t="shared" si="21"/>
        <v/>
      </c>
      <c r="V83" s="208" t="str">
        <f t="shared" si="22"/>
        <v/>
      </c>
      <c r="W83" s="208" t="str">
        <f t="shared" si="23"/>
        <v/>
      </c>
      <c r="X83" s="208" t="str">
        <f t="shared" si="24"/>
        <v/>
      </c>
      <c r="Y83" s="208" t="str">
        <f t="shared" si="25"/>
        <v/>
      </c>
      <c r="Z83" s="39"/>
    </row>
    <row r="84" spans="1:26" x14ac:dyDescent="0.2">
      <c r="A84" s="213"/>
      <c r="B84" s="214"/>
      <c r="C84" s="221"/>
      <c r="D84" s="221"/>
      <c r="E84" s="221"/>
      <c r="F84" s="216"/>
      <c r="G84" s="216"/>
      <c r="H84" s="216"/>
      <c r="I84" s="216"/>
      <c r="J84" s="214"/>
      <c r="K84" s="214"/>
      <c r="L84" s="214"/>
      <c r="M84" s="214"/>
      <c r="N84" s="208" t="str">
        <f t="shared" si="14"/>
        <v/>
      </c>
      <c r="O84" s="208" t="str">
        <f t="shared" si="15"/>
        <v/>
      </c>
      <c r="P84" s="208" t="str">
        <f t="shared" si="16"/>
        <v/>
      </c>
      <c r="Q84" s="208" t="str">
        <f t="shared" si="17"/>
        <v/>
      </c>
      <c r="R84" s="208" t="str">
        <f t="shared" si="18"/>
        <v/>
      </c>
      <c r="S84" s="208" t="str">
        <f t="shared" si="19"/>
        <v/>
      </c>
      <c r="T84" s="208" t="str">
        <f t="shared" si="20"/>
        <v/>
      </c>
      <c r="U84" s="208" t="str">
        <f t="shared" si="21"/>
        <v/>
      </c>
      <c r="V84" s="208" t="str">
        <f t="shared" si="22"/>
        <v/>
      </c>
      <c r="W84" s="208" t="str">
        <f t="shared" si="23"/>
        <v/>
      </c>
      <c r="X84" s="208" t="str">
        <f t="shared" si="24"/>
        <v/>
      </c>
      <c r="Y84" s="208" t="str">
        <f t="shared" si="25"/>
        <v/>
      </c>
      <c r="Z84" s="39"/>
    </row>
    <row r="85" spans="1:26" x14ac:dyDescent="0.2">
      <c r="A85" s="213"/>
      <c r="B85" s="214"/>
      <c r="C85" s="221"/>
      <c r="D85" s="221"/>
      <c r="E85" s="221"/>
      <c r="F85" s="216"/>
      <c r="G85" s="216"/>
      <c r="H85" s="216"/>
      <c r="I85" s="216"/>
      <c r="J85" s="214"/>
      <c r="K85" s="214"/>
      <c r="L85" s="214"/>
      <c r="M85" s="214"/>
      <c r="N85" s="208" t="str">
        <f t="shared" si="14"/>
        <v/>
      </c>
      <c r="O85" s="208" t="str">
        <f t="shared" si="15"/>
        <v/>
      </c>
      <c r="P85" s="208" t="str">
        <f t="shared" si="16"/>
        <v/>
      </c>
      <c r="Q85" s="208" t="str">
        <f t="shared" si="17"/>
        <v/>
      </c>
      <c r="R85" s="208" t="str">
        <f t="shared" si="18"/>
        <v/>
      </c>
      <c r="S85" s="208" t="str">
        <f t="shared" si="19"/>
        <v/>
      </c>
      <c r="T85" s="208" t="str">
        <f t="shared" si="20"/>
        <v/>
      </c>
      <c r="U85" s="208" t="str">
        <f t="shared" si="21"/>
        <v/>
      </c>
      <c r="V85" s="208" t="str">
        <f t="shared" si="22"/>
        <v/>
      </c>
      <c r="W85" s="208" t="str">
        <f t="shared" si="23"/>
        <v/>
      </c>
      <c r="X85" s="208" t="str">
        <f t="shared" si="24"/>
        <v/>
      </c>
      <c r="Y85" s="208" t="str">
        <f t="shared" si="25"/>
        <v/>
      </c>
      <c r="Z85" s="39"/>
    </row>
    <row r="86" spans="1:26" x14ac:dyDescent="0.2">
      <c r="A86" s="213"/>
      <c r="B86" s="214"/>
      <c r="C86" s="221"/>
      <c r="D86" s="221"/>
      <c r="E86" s="221"/>
      <c r="F86" s="216"/>
      <c r="G86" s="216"/>
      <c r="H86" s="216"/>
      <c r="I86" s="216"/>
      <c r="J86" s="214"/>
      <c r="K86" s="214"/>
      <c r="L86" s="214"/>
      <c r="M86" s="214"/>
      <c r="N86" s="208" t="str">
        <f t="shared" si="14"/>
        <v/>
      </c>
      <c r="O86" s="208" t="str">
        <f t="shared" si="15"/>
        <v/>
      </c>
      <c r="P86" s="208" t="str">
        <f t="shared" si="16"/>
        <v/>
      </c>
      <c r="Q86" s="208" t="str">
        <f t="shared" si="17"/>
        <v/>
      </c>
      <c r="R86" s="208" t="str">
        <f t="shared" si="18"/>
        <v/>
      </c>
      <c r="S86" s="208" t="str">
        <f t="shared" si="19"/>
        <v/>
      </c>
      <c r="T86" s="208" t="str">
        <f t="shared" si="20"/>
        <v/>
      </c>
      <c r="U86" s="208" t="str">
        <f t="shared" si="21"/>
        <v/>
      </c>
      <c r="V86" s="208" t="str">
        <f t="shared" si="22"/>
        <v/>
      </c>
      <c r="W86" s="208" t="str">
        <f t="shared" si="23"/>
        <v/>
      </c>
      <c r="X86" s="208" t="str">
        <f t="shared" si="24"/>
        <v/>
      </c>
      <c r="Y86" s="208" t="str">
        <f t="shared" si="25"/>
        <v/>
      </c>
      <c r="Z86" s="39"/>
    </row>
    <row r="87" spans="1:26" x14ac:dyDescent="0.2">
      <c r="A87" s="217"/>
      <c r="B87" s="218"/>
      <c r="C87" s="222"/>
      <c r="D87" s="222"/>
      <c r="E87" s="222"/>
      <c r="F87" s="220"/>
      <c r="G87" s="220"/>
      <c r="H87" s="220"/>
      <c r="I87" s="220"/>
      <c r="J87" s="218"/>
      <c r="K87" s="218"/>
      <c r="L87" s="218"/>
      <c r="M87" s="218"/>
      <c r="N87" s="208" t="str">
        <f t="shared" ref="N87:N127" si="26">IF($A$1=$A87,B87,"")</f>
        <v/>
      </c>
      <c r="O87" s="208" t="str">
        <f t="shared" si="15"/>
        <v/>
      </c>
      <c r="P87" s="208" t="str">
        <f t="shared" si="16"/>
        <v/>
      </c>
      <c r="Q87" s="208" t="str">
        <f t="shared" si="17"/>
        <v/>
      </c>
      <c r="R87" s="208" t="str">
        <f t="shared" si="18"/>
        <v/>
      </c>
      <c r="S87" s="208" t="str">
        <f t="shared" si="19"/>
        <v/>
      </c>
      <c r="T87" s="208" t="str">
        <f t="shared" si="20"/>
        <v/>
      </c>
      <c r="U87" s="208" t="str">
        <f t="shared" si="21"/>
        <v/>
      </c>
      <c r="V87" s="208" t="str">
        <f t="shared" si="22"/>
        <v/>
      </c>
      <c r="W87" s="208" t="str">
        <f t="shared" si="23"/>
        <v/>
      </c>
      <c r="X87" s="208" t="str">
        <f t="shared" si="24"/>
        <v/>
      </c>
      <c r="Y87" s="208" t="str">
        <f t="shared" si="25"/>
        <v/>
      </c>
      <c r="Z87" s="39"/>
    </row>
    <row r="88" spans="1:26" x14ac:dyDescent="0.2">
      <c r="A88" s="213"/>
      <c r="B88" s="214"/>
      <c r="C88" s="221"/>
      <c r="D88" s="221"/>
      <c r="E88" s="221"/>
      <c r="F88" s="216"/>
      <c r="G88" s="216"/>
      <c r="H88" s="216"/>
      <c r="I88" s="216"/>
      <c r="J88" s="214"/>
      <c r="K88" s="214"/>
      <c r="L88" s="214"/>
      <c r="M88" s="214"/>
      <c r="N88" s="208" t="str">
        <f t="shared" si="26"/>
        <v/>
      </c>
      <c r="O88" s="208" t="str">
        <f t="shared" si="15"/>
        <v/>
      </c>
      <c r="P88" s="208" t="str">
        <f t="shared" si="16"/>
        <v/>
      </c>
      <c r="Q88" s="208" t="str">
        <f t="shared" si="17"/>
        <v/>
      </c>
      <c r="R88" s="208" t="str">
        <f t="shared" si="18"/>
        <v/>
      </c>
      <c r="S88" s="208" t="str">
        <f t="shared" si="19"/>
        <v/>
      </c>
      <c r="T88" s="208" t="str">
        <f t="shared" si="20"/>
        <v/>
      </c>
      <c r="U88" s="208" t="str">
        <f t="shared" si="21"/>
        <v/>
      </c>
      <c r="V88" s="208" t="str">
        <f t="shared" si="22"/>
        <v/>
      </c>
      <c r="W88" s="208" t="str">
        <f t="shared" si="23"/>
        <v/>
      </c>
      <c r="X88" s="208" t="str">
        <f t="shared" si="24"/>
        <v/>
      </c>
      <c r="Y88" s="208" t="str">
        <f t="shared" si="25"/>
        <v/>
      </c>
      <c r="Z88" s="39"/>
    </row>
    <row r="89" spans="1:26" x14ac:dyDescent="0.2">
      <c r="A89" s="213"/>
      <c r="B89" s="214"/>
      <c r="C89" s="221"/>
      <c r="D89" s="221"/>
      <c r="E89" s="221"/>
      <c r="F89" s="216"/>
      <c r="G89" s="216"/>
      <c r="H89" s="216"/>
      <c r="I89" s="216"/>
      <c r="J89" s="214"/>
      <c r="K89" s="214"/>
      <c r="L89" s="214"/>
      <c r="M89" s="214"/>
      <c r="N89" s="208" t="str">
        <f t="shared" si="26"/>
        <v/>
      </c>
      <c r="O89" s="208" t="str">
        <f t="shared" si="15"/>
        <v/>
      </c>
      <c r="P89" s="208" t="str">
        <f t="shared" si="16"/>
        <v/>
      </c>
      <c r="Q89" s="208" t="str">
        <f t="shared" si="17"/>
        <v/>
      </c>
      <c r="R89" s="208" t="str">
        <f t="shared" si="18"/>
        <v/>
      </c>
      <c r="S89" s="208" t="str">
        <f t="shared" si="19"/>
        <v/>
      </c>
      <c r="T89" s="208" t="str">
        <f t="shared" si="20"/>
        <v/>
      </c>
      <c r="U89" s="208" t="str">
        <f t="shared" si="21"/>
        <v/>
      </c>
      <c r="V89" s="208" t="str">
        <f t="shared" si="22"/>
        <v/>
      </c>
      <c r="W89" s="208" t="str">
        <f t="shared" si="23"/>
        <v/>
      </c>
      <c r="X89" s="208" t="str">
        <f t="shared" si="24"/>
        <v/>
      </c>
      <c r="Y89" s="208" t="str">
        <f t="shared" si="25"/>
        <v/>
      </c>
      <c r="Z89" s="39"/>
    </row>
    <row r="90" spans="1:26" x14ac:dyDescent="0.2">
      <c r="A90" s="213"/>
      <c r="B90" s="214"/>
      <c r="C90" s="221"/>
      <c r="D90" s="221"/>
      <c r="E90" s="221"/>
      <c r="F90" s="216"/>
      <c r="G90" s="216"/>
      <c r="H90" s="216"/>
      <c r="I90" s="216"/>
      <c r="J90" s="214"/>
      <c r="K90" s="214"/>
      <c r="L90" s="214"/>
      <c r="M90" s="214"/>
      <c r="N90" s="208" t="str">
        <f t="shared" si="26"/>
        <v/>
      </c>
      <c r="O90" s="208" t="str">
        <f t="shared" si="15"/>
        <v/>
      </c>
      <c r="P90" s="208" t="str">
        <f t="shared" si="16"/>
        <v/>
      </c>
      <c r="Q90" s="208" t="str">
        <f t="shared" si="17"/>
        <v/>
      </c>
      <c r="R90" s="208" t="str">
        <f t="shared" si="18"/>
        <v/>
      </c>
      <c r="S90" s="208" t="str">
        <f t="shared" si="19"/>
        <v/>
      </c>
      <c r="T90" s="208" t="str">
        <f t="shared" si="20"/>
        <v/>
      </c>
      <c r="U90" s="208" t="str">
        <f t="shared" si="21"/>
        <v/>
      </c>
      <c r="V90" s="208" t="str">
        <f t="shared" si="22"/>
        <v/>
      </c>
      <c r="W90" s="208" t="str">
        <f t="shared" si="23"/>
        <v/>
      </c>
      <c r="X90" s="208" t="str">
        <f t="shared" si="24"/>
        <v/>
      </c>
      <c r="Y90" s="208" t="str">
        <f t="shared" si="25"/>
        <v/>
      </c>
      <c r="Z90" s="39"/>
    </row>
    <row r="91" spans="1:26" x14ac:dyDescent="0.2">
      <c r="A91" s="213"/>
      <c r="B91" s="214"/>
      <c r="C91" s="221"/>
      <c r="D91" s="221"/>
      <c r="E91" s="221"/>
      <c r="F91" s="216"/>
      <c r="G91" s="216"/>
      <c r="H91" s="216"/>
      <c r="I91" s="216"/>
      <c r="J91" s="214"/>
      <c r="K91" s="214"/>
      <c r="L91" s="214"/>
      <c r="M91" s="214"/>
      <c r="N91" s="208" t="str">
        <f t="shared" si="26"/>
        <v/>
      </c>
      <c r="O91" s="208" t="str">
        <f t="shared" si="15"/>
        <v/>
      </c>
      <c r="P91" s="208" t="str">
        <f t="shared" si="16"/>
        <v/>
      </c>
      <c r="Q91" s="208" t="str">
        <f t="shared" si="17"/>
        <v/>
      </c>
      <c r="R91" s="208" t="str">
        <f t="shared" si="18"/>
        <v/>
      </c>
      <c r="S91" s="208" t="str">
        <f t="shared" si="19"/>
        <v/>
      </c>
      <c r="T91" s="208" t="str">
        <f t="shared" si="20"/>
        <v/>
      </c>
      <c r="U91" s="208" t="str">
        <f t="shared" si="21"/>
        <v/>
      </c>
      <c r="V91" s="208" t="str">
        <f t="shared" si="22"/>
        <v/>
      </c>
      <c r="W91" s="208" t="str">
        <f t="shared" si="23"/>
        <v/>
      </c>
      <c r="X91" s="208" t="str">
        <f t="shared" si="24"/>
        <v/>
      </c>
      <c r="Y91" s="208" t="str">
        <f t="shared" si="25"/>
        <v/>
      </c>
      <c r="Z91" s="39"/>
    </row>
    <row r="92" spans="1:26" x14ac:dyDescent="0.2">
      <c r="A92" s="213"/>
      <c r="B92" s="214"/>
      <c r="C92" s="221"/>
      <c r="D92" s="221"/>
      <c r="E92" s="221"/>
      <c r="F92" s="216"/>
      <c r="G92" s="216"/>
      <c r="H92" s="216"/>
      <c r="I92" s="216"/>
      <c r="J92" s="214"/>
      <c r="K92" s="214"/>
      <c r="L92" s="214"/>
      <c r="M92" s="214"/>
      <c r="N92" s="208" t="str">
        <f t="shared" si="26"/>
        <v/>
      </c>
      <c r="O92" s="208" t="str">
        <f t="shared" si="15"/>
        <v/>
      </c>
      <c r="P92" s="208" t="str">
        <f t="shared" si="16"/>
        <v/>
      </c>
      <c r="Q92" s="208" t="str">
        <f t="shared" si="17"/>
        <v/>
      </c>
      <c r="R92" s="208" t="str">
        <f t="shared" si="18"/>
        <v/>
      </c>
      <c r="S92" s="208" t="str">
        <f t="shared" si="19"/>
        <v/>
      </c>
      <c r="T92" s="208" t="str">
        <f t="shared" si="20"/>
        <v/>
      </c>
      <c r="U92" s="208" t="str">
        <f t="shared" si="21"/>
        <v/>
      </c>
      <c r="V92" s="208" t="str">
        <f t="shared" si="22"/>
        <v/>
      </c>
      <c r="W92" s="208" t="str">
        <f t="shared" si="23"/>
        <v/>
      </c>
      <c r="X92" s="208" t="str">
        <f t="shared" si="24"/>
        <v/>
      </c>
      <c r="Y92" s="208" t="str">
        <f t="shared" si="25"/>
        <v/>
      </c>
      <c r="Z92" s="39"/>
    </row>
    <row r="93" spans="1:26" x14ac:dyDescent="0.2">
      <c r="A93" s="217"/>
      <c r="B93" s="218"/>
      <c r="C93" s="222"/>
      <c r="D93" s="222"/>
      <c r="E93" s="222"/>
      <c r="F93" s="220"/>
      <c r="G93" s="220"/>
      <c r="H93" s="220"/>
      <c r="I93" s="220"/>
      <c r="J93" s="218"/>
      <c r="K93" s="218"/>
      <c r="L93" s="218"/>
      <c r="M93" s="218"/>
      <c r="N93" s="208" t="str">
        <f t="shared" si="26"/>
        <v/>
      </c>
      <c r="O93" s="208" t="str">
        <f t="shared" si="15"/>
        <v/>
      </c>
      <c r="P93" s="208" t="str">
        <f t="shared" si="16"/>
        <v/>
      </c>
      <c r="Q93" s="208" t="str">
        <f t="shared" si="17"/>
        <v/>
      </c>
      <c r="R93" s="208" t="str">
        <f t="shared" si="18"/>
        <v/>
      </c>
      <c r="S93" s="208" t="str">
        <f t="shared" si="19"/>
        <v/>
      </c>
      <c r="T93" s="208" t="str">
        <f t="shared" si="20"/>
        <v/>
      </c>
      <c r="U93" s="208" t="str">
        <f t="shared" si="21"/>
        <v/>
      </c>
      <c r="V93" s="208" t="str">
        <f t="shared" si="22"/>
        <v/>
      </c>
      <c r="W93" s="208" t="str">
        <f t="shared" si="23"/>
        <v/>
      </c>
      <c r="X93" s="208" t="str">
        <f t="shared" si="24"/>
        <v/>
      </c>
      <c r="Y93" s="208" t="str">
        <f t="shared" si="25"/>
        <v/>
      </c>
      <c r="Z93" s="39"/>
    </row>
    <row r="94" spans="1:26" x14ac:dyDescent="0.2">
      <c r="A94" s="213"/>
      <c r="B94" s="214"/>
      <c r="C94" s="221"/>
      <c r="D94" s="221"/>
      <c r="E94" s="221"/>
      <c r="F94" s="216"/>
      <c r="G94" s="216"/>
      <c r="H94" s="216"/>
      <c r="I94" s="216"/>
      <c r="J94" s="214"/>
      <c r="K94" s="214"/>
      <c r="L94" s="214"/>
      <c r="M94" s="214"/>
      <c r="N94" s="208" t="str">
        <f t="shared" si="26"/>
        <v/>
      </c>
      <c r="O94" s="208" t="str">
        <f t="shared" si="15"/>
        <v/>
      </c>
      <c r="P94" s="208" t="str">
        <f t="shared" si="16"/>
        <v/>
      </c>
      <c r="Q94" s="208" t="str">
        <f t="shared" si="17"/>
        <v/>
      </c>
      <c r="R94" s="208" t="str">
        <f t="shared" si="18"/>
        <v/>
      </c>
      <c r="S94" s="208" t="str">
        <f t="shared" si="19"/>
        <v/>
      </c>
      <c r="T94" s="208" t="str">
        <f t="shared" si="20"/>
        <v/>
      </c>
      <c r="U94" s="208" t="str">
        <f t="shared" si="21"/>
        <v/>
      </c>
      <c r="V94" s="208" t="str">
        <f t="shared" si="22"/>
        <v/>
      </c>
      <c r="W94" s="208" t="str">
        <f t="shared" si="23"/>
        <v/>
      </c>
      <c r="X94" s="208" t="str">
        <f t="shared" si="24"/>
        <v/>
      </c>
      <c r="Y94" s="208" t="str">
        <f t="shared" si="25"/>
        <v/>
      </c>
      <c r="Z94" s="39"/>
    </row>
    <row r="95" spans="1:26" x14ac:dyDescent="0.2">
      <c r="A95" s="213"/>
      <c r="B95" s="214"/>
      <c r="C95" s="221"/>
      <c r="D95" s="221"/>
      <c r="E95" s="221"/>
      <c r="F95" s="216"/>
      <c r="G95" s="216"/>
      <c r="H95" s="216"/>
      <c r="I95" s="216"/>
      <c r="J95" s="214"/>
      <c r="K95" s="214"/>
      <c r="L95" s="214"/>
      <c r="M95" s="214"/>
      <c r="N95" s="208" t="str">
        <f t="shared" si="26"/>
        <v/>
      </c>
      <c r="O95" s="208" t="str">
        <f t="shared" si="15"/>
        <v/>
      </c>
      <c r="P95" s="208" t="str">
        <f t="shared" si="16"/>
        <v/>
      </c>
      <c r="Q95" s="208" t="str">
        <f t="shared" si="17"/>
        <v/>
      </c>
      <c r="R95" s="208" t="str">
        <f t="shared" si="18"/>
        <v/>
      </c>
      <c r="S95" s="208" t="str">
        <f t="shared" si="19"/>
        <v/>
      </c>
      <c r="T95" s="208" t="str">
        <f t="shared" si="20"/>
        <v/>
      </c>
      <c r="U95" s="208" t="str">
        <f t="shared" si="21"/>
        <v/>
      </c>
      <c r="V95" s="208" t="str">
        <f t="shared" si="22"/>
        <v/>
      </c>
      <c r="W95" s="208" t="str">
        <f t="shared" si="23"/>
        <v/>
      </c>
      <c r="X95" s="208" t="str">
        <f t="shared" si="24"/>
        <v/>
      </c>
      <c r="Y95" s="208" t="str">
        <f t="shared" si="25"/>
        <v/>
      </c>
      <c r="Z95" s="39"/>
    </row>
    <row r="96" spans="1:26" x14ac:dyDescent="0.2">
      <c r="A96" s="213"/>
      <c r="B96" s="214"/>
      <c r="C96" s="221"/>
      <c r="D96" s="221"/>
      <c r="E96" s="221"/>
      <c r="F96" s="216"/>
      <c r="G96" s="216"/>
      <c r="H96" s="216"/>
      <c r="I96" s="216"/>
      <c r="J96" s="214"/>
      <c r="K96" s="214"/>
      <c r="L96" s="214"/>
      <c r="M96" s="214"/>
      <c r="N96" s="208" t="str">
        <f t="shared" si="26"/>
        <v/>
      </c>
      <c r="O96" s="208" t="str">
        <f t="shared" si="15"/>
        <v/>
      </c>
      <c r="P96" s="208" t="str">
        <f t="shared" si="16"/>
        <v/>
      </c>
      <c r="Q96" s="208" t="str">
        <f t="shared" si="17"/>
        <v/>
      </c>
      <c r="R96" s="208" t="str">
        <f t="shared" si="18"/>
        <v/>
      </c>
      <c r="S96" s="208" t="str">
        <f t="shared" si="19"/>
        <v/>
      </c>
      <c r="T96" s="208" t="str">
        <f t="shared" si="20"/>
        <v/>
      </c>
      <c r="U96" s="208" t="str">
        <f t="shared" si="21"/>
        <v/>
      </c>
      <c r="V96" s="208" t="str">
        <f t="shared" si="22"/>
        <v/>
      </c>
      <c r="W96" s="208" t="str">
        <f t="shared" si="23"/>
        <v/>
      </c>
      <c r="X96" s="208" t="str">
        <f t="shared" si="24"/>
        <v/>
      </c>
      <c r="Y96" s="208" t="str">
        <f t="shared" si="25"/>
        <v/>
      </c>
      <c r="Z96" s="39"/>
    </row>
    <row r="97" spans="1:26" x14ac:dyDescent="0.2">
      <c r="A97" s="213"/>
      <c r="B97" s="214"/>
      <c r="C97" s="221"/>
      <c r="D97" s="221"/>
      <c r="E97" s="221"/>
      <c r="F97" s="216"/>
      <c r="G97" s="216"/>
      <c r="H97" s="216"/>
      <c r="I97" s="216"/>
      <c r="J97" s="214"/>
      <c r="K97" s="214"/>
      <c r="L97" s="214"/>
      <c r="M97" s="214"/>
      <c r="N97" s="208" t="str">
        <f t="shared" si="26"/>
        <v/>
      </c>
      <c r="O97" s="208" t="str">
        <f t="shared" si="15"/>
        <v/>
      </c>
      <c r="P97" s="208" t="str">
        <f t="shared" si="16"/>
        <v/>
      </c>
      <c r="Q97" s="208" t="str">
        <f t="shared" si="17"/>
        <v/>
      </c>
      <c r="R97" s="208" t="str">
        <f t="shared" si="18"/>
        <v/>
      </c>
      <c r="S97" s="208" t="str">
        <f t="shared" si="19"/>
        <v/>
      </c>
      <c r="T97" s="208" t="str">
        <f t="shared" si="20"/>
        <v/>
      </c>
      <c r="U97" s="208" t="str">
        <f t="shared" si="21"/>
        <v/>
      </c>
      <c r="V97" s="208" t="str">
        <f t="shared" si="22"/>
        <v/>
      </c>
      <c r="W97" s="208" t="str">
        <f t="shared" si="23"/>
        <v/>
      </c>
      <c r="X97" s="208" t="str">
        <f t="shared" si="24"/>
        <v/>
      </c>
      <c r="Y97" s="208" t="str">
        <f t="shared" si="25"/>
        <v/>
      </c>
      <c r="Z97" s="39"/>
    </row>
    <row r="98" spans="1:26" x14ac:dyDescent="0.2">
      <c r="A98" s="213"/>
      <c r="B98" s="214"/>
      <c r="C98" s="221"/>
      <c r="D98" s="221"/>
      <c r="E98" s="221"/>
      <c r="F98" s="216"/>
      <c r="G98" s="216"/>
      <c r="H98" s="216"/>
      <c r="I98" s="216"/>
      <c r="J98" s="214"/>
      <c r="K98" s="214"/>
      <c r="L98" s="214"/>
      <c r="M98" s="214"/>
      <c r="N98" s="208" t="str">
        <f t="shared" si="26"/>
        <v/>
      </c>
      <c r="O98" s="208" t="str">
        <f t="shared" ref="O98:O127" si="27">IF($A$1=$A98,C98,"")</f>
        <v/>
      </c>
      <c r="P98" s="208" t="str">
        <f t="shared" ref="P98:P127" si="28">IF($A$1=$A98,D98,"")</f>
        <v/>
      </c>
      <c r="Q98" s="208" t="str">
        <f t="shared" ref="Q98:Q127" si="29">IF($A$1=$A98,E98,"")</f>
        <v/>
      </c>
      <c r="R98" s="208" t="str">
        <f t="shared" ref="R98:R127" si="30">IF($A$1=$A98,F98,"")</f>
        <v/>
      </c>
      <c r="S98" s="208" t="str">
        <f t="shared" ref="S98:S127" si="31">IF($A$1=$A98,G98,"")</f>
        <v/>
      </c>
      <c r="T98" s="208" t="str">
        <f t="shared" ref="T98:T127" si="32">IF($A$1=$A98,H98,"")</f>
        <v/>
      </c>
      <c r="U98" s="208" t="str">
        <f t="shared" ref="U98:U127" si="33">IF($A$1=$A98,I98,"")</f>
        <v/>
      </c>
      <c r="V98" s="208" t="str">
        <f t="shared" ref="V98:V127" si="34">IF($A$1=$A98,J98,"")</f>
        <v/>
      </c>
      <c r="W98" s="208" t="str">
        <f t="shared" ref="W98:W127" si="35">IF($A$1=$A98,K98,"")</f>
        <v/>
      </c>
      <c r="X98" s="208" t="str">
        <f t="shared" ref="X98:X127" si="36">IF($A$1=$A98,L98,"")</f>
        <v/>
      </c>
      <c r="Y98" s="208" t="str">
        <f t="shared" ref="Y98:Y127" si="37">IF($A$1=$A98,M98,"")</f>
        <v/>
      </c>
      <c r="Z98" s="39"/>
    </row>
    <row r="99" spans="1:26" x14ac:dyDescent="0.2">
      <c r="A99" s="217"/>
      <c r="B99" s="218"/>
      <c r="C99" s="222"/>
      <c r="D99" s="222"/>
      <c r="E99" s="222"/>
      <c r="F99" s="220"/>
      <c r="G99" s="220"/>
      <c r="H99" s="220"/>
      <c r="I99" s="220"/>
      <c r="J99" s="218"/>
      <c r="K99" s="218"/>
      <c r="L99" s="218"/>
      <c r="M99" s="218"/>
      <c r="N99" s="208" t="str">
        <f t="shared" si="26"/>
        <v/>
      </c>
      <c r="O99" s="208" t="str">
        <f t="shared" si="27"/>
        <v/>
      </c>
      <c r="P99" s="208" t="str">
        <f t="shared" si="28"/>
        <v/>
      </c>
      <c r="Q99" s="208" t="str">
        <f t="shared" si="29"/>
        <v/>
      </c>
      <c r="R99" s="208" t="str">
        <f t="shared" si="30"/>
        <v/>
      </c>
      <c r="S99" s="208" t="str">
        <f t="shared" si="31"/>
        <v/>
      </c>
      <c r="T99" s="208" t="str">
        <f t="shared" si="32"/>
        <v/>
      </c>
      <c r="U99" s="208" t="str">
        <f t="shared" si="33"/>
        <v/>
      </c>
      <c r="V99" s="208" t="str">
        <f t="shared" si="34"/>
        <v/>
      </c>
      <c r="W99" s="208" t="str">
        <f t="shared" si="35"/>
        <v/>
      </c>
      <c r="X99" s="208" t="str">
        <f t="shared" si="36"/>
        <v/>
      </c>
      <c r="Y99" s="208" t="str">
        <f t="shared" si="37"/>
        <v/>
      </c>
      <c r="Z99" s="39"/>
    </row>
    <row r="100" spans="1:26" x14ac:dyDescent="0.2">
      <c r="A100" s="213"/>
      <c r="B100" s="214"/>
      <c r="C100" s="221"/>
      <c r="D100" s="221"/>
      <c r="E100" s="221"/>
      <c r="F100" s="216"/>
      <c r="G100" s="216"/>
      <c r="H100" s="216"/>
      <c r="I100" s="216"/>
      <c r="J100" s="214"/>
      <c r="K100" s="214"/>
      <c r="L100" s="214"/>
      <c r="M100" s="214"/>
      <c r="N100" s="208" t="str">
        <f t="shared" si="26"/>
        <v/>
      </c>
      <c r="O100" s="208" t="str">
        <f t="shared" si="27"/>
        <v/>
      </c>
      <c r="P100" s="208" t="str">
        <f t="shared" si="28"/>
        <v/>
      </c>
      <c r="Q100" s="208" t="str">
        <f t="shared" si="29"/>
        <v/>
      </c>
      <c r="R100" s="208" t="str">
        <f t="shared" si="30"/>
        <v/>
      </c>
      <c r="S100" s="208" t="str">
        <f t="shared" si="31"/>
        <v/>
      </c>
      <c r="T100" s="208" t="str">
        <f t="shared" si="32"/>
        <v/>
      </c>
      <c r="U100" s="208" t="str">
        <f t="shared" si="33"/>
        <v/>
      </c>
      <c r="V100" s="208" t="str">
        <f t="shared" si="34"/>
        <v/>
      </c>
      <c r="W100" s="208" t="str">
        <f t="shared" si="35"/>
        <v/>
      </c>
      <c r="X100" s="208" t="str">
        <f t="shared" si="36"/>
        <v/>
      </c>
      <c r="Y100" s="208" t="str">
        <f t="shared" si="37"/>
        <v/>
      </c>
      <c r="Z100" s="39"/>
    </row>
    <row r="101" spans="1:26" x14ac:dyDescent="0.2">
      <c r="A101" s="213"/>
      <c r="B101" s="214"/>
      <c r="C101" s="221"/>
      <c r="D101" s="221"/>
      <c r="E101" s="221"/>
      <c r="F101" s="216"/>
      <c r="G101" s="216"/>
      <c r="H101" s="216"/>
      <c r="I101" s="216"/>
      <c r="J101" s="214"/>
      <c r="K101" s="214"/>
      <c r="L101" s="214"/>
      <c r="M101" s="214"/>
      <c r="N101" s="208" t="str">
        <f t="shared" si="26"/>
        <v/>
      </c>
      <c r="O101" s="208" t="str">
        <f t="shared" si="27"/>
        <v/>
      </c>
      <c r="P101" s="208" t="str">
        <f t="shared" si="28"/>
        <v/>
      </c>
      <c r="Q101" s="208" t="str">
        <f t="shared" si="29"/>
        <v/>
      </c>
      <c r="R101" s="208" t="str">
        <f t="shared" si="30"/>
        <v/>
      </c>
      <c r="S101" s="208" t="str">
        <f t="shared" si="31"/>
        <v/>
      </c>
      <c r="T101" s="208" t="str">
        <f t="shared" si="32"/>
        <v/>
      </c>
      <c r="U101" s="208" t="str">
        <f t="shared" si="33"/>
        <v/>
      </c>
      <c r="V101" s="208" t="str">
        <f t="shared" si="34"/>
        <v/>
      </c>
      <c r="W101" s="208" t="str">
        <f t="shared" si="35"/>
        <v/>
      </c>
      <c r="X101" s="208" t="str">
        <f t="shared" si="36"/>
        <v/>
      </c>
      <c r="Y101" s="208" t="str">
        <f t="shared" si="37"/>
        <v/>
      </c>
      <c r="Z101" s="39"/>
    </row>
    <row r="102" spans="1:26" x14ac:dyDescent="0.2">
      <c r="A102" s="213"/>
      <c r="B102" s="214"/>
      <c r="C102" s="221"/>
      <c r="D102" s="221"/>
      <c r="E102" s="221"/>
      <c r="F102" s="216"/>
      <c r="G102" s="216"/>
      <c r="H102" s="216"/>
      <c r="I102" s="216"/>
      <c r="J102" s="214"/>
      <c r="K102" s="214"/>
      <c r="L102" s="214"/>
      <c r="M102" s="214"/>
      <c r="N102" s="208" t="str">
        <f t="shared" si="26"/>
        <v/>
      </c>
      <c r="O102" s="208" t="str">
        <f t="shared" si="27"/>
        <v/>
      </c>
      <c r="P102" s="208" t="str">
        <f t="shared" si="28"/>
        <v/>
      </c>
      <c r="Q102" s="208" t="str">
        <f t="shared" si="29"/>
        <v/>
      </c>
      <c r="R102" s="208" t="str">
        <f t="shared" si="30"/>
        <v/>
      </c>
      <c r="S102" s="208" t="str">
        <f t="shared" si="31"/>
        <v/>
      </c>
      <c r="T102" s="208" t="str">
        <f t="shared" si="32"/>
        <v/>
      </c>
      <c r="U102" s="208" t="str">
        <f t="shared" si="33"/>
        <v/>
      </c>
      <c r="V102" s="208" t="str">
        <f t="shared" si="34"/>
        <v/>
      </c>
      <c r="W102" s="208" t="str">
        <f t="shared" si="35"/>
        <v/>
      </c>
      <c r="X102" s="208" t="str">
        <f t="shared" si="36"/>
        <v/>
      </c>
      <c r="Y102" s="208" t="str">
        <f t="shared" si="37"/>
        <v/>
      </c>
      <c r="Z102" s="39"/>
    </row>
    <row r="103" spans="1:26" x14ac:dyDescent="0.2">
      <c r="A103" s="213"/>
      <c r="B103" s="214"/>
      <c r="C103" s="221"/>
      <c r="D103" s="221"/>
      <c r="E103" s="221"/>
      <c r="F103" s="216"/>
      <c r="G103" s="216"/>
      <c r="H103" s="216"/>
      <c r="I103" s="216"/>
      <c r="J103" s="214"/>
      <c r="K103" s="214"/>
      <c r="L103" s="214"/>
      <c r="M103" s="214"/>
      <c r="N103" s="208" t="str">
        <f t="shared" si="26"/>
        <v/>
      </c>
      <c r="O103" s="208" t="str">
        <f t="shared" si="27"/>
        <v/>
      </c>
      <c r="P103" s="208" t="str">
        <f t="shared" si="28"/>
        <v/>
      </c>
      <c r="Q103" s="208" t="str">
        <f t="shared" si="29"/>
        <v/>
      </c>
      <c r="R103" s="208" t="str">
        <f t="shared" si="30"/>
        <v/>
      </c>
      <c r="S103" s="208" t="str">
        <f t="shared" si="31"/>
        <v/>
      </c>
      <c r="T103" s="208" t="str">
        <f t="shared" si="32"/>
        <v/>
      </c>
      <c r="U103" s="208" t="str">
        <f t="shared" si="33"/>
        <v/>
      </c>
      <c r="V103" s="208" t="str">
        <f t="shared" si="34"/>
        <v/>
      </c>
      <c r="W103" s="208" t="str">
        <f t="shared" si="35"/>
        <v/>
      </c>
      <c r="X103" s="208" t="str">
        <f t="shared" si="36"/>
        <v/>
      </c>
      <c r="Y103" s="208" t="str">
        <f t="shared" si="37"/>
        <v/>
      </c>
      <c r="Z103" s="39"/>
    </row>
    <row r="104" spans="1:26" x14ac:dyDescent="0.2">
      <c r="A104" s="213"/>
      <c r="B104" s="214"/>
      <c r="C104" s="221"/>
      <c r="D104" s="221"/>
      <c r="E104" s="221"/>
      <c r="F104" s="216"/>
      <c r="G104" s="216"/>
      <c r="H104" s="216"/>
      <c r="I104" s="216"/>
      <c r="J104" s="214"/>
      <c r="K104" s="214"/>
      <c r="L104" s="214"/>
      <c r="M104" s="214"/>
      <c r="N104" s="208" t="str">
        <f t="shared" si="26"/>
        <v/>
      </c>
      <c r="O104" s="208" t="str">
        <f t="shared" si="27"/>
        <v/>
      </c>
      <c r="P104" s="208" t="str">
        <f t="shared" si="28"/>
        <v/>
      </c>
      <c r="Q104" s="208" t="str">
        <f t="shared" si="29"/>
        <v/>
      </c>
      <c r="R104" s="208" t="str">
        <f t="shared" si="30"/>
        <v/>
      </c>
      <c r="S104" s="208" t="str">
        <f t="shared" si="31"/>
        <v/>
      </c>
      <c r="T104" s="208" t="str">
        <f t="shared" si="32"/>
        <v/>
      </c>
      <c r="U104" s="208" t="str">
        <f t="shared" si="33"/>
        <v/>
      </c>
      <c r="V104" s="208" t="str">
        <f t="shared" si="34"/>
        <v/>
      </c>
      <c r="W104" s="208" t="str">
        <f t="shared" si="35"/>
        <v/>
      </c>
      <c r="X104" s="208" t="str">
        <f t="shared" si="36"/>
        <v/>
      </c>
      <c r="Y104" s="208" t="str">
        <f t="shared" si="37"/>
        <v/>
      </c>
      <c r="Z104" s="39"/>
    </row>
    <row r="105" spans="1:26" x14ac:dyDescent="0.2">
      <c r="A105" s="217"/>
      <c r="B105" s="218"/>
      <c r="C105" s="222"/>
      <c r="D105" s="222"/>
      <c r="E105" s="222"/>
      <c r="F105" s="220"/>
      <c r="G105" s="220"/>
      <c r="H105" s="220"/>
      <c r="I105" s="220"/>
      <c r="J105" s="218"/>
      <c r="K105" s="218"/>
      <c r="L105" s="218"/>
      <c r="M105" s="218"/>
      <c r="N105" s="208" t="str">
        <f t="shared" si="26"/>
        <v/>
      </c>
      <c r="O105" s="208" t="str">
        <f t="shared" si="27"/>
        <v/>
      </c>
      <c r="P105" s="208" t="str">
        <f t="shared" si="28"/>
        <v/>
      </c>
      <c r="Q105" s="208" t="str">
        <f t="shared" si="29"/>
        <v/>
      </c>
      <c r="R105" s="208" t="str">
        <f t="shared" si="30"/>
        <v/>
      </c>
      <c r="S105" s="208" t="str">
        <f t="shared" si="31"/>
        <v/>
      </c>
      <c r="T105" s="208" t="str">
        <f t="shared" si="32"/>
        <v/>
      </c>
      <c r="U105" s="208" t="str">
        <f t="shared" si="33"/>
        <v/>
      </c>
      <c r="V105" s="208" t="str">
        <f t="shared" si="34"/>
        <v/>
      </c>
      <c r="W105" s="208" t="str">
        <f t="shared" si="35"/>
        <v/>
      </c>
      <c r="X105" s="208" t="str">
        <f t="shared" si="36"/>
        <v/>
      </c>
      <c r="Y105" s="208" t="str">
        <f t="shared" si="37"/>
        <v/>
      </c>
      <c r="Z105" s="39"/>
    </row>
    <row r="106" spans="1:26" x14ac:dyDescent="0.2">
      <c r="A106" s="213"/>
      <c r="B106" s="214"/>
      <c r="C106" s="221"/>
      <c r="D106" s="221"/>
      <c r="E106" s="221"/>
      <c r="F106" s="216"/>
      <c r="G106" s="216"/>
      <c r="H106" s="216"/>
      <c r="I106" s="216"/>
      <c r="J106" s="214"/>
      <c r="K106" s="214"/>
      <c r="L106" s="214"/>
      <c r="M106" s="214"/>
      <c r="N106" s="208" t="str">
        <f t="shared" si="26"/>
        <v/>
      </c>
      <c r="O106" s="208" t="str">
        <f t="shared" si="27"/>
        <v/>
      </c>
      <c r="P106" s="208" t="str">
        <f t="shared" si="28"/>
        <v/>
      </c>
      <c r="Q106" s="208" t="str">
        <f t="shared" si="29"/>
        <v/>
      </c>
      <c r="R106" s="208" t="str">
        <f t="shared" si="30"/>
        <v/>
      </c>
      <c r="S106" s="208" t="str">
        <f t="shared" si="31"/>
        <v/>
      </c>
      <c r="T106" s="208" t="str">
        <f t="shared" si="32"/>
        <v/>
      </c>
      <c r="U106" s="208" t="str">
        <f t="shared" si="33"/>
        <v/>
      </c>
      <c r="V106" s="208" t="str">
        <f t="shared" si="34"/>
        <v/>
      </c>
      <c r="W106" s="208" t="str">
        <f t="shared" si="35"/>
        <v/>
      </c>
      <c r="X106" s="208" t="str">
        <f t="shared" si="36"/>
        <v/>
      </c>
      <c r="Y106" s="208" t="str">
        <f t="shared" si="37"/>
        <v/>
      </c>
      <c r="Z106" s="39"/>
    </row>
    <row r="107" spans="1:26" x14ac:dyDescent="0.2">
      <c r="A107" s="213"/>
      <c r="B107" s="214"/>
      <c r="C107" s="221"/>
      <c r="D107" s="221"/>
      <c r="E107" s="221"/>
      <c r="F107" s="216"/>
      <c r="G107" s="216"/>
      <c r="H107" s="216"/>
      <c r="I107" s="216"/>
      <c r="J107" s="214"/>
      <c r="K107" s="214"/>
      <c r="L107" s="214"/>
      <c r="M107" s="214"/>
      <c r="N107" s="208" t="str">
        <f t="shared" si="26"/>
        <v/>
      </c>
      <c r="O107" s="208" t="str">
        <f t="shared" si="27"/>
        <v/>
      </c>
      <c r="P107" s="208" t="str">
        <f t="shared" si="28"/>
        <v/>
      </c>
      <c r="Q107" s="208" t="str">
        <f t="shared" si="29"/>
        <v/>
      </c>
      <c r="R107" s="208" t="str">
        <f t="shared" si="30"/>
        <v/>
      </c>
      <c r="S107" s="208" t="str">
        <f t="shared" si="31"/>
        <v/>
      </c>
      <c r="T107" s="208" t="str">
        <f t="shared" si="32"/>
        <v/>
      </c>
      <c r="U107" s="208" t="str">
        <f t="shared" si="33"/>
        <v/>
      </c>
      <c r="V107" s="208" t="str">
        <f t="shared" si="34"/>
        <v/>
      </c>
      <c r="W107" s="208" t="str">
        <f t="shared" si="35"/>
        <v/>
      </c>
      <c r="X107" s="208" t="str">
        <f t="shared" si="36"/>
        <v/>
      </c>
      <c r="Y107" s="208" t="str">
        <f t="shared" si="37"/>
        <v/>
      </c>
      <c r="Z107" s="39"/>
    </row>
    <row r="108" spans="1:26" x14ac:dyDescent="0.2">
      <c r="A108" s="213"/>
      <c r="B108" s="214"/>
      <c r="C108" s="221"/>
      <c r="D108" s="221"/>
      <c r="E108" s="221"/>
      <c r="F108" s="216"/>
      <c r="G108" s="216"/>
      <c r="H108" s="216"/>
      <c r="I108" s="216"/>
      <c r="J108" s="214"/>
      <c r="K108" s="214"/>
      <c r="L108" s="214"/>
      <c r="M108" s="214"/>
      <c r="N108" s="208" t="str">
        <f t="shared" si="26"/>
        <v/>
      </c>
      <c r="O108" s="208" t="str">
        <f t="shared" si="27"/>
        <v/>
      </c>
      <c r="P108" s="208" t="str">
        <f t="shared" si="28"/>
        <v/>
      </c>
      <c r="Q108" s="208" t="str">
        <f t="shared" si="29"/>
        <v/>
      </c>
      <c r="R108" s="208" t="str">
        <f t="shared" si="30"/>
        <v/>
      </c>
      <c r="S108" s="208" t="str">
        <f t="shared" si="31"/>
        <v/>
      </c>
      <c r="T108" s="208" t="str">
        <f t="shared" si="32"/>
        <v/>
      </c>
      <c r="U108" s="208" t="str">
        <f t="shared" si="33"/>
        <v/>
      </c>
      <c r="V108" s="208" t="str">
        <f t="shared" si="34"/>
        <v/>
      </c>
      <c r="W108" s="208" t="str">
        <f t="shared" si="35"/>
        <v/>
      </c>
      <c r="X108" s="208" t="str">
        <f t="shared" si="36"/>
        <v/>
      </c>
      <c r="Y108" s="208" t="str">
        <f t="shared" si="37"/>
        <v/>
      </c>
      <c r="Z108" s="39"/>
    </row>
    <row r="109" spans="1:26" x14ac:dyDescent="0.2">
      <c r="A109" s="213"/>
      <c r="B109" s="214"/>
      <c r="C109" s="221"/>
      <c r="D109" s="221"/>
      <c r="E109" s="221"/>
      <c r="F109" s="216"/>
      <c r="G109" s="216"/>
      <c r="H109" s="216"/>
      <c r="I109" s="216"/>
      <c r="J109" s="214"/>
      <c r="K109" s="214"/>
      <c r="L109" s="214"/>
      <c r="M109" s="214"/>
      <c r="N109" s="208" t="str">
        <f t="shared" si="26"/>
        <v/>
      </c>
      <c r="O109" s="208" t="str">
        <f t="shared" si="27"/>
        <v/>
      </c>
      <c r="P109" s="208" t="str">
        <f t="shared" si="28"/>
        <v/>
      </c>
      <c r="Q109" s="208" t="str">
        <f t="shared" si="29"/>
        <v/>
      </c>
      <c r="R109" s="208" t="str">
        <f t="shared" si="30"/>
        <v/>
      </c>
      <c r="S109" s="208" t="str">
        <f t="shared" si="31"/>
        <v/>
      </c>
      <c r="T109" s="208" t="str">
        <f t="shared" si="32"/>
        <v/>
      </c>
      <c r="U109" s="208" t="str">
        <f t="shared" si="33"/>
        <v/>
      </c>
      <c r="V109" s="208" t="str">
        <f t="shared" si="34"/>
        <v/>
      </c>
      <c r="W109" s="208" t="str">
        <f t="shared" si="35"/>
        <v/>
      </c>
      <c r="X109" s="208" t="str">
        <f t="shared" si="36"/>
        <v/>
      </c>
      <c r="Y109" s="208" t="str">
        <f t="shared" si="37"/>
        <v/>
      </c>
      <c r="Z109" s="39"/>
    </row>
    <row r="110" spans="1:26" x14ac:dyDescent="0.2">
      <c r="A110" s="213"/>
      <c r="B110" s="214"/>
      <c r="C110" s="221"/>
      <c r="D110" s="221"/>
      <c r="E110" s="221"/>
      <c r="F110" s="216"/>
      <c r="G110" s="216"/>
      <c r="H110" s="216"/>
      <c r="I110" s="216"/>
      <c r="J110" s="214"/>
      <c r="K110" s="214"/>
      <c r="L110" s="214"/>
      <c r="M110" s="214"/>
      <c r="N110" s="208" t="str">
        <f t="shared" si="26"/>
        <v/>
      </c>
      <c r="O110" s="208" t="str">
        <f t="shared" si="27"/>
        <v/>
      </c>
      <c r="P110" s="208" t="str">
        <f t="shared" si="28"/>
        <v/>
      </c>
      <c r="Q110" s="208" t="str">
        <f t="shared" si="29"/>
        <v/>
      </c>
      <c r="R110" s="208" t="str">
        <f t="shared" si="30"/>
        <v/>
      </c>
      <c r="S110" s="208" t="str">
        <f t="shared" si="31"/>
        <v/>
      </c>
      <c r="T110" s="208" t="str">
        <f t="shared" si="32"/>
        <v/>
      </c>
      <c r="U110" s="208" t="str">
        <f t="shared" si="33"/>
        <v/>
      </c>
      <c r="V110" s="208" t="str">
        <f t="shared" si="34"/>
        <v/>
      </c>
      <c r="W110" s="208" t="str">
        <f t="shared" si="35"/>
        <v/>
      </c>
      <c r="X110" s="208" t="str">
        <f t="shared" si="36"/>
        <v/>
      </c>
      <c r="Y110" s="208" t="str">
        <f t="shared" si="37"/>
        <v/>
      </c>
      <c r="Z110" s="39"/>
    </row>
    <row r="111" spans="1:26" x14ac:dyDescent="0.2">
      <c r="A111" s="217"/>
      <c r="B111" s="218"/>
      <c r="C111" s="222"/>
      <c r="D111" s="222"/>
      <c r="E111" s="222"/>
      <c r="F111" s="220"/>
      <c r="G111" s="220"/>
      <c r="H111" s="220"/>
      <c r="I111" s="220"/>
      <c r="J111" s="218"/>
      <c r="K111" s="218"/>
      <c r="L111" s="218"/>
      <c r="M111" s="218"/>
      <c r="N111" s="208" t="str">
        <f t="shared" si="26"/>
        <v/>
      </c>
      <c r="O111" s="208" t="str">
        <f t="shared" si="27"/>
        <v/>
      </c>
      <c r="P111" s="208" t="str">
        <f t="shared" si="28"/>
        <v/>
      </c>
      <c r="Q111" s="208" t="str">
        <f t="shared" si="29"/>
        <v/>
      </c>
      <c r="R111" s="208" t="str">
        <f t="shared" si="30"/>
        <v/>
      </c>
      <c r="S111" s="208" t="str">
        <f t="shared" si="31"/>
        <v/>
      </c>
      <c r="T111" s="208" t="str">
        <f t="shared" si="32"/>
        <v/>
      </c>
      <c r="U111" s="208" t="str">
        <f t="shared" si="33"/>
        <v/>
      </c>
      <c r="V111" s="208" t="str">
        <f t="shared" si="34"/>
        <v/>
      </c>
      <c r="W111" s="208" t="str">
        <f t="shared" si="35"/>
        <v/>
      </c>
      <c r="X111" s="208" t="str">
        <f t="shared" si="36"/>
        <v/>
      </c>
      <c r="Y111" s="208" t="str">
        <f t="shared" si="37"/>
        <v/>
      </c>
      <c r="Z111" s="39"/>
    </row>
    <row r="112" spans="1:26" x14ac:dyDescent="0.2">
      <c r="A112" s="213"/>
      <c r="B112" s="214"/>
      <c r="C112" s="221"/>
      <c r="D112" s="221"/>
      <c r="E112" s="221"/>
      <c r="F112" s="216"/>
      <c r="G112" s="216"/>
      <c r="H112" s="216"/>
      <c r="I112" s="216"/>
      <c r="J112" s="214"/>
      <c r="K112" s="214"/>
      <c r="L112" s="214"/>
      <c r="M112" s="214"/>
      <c r="N112" s="208" t="str">
        <f t="shared" si="26"/>
        <v/>
      </c>
      <c r="O112" s="208" t="str">
        <f t="shared" si="27"/>
        <v/>
      </c>
      <c r="P112" s="208" t="str">
        <f t="shared" si="28"/>
        <v/>
      </c>
      <c r="Q112" s="208" t="str">
        <f t="shared" si="29"/>
        <v/>
      </c>
      <c r="R112" s="208" t="str">
        <f t="shared" si="30"/>
        <v/>
      </c>
      <c r="S112" s="208" t="str">
        <f t="shared" si="31"/>
        <v/>
      </c>
      <c r="T112" s="208" t="str">
        <f t="shared" si="32"/>
        <v/>
      </c>
      <c r="U112" s="208" t="str">
        <f t="shared" si="33"/>
        <v/>
      </c>
      <c r="V112" s="208" t="str">
        <f t="shared" si="34"/>
        <v/>
      </c>
      <c r="W112" s="208" t="str">
        <f t="shared" si="35"/>
        <v/>
      </c>
      <c r="X112" s="208" t="str">
        <f t="shared" si="36"/>
        <v/>
      </c>
      <c r="Y112" s="208" t="str">
        <f t="shared" si="37"/>
        <v/>
      </c>
      <c r="Z112" s="39"/>
    </row>
    <row r="113" spans="1:26" x14ac:dyDescent="0.2">
      <c r="A113" s="213"/>
      <c r="B113" s="214"/>
      <c r="C113" s="221"/>
      <c r="D113" s="221"/>
      <c r="E113" s="221"/>
      <c r="F113" s="216"/>
      <c r="G113" s="216"/>
      <c r="H113" s="216"/>
      <c r="I113" s="216"/>
      <c r="J113" s="214"/>
      <c r="K113" s="214"/>
      <c r="L113" s="214"/>
      <c r="M113" s="214"/>
      <c r="N113" s="208" t="str">
        <f t="shared" si="26"/>
        <v/>
      </c>
      <c r="O113" s="208" t="str">
        <f t="shared" si="27"/>
        <v/>
      </c>
      <c r="P113" s="208" t="str">
        <f t="shared" si="28"/>
        <v/>
      </c>
      <c r="Q113" s="208" t="str">
        <f t="shared" si="29"/>
        <v/>
      </c>
      <c r="R113" s="208" t="str">
        <f t="shared" si="30"/>
        <v/>
      </c>
      <c r="S113" s="208" t="str">
        <f t="shared" si="31"/>
        <v/>
      </c>
      <c r="T113" s="208" t="str">
        <f t="shared" si="32"/>
        <v/>
      </c>
      <c r="U113" s="208" t="str">
        <f t="shared" si="33"/>
        <v/>
      </c>
      <c r="V113" s="208" t="str">
        <f t="shared" si="34"/>
        <v/>
      </c>
      <c r="W113" s="208" t="str">
        <f t="shared" si="35"/>
        <v/>
      </c>
      <c r="X113" s="208" t="str">
        <f t="shared" si="36"/>
        <v/>
      </c>
      <c r="Y113" s="208" t="str">
        <f t="shared" si="37"/>
        <v/>
      </c>
      <c r="Z113" s="39"/>
    </row>
    <row r="114" spans="1:26" x14ac:dyDescent="0.2">
      <c r="A114" s="213"/>
      <c r="B114" s="214"/>
      <c r="C114" s="221"/>
      <c r="D114" s="221"/>
      <c r="E114" s="221"/>
      <c r="F114" s="216"/>
      <c r="G114" s="216"/>
      <c r="H114" s="216"/>
      <c r="I114" s="216"/>
      <c r="J114" s="214"/>
      <c r="K114" s="214"/>
      <c r="L114" s="214"/>
      <c r="M114" s="214"/>
      <c r="N114" s="208" t="str">
        <f t="shared" si="26"/>
        <v/>
      </c>
      <c r="O114" s="208" t="str">
        <f t="shared" si="27"/>
        <v/>
      </c>
      <c r="P114" s="208" t="str">
        <f t="shared" si="28"/>
        <v/>
      </c>
      <c r="Q114" s="208" t="str">
        <f t="shared" si="29"/>
        <v/>
      </c>
      <c r="R114" s="208" t="str">
        <f t="shared" si="30"/>
        <v/>
      </c>
      <c r="S114" s="208" t="str">
        <f t="shared" si="31"/>
        <v/>
      </c>
      <c r="T114" s="208" t="str">
        <f t="shared" si="32"/>
        <v/>
      </c>
      <c r="U114" s="208" t="str">
        <f t="shared" si="33"/>
        <v/>
      </c>
      <c r="V114" s="208" t="str">
        <f t="shared" si="34"/>
        <v/>
      </c>
      <c r="W114" s="208" t="str">
        <f t="shared" si="35"/>
        <v/>
      </c>
      <c r="X114" s="208" t="str">
        <f t="shared" si="36"/>
        <v/>
      </c>
      <c r="Y114" s="208" t="str">
        <f t="shared" si="37"/>
        <v/>
      </c>
      <c r="Z114" s="39"/>
    </row>
    <row r="115" spans="1:26" x14ac:dyDescent="0.2">
      <c r="A115" s="213"/>
      <c r="B115" s="214"/>
      <c r="C115" s="221"/>
      <c r="D115" s="221"/>
      <c r="E115" s="221"/>
      <c r="F115" s="216"/>
      <c r="G115" s="216"/>
      <c r="H115" s="216"/>
      <c r="I115" s="216"/>
      <c r="J115" s="214"/>
      <c r="K115" s="214"/>
      <c r="L115" s="214"/>
      <c r="M115" s="214"/>
      <c r="N115" s="208" t="str">
        <f t="shared" si="26"/>
        <v/>
      </c>
      <c r="O115" s="208" t="str">
        <f t="shared" si="27"/>
        <v/>
      </c>
      <c r="P115" s="208" t="str">
        <f t="shared" si="28"/>
        <v/>
      </c>
      <c r="Q115" s="208" t="str">
        <f t="shared" si="29"/>
        <v/>
      </c>
      <c r="R115" s="208" t="str">
        <f t="shared" si="30"/>
        <v/>
      </c>
      <c r="S115" s="208" t="str">
        <f t="shared" si="31"/>
        <v/>
      </c>
      <c r="T115" s="208" t="str">
        <f t="shared" si="32"/>
        <v/>
      </c>
      <c r="U115" s="208" t="str">
        <f t="shared" si="33"/>
        <v/>
      </c>
      <c r="V115" s="208" t="str">
        <f t="shared" si="34"/>
        <v/>
      </c>
      <c r="W115" s="208" t="str">
        <f t="shared" si="35"/>
        <v/>
      </c>
      <c r="X115" s="208" t="str">
        <f t="shared" si="36"/>
        <v/>
      </c>
      <c r="Y115" s="208" t="str">
        <f t="shared" si="37"/>
        <v/>
      </c>
      <c r="Z115" s="39"/>
    </row>
    <row r="116" spans="1:26" x14ac:dyDescent="0.2">
      <c r="A116" s="213"/>
      <c r="B116" s="214"/>
      <c r="C116" s="221"/>
      <c r="D116" s="221"/>
      <c r="E116" s="221"/>
      <c r="F116" s="216"/>
      <c r="G116" s="216"/>
      <c r="H116" s="216"/>
      <c r="I116" s="216"/>
      <c r="J116" s="214"/>
      <c r="K116" s="214"/>
      <c r="L116" s="214"/>
      <c r="M116" s="214"/>
      <c r="N116" s="208" t="str">
        <f t="shared" si="26"/>
        <v/>
      </c>
      <c r="O116" s="208" t="str">
        <f t="shared" si="27"/>
        <v/>
      </c>
      <c r="P116" s="208" t="str">
        <f t="shared" si="28"/>
        <v/>
      </c>
      <c r="Q116" s="208" t="str">
        <f t="shared" si="29"/>
        <v/>
      </c>
      <c r="R116" s="208" t="str">
        <f t="shared" si="30"/>
        <v/>
      </c>
      <c r="S116" s="208" t="str">
        <f t="shared" si="31"/>
        <v/>
      </c>
      <c r="T116" s="208" t="str">
        <f t="shared" si="32"/>
        <v/>
      </c>
      <c r="U116" s="208" t="str">
        <f t="shared" si="33"/>
        <v/>
      </c>
      <c r="V116" s="208" t="str">
        <f t="shared" si="34"/>
        <v/>
      </c>
      <c r="W116" s="208" t="str">
        <f t="shared" si="35"/>
        <v/>
      </c>
      <c r="X116" s="208" t="str">
        <f t="shared" si="36"/>
        <v/>
      </c>
      <c r="Y116" s="208" t="str">
        <f t="shared" si="37"/>
        <v/>
      </c>
      <c r="Z116" s="39"/>
    </row>
    <row r="117" spans="1:26" x14ac:dyDescent="0.2">
      <c r="A117" s="217"/>
      <c r="B117" s="218"/>
      <c r="C117" s="222"/>
      <c r="D117" s="222"/>
      <c r="E117" s="222"/>
      <c r="F117" s="220"/>
      <c r="G117" s="220"/>
      <c r="H117" s="220"/>
      <c r="I117" s="220"/>
      <c r="J117" s="218"/>
      <c r="K117" s="218"/>
      <c r="L117" s="218"/>
      <c r="M117" s="218"/>
      <c r="N117" s="208" t="str">
        <f t="shared" si="26"/>
        <v/>
      </c>
      <c r="O117" s="208" t="str">
        <f t="shared" si="27"/>
        <v/>
      </c>
      <c r="P117" s="208" t="str">
        <f t="shared" si="28"/>
        <v/>
      </c>
      <c r="Q117" s="208" t="str">
        <f t="shared" si="29"/>
        <v/>
      </c>
      <c r="R117" s="208" t="str">
        <f t="shared" si="30"/>
        <v/>
      </c>
      <c r="S117" s="208" t="str">
        <f t="shared" si="31"/>
        <v/>
      </c>
      <c r="T117" s="208" t="str">
        <f t="shared" si="32"/>
        <v/>
      </c>
      <c r="U117" s="208" t="str">
        <f t="shared" si="33"/>
        <v/>
      </c>
      <c r="V117" s="208" t="str">
        <f t="shared" si="34"/>
        <v/>
      </c>
      <c r="W117" s="208" t="str">
        <f t="shared" si="35"/>
        <v/>
      </c>
      <c r="X117" s="208" t="str">
        <f t="shared" si="36"/>
        <v/>
      </c>
      <c r="Y117" s="208" t="str">
        <f t="shared" si="37"/>
        <v/>
      </c>
      <c r="Z117" s="39"/>
    </row>
    <row r="118" spans="1:26" x14ac:dyDescent="0.2">
      <c r="A118" s="213"/>
      <c r="B118" s="214"/>
      <c r="C118" s="221"/>
      <c r="D118" s="221"/>
      <c r="E118" s="221"/>
      <c r="F118" s="216"/>
      <c r="G118" s="216"/>
      <c r="H118" s="216"/>
      <c r="I118" s="216"/>
      <c r="J118" s="214"/>
      <c r="K118" s="214"/>
      <c r="L118" s="214"/>
      <c r="M118" s="214"/>
      <c r="N118" s="208" t="str">
        <f t="shared" si="26"/>
        <v/>
      </c>
      <c r="O118" s="208" t="str">
        <f t="shared" si="27"/>
        <v/>
      </c>
      <c r="P118" s="208" t="str">
        <f t="shared" si="28"/>
        <v/>
      </c>
      <c r="Q118" s="208" t="str">
        <f t="shared" si="29"/>
        <v/>
      </c>
      <c r="R118" s="208" t="str">
        <f t="shared" si="30"/>
        <v/>
      </c>
      <c r="S118" s="208" t="str">
        <f t="shared" si="31"/>
        <v/>
      </c>
      <c r="T118" s="208" t="str">
        <f t="shared" si="32"/>
        <v/>
      </c>
      <c r="U118" s="208" t="str">
        <f t="shared" si="33"/>
        <v/>
      </c>
      <c r="V118" s="208" t="str">
        <f t="shared" si="34"/>
        <v/>
      </c>
      <c r="W118" s="208" t="str">
        <f t="shared" si="35"/>
        <v/>
      </c>
      <c r="X118" s="208" t="str">
        <f t="shared" si="36"/>
        <v/>
      </c>
      <c r="Y118" s="208" t="str">
        <f t="shared" si="37"/>
        <v/>
      </c>
      <c r="Z118" s="39"/>
    </row>
    <row r="119" spans="1:26" x14ac:dyDescent="0.2">
      <c r="A119" s="213"/>
      <c r="B119" s="214"/>
      <c r="C119" s="221"/>
      <c r="D119" s="221"/>
      <c r="E119" s="221"/>
      <c r="F119" s="216"/>
      <c r="G119" s="216"/>
      <c r="H119" s="216"/>
      <c r="I119" s="216"/>
      <c r="J119" s="214"/>
      <c r="K119" s="214"/>
      <c r="L119" s="214"/>
      <c r="M119" s="214"/>
      <c r="N119" s="208" t="str">
        <f t="shared" si="26"/>
        <v/>
      </c>
      <c r="O119" s="208" t="str">
        <f t="shared" si="27"/>
        <v/>
      </c>
      <c r="P119" s="208" t="str">
        <f t="shared" si="28"/>
        <v/>
      </c>
      <c r="Q119" s="208" t="str">
        <f t="shared" si="29"/>
        <v/>
      </c>
      <c r="R119" s="208" t="str">
        <f t="shared" si="30"/>
        <v/>
      </c>
      <c r="S119" s="208" t="str">
        <f t="shared" si="31"/>
        <v/>
      </c>
      <c r="T119" s="208" t="str">
        <f t="shared" si="32"/>
        <v/>
      </c>
      <c r="U119" s="208" t="str">
        <f t="shared" si="33"/>
        <v/>
      </c>
      <c r="V119" s="208" t="str">
        <f t="shared" si="34"/>
        <v/>
      </c>
      <c r="W119" s="208" t="str">
        <f t="shared" si="35"/>
        <v/>
      </c>
      <c r="X119" s="208" t="str">
        <f t="shared" si="36"/>
        <v/>
      </c>
      <c r="Y119" s="208" t="str">
        <f t="shared" si="37"/>
        <v/>
      </c>
      <c r="Z119" s="39"/>
    </row>
    <row r="120" spans="1:26" x14ac:dyDescent="0.2">
      <c r="A120" s="213"/>
      <c r="B120" s="214"/>
      <c r="C120" s="221"/>
      <c r="D120" s="221"/>
      <c r="E120" s="221"/>
      <c r="F120" s="216"/>
      <c r="G120" s="216"/>
      <c r="H120" s="216"/>
      <c r="I120" s="216"/>
      <c r="J120" s="214"/>
      <c r="K120" s="214"/>
      <c r="L120" s="214"/>
      <c r="M120" s="214"/>
      <c r="N120" s="208" t="str">
        <f t="shared" si="26"/>
        <v/>
      </c>
      <c r="O120" s="208" t="str">
        <f t="shared" si="27"/>
        <v/>
      </c>
      <c r="P120" s="208" t="str">
        <f t="shared" si="28"/>
        <v/>
      </c>
      <c r="Q120" s="208" t="str">
        <f t="shared" si="29"/>
        <v/>
      </c>
      <c r="R120" s="208" t="str">
        <f t="shared" si="30"/>
        <v/>
      </c>
      <c r="S120" s="208" t="str">
        <f t="shared" si="31"/>
        <v/>
      </c>
      <c r="T120" s="208" t="str">
        <f t="shared" si="32"/>
        <v/>
      </c>
      <c r="U120" s="208" t="str">
        <f t="shared" si="33"/>
        <v/>
      </c>
      <c r="V120" s="208" t="str">
        <f t="shared" si="34"/>
        <v/>
      </c>
      <c r="W120" s="208" t="str">
        <f t="shared" si="35"/>
        <v/>
      </c>
      <c r="X120" s="208" t="str">
        <f t="shared" si="36"/>
        <v/>
      </c>
      <c r="Y120" s="208" t="str">
        <f t="shared" si="37"/>
        <v/>
      </c>
      <c r="Z120" s="39"/>
    </row>
    <row r="121" spans="1:26" x14ac:dyDescent="0.2">
      <c r="A121" s="213"/>
      <c r="B121" s="214"/>
      <c r="C121" s="221"/>
      <c r="D121" s="221"/>
      <c r="E121" s="221"/>
      <c r="F121" s="216"/>
      <c r="G121" s="216"/>
      <c r="H121" s="216"/>
      <c r="I121" s="216"/>
      <c r="J121" s="214"/>
      <c r="K121" s="214"/>
      <c r="L121" s="214"/>
      <c r="M121" s="214"/>
      <c r="N121" s="208" t="str">
        <f t="shared" si="26"/>
        <v/>
      </c>
      <c r="O121" s="208" t="str">
        <f t="shared" si="27"/>
        <v/>
      </c>
      <c r="P121" s="208" t="str">
        <f t="shared" si="28"/>
        <v/>
      </c>
      <c r="Q121" s="208" t="str">
        <f t="shared" si="29"/>
        <v/>
      </c>
      <c r="R121" s="208" t="str">
        <f t="shared" si="30"/>
        <v/>
      </c>
      <c r="S121" s="208" t="str">
        <f t="shared" si="31"/>
        <v/>
      </c>
      <c r="T121" s="208" t="str">
        <f t="shared" si="32"/>
        <v/>
      </c>
      <c r="U121" s="208" t="str">
        <f t="shared" si="33"/>
        <v/>
      </c>
      <c r="V121" s="208" t="str">
        <f t="shared" si="34"/>
        <v/>
      </c>
      <c r="W121" s="208" t="str">
        <f t="shared" si="35"/>
        <v/>
      </c>
      <c r="X121" s="208" t="str">
        <f t="shared" si="36"/>
        <v/>
      </c>
      <c r="Y121" s="208" t="str">
        <f t="shared" si="37"/>
        <v/>
      </c>
      <c r="Z121" s="39"/>
    </row>
    <row r="122" spans="1:26" x14ac:dyDescent="0.2">
      <c r="A122" s="213"/>
      <c r="B122" s="214"/>
      <c r="C122" s="221"/>
      <c r="D122" s="221"/>
      <c r="E122" s="221"/>
      <c r="F122" s="216"/>
      <c r="G122" s="216"/>
      <c r="H122" s="216"/>
      <c r="I122" s="216"/>
      <c r="J122" s="214"/>
      <c r="K122" s="214"/>
      <c r="L122" s="214"/>
      <c r="M122" s="214"/>
      <c r="N122" s="208" t="str">
        <f t="shared" si="26"/>
        <v/>
      </c>
      <c r="O122" s="208" t="str">
        <f t="shared" si="27"/>
        <v/>
      </c>
      <c r="P122" s="208" t="str">
        <f t="shared" si="28"/>
        <v/>
      </c>
      <c r="Q122" s="208" t="str">
        <f t="shared" si="29"/>
        <v/>
      </c>
      <c r="R122" s="208" t="str">
        <f t="shared" si="30"/>
        <v/>
      </c>
      <c r="S122" s="208" t="str">
        <f t="shared" si="31"/>
        <v/>
      </c>
      <c r="T122" s="208" t="str">
        <f t="shared" si="32"/>
        <v/>
      </c>
      <c r="U122" s="208" t="str">
        <f t="shared" si="33"/>
        <v/>
      </c>
      <c r="V122" s="208" t="str">
        <f t="shared" si="34"/>
        <v/>
      </c>
      <c r="W122" s="208" t="str">
        <f t="shared" si="35"/>
        <v/>
      </c>
      <c r="X122" s="208" t="str">
        <f t="shared" si="36"/>
        <v/>
      </c>
      <c r="Y122" s="208" t="str">
        <f t="shared" si="37"/>
        <v/>
      </c>
      <c r="Z122" s="39"/>
    </row>
    <row r="123" spans="1:26" x14ac:dyDescent="0.2">
      <c r="A123" s="217"/>
      <c r="B123" s="218"/>
      <c r="C123" s="222"/>
      <c r="D123" s="222"/>
      <c r="E123" s="222"/>
      <c r="F123" s="220"/>
      <c r="G123" s="220"/>
      <c r="H123" s="220"/>
      <c r="I123" s="220"/>
      <c r="J123" s="218"/>
      <c r="K123" s="218"/>
      <c r="L123" s="218"/>
      <c r="M123" s="218"/>
      <c r="N123" s="208" t="str">
        <f t="shared" si="26"/>
        <v/>
      </c>
      <c r="O123" s="208" t="str">
        <f t="shared" si="27"/>
        <v/>
      </c>
      <c r="P123" s="208" t="str">
        <f t="shared" si="28"/>
        <v/>
      </c>
      <c r="Q123" s="208" t="str">
        <f t="shared" si="29"/>
        <v/>
      </c>
      <c r="R123" s="208" t="str">
        <f t="shared" si="30"/>
        <v/>
      </c>
      <c r="S123" s="208" t="str">
        <f t="shared" si="31"/>
        <v/>
      </c>
      <c r="T123" s="208" t="str">
        <f t="shared" si="32"/>
        <v/>
      </c>
      <c r="U123" s="208" t="str">
        <f t="shared" si="33"/>
        <v/>
      </c>
      <c r="V123" s="208" t="str">
        <f t="shared" si="34"/>
        <v/>
      </c>
      <c r="W123" s="208" t="str">
        <f t="shared" si="35"/>
        <v/>
      </c>
      <c r="X123" s="208" t="str">
        <f t="shared" si="36"/>
        <v/>
      </c>
      <c r="Y123" s="208" t="str">
        <f t="shared" si="37"/>
        <v/>
      </c>
      <c r="Z123" s="39"/>
    </row>
    <row r="124" spans="1:26" x14ac:dyDescent="0.2">
      <c r="A124" s="213"/>
      <c r="B124" s="214"/>
      <c r="C124" s="221"/>
      <c r="D124" s="221"/>
      <c r="E124" s="221"/>
      <c r="F124" s="216"/>
      <c r="G124" s="216"/>
      <c r="H124" s="216"/>
      <c r="I124" s="216"/>
      <c r="J124" s="214"/>
      <c r="K124" s="214"/>
      <c r="L124" s="214"/>
      <c r="M124" s="214"/>
      <c r="N124" s="208" t="str">
        <f t="shared" si="26"/>
        <v/>
      </c>
      <c r="O124" s="208" t="str">
        <f t="shared" si="27"/>
        <v/>
      </c>
      <c r="P124" s="208" t="str">
        <f t="shared" si="28"/>
        <v/>
      </c>
      <c r="Q124" s="208" t="str">
        <f t="shared" si="29"/>
        <v/>
      </c>
      <c r="R124" s="208" t="str">
        <f t="shared" si="30"/>
        <v/>
      </c>
      <c r="S124" s="208" t="str">
        <f t="shared" si="31"/>
        <v/>
      </c>
      <c r="T124" s="208" t="str">
        <f t="shared" si="32"/>
        <v/>
      </c>
      <c r="U124" s="208" t="str">
        <f t="shared" si="33"/>
        <v/>
      </c>
      <c r="V124" s="208" t="str">
        <f t="shared" si="34"/>
        <v/>
      </c>
      <c r="W124" s="208" t="str">
        <f t="shared" si="35"/>
        <v/>
      </c>
      <c r="X124" s="208" t="str">
        <f t="shared" si="36"/>
        <v/>
      </c>
      <c r="Y124" s="208" t="str">
        <f t="shared" si="37"/>
        <v/>
      </c>
      <c r="Z124" s="39"/>
    </row>
    <row r="125" spans="1:26" x14ac:dyDescent="0.2">
      <c r="A125" s="213"/>
      <c r="B125" s="214"/>
      <c r="C125" s="221"/>
      <c r="D125" s="221"/>
      <c r="E125" s="221"/>
      <c r="F125" s="216"/>
      <c r="G125" s="216"/>
      <c r="H125" s="216"/>
      <c r="I125" s="216"/>
      <c r="J125" s="214"/>
      <c r="K125" s="214"/>
      <c r="L125" s="214"/>
      <c r="M125" s="214"/>
      <c r="N125" s="208" t="str">
        <f t="shared" si="26"/>
        <v/>
      </c>
      <c r="O125" s="208" t="str">
        <f t="shared" si="27"/>
        <v/>
      </c>
      <c r="P125" s="208" t="str">
        <f t="shared" si="28"/>
        <v/>
      </c>
      <c r="Q125" s="208" t="str">
        <f t="shared" si="29"/>
        <v/>
      </c>
      <c r="R125" s="208" t="str">
        <f t="shared" si="30"/>
        <v/>
      </c>
      <c r="S125" s="208" t="str">
        <f t="shared" si="31"/>
        <v/>
      </c>
      <c r="T125" s="208" t="str">
        <f t="shared" si="32"/>
        <v/>
      </c>
      <c r="U125" s="208" t="str">
        <f t="shared" si="33"/>
        <v/>
      </c>
      <c r="V125" s="208" t="str">
        <f t="shared" si="34"/>
        <v/>
      </c>
      <c r="W125" s="208" t="str">
        <f t="shared" si="35"/>
        <v/>
      </c>
      <c r="X125" s="208" t="str">
        <f t="shared" si="36"/>
        <v/>
      </c>
      <c r="Y125" s="208" t="str">
        <f t="shared" si="37"/>
        <v/>
      </c>
      <c r="Z125" s="39"/>
    </row>
    <row r="126" spans="1:26" x14ac:dyDescent="0.2">
      <c r="A126" s="213"/>
      <c r="B126" s="214"/>
      <c r="C126" s="221"/>
      <c r="D126" s="221"/>
      <c r="E126" s="221"/>
      <c r="F126" s="216"/>
      <c r="G126" s="216"/>
      <c r="H126" s="216"/>
      <c r="I126" s="216"/>
      <c r="J126" s="214"/>
      <c r="K126" s="214"/>
      <c r="L126" s="214"/>
      <c r="M126" s="214"/>
      <c r="N126" s="208" t="str">
        <f t="shared" si="26"/>
        <v/>
      </c>
      <c r="O126" s="208" t="str">
        <f t="shared" si="27"/>
        <v/>
      </c>
      <c r="P126" s="208" t="str">
        <f t="shared" si="28"/>
        <v/>
      </c>
      <c r="Q126" s="208" t="str">
        <f t="shared" si="29"/>
        <v/>
      </c>
      <c r="R126" s="208" t="str">
        <f t="shared" si="30"/>
        <v/>
      </c>
      <c r="S126" s="208" t="str">
        <f t="shared" si="31"/>
        <v/>
      </c>
      <c r="T126" s="208" t="str">
        <f t="shared" si="32"/>
        <v/>
      </c>
      <c r="U126" s="208" t="str">
        <f t="shared" si="33"/>
        <v/>
      </c>
      <c r="V126" s="208" t="str">
        <f t="shared" si="34"/>
        <v/>
      </c>
      <c r="W126" s="208" t="str">
        <f t="shared" si="35"/>
        <v/>
      </c>
      <c r="X126" s="208" t="str">
        <f t="shared" si="36"/>
        <v/>
      </c>
      <c r="Y126" s="208" t="str">
        <f t="shared" si="37"/>
        <v/>
      </c>
      <c r="Z126" s="39"/>
    </row>
    <row r="127" spans="1:26" x14ac:dyDescent="0.2">
      <c r="A127" s="213"/>
      <c r="B127" s="214"/>
      <c r="C127" s="221"/>
      <c r="D127" s="221"/>
      <c r="E127" s="221"/>
      <c r="F127" s="216"/>
      <c r="G127" s="216"/>
      <c r="H127" s="216"/>
      <c r="I127" s="216"/>
      <c r="J127" s="214"/>
      <c r="K127" s="214"/>
      <c r="L127" s="214"/>
      <c r="M127" s="214"/>
      <c r="N127" s="208" t="str">
        <f t="shared" si="26"/>
        <v/>
      </c>
      <c r="O127" s="208" t="str">
        <f t="shared" si="27"/>
        <v/>
      </c>
      <c r="P127" s="208" t="str">
        <f t="shared" si="28"/>
        <v/>
      </c>
      <c r="Q127" s="208" t="str">
        <f t="shared" si="29"/>
        <v/>
      </c>
      <c r="R127" s="208" t="str">
        <f t="shared" si="30"/>
        <v/>
      </c>
      <c r="S127" s="208" t="str">
        <f t="shared" si="31"/>
        <v/>
      </c>
      <c r="T127" s="208" t="str">
        <f t="shared" si="32"/>
        <v/>
      </c>
      <c r="U127" s="208" t="str">
        <f t="shared" si="33"/>
        <v/>
      </c>
      <c r="V127" s="208" t="str">
        <f t="shared" si="34"/>
        <v/>
      </c>
      <c r="W127" s="208" t="str">
        <f t="shared" si="35"/>
        <v/>
      </c>
      <c r="X127" s="208" t="str">
        <f t="shared" si="36"/>
        <v/>
      </c>
      <c r="Y127" s="208" t="str">
        <f t="shared" si="37"/>
        <v/>
      </c>
      <c r="Z127" s="39"/>
    </row>
    <row r="128" spans="1:26" x14ac:dyDescent="0.2">
      <c r="A128" s="35" t="s">
        <v>75</v>
      </c>
      <c r="B128" s="35" t="s">
        <v>75</v>
      </c>
      <c r="C128" s="35" t="s">
        <v>75</v>
      </c>
      <c r="D128" s="35" t="s">
        <v>75</v>
      </c>
      <c r="E128" s="35" t="s">
        <v>75</v>
      </c>
      <c r="F128" s="35" t="s">
        <v>75</v>
      </c>
      <c r="G128" s="35" t="s">
        <v>75</v>
      </c>
      <c r="H128" s="35" t="s">
        <v>75</v>
      </c>
      <c r="I128" s="35" t="s">
        <v>75</v>
      </c>
      <c r="J128" s="35" t="s">
        <v>75</v>
      </c>
      <c r="K128" s="35" t="s">
        <v>75</v>
      </c>
      <c r="L128" s="35" t="s">
        <v>75</v>
      </c>
      <c r="M128" s="35" t="s">
        <v>75</v>
      </c>
      <c r="N128" s="35" t="s">
        <v>75</v>
      </c>
      <c r="O128" s="35" t="s">
        <v>75</v>
      </c>
      <c r="P128" s="35" t="s">
        <v>75</v>
      </c>
      <c r="Q128" s="35" t="s">
        <v>75</v>
      </c>
      <c r="R128" s="35" t="s">
        <v>75</v>
      </c>
      <c r="S128" s="35" t="s">
        <v>75</v>
      </c>
      <c r="T128" s="35" t="s">
        <v>75</v>
      </c>
      <c r="U128" s="35" t="s">
        <v>75</v>
      </c>
      <c r="V128" s="35" t="s">
        <v>75</v>
      </c>
      <c r="W128" s="35" t="s">
        <v>75</v>
      </c>
      <c r="X128" s="35" t="s">
        <v>75</v>
      </c>
      <c r="Y128" s="35" t="s">
        <v>75</v>
      </c>
      <c r="Z128" s="35" t="s">
        <v>75</v>
      </c>
    </row>
    <row r="129" spans="1:26" x14ac:dyDescent="0.2">
      <c r="A129" s="35" t="s">
        <v>75</v>
      </c>
      <c r="B129" s="35" t="s">
        <v>75</v>
      </c>
      <c r="C129" s="35" t="s">
        <v>75</v>
      </c>
      <c r="D129" s="35" t="s">
        <v>75</v>
      </c>
      <c r="E129" s="35" t="s">
        <v>75</v>
      </c>
      <c r="F129" s="35" t="s">
        <v>75</v>
      </c>
      <c r="G129" s="35" t="s">
        <v>75</v>
      </c>
      <c r="H129" s="35" t="s">
        <v>75</v>
      </c>
      <c r="I129" s="35" t="s">
        <v>75</v>
      </c>
      <c r="J129" s="35" t="s">
        <v>75</v>
      </c>
      <c r="K129" s="35" t="s">
        <v>75</v>
      </c>
      <c r="L129" s="35" t="s">
        <v>75</v>
      </c>
      <c r="M129" s="35" t="s">
        <v>75</v>
      </c>
      <c r="N129" s="35" t="s">
        <v>75</v>
      </c>
      <c r="O129" s="35" t="s">
        <v>75</v>
      </c>
      <c r="P129" s="35" t="s">
        <v>75</v>
      </c>
      <c r="Q129" s="35" t="s">
        <v>75</v>
      </c>
      <c r="R129" s="35" t="s">
        <v>75</v>
      </c>
      <c r="S129" s="35" t="s">
        <v>75</v>
      </c>
      <c r="T129" s="35" t="s">
        <v>75</v>
      </c>
      <c r="U129" s="35" t="s">
        <v>75</v>
      </c>
      <c r="V129" s="35" t="s">
        <v>75</v>
      </c>
      <c r="W129" s="35" t="s">
        <v>75</v>
      </c>
      <c r="X129" s="35" t="s">
        <v>75</v>
      </c>
      <c r="Y129" s="35" t="s">
        <v>75</v>
      </c>
      <c r="Z129" s="35" t="s">
        <v>75</v>
      </c>
    </row>
  </sheetData>
  <sheetProtection sheet="1" objects="1" scenarios="1"/>
  <mergeCells count="1">
    <mergeCell ref="A2:M2"/>
  </mergeCells>
  <phoneticPr fontId="0" type="noConversion"/>
  <pageMargins left="0.75" right="0.75" top="1" bottom="1" header="0.5" footer="0.5"/>
  <pageSetup orientation="portrait" verticalDpi="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E590"/>
  <sheetViews>
    <sheetView zoomScaleNormal="100" workbookViewId="0">
      <pane xSplit="12" ySplit="12" topLeftCell="M13" activePane="bottomRight" state="frozen"/>
      <selection pane="topRight" activeCell="M1" sqref="M1"/>
      <selection pane="bottomLeft" activeCell="A13" sqref="A13"/>
      <selection pane="bottomRight" activeCell="M13" sqref="M13"/>
    </sheetView>
  </sheetViews>
  <sheetFormatPr defaultColWidth="8.7109375" defaultRowHeight="18" x14ac:dyDescent="0.25"/>
  <cols>
    <col min="1" max="1" width="2.85546875" style="283" customWidth="1"/>
    <col min="2" max="2" width="14.5703125" style="283" customWidth="1"/>
    <col min="3" max="3" width="10" style="283" bestFit="1" customWidth="1"/>
    <col min="4" max="5" width="12.5703125" style="283" customWidth="1"/>
    <col min="6" max="6" width="12.85546875" style="283" customWidth="1"/>
    <col min="7" max="8" width="12.85546875" style="288" customWidth="1"/>
    <col min="9" max="9" width="13.140625" style="288" bestFit="1" customWidth="1"/>
    <col min="10" max="10" width="13.42578125" style="288" bestFit="1" customWidth="1"/>
    <col min="11" max="11" width="10.42578125" style="288" bestFit="1" customWidth="1"/>
    <col min="12" max="12" width="11.42578125" style="288" bestFit="1" customWidth="1"/>
    <col min="13" max="27" width="8.7109375" style="283"/>
    <col min="28" max="28" width="9.7109375" style="283" bestFit="1" customWidth="1"/>
    <col min="29" max="31" width="9" style="283" bestFit="1" customWidth="1"/>
    <col min="32" max="16384" width="8.7109375" style="283"/>
  </cols>
  <sheetData>
    <row r="1" spans="1:31" x14ac:dyDescent="0.25">
      <c r="A1" s="280"/>
      <c r="B1" s="334"/>
      <c r="C1" s="334"/>
      <c r="D1" s="335"/>
      <c r="E1" s="335" t="s">
        <v>277</v>
      </c>
      <c r="F1" s="335" t="s">
        <v>275</v>
      </c>
      <c r="G1" s="335" t="s">
        <v>374</v>
      </c>
      <c r="H1" s="335" t="s">
        <v>268</v>
      </c>
      <c r="I1" s="335"/>
      <c r="J1" s="335" t="s">
        <v>273</v>
      </c>
      <c r="K1" s="335"/>
      <c r="L1" s="335"/>
      <c r="M1" s="241"/>
      <c r="N1" s="241"/>
      <c r="O1" s="241"/>
      <c r="P1" s="241"/>
      <c r="Q1" s="241"/>
      <c r="R1" s="241"/>
      <c r="S1" s="241"/>
      <c r="T1" s="241"/>
      <c r="U1" s="241"/>
      <c r="V1" s="241"/>
      <c r="W1" s="241"/>
      <c r="X1" s="241"/>
      <c r="Y1" s="241"/>
      <c r="Z1" s="241"/>
      <c r="AA1" s="241"/>
      <c r="AB1" s="281"/>
      <c r="AC1" s="282"/>
      <c r="AD1" s="282"/>
      <c r="AE1" s="282"/>
    </row>
    <row r="2" spans="1:31" x14ac:dyDescent="0.25">
      <c r="A2" s="280"/>
      <c r="B2" s="334"/>
      <c r="C2" s="334"/>
      <c r="D2" s="335"/>
      <c r="E2" s="335" t="s">
        <v>270</v>
      </c>
      <c r="F2" s="335" t="s">
        <v>270</v>
      </c>
      <c r="G2" s="335" t="s">
        <v>275</v>
      </c>
      <c r="H2" s="335" t="s">
        <v>275</v>
      </c>
      <c r="I2" s="335"/>
      <c r="J2" s="335" t="s">
        <v>274</v>
      </c>
      <c r="K2" s="335"/>
      <c r="L2" s="335"/>
      <c r="M2" s="241"/>
      <c r="N2" s="241"/>
      <c r="O2" s="241"/>
      <c r="P2" s="241"/>
      <c r="Q2" s="241"/>
      <c r="R2" s="241"/>
      <c r="S2" s="241"/>
      <c r="T2" s="241"/>
      <c r="U2" s="241"/>
      <c r="V2" s="241"/>
      <c r="W2" s="241"/>
      <c r="X2" s="241"/>
      <c r="Y2" s="241"/>
      <c r="Z2" s="241"/>
      <c r="AA2" s="241"/>
      <c r="AB2" s="281"/>
      <c r="AC2" s="282"/>
      <c r="AD2" s="282"/>
      <c r="AE2" s="282"/>
    </row>
    <row r="3" spans="1:31" x14ac:dyDescent="0.25">
      <c r="A3" s="280"/>
      <c r="B3" s="335"/>
      <c r="C3" s="335" t="s">
        <v>144</v>
      </c>
      <c r="D3" s="335" t="s">
        <v>278</v>
      </c>
      <c r="E3" s="335" t="s">
        <v>276</v>
      </c>
      <c r="F3" s="335" t="s">
        <v>276</v>
      </c>
      <c r="G3" s="335" t="s">
        <v>270</v>
      </c>
      <c r="H3" s="335" t="s">
        <v>270</v>
      </c>
      <c r="I3" s="335" t="s">
        <v>271</v>
      </c>
      <c r="J3" s="335" t="s">
        <v>272</v>
      </c>
      <c r="K3" s="335" t="s">
        <v>376</v>
      </c>
      <c r="L3" s="335" t="s">
        <v>378</v>
      </c>
      <c r="M3" s="241"/>
      <c r="N3" s="241"/>
      <c r="O3" s="241"/>
      <c r="P3" s="241"/>
      <c r="Q3" s="241"/>
      <c r="R3" s="241"/>
      <c r="S3" s="241"/>
      <c r="T3" s="241"/>
      <c r="U3" s="241"/>
      <c r="V3" s="241"/>
      <c r="W3" s="241"/>
      <c r="X3" s="241"/>
      <c r="Y3" s="241"/>
      <c r="Z3" s="241"/>
      <c r="AA3" s="241"/>
      <c r="AB3" s="281"/>
      <c r="AC3" s="282"/>
      <c r="AD3" s="282"/>
      <c r="AE3" s="282"/>
    </row>
    <row r="4" spans="1:31" ht="18.75" thickBot="1" x14ac:dyDescent="0.3">
      <c r="A4" s="280"/>
      <c r="B4" s="335"/>
      <c r="C4" s="336" t="s">
        <v>82</v>
      </c>
      <c r="D4" s="336" t="s">
        <v>279</v>
      </c>
      <c r="E4" s="336" t="s">
        <v>267</v>
      </c>
      <c r="F4" s="336" t="s">
        <v>267</v>
      </c>
      <c r="G4" s="336" t="s">
        <v>375</v>
      </c>
      <c r="H4" s="336" t="s">
        <v>269</v>
      </c>
      <c r="I4" s="336" t="s">
        <v>272</v>
      </c>
      <c r="J4" s="336" t="s">
        <v>233</v>
      </c>
      <c r="K4" s="336" t="s">
        <v>377</v>
      </c>
      <c r="L4" s="336" t="s">
        <v>233</v>
      </c>
      <c r="M4" s="241"/>
      <c r="N4" s="241"/>
      <c r="O4" s="241"/>
      <c r="P4" s="241"/>
      <c r="Q4" s="241"/>
      <c r="R4" s="241"/>
      <c r="S4" s="241"/>
      <c r="T4" s="241"/>
      <c r="U4" s="241"/>
      <c r="V4" s="241"/>
      <c r="W4" s="241"/>
      <c r="X4" s="241"/>
      <c r="Y4" s="241"/>
      <c r="Z4" s="241"/>
      <c r="AA4" s="241"/>
      <c r="AB4" s="293" t="s">
        <v>233</v>
      </c>
      <c r="AC4" s="293" t="s">
        <v>234</v>
      </c>
      <c r="AD4" s="282"/>
      <c r="AE4" s="282"/>
    </row>
    <row r="5" spans="1:31" x14ac:dyDescent="0.25">
      <c r="A5" s="280"/>
      <c r="B5" s="335" t="s">
        <v>82</v>
      </c>
      <c r="C5" s="337"/>
      <c r="D5" s="337" t="s">
        <v>240</v>
      </c>
      <c r="E5" s="337" t="s">
        <v>239</v>
      </c>
      <c r="F5" s="337" t="s">
        <v>239</v>
      </c>
      <c r="G5" s="337" t="s">
        <v>35</v>
      </c>
      <c r="H5" s="337" t="s">
        <v>35</v>
      </c>
      <c r="I5" s="337" t="s">
        <v>238</v>
      </c>
      <c r="J5" s="337" t="s">
        <v>35</v>
      </c>
      <c r="K5" s="337" t="s">
        <v>238</v>
      </c>
      <c r="L5" s="337" t="s">
        <v>35</v>
      </c>
      <c r="M5" s="241"/>
      <c r="N5" s="241"/>
      <c r="O5" s="241"/>
      <c r="P5" s="241"/>
      <c r="Q5" s="241"/>
      <c r="R5" s="241"/>
      <c r="S5" s="241"/>
      <c r="T5" s="241"/>
      <c r="U5" s="241"/>
      <c r="V5" s="241"/>
      <c r="W5" s="241"/>
      <c r="X5" s="241"/>
      <c r="Y5" s="241"/>
      <c r="Z5" s="241"/>
      <c r="AA5" s="241"/>
      <c r="AB5" s="282"/>
      <c r="AC5" s="282"/>
      <c r="AD5" s="282"/>
      <c r="AE5" s="282"/>
    </row>
    <row r="6" spans="1:31" x14ac:dyDescent="0.25">
      <c r="A6" s="280"/>
      <c r="B6" s="338">
        <f>Crop!E6</f>
        <v>41699</v>
      </c>
      <c r="C6" s="339" t="s">
        <v>5</v>
      </c>
      <c r="D6" s="340">
        <f>D7</f>
        <v>1.5</v>
      </c>
      <c r="E6" s="340">
        <f>E7</f>
        <v>0.36</v>
      </c>
      <c r="F6" s="340">
        <f>F7</f>
        <v>0.18</v>
      </c>
      <c r="G6" s="340">
        <f>G8</f>
        <v>270</v>
      </c>
      <c r="H6" s="340">
        <f>H7</f>
        <v>270</v>
      </c>
      <c r="I6" s="340">
        <f>I7</f>
        <v>50</v>
      </c>
      <c r="J6" s="340">
        <f>J7</f>
        <v>135</v>
      </c>
      <c r="K6" s="341"/>
      <c r="L6" s="342">
        <f>IF(OR(K6="",ISERROR(K6)),J6,J6*K6/100)</f>
        <v>135</v>
      </c>
      <c r="M6" s="241"/>
      <c r="N6" s="241"/>
      <c r="O6" s="241"/>
      <c r="P6" s="241"/>
      <c r="Q6" s="241"/>
      <c r="R6" s="241"/>
      <c r="S6" s="241"/>
      <c r="T6" s="241"/>
      <c r="U6" s="241"/>
      <c r="V6" s="241"/>
      <c r="W6" s="241"/>
      <c r="X6" s="241"/>
      <c r="Y6" s="241"/>
      <c r="Z6" s="241"/>
      <c r="AA6" s="241"/>
      <c r="AB6" s="284">
        <f>IF(B7-B6=0,0,(L7-L6)/(B7-B6))</f>
        <v>0</v>
      </c>
      <c r="AC6" s="285">
        <f>G6-H6</f>
        <v>0</v>
      </c>
      <c r="AD6" s="284"/>
      <c r="AE6" s="284"/>
    </row>
    <row r="7" spans="1:31" x14ac:dyDescent="0.25">
      <c r="A7" s="280"/>
      <c r="B7" s="338">
        <f>Crop!E7</f>
        <v>41699</v>
      </c>
      <c r="C7" s="339" t="s">
        <v>17</v>
      </c>
      <c r="D7" s="341">
        <v>1.5</v>
      </c>
      <c r="E7" s="343">
        <f>E8</f>
        <v>0.36</v>
      </c>
      <c r="F7" s="341">
        <v>0.18</v>
      </c>
      <c r="G7" s="340">
        <f>G8</f>
        <v>270</v>
      </c>
      <c r="H7" s="340">
        <f>F8*D7*1000</f>
        <v>270</v>
      </c>
      <c r="I7" s="341">
        <v>50</v>
      </c>
      <c r="J7" s="340">
        <f>I7/100*H7</f>
        <v>135</v>
      </c>
      <c r="K7" s="341"/>
      <c r="L7" s="342">
        <f>IF(OR(K7="",ISERROR(K7)),J7,J7*K7/100)</f>
        <v>135</v>
      </c>
      <c r="M7" s="241"/>
      <c r="N7" s="241"/>
      <c r="O7" s="241"/>
      <c r="P7" s="241"/>
      <c r="Q7" s="241"/>
      <c r="R7" s="241"/>
      <c r="S7" s="241"/>
      <c r="T7" s="241"/>
      <c r="U7" s="241"/>
      <c r="V7" s="241"/>
      <c r="W7" s="241"/>
      <c r="X7" s="241"/>
      <c r="Y7" s="241"/>
      <c r="Z7" s="241"/>
      <c r="AA7" s="241"/>
      <c r="AB7" s="284">
        <f>(L8-L7)/(B8-B7)</f>
        <v>0</v>
      </c>
      <c r="AC7" s="285">
        <f>G7-H7</f>
        <v>0</v>
      </c>
      <c r="AD7" s="284">
        <f>(AC8-AC7)/(B8-B7)</f>
        <v>0</v>
      </c>
      <c r="AE7" s="284"/>
    </row>
    <row r="8" spans="1:31" x14ac:dyDescent="0.25">
      <c r="A8" s="280"/>
      <c r="B8" s="338">
        <f>Crop!E8</f>
        <v>41813.5</v>
      </c>
      <c r="C8" s="339" t="s">
        <v>69</v>
      </c>
      <c r="D8" s="341">
        <v>1.5</v>
      </c>
      <c r="E8" s="341">
        <v>0.36</v>
      </c>
      <c r="F8" s="341">
        <v>0.18</v>
      </c>
      <c r="G8" s="343">
        <f>D8*F8*1000</f>
        <v>270</v>
      </c>
      <c r="H8" s="340">
        <f>F8*D8*1000</f>
        <v>270</v>
      </c>
      <c r="I8" s="341">
        <v>50</v>
      </c>
      <c r="J8" s="340">
        <f>I8/100*H8</f>
        <v>135</v>
      </c>
      <c r="K8" s="341"/>
      <c r="L8" s="342">
        <f>IF(OR(K8="",ISERROR(K8)),J8,J8*K8/100)</f>
        <v>135</v>
      </c>
      <c r="M8" s="241"/>
      <c r="N8" s="241"/>
      <c r="O8" s="241"/>
      <c r="P8" s="241"/>
      <c r="Q8" s="241"/>
      <c r="R8" s="241"/>
      <c r="S8" s="241"/>
      <c r="T8" s="241"/>
      <c r="U8" s="241"/>
      <c r="V8" s="241"/>
      <c r="W8" s="241"/>
      <c r="X8" s="241"/>
      <c r="Y8" s="241"/>
      <c r="Z8" s="241"/>
      <c r="AA8" s="241"/>
      <c r="AB8" s="284">
        <f>(L9-L8)/(B9-B8)</f>
        <v>0</v>
      </c>
      <c r="AC8" s="285">
        <f>G8-H8</f>
        <v>0</v>
      </c>
      <c r="AD8" s="284">
        <f>(AC9-AC8)/(B9-B8)</f>
        <v>0</v>
      </c>
      <c r="AE8" s="284"/>
    </row>
    <row r="9" spans="1:31" x14ac:dyDescent="0.25">
      <c r="A9" s="280"/>
      <c r="B9" s="338">
        <f>Crop!E9</f>
        <v>41905.1</v>
      </c>
      <c r="C9" s="339" t="s">
        <v>4</v>
      </c>
      <c r="D9" s="340">
        <f>D8</f>
        <v>1.5</v>
      </c>
      <c r="E9" s="340">
        <f>E8</f>
        <v>0.36</v>
      </c>
      <c r="F9" s="340">
        <f>F8</f>
        <v>0.18</v>
      </c>
      <c r="G9" s="340">
        <f>G8</f>
        <v>270</v>
      </c>
      <c r="H9" s="340">
        <f>H8</f>
        <v>270</v>
      </c>
      <c r="I9" s="341">
        <v>50</v>
      </c>
      <c r="J9" s="340">
        <f>I9/100*H9</f>
        <v>135</v>
      </c>
      <c r="K9" s="341"/>
      <c r="L9" s="342">
        <f>IF(OR(K9="",ISERROR(K9)),J9,J9*K9/100)</f>
        <v>135</v>
      </c>
      <c r="M9" s="241"/>
      <c r="N9" s="241"/>
      <c r="O9" s="241"/>
      <c r="P9" s="241"/>
      <c r="Q9" s="241"/>
      <c r="R9" s="241"/>
      <c r="S9" s="241"/>
      <c r="T9" s="241"/>
      <c r="U9" s="241"/>
      <c r="V9" s="241"/>
      <c r="W9" s="241"/>
      <c r="X9" s="241"/>
      <c r="Y9" s="241"/>
      <c r="Z9" s="241"/>
      <c r="AA9" s="241"/>
      <c r="AB9" s="284">
        <f>(L10-L9)/(B10-B9)</f>
        <v>0</v>
      </c>
      <c r="AC9" s="285">
        <f>G9-H9</f>
        <v>0</v>
      </c>
      <c r="AD9" s="284">
        <f>(AC10-AC9)/(B10-B9)</f>
        <v>0</v>
      </c>
      <c r="AE9" s="284"/>
    </row>
    <row r="10" spans="1:31" x14ac:dyDescent="0.25">
      <c r="A10" s="280"/>
      <c r="B10" s="338">
        <f>Crop!E10</f>
        <v>41927</v>
      </c>
      <c r="C10" s="339" t="s">
        <v>70</v>
      </c>
      <c r="D10" s="340">
        <f>D8</f>
        <v>1.5</v>
      </c>
      <c r="E10" s="340">
        <f>E8</f>
        <v>0.36</v>
      </c>
      <c r="F10" s="340">
        <f>F8</f>
        <v>0.18</v>
      </c>
      <c r="G10" s="340">
        <f>G8</f>
        <v>270</v>
      </c>
      <c r="H10" s="340">
        <f>H8</f>
        <v>270</v>
      </c>
      <c r="I10" s="341">
        <v>50</v>
      </c>
      <c r="J10" s="340">
        <f>I10/100*H10</f>
        <v>135</v>
      </c>
      <c r="K10" s="341"/>
      <c r="L10" s="342">
        <f>IF(OR(K10="",ISERROR(K10)),J10,J10*K10/100)</f>
        <v>135</v>
      </c>
      <c r="M10" s="241"/>
      <c r="N10" s="241"/>
      <c r="O10" s="241"/>
      <c r="P10" s="241"/>
      <c r="Q10" s="241"/>
      <c r="R10" s="241"/>
      <c r="S10" s="241"/>
      <c r="T10" s="241"/>
      <c r="U10" s="241"/>
      <c r="V10" s="241"/>
      <c r="W10" s="241"/>
      <c r="X10" s="241"/>
      <c r="Y10" s="241"/>
      <c r="Z10" s="241"/>
      <c r="AA10" s="241"/>
      <c r="AB10" s="286"/>
      <c r="AC10" s="285">
        <f>G10-H10</f>
        <v>0</v>
      </c>
      <c r="AD10" s="285"/>
      <c r="AE10" s="285"/>
    </row>
    <row r="11" spans="1:31" x14ac:dyDescent="0.25">
      <c r="A11" s="280"/>
      <c r="B11" s="344"/>
      <c r="C11" s="345"/>
      <c r="D11" s="346"/>
      <c r="E11" s="345"/>
      <c r="F11" s="345"/>
      <c r="G11" s="346"/>
      <c r="H11" s="346"/>
      <c r="I11" s="344"/>
      <c r="J11" s="344"/>
      <c r="K11" s="348">
        <f>COUNT(K6:K10)</f>
        <v>0</v>
      </c>
      <c r="L11" s="347"/>
      <c r="M11" s="241"/>
      <c r="N11" s="241"/>
      <c r="O11" s="241"/>
      <c r="P11" s="241"/>
      <c r="Q11" s="241"/>
      <c r="R11" s="241"/>
      <c r="S11" s="241"/>
      <c r="T11" s="241"/>
      <c r="U11" s="241"/>
      <c r="V11" s="241"/>
      <c r="W11" s="241"/>
      <c r="X11" s="241"/>
      <c r="Y11" s="241"/>
      <c r="Z11" s="241"/>
      <c r="AA11" s="241"/>
      <c r="AB11" s="285"/>
      <c r="AC11" s="285"/>
      <c r="AD11" s="285"/>
      <c r="AE11" s="285"/>
    </row>
    <row r="12" spans="1:31" ht="21" thickBot="1" x14ac:dyDescent="0.35">
      <c r="A12" s="280"/>
      <c r="B12" s="329" t="s">
        <v>82</v>
      </c>
      <c r="C12" s="330" t="s">
        <v>382</v>
      </c>
      <c r="D12" s="330" t="s">
        <v>234</v>
      </c>
      <c r="E12" s="330" t="str">
        <f>IF(K$11=0,"YTD","AYTD")</f>
        <v>YTD</v>
      </c>
      <c r="F12" s="330" t="s">
        <v>235</v>
      </c>
      <c r="G12" s="364" t="s">
        <v>401</v>
      </c>
      <c r="H12" s="287"/>
      <c r="I12" s="287"/>
      <c r="J12" s="364" t="s">
        <v>402</v>
      </c>
      <c r="K12" s="287"/>
      <c r="L12" s="287"/>
      <c r="M12" s="241"/>
      <c r="N12" s="241"/>
      <c r="O12" s="241"/>
      <c r="P12" s="241"/>
      <c r="Q12" s="241"/>
      <c r="R12" s="241"/>
      <c r="S12" s="241"/>
      <c r="T12" s="241"/>
      <c r="U12" s="241"/>
      <c r="V12" s="241"/>
      <c r="W12" s="241"/>
      <c r="X12" s="241"/>
      <c r="Y12" s="241"/>
      <c r="Z12" s="241"/>
      <c r="AA12" s="241"/>
      <c r="AB12" s="48" t="s">
        <v>382</v>
      </c>
      <c r="AC12" s="48" t="s">
        <v>234</v>
      </c>
      <c r="AD12" s="48" t="str">
        <f>IF(AJ$11=0,"YTD","AYTD")</f>
        <v>YTD</v>
      </c>
      <c r="AE12" s="48" t="s">
        <v>235</v>
      </c>
    </row>
    <row r="13" spans="1:31" x14ac:dyDescent="0.25">
      <c r="A13" s="280"/>
      <c r="B13" s="331">
        <f>Crop!B49</f>
        <v>41640</v>
      </c>
      <c r="C13" s="332">
        <f>G$8</f>
        <v>270</v>
      </c>
      <c r="D13" s="332" t="str">
        <f>IF(B13=B$6,AC$6,IF(B13&gt;B$10,"",IF(B13&gt;=B$9,D12+AD$9,IF(B13&gt;B$8,D12+AD$8,IF(B13&gt;B$7,D12+AD$7,IF(B13&gt;B$6,AC$6,""))))))</f>
        <v/>
      </c>
      <c r="E13" s="332">
        <f>IF($B13&lt;B$6,150*F$8,IF($B13=$B$6,L$6,IF($B13&gt;$B$10,150*F$8,IF($B13&gt;=$B$9,E12+AB$9,IF($B13&gt;$B$8,E12+AB$8,IF($B13&gt;$B$7,E12+AB$7,IF($B13&gt;$B$6,L$6,"")))))))</f>
        <v>27</v>
      </c>
      <c r="F13" s="332">
        <f>IF(C13="","",C13-E13)</f>
        <v>243</v>
      </c>
      <c r="G13" s="241"/>
      <c r="H13" s="241"/>
      <c r="I13" s="241"/>
      <c r="J13" s="241"/>
      <c r="K13" s="289"/>
      <c r="L13" s="289"/>
      <c r="M13" s="241"/>
      <c r="N13" s="241"/>
      <c r="O13" s="241"/>
      <c r="P13" s="241"/>
      <c r="Q13" s="241"/>
      <c r="R13" s="241"/>
      <c r="S13" s="241"/>
      <c r="T13" s="241"/>
      <c r="U13" s="241"/>
      <c r="V13" s="241"/>
      <c r="W13" s="241"/>
      <c r="X13" s="241"/>
      <c r="Y13" s="241"/>
      <c r="Z13" s="241"/>
      <c r="AA13" s="241"/>
      <c r="AB13" s="290">
        <f t="shared" ref="AB13:AB76" si="0">IF(C13="",#N/A,C13)</f>
        <v>270</v>
      </c>
      <c r="AC13" s="290" t="e">
        <f t="shared" ref="AC13:AC76" si="1">IF(D13="",#N/A,D13)</f>
        <v>#N/A</v>
      </c>
      <c r="AD13" s="290">
        <f t="shared" ref="AD13:AD76" si="2">IF(E13="",#N/A,E13)</f>
        <v>27</v>
      </c>
      <c r="AE13" s="290">
        <f t="shared" ref="AE13:AE76" si="3">IF(F13="",#N/A,F13)</f>
        <v>243</v>
      </c>
    </row>
    <row r="14" spans="1:31" x14ac:dyDescent="0.25">
      <c r="A14" s="280"/>
      <c r="B14" s="331">
        <f>Crop!B50</f>
        <v>41641</v>
      </c>
      <c r="C14" s="332">
        <f t="shared" ref="C14:C77" si="4">G$8</f>
        <v>270</v>
      </c>
      <c r="D14" s="332" t="str">
        <f t="shared" ref="D14:D77" si="5">IF(B14=B$6,AC$6,IF(B14&gt;B$10,"",IF(B14&gt;=B$9,D13+AD$9,IF(B14&gt;B$8,D13+AD$8,IF(B14&gt;B$7,D13+AD$7,IF(B14&gt;B$6,AC$6,""))))))</f>
        <v/>
      </c>
      <c r="E14" s="332">
        <f t="shared" ref="E14:E77" si="6">IF($B14&lt;B$6,150*F$8,IF($B14=$B$6,L$6,IF($B14&gt;$B$10,150*F$8,IF($B14&gt;=$B$9,E13+AB$9,IF($B14&gt;$B$8,E13+AB$8,IF($B14&gt;$B$7,E13+AB$7,IF($B14&gt;$B$6,L$6,"")))))))</f>
        <v>27</v>
      </c>
      <c r="F14" s="332">
        <f>IF(C14="","",C14-E14)</f>
        <v>243</v>
      </c>
      <c r="G14" s="241"/>
      <c r="H14" s="241"/>
      <c r="I14" s="241"/>
      <c r="J14" s="241"/>
      <c r="K14" s="289"/>
      <c r="L14" s="289"/>
      <c r="M14" s="241"/>
      <c r="N14" s="241"/>
      <c r="O14" s="241"/>
      <c r="P14" s="241"/>
      <c r="Q14" s="241"/>
      <c r="R14" s="241"/>
      <c r="S14" s="241"/>
      <c r="T14" s="241"/>
      <c r="U14" s="241"/>
      <c r="V14" s="241"/>
      <c r="W14" s="241"/>
      <c r="X14" s="241"/>
      <c r="Y14" s="241"/>
      <c r="Z14" s="241"/>
      <c r="AA14" s="241"/>
      <c r="AB14" s="290">
        <f t="shared" si="0"/>
        <v>270</v>
      </c>
      <c r="AC14" s="290" t="e">
        <f t="shared" si="1"/>
        <v>#N/A</v>
      </c>
      <c r="AD14" s="290">
        <f t="shared" si="2"/>
        <v>27</v>
      </c>
      <c r="AE14" s="290">
        <f t="shared" si="3"/>
        <v>243</v>
      </c>
    </row>
    <row r="15" spans="1:31" x14ac:dyDescent="0.25">
      <c r="A15" s="280"/>
      <c r="B15" s="331">
        <f>Crop!B51</f>
        <v>41642</v>
      </c>
      <c r="C15" s="332">
        <f t="shared" si="4"/>
        <v>270</v>
      </c>
      <c r="D15" s="332" t="str">
        <f t="shared" si="5"/>
        <v/>
      </c>
      <c r="E15" s="332">
        <f t="shared" si="6"/>
        <v>27</v>
      </c>
      <c r="F15" s="332">
        <f t="shared" ref="F15:F78" si="7">IF(C15="","",C15-E15)</f>
        <v>243</v>
      </c>
      <c r="G15" s="241"/>
      <c r="H15" s="241"/>
      <c r="I15" s="241"/>
      <c r="J15" s="241"/>
      <c r="K15" s="289"/>
      <c r="L15" s="289"/>
      <c r="M15" s="241"/>
      <c r="N15" s="241"/>
      <c r="O15" s="241"/>
      <c r="P15" s="241"/>
      <c r="Q15" s="241"/>
      <c r="R15" s="241"/>
      <c r="S15" s="241"/>
      <c r="T15" s="241"/>
      <c r="U15" s="241"/>
      <c r="V15" s="241"/>
      <c r="W15" s="241"/>
      <c r="X15" s="241"/>
      <c r="Y15" s="241"/>
      <c r="Z15" s="241"/>
      <c r="AA15" s="241"/>
      <c r="AB15" s="290">
        <f t="shared" si="0"/>
        <v>270</v>
      </c>
      <c r="AC15" s="290" t="e">
        <f t="shared" si="1"/>
        <v>#N/A</v>
      </c>
      <c r="AD15" s="290">
        <f t="shared" si="2"/>
        <v>27</v>
      </c>
      <c r="AE15" s="290">
        <f t="shared" si="3"/>
        <v>243</v>
      </c>
    </row>
    <row r="16" spans="1:31" x14ac:dyDescent="0.25">
      <c r="A16" s="280"/>
      <c r="B16" s="331">
        <f>Crop!B52</f>
        <v>41643</v>
      </c>
      <c r="C16" s="332">
        <f t="shared" si="4"/>
        <v>270</v>
      </c>
      <c r="D16" s="332" t="str">
        <f t="shared" si="5"/>
        <v/>
      </c>
      <c r="E16" s="332">
        <f t="shared" si="6"/>
        <v>27</v>
      </c>
      <c r="F16" s="332">
        <f t="shared" si="7"/>
        <v>243</v>
      </c>
      <c r="G16" s="241"/>
      <c r="H16" s="241"/>
      <c r="I16" s="241"/>
      <c r="J16" s="241"/>
      <c r="K16" s="289"/>
      <c r="L16" s="289"/>
      <c r="M16" s="241"/>
      <c r="N16" s="241"/>
      <c r="O16" s="241"/>
      <c r="P16" s="241"/>
      <c r="Q16" s="241"/>
      <c r="R16" s="241"/>
      <c r="S16" s="241"/>
      <c r="T16" s="241"/>
      <c r="U16" s="241"/>
      <c r="V16" s="241"/>
      <c r="W16" s="241"/>
      <c r="X16" s="241"/>
      <c r="Y16" s="241"/>
      <c r="Z16" s="241"/>
      <c r="AA16" s="241"/>
      <c r="AB16" s="290">
        <f t="shared" si="0"/>
        <v>270</v>
      </c>
      <c r="AC16" s="290" t="e">
        <f t="shared" si="1"/>
        <v>#N/A</v>
      </c>
      <c r="AD16" s="290">
        <f t="shared" si="2"/>
        <v>27</v>
      </c>
      <c r="AE16" s="290">
        <f t="shared" si="3"/>
        <v>243</v>
      </c>
    </row>
    <row r="17" spans="1:31" x14ac:dyDescent="0.25">
      <c r="A17" s="280"/>
      <c r="B17" s="331">
        <f>Crop!B53</f>
        <v>41644</v>
      </c>
      <c r="C17" s="332">
        <f t="shared" si="4"/>
        <v>270</v>
      </c>
      <c r="D17" s="332" t="str">
        <f t="shared" si="5"/>
        <v/>
      </c>
      <c r="E17" s="332">
        <f t="shared" si="6"/>
        <v>27</v>
      </c>
      <c r="F17" s="332">
        <f t="shared" si="7"/>
        <v>243</v>
      </c>
      <c r="G17" s="241"/>
      <c r="H17" s="241"/>
      <c r="I17" s="241"/>
      <c r="J17" s="241"/>
      <c r="K17" s="289"/>
      <c r="L17" s="289"/>
      <c r="M17" s="241"/>
      <c r="N17" s="241"/>
      <c r="O17" s="241"/>
      <c r="P17" s="241"/>
      <c r="Q17" s="241"/>
      <c r="R17" s="241"/>
      <c r="S17" s="241"/>
      <c r="T17" s="241"/>
      <c r="U17" s="241"/>
      <c r="V17" s="241"/>
      <c r="W17" s="241"/>
      <c r="X17" s="241"/>
      <c r="Y17" s="241"/>
      <c r="Z17" s="241"/>
      <c r="AA17" s="241"/>
      <c r="AB17" s="290">
        <f t="shared" si="0"/>
        <v>270</v>
      </c>
      <c r="AC17" s="290" t="e">
        <f t="shared" si="1"/>
        <v>#N/A</v>
      </c>
      <c r="AD17" s="290">
        <f t="shared" si="2"/>
        <v>27</v>
      </c>
      <c r="AE17" s="290">
        <f t="shared" si="3"/>
        <v>243</v>
      </c>
    </row>
    <row r="18" spans="1:31" x14ac:dyDescent="0.25">
      <c r="A18" s="280"/>
      <c r="B18" s="331">
        <f>Crop!B54</f>
        <v>41645</v>
      </c>
      <c r="C18" s="332">
        <f t="shared" si="4"/>
        <v>270</v>
      </c>
      <c r="D18" s="332" t="str">
        <f t="shared" si="5"/>
        <v/>
      </c>
      <c r="E18" s="332">
        <f t="shared" si="6"/>
        <v>27</v>
      </c>
      <c r="F18" s="332">
        <f t="shared" si="7"/>
        <v>243</v>
      </c>
      <c r="G18" s="241"/>
      <c r="H18" s="241"/>
      <c r="I18" s="241"/>
      <c r="J18" s="241"/>
      <c r="K18" s="289"/>
      <c r="L18" s="289"/>
      <c r="M18" s="241"/>
      <c r="N18" s="241"/>
      <c r="O18" s="241"/>
      <c r="P18" s="241"/>
      <c r="Q18" s="241"/>
      <c r="R18" s="241"/>
      <c r="S18" s="241"/>
      <c r="T18" s="241"/>
      <c r="U18" s="241"/>
      <c r="V18" s="241"/>
      <c r="W18" s="241"/>
      <c r="X18" s="241"/>
      <c r="Y18" s="241"/>
      <c r="Z18" s="241"/>
      <c r="AA18" s="241"/>
      <c r="AB18" s="290">
        <f t="shared" si="0"/>
        <v>270</v>
      </c>
      <c r="AC18" s="290" t="e">
        <f t="shared" si="1"/>
        <v>#N/A</v>
      </c>
      <c r="AD18" s="290">
        <f t="shared" si="2"/>
        <v>27</v>
      </c>
      <c r="AE18" s="290">
        <f t="shared" si="3"/>
        <v>243</v>
      </c>
    </row>
    <row r="19" spans="1:31" x14ac:dyDescent="0.25">
      <c r="A19" s="280"/>
      <c r="B19" s="331">
        <f>Crop!B55</f>
        <v>41646</v>
      </c>
      <c r="C19" s="332">
        <f t="shared" si="4"/>
        <v>270</v>
      </c>
      <c r="D19" s="332" t="str">
        <f t="shared" si="5"/>
        <v/>
      </c>
      <c r="E19" s="332">
        <f t="shared" si="6"/>
        <v>27</v>
      </c>
      <c r="F19" s="332">
        <f t="shared" si="7"/>
        <v>243</v>
      </c>
      <c r="G19" s="241"/>
      <c r="H19" s="241"/>
      <c r="I19" s="241"/>
      <c r="J19" s="241"/>
      <c r="K19" s="289"/>
      <c r="L19" s="289"/>
      <c r="M19" s="241"/>
      <c r="N19" s="241"/>
      <c r="O19" s="241"/>
      <c r="P19" s="241"/>
      <c r="Q19" s="241"/>
      <c r="R19" s="241"/>
      <c r="S19" s="241"/>
      <c r="T19" s="241"/>
      <c r="U19" s="241"/>
      <c r="V19" s="241"/>
      <c r="W19" s="241"/>
      <c r="X19" s="241"/>
      <c r="Y19" s="241"/>
      <c r="Z19" s="241"/>
      <c r="AA19" s="241"/>
      <c r="AB19" s="290">
        <f t="shared" si="0"/>
        <v>270</v>
      </c>
      <c r="AC19" s="290" t="e">
        <f t="shared" si="1"/>
        <v>#N/A</v>
      </c>
      <c r="AD19" s="290">
        <f t="shared" si="2"/>
        <v>27</v>
      </c>
      <c r="AE19" s="290">
        <f t="shared" si="3"/>
        <v>243</v>
      </c>
    </row>
    <row r="20" spans="1:31" x14ac:dyDescent="0.25">
      <c r="A20" s="280"/>
      <c r="B20" s="331">
        <f>Crop!B56</f>
        <v>41647</v>
      </c>
      <c r="C20" s="332">
        <f t="shared" si="4"/>
        <v>270</v>
      </c>
      <c r="D20" s="332" t="str">
        <f t="shared" si="5"/>
        <v/>
      </c>
      <c r="E20" s="332">
        <f t="shared" si="6"/>
        <v>27</v>
      </c>
      <c r="F20" s="332">
        <f t="shared" si="7"/>
        <v>243</v>
      </c>
      <c r="G20" s="241"/>
      <c r="H20" s="241"/>
      <c r="I20" s="241"/>
      <c r="J20" s="241"/>
      <c r="K20" s="289"/>
      <c r="L20" s="289"/>
      <c r="M20" s="241"/>
      <c r="N20" s="241"/>
      <c r="O20" s="241"/>
      <c r="P20" s="241"/>
      <c r="Q20" s="241"/>
      <c r="R20" s="241"/>
      <c r="S20" s="241"/>
      <c r="T20" s="241"/>
      <c r="U20" s="241"/>
      <c r="V20" s="241"/>
      <c r="W20" s="241"/>
      <c r="X20" s="241"/>
      <c r="Y20" s="241"/>
      <c r="Z20" s="241"/>
      <c r="AA20" s="241"/>
      <c r="AB20" s="290">
        <f t="shared" si="0"/>
        <v>270</v>
      </c>
      <c r="AC20" s="290" t="e">
        <f t="shared" si="1"/>
        <v>#N/A</v>
      </c>
      <c r="AD20" s="290">
        <f t="shared" si="2"/>
        <v>27</v>
      </c>
      <c r="AE20" s="290">
        <f t="shared" si="3"/>
        <v>243</v>
      </c>
    </row>
    <row r="21" spans="1:31" x14ac:dyDescent="0.25">
      <c r="A21" s="280"/>
      <c r="B21" s="331">
        <f>Crop!B57</f>
        <v>41648</v>
      </c>
      <c r="C21" s="332">
        <f t="shared" si="4"/>
        <v>270</v>
      </c>
      <c r="D21" s="332" t="str">
        <f t="shared" si="5"/>
        <v/>
      </c>
      <c r="E21" s="332">
        <f t="shared" si="6"/>
        <v>27</v>
      </c>
      <c r="F21" s="332">
        <f t="shared" si="7"/>
        <v>243</v>
      </c>
      <c r="G21" s="241"/>
      <c r="H21" s="241"/>
      <c r="I21" s="241"/>
      <c r="J21" s="241"/>
      <c r="K21" s="289"/>
      <c r="L21" s="289"/>
      <c r="M21" s="241"/>
      <c r="N21" s="241"/>
      <c r="O21" s="241"/>
      <c r="P21" s="241"/>
      <c r="Q21" s="241"/>
      <c r="R21" s="241"/>
      <c r="S21" s="241"/>
      <c r="T21" s="241"/>
      <c r="U21" s="241"/>
      <c r="V21" s="241"/>
      <c r="W21" s="241"/>
      <c r="X21" s="241"/>
      <c r="Y21" s="241"/>
      <c r="Z21" s="241"/>
      <c r="AA21" s="241"/>
      <c r="AB21" s="290">
        <f t="shared" si="0"/>
        <v>270</v>
      </c>
      <c r="AC21" s="290" t="e">
        <f t="shared" si="1"/>
        <v>#N/A</v>
      </c>
      <c r="AD21" s="290">
        <f t="shared" si="2"/>
        <v>27</v>
      </c>
      <c r="AE21" s="290">
        <f t="shared" si="3"/>
        <v>243</v>
      </c>
    </row>
    <row r="22" spans="1:31" x14ac:dyDescent="0.25">
      <c r="A22" s="280"/>
      <c r="B22" s="331">
        <f>Crop!B58</f>
        <v>41649</v>
      </c>
      <c r="C22" s="332">
        <f t="shared" si="4"/>
        <v>270</v>
      </c>
      <c r="D22" s="332" t="str">
        <f t="shared" si="5"/>
        <v/>
      </c>
      <c r="E22" s="332">
        <f t="shared" si="6"/>
        <v>27</v>
      </c>
      <c r="F22" s="332">
        <f t="shared" si="7"/>
        <v>243</v>
      </c>
      <c r="G22" s="241"/>
      <c r="H22" s="241"/>
      <c r="I22" s="241"/>
      <c r="J22" s="241"/>
      <c r="K22" s="289"/>
      <c r="L22" s="289"/>
      <c r="M22" s="241"/>
      <c r="N22" s="241"/>
      <c r="O22" s="241"/>
      <c r="P22" s="241"/>
      <c r="Q22" s="241"/>
      <c r="R22" s="241"/>
      <c r="S22" s="241"/>
      <c r="T22" s="241"/>
      <c r="U22" s="241"/>
      <c r="V22" s="241"/>
      <c r="W22" s="241"/>
      <c r="X22" s="241"/>
      <c r="Y22" s="241"/>
      <c r="Z22" s="241"/>
      <c r="AA22" s="241"/>
      <c r="AB22" s="290">
        <f t="shared" si="0"/>
        <v>270</v>
      </c>
      <c r="AC22" s="290" t="e">
        <f t="shared" si="1"/>
        <v>#N/A</v>
      </c>
      <c r="AD22" s="290">
        <f t="shared" si="2"/>
        <v>27</v>
      </c>
      <c r="AE22" s="290">
        <f t="shared" si="3"/>
        <v>243</v>
      </c>
    </row>
    <row r="23" spans="1:31" x14ac:dyDescent="0.25">
      <c r="A23" s="280"/>
      <c r="B23" s="331">
        <f>Crop!B59</f>
        <v>41650</v>
      </c>
      <c r="C23" s="332">
        <f t="shared" si="4"/>
        <v>270</v>
      </c>
      <c r="D23" s="332" t="str">
        <f t="shared" si="5"/>
        <v/>
      </c>
      <c r="E23" s="332">
        <f t="shared" si="6"/>
        <v>27</v>
      </c>
      <c r="F23" s="332">
        <f t="shared" si="7"/>
        <v>243</v>
      </c>
      <c r="G23" s="241"/>
      <c r="H23" s="241"/>
      <c r="I23" s="241"/>
      <c r="J23" s="241"/>
      <c r="K23" s="289"/>
      <c r="L23" s="289"/>
      <c r="M23" s="241"/>
      <c r="N23" s="241"/>
      <c r="O23" s="241"/>
      <c r="P23" s="241"/>
      <c r="Q23" s="241"/>
      <c r="R23" s="241"/>
      <c r="S23" s="241"/>
      <c r="T23" s="241"/>
      <c r="U23" s="241"/>
      <c r="V23" s="241"/>
      <c r="W23" s="241"/>
      <c r="X23" s="241"/>
      <c r="Y23" s="241"/>
      <c r="Z23" s="241"/>
      <c r="AA23" s="241"/>
      <c r="AB23" s="290">
        <f t="shared" si="0"/>
        <v>270</v>
      </c>
      <c r="AC23" s="290" t="e">
        <f t="shared" si="1"/>
        <v>#N/A</v>
      </c>
      <c r="AD23" s="290">
        <f t="shared" si="2"/>
        <v>27</v>
      </c>
      <c r="AE23" s="290">
        <f t="shared" si="3"/>
        <v>243</v>
      </c>
    </row>
    <row r="24" spans="1:31" x14ac:dyDescent="0.25">
      <c r="A24" s="280"/>
      <c r="B24" s="331">
        <f>Crop!B60</f>
        <v>41651</v>
      </c>
      <c r="C24" s="332">
        <f t="shared" si="4"/>
        <v>270</v>
      </c>
      <c r="D24" s="332" t="str">
        <f t="shared" si="5"/>
        <v/>
      </c>
      <c r="E24" s="332">
        <f t="shared" si="6"/>
        <v>27</v>
      </c>
      <c r="F24" s="332">
        <f t="shared" si="7"/>
        <v>243</v>
      </c>
      <c r="G24" s="241"/>
      <c r="H24" s="241"/>
      <c r="I24" s="241"/>
      <c r="J24" s="241"/>
      <c r="K24" s="289"/>
      <c r="L24" s="289"/>
      <c r="M24" s="241"/>
      <c r="N24" s="241"/>
      <c r="O24" s="241"/>
      <c r="P24" s="241"/>
      <c r="Q24" s="241"/>
      <c r="R24" s="241"/>
      <c r="S24" s="241"/>
      <c r="T24" s="241"/>
      <c r="U24" s="241"/>
      <c r="V24" s="241"/>
      <c r="W24" s="241"/>
      <c r="X24" s="241"/>
      <c r="Y24" s="241"/>
      <c r="Z24" s="241"/>
      <c r="AA24" s="241"/>
      <c r="AB24" s="290">
        <f t="shared" si="0"/>
        <v>270</v>
      </c>
      <c r="AC24" s="290" t="e">
        <f t="shared" si="1"/>
        <v>#N/A</v>
      </c>
      <c r="AD24" s="290">
        <f t="shared" si="2"/>
        <v>27</v>
      </c>
      <c r="AE24" s="290">
        <f t="shared" si="3"/>
        <v>243</v>
      </c>
    </row>
    <row r="25" spans="1:31" x14ac:dyDescent="0.25">
      <c r="A25" s="280"/>
      <c r="B25" s="331">
        <f>Crop!B61</f>
        <v>41652</v>
      </c>
      <c r="C25" s="332">
        <f t="shared" si="4"/>
        <v>270</v>
      </c>
      <c r="D25" s="332" t="str">
        <f t="shared" si="5"/>
        <v/>
      </c>
      <c r="E25" s="332">
        <f t="shared" si="6"/>
        <v>27</v>
      </c>
      <c r="F25" s="332">
        <f t="shared" si="7"/>
        <v>243</v>
      </c>
      <c r="G25" s="241"/>
      <c r="H25" s="241"/>
      <c r="I25" s="241"/>
      <c r="J25" s="241"/>
      <c r="K25" s="289"/>
      <c r="L25" s="289"/>
      <c r="M25" s="241"/>
      <c r="N25" s="241"/>
      <c r="O25" s="241"/>
      <c r="P25" s="241"/>
      <c r="Q25" s="241"/>
      <c r="R25" s="241"/>
      <c r="S25" s="241"/>
      <c r="T25" s="241"/>
      <c r="U25" s="241"/>
      <c r="V25" s="241"/>
      <c r="W25" s="241"/>
      <c r="X25" s="241"/>
      <c r="Y25" s="241"/>
      <c r="Z25" s="241"/>
      <c r="AA25" s="241"/>
      <c r="AB25" s="290">
        <f t="shared" si="0"/>
        <v>270</v>
      </c>
      <c r="AC25" s="290" t="e">
        <f t="shared" si="1"/>
        <v>#N/A</v>
      </c>
      <c r="AD25" s="290">
        <f t="shared" si="2"/>
        <v>27</v>
      </c>
      <c r="AE25" s="290">
        <f t="shared" si="3"/>
        <v>243</v>
      </c>
    </row>
    <row r="26" spans="1:31" x14ac:dyDescent="0.25">
      <c r="A26" s="280"/>
      <c r="B26" s="331">
        <f>Crop!B62</f>
        <v>41653</v>
      </c>
      <c r="C26" s="332">
        <f t="shared" si="4"/>
        <v>270</v>
      </c>
      <c r="D26" s="332" t="str">
        <f t="shared" si="5"/>
        <v/>
      </c>
      <c r="E26" s="332">
        <f t="shared" si="6"/>
        <v>27</v>
      </c>
      <c r="F26" s="332">
        <f t="shared" si="7"/>
        <v>243</v>
      </c>
      <c r="G26" s="241"/>
      <c r="H26" s="241"/>
      <c r="I26" s="241"/>
      <c r="J26" s="241"/>
      <c r="K26" s="289"/>
      <c r="L26" s="289"/>
      <c r="M26" s="241"/>
      <c r="N26" s="241"/>
      <c r="O26" s="241"/>
      <c r="P26" s="241"/>
      <c r="Q26" s="241"/>
      <c r="R26" s="241"/>
      <c r="S26" s="241"/>
      <c r="T26" s="241"/>
      <c r="U26" s="241"/>
      <c r="V26" s="241"/>
      <c r="W26" s="241"/>
      <c r="X26" s="241"/>
      <c r="Y26" s="241"/>
      <c r="Z26" s="241"/>
      <c r="AA26" s="241"/>
      <c r="AB26" s="290">
        <f t="shared" si="0"/>
        <v>270</v>
      </c>
      <c r="AC26" s="290" t="e">
        <f t="shared" si="1"/>
        <v>#N/A</v>
      </c>
      <c r="AD26" s="290">
        <f t="shared" si="2"/>
        <v>27</v>
      </c>
      <c r="AE26" s="290">
        <f t="shared" si="3"/>
        <v>243</v>
      </c>
    </row>
    <row r="27" spans="1:31" x14ac:dyDescent="0.25">
      <c r="A27" s="280"/>
      <c r="B27" s="331">
        <f>Crop!B63</f>
        <v>41654</v>
      </c>
      <c r="C27" s="332">
        <f t="shared" si="4"/>
        <v>270</v>
      </c>
      <c r="D27" s="332" t="str">
        <f t="shared" si="5"/>
        <v/>
      </c>
      <c r="E27" s="332">
        <f t="shared" si="6"/>
        <v>27</v>
      </c>
      <c r="F27" s="332">
        <f t="shared" si="7"/>
        <v>243</v>
      </c>
      <c r="G27" s="241"/>
      <c r="H27" s="241"/>
      <c r="I27" s="241"/>
      <c r="J27" s="241"/>
      <c r="K27" s="289"/>
      <c r="L27" s="289"/>
      <c r="M27" s="241"/>
      <c r="N27" s="241"/>
      <c r="O27" s="241"/>
      <c r="P27" s="241"/>
      <c r="Q27" s="241"/>
      <c r="R27" s="241"/>
      <c r="S27" s="241"/>
      <c r="T27" s="241"/>
      <c r="U27" s="241"/>
      <c r="V27" s="241"/>
      <c r="W27" s="241"/>
      <c r="X27" s="241"/>
      <c r="Y27" s="241"/>
      <c r="Z27" s="241"/>
      <c r="AA27" s="241"/>
      <c r="AB27" s="290">
        <f t="shared" si="0"/>
        <v>270</v>
      </c>
      <c r="AC27" s="290" t="e">
        <f t="shared" si="1"/>
        <v>#N/A</v>
      </c>
      <c r="AD27" s="290">
        <f t="shared" si="2"/>
        <v>27</v>
      </c>
      <c r="AE27" s="290">
        <f t="shared" si="3"/>
        <v>243</v>
      </c>
    </row>
    <row r="28" spans="1:31" x14ac:dyDescent="0.25">
      <c r="A28" s="280"/>
      <c r="B28" s="331">
        <f>Crop!B64</f>
        <v>41655</v>
      </c>
      <c r="C28" s="332">
        <f t="shared" si="4"/>
        <v>270</v>
      </c>
      <c r="D28" s="332" t="str">
        <f t="shared" si="5"/>
        <v/>
      </c>
      <c r="E28" s="332">
        <f t="shared" si="6"/>
        <v>27</v>
      </c>
      <c r="F28" s="332">
        <f t="shared" si="7"/>
        <v>243</v>
      </c>
      <c r="G28" s="241"/>
      <c r="H28" s="241"/>
      <c r="I28" s="241"/>
      <c r="J28" s="241"/>
      <c r="K28" s="289"/>
      <c r="L28" s="289"/>
      <c r="M28" s="241"/>
      <c r="N28" s="241"/>
      <c r="O28" s="241"/>
      <c r="P28" s="241"/>
      <c r="Q28" s="241"/>
      <c r="R28" s="241"/>
      <c r="S28" s="241"/>
      <c r="T28" s="241"/>
      <c r="U28" s="241"/>
      <c r="V28" s="241"/>
      <c r="W28" s="241"/>
      <c r="X28" s="241"/>
      <c r="Y28" s="241"/>
      <c r="Z28" s="241"/>
      <c r="AA28" s="241"/>
      <c r="AB28" s="290">
        <f t="shared" si="0"/>
        <v>270</v>
      </c>
      <c r="AC28" s="290" t="e">
        <f t="shared" si="1"/>
        <v>#N/A</v>
      </c>
      <c r="AD28" s="290">
        <f t="shared" si="2"/>
        <v>27</v>
      </c>
      <c r="AE28" s="290">
        <f t="shared" si="3"/>
        <v>243</v>
      </c>
    </row>
    <row r="29" spans="1:31" x14ac:dyDescent="0.25">
      <c r="A29" s="280"/>
      <c r="B29" s="331">
        <f>Crop!B65</f>
        <v>41656</v>
      </c>
      <c r="C29" s="332">
        <f t="shared" si="4"/>
        <v>270</v>
      </c>
      <c r="D29" s="332" t="str">
        <f t="shared" si="5"/>
        <v/>
      </c>
      <c r="E29" s="332">
        <f t="shared" si="6"/>
        <v>27</v>
      </c>
      <c r="F29" s="332">
        <f t="shared" si="7"/>
        <v>243</v>
      </c>
      <c r="G29" s="241"/>
      <c r="H29" s="241"/>
      <c r="I29" s="241"/>
      <c r="J29" s="241"/>
      <c r="K29" s="289"/>
      <c r="L29" s="289"/>
      <c r="M29" s="241"/>
      <c r="N29" s="241"/>
      <c r="O29" s="241"/>
      <c r="P29" s="241"/>
      <c r="Q29" s="241"/>
      <c r="R29" s="241"/>
      <c r="S29" s="241"/>
      <c r="T29" s="241"/>
      <c r="U29" s="241"/>
      <c r="V29" s="241"/>
      <c r="W29" s="241"/>
      <c r="X29" s="241"/>
      <c r="Y29" s="241"/>
      <c r="Z29" s="241"/>
      <c r="AA29" s="241"/>
      <c r="AB29" s="290">
        <f t="shared" si="0"/>
        <v>270</v>
      </c>
      <c r="AC29" s="290" t="e">
        <f t="shared" si="1"/>
        <v>#N/A</v>
      </c>
      <c r="AD29" s="290">
        <f t="shared" si="2"/>
        <v>27</v>
      </c>
      <c r="AE29" s="290">
        <f t="shared" si="3"/>
        <v>243</v>
      </c>
    </row>
    <row r="30" spans="1:31" x14ac:dyDescent="0.25">
      <c r="A30" s="280"/>
      <c r="B30" s="331">
        <f>Crop!B66</f>
        <v>41657</v>
      </c>
      <c r="C30" s="332">
        <f t="shared" si="4"/>
        <v>270</v>
      </c>
      <c r="D30" s="332" t="str">
        <f t="shared" si="5"/>
        <v/>
      </c>
      <c r="E30" s="332">
        <f t="shared" si="6"/>
        <v>27</v>
      </c>
      <c r="F30" s="332">
        <f t="shared" si="7"/>
        <v>243</v>
      </c>
      <c r="G30" s="241"/>
      <c r="H30" s="241"/>
      <c r="I30" s="241"/>
      <c r="J30" s="241"/>
      <c r="K30" s="289"/>
      <c r="L30" s="289"/>
      <c r="M30" s="241"/>
      <c r="N30" s="241"/>
      <c r="O30" s="241"/>
      <c r="P30" s="241"/>
      <c r="Q30" s="241"/>
      <c r="R30" s="241"/>
      <c r="S30" s="241"/>
      <c r="T30" s="241"/>
      <c r="U30" s="241"/>
      <c r="V30" s="241"/>
      <c r="W30" s="241"/>
      <c r="X30" s="241"/>
      <c r="Y30" s="241"/>
      <c r="Z30" s="241"/>
      <c r="AA30" s="241"/>
      <c r="AB30" s="290">
        <f t="shared" si="0"/>
        <v>270</v>
      </c>
      <c r="AC30" s="290" t="e">
        <f t="shared" si="1"/>
        <v>#N/A</v>
      </c>
      <c r="AD30" s="290">
        <f t="shared" si="2"/>
        <v>27</v>
      </c>
      <c r="AE30" s="290">
        <f t="shared" si="3"/>
        <v>243</v>
      </c>
    </row>
    <row r="31" spans="1:31" x14ac:dyDescent="0.25">
      <c r="A31" s="280"/>
      <c r="B31" s="331">
        <f>Crop!B67</f>
        <v>41658</v>
      </c>
      <c r="C31" s="332">
        <f t="shared" si="4"/>
        <v>270</v>
      </c>
      <c r="D31" s="332" t="str">
        <f t="shared" si="5"/>
        <v/>
      </c>
      <c r="E31" s="332">
        <f t="shared" si="6"/>
        <v>27</v>
      </c>
      <c r="F31" s="332">
        <f t="shared" si="7"/>
        <v>243</v>
      </c>
      <c r="G31" s="241"/>
      <c r="H31" s="241"/>
      <c r="I31" s="241"/>
      <c r="J31" s="241"/>
      <c r="K31" s="289"/>
      <c r="L31" s="289"/>
      <c r="M31" s="241"/>
      <c r="N31" s="241"/>
      <c r="O31" s="241"/>
      <c r="P31" s="241"/>
      <c r="Q31" s="241"/>
      <c r="R31" s="241"/>
      <c r="S31" s="241"/>
      <c r="T31" s="241"/>
      <c r="U31" s="241"/>
      <c r="V31" s="241"/>
      <c r="W31" s="241"/>
      <c r="X31" s="241"/>
      <c r="Y31" s="241"/>
      <c r="Z31" s="241"/>
      <c r="AA31" s="241"/>
      <c r="AB31" s="290">
        <f t="shared" si="0"/>
        <v>270</v>
      </c>
      <c r="AC31" s="290" t="e">
        <f t="shared" si="1"/>
        <v>#N/A</v>
      </c>
      <c r="AD31" s="290">
        <f t="shared" si="2"/>
        <v>27</v>
      </c>
      <c r="AE31" s="290">
        <f t="shared" si="3"/>
        <v>243</v>
      </c>
    </row>
    <row r="32" spans="1:31" x14ac:dyDescent="0.25">
      <c r="A32" s="280"/>
      <c r="B32" s="331">
        <f>Crop!B68</f>
        <v>41659</v>
      </c>
      <c r="C32" s="332">
        <f t="shared" si="4"/>
        <v>270</v>
      </c>
      <c r="D32" s="332" t="str">
        <f t="shared" si="5"/>
        <v/>
      </c>
      <c r="E32" s="332">
        <f t="shared" si="6"/>
        <v>27</v>
      </c>
      <c r="F32" s="332">
        <f t="shared" si="7"/>
        <v>243</v>
      </c>
      <c r="G32" s="241"/>
      <c r="H32" s="241"/>
      <c r="I32" s="241"/>
      <c r="J32" s="241"/>
      <c r="K32" s="289"/>
      <c r="L32" s="289"/>
      <c r="M32" s="241"/>
      <c r="N32" s="241"/>
      <c r="O32" s="241"/>
      <c r="P32" s="241"/>
      <c r="Q32" s="241"/>
      <c r="R32" s="241"/>
      <c r="S32" s="241"/>
      <c r="T32" s="241"/>
      <c r="U32" s="241"/>
      <c r="V32" s="241"/>
      <c r="W32" s="241"/>
      <c r="X32" s="241"/>
      <c r="Y32" s="241"/>
      <c r="Z32" s="241"/>
      <c r="AA32" s="241"/>
      <c r="AB32" s="290">
        <f t="shared" si="0"/>
        <v>270</v>
      </c>
      <c r="AC32" s="290" t="e">
        <f t="shared" si="1"/>
        <v>#N/A</v>
      </c>
      <c r="AD32" s="290">
        <f t="shared" si="2"/>
        <v>27</v>
      </c>
      <c r="AE32" s="290">
        <f t="shared" si="3"/>
        <v>243</v>
      </c>
    </row>
    <row r="33" spans="1:31" x14ac:dyDescent="0.25">
      <c r="A33" s="280"/>
      <c r="B33" s="331">
        <f>Crop!B69</f>
        <v>41660</v>
      </c>
      <c r="C33" s="332">
        <f t="shared" si="4"/>
        <v>270</v>
      </c>
      <c r="D33" s="332" t="str">
        <f t="shared" si="5"/>
        <v/>
      </c>
      <c r="E33" s="332">
        <f t="shared" si="6"/>
        <v>27</v>
      </c>
      <c r="F33" s="332">
        <f t="shared" si="7"/>
        <v>243</v>
      </c>
      <c r="G33" s="241"/>
      <c r="H33" s="241"/>
      <c r="I33" s="241"/>
      <c r="J33" s="241"/>
      <c r="K33" s="289"/>
      <c r="L33" s="289"/>
      <c r="M33" s="241"/>
      <c r="N33" s="241"/>
      <c r="O33" s="241"/>
      <c r="P33" s="241"/>
      <c r="Q33" s="241"/>
      <c r="R33" s="241"/>
      <c r="S33" s="241"/>
      <c r="T33" s="241"/>
      <c r="U33" s="241"/>
      <c r="V33" s="241"/>
      <c r="W33" s="241"/>
      <c r="X33" s="241"/>
      <c r="Y33" s="241"/>
      <c r="Z33" s="241"/>
      <c r="AA33" s="241"/>
      <c r="AB33" s="290">
        <f t="shared" si="0"/>
        <v>270</v>
      </c>
      <c r="AC33" s="290" t="e">
        <f t="shared" si="1"/>
        <v>#N/A</v>
      </c>
      <c r="AD33" s="290">
        <f t="shared" si="2"/>
        <v>27</v>
      </c>
      <c r="AE33" s="290">
        <f t="shared" si="3"/>
        <v>243</v>
      </c>
    </row>
    <row r="34" spans="1:31" x14ac:dyDescent="0.25">
      <c r="A34" s="280"/>
      <c r="B34" s="331">
        <f>Crop!B70</f>
        <v>41661</v>
      </c>
      <c r="C34" s="332">
        <f t="shared" si="4"/>
        <v>270</v>
      </c>
      <c r="D34" s="332" t="str">
        <f t="shared" si="5"/>
        <v/>
      </c>
      <c r="E34" s="332">
        <f t="shared" si="6"/>
        <v>27</v>
      </c>
      <c r="F34" s="332">
        <f t="shared" si="7"/>
        <v>243</v>
      </c>
      <c r="G34" s="241"/>
      <c r="H34" s="241"/>
      <c r="I34" s="241"/>
      <c r="J34" s="241"/>
      <c r="K34" s="289"/>
      <c r="L34" s="289"/>
      <c r="M34" s="241"/>
      <c r="N34" s="241"/>
      <c r="O34" s="241"/>
      <c r="P34" s="241"/>
      <c r="Q34" s="241"/>
      <c r="R34" s="241"/>
      <c r="S34" s="241"/>
      <c r="T34" s="241"/>
      <c r="U34" s="241"/>
      <c r="V34" s="241"/>
      <c r="W34" s="241"/>
      <c r="X34" s="241"/>
      <c r="Y34" s="241"/>
      <c r="Z34" s="241"/>
      <c r="AA34" s="241"/>
      <c r="AB34" s="290">
        <f t="shared" si="0"/>
        <v>270</v>
      </c>
      <c r="AC34" s="290" t="e">
        <f t="shared" si="1"/>
        <v>#N/A</v>
      </c>
      <c r="AD34" s="290">
        <f t="shared" si="2"/>
        <v>27</v>
      </c>
      <c r="AE34" s="290">
        <f t="shared" si="3"/>
        <v>243</v>
      </c>
    </row>
    <row r="35" spans="1:31" x14ac:dyDescent="0.25">
      <c r="A35" s="280"/>
      <c r="B35" s="331">
        <f>Crop!B71</f>
        <v>41662</v>
      </c>
      <c r="C35" s="332">
        <f t="shared" si="4"/>
        <v>270</v>
      </c>
      <c r="D35" s="332" t="str">
        <f t="shared" si="5"/>
        <v/>
      </c>
      <c r="E35" s="332">
        <f t="shared" si="6"/>
        <v>27</v>
      </c>
      <c r="F35" s="332">
        <f t="shared" si="7"/>
        <v>243</v>
      </c>
      <c r="G35" s="241"/>
      <c r="H35" s="241"/>
      <c r="I35" s="241"/>
      <c r="J35" s="241"/>
      <c r="K35" s="289"/>
      <c r="L35" s="289"/>
      <c r="M35" s="241"/>
      <c r="N35" s="241"/>
      <c r="O35" s="241"/>
      <c r="P35" s="241"/>
      <c r="Q35" s="241"/>
      <c r="R35" s="241"/>
      <c r="S35" s="241"/>
      <c r="T35" s="241"/>
      <c r="U35" s="241"/>
      <c r="V35" s="241"/>
      <c r="W35" s="241"/>
      <c r="X35" s="241"/>
      <c r="Y35" s="241"/>
      <c r="Z35" s="241"/>
      <c r="AA35" s="241"/>
      <c r="AB35" s="290">
        <f t="shared" si="0"/>
        <v>270</v>
      </c>
      <c r="AC35" s="290" t="e">
        <f t="shared" si="1"/>
        <v>#N/A</v>
      </c>
      <c r="AD35" s="290">
        <f t="shared" si="2"/>
        <v>27</v>
      </c>
      <c r="AE35" s="290">
        <f t="shared" si="3"/>
        <v>243</v>
      </c>
    </row>
    <row r="36" spans="1:31" x14ac:dyDescent="0.25">
      <c r="A36" s="280"/>
      <c r="B36" s="331">
        <f>Crop!B72</f>
        <v>41663</v>
      </c>
      <c r="C36" s="332">
        <f t="shared" si="4"/>
        <v>270</v>
      </c>
      <c r="D36" s="332" t="str">
        <f t="shared" si="5"/>
        <v/>
      </c>
      <c r="E36" s="332">
        <f t="shared" si="6"/>
        <v>27</v>
      </c>
      <c r="F36" s="332">
        <f t="shared" si="7"/>
        <v>243</v>
      </c>
      <c r="G36" s="241"/>
      <c r="H36" s="241"/>
      <c r="I36" s="241"/>
      <c r="J36" s="241"/>
      <c r="K36" s="289"/>
      <c r="L36" s="289"/>
      <c r="M36" s="241"/>
      <c r="N36" s="241"/>
      <c r="O36" s="241"/>
      <c r="P36" s="241"/>
      <c r="Q36" s="241"/>
      <c r="R36" s="241"/>
      <c r="S36" s="241"/>
      <c r="T36" s="241"/>
      <c r="U36" s="241"/>
      <c r="V36" s="241"/>
      <c r="W36" s="241"/>
      <c r="X36" s="241"/>
      <c r="Y36" s="241"/>
      <c r="Z36" s="241"/>
      <c r="AA36" s="241"/>
      <c r="AB36" s="290">
        <f t="shared" si="0"/>
        <v>270</v>
      </c>
      <c r="AC36" s="290" t="e">
        <f t="shared" si="1"/>
        <v>#N/A</v>
      </c>
      <c r="AD36" s="290">
        <f t="shared" si="2"/>
        <v>27</v>
      </c>
      <c r="AE36" s="290">
        <f t="shared" si="3"/>
        <v>243</v>
      </c>
    </row>
    <row r="37" spans="1:31" x14ac:dyDescent="0.25">
      <c r="A37" s="280"/>
      <c r="B37" s="331">
        <f>Crop!B73</f>
        <v>41664</v>
      </c>
      <c r="C37" s="332">
        <f t="shared" si="4"/>
        <v>270</v>
      </c>
      <c r="D37" s="332" t="str">
        <f t="shared" si="5"/>
        <v/>
      </c>
      <c r="E37" s="332">
        <f t="shared" si="6"/>
        <v>27</v>
      </c>
      <c r="F37" s="332">
        <f t="shared" si="7"/>
        <v>243</v>
      </c>
      <c r="G37" s="241"/>
      <c r="H37" s="241"/>
      <c r="I37" s="241"/>
      <c r="J37" s="241"/>
      <c r="K37" s="289"/>
      <c r="L37" s="289"/>
      <c r="M37" s="241"/>
      <c r="N37" s="241"/>
      <c r="O37" s="241"/>
      <c r="P37" s="241"/>
      <c r="Q37" s="241"/>
      <c r="R37" s="241"/>
      <c r="S37" s="241"/>
      <c r="T37" s="241"/>
      <c r="U37" s="241"/>
      <c r="V37" s="241"/>
      <c r="W37" s="241"/>
      <c r="X37" s="241"/>
      <c r="Y37" s="241"/>
      <c r="Z37" s="241"/>
      <c r="AA37" s="241"/>
      <c r="AB37" s="290">
        <f t="shared" si="0"/>
        <v>270</v>
      </c>
      <c r="AC37" s="290" t="e">
        <f t="shared" si="1"/>
        <v>#N/A</v>
      </c>
      <c r="AD37" s="290">
        <f t="shared" si="2"/>
        <v>27</v>
      </c>
      <c r="AE37" s="290">
        <f t="shared" si="3"/>
        <v>243</v>
      </c>
    </row>
    <row r="38" spans="1:31" x14ac:dyDescent="0.25">
      <c r="A38" s="280"/>
      <c r="B38" s="331">
        <f>Crop!B74</f>
        <v>41665</v>
      </c>
      <c r="C38" s="332">
        <f t="shared" si="4"/>
        <v>270</v>
      </c>
      <c r="D38" s="332" t="str">
        <f t="shared" si="5"/>
        <v/>
      </c>
      <c r="E38" s="332">
        <f t="shared" si="6"/>
        <v>27</v>
      </c>
      <c r="F38" s="332">
        <f t="shared" si="7"/>
        <v>243</v>
      </c>
      <c r="G38" s="241"/>
      <c r="H38" s="241"/>
      <c r="I38" s="241"/>
      <c r="J38" s="241"/>
      <c r="K38" s="289"/>
      <c r="L38" s="289"/>
      <c r="M38" s="241"/>
      <c r="N38" s="241"/>
      <c r="O38" s="241"/>
      <c r="P38" s="241"/>
      <c r="Q38" s="241"/>
      <c r="R38" s="241"/>
      <c r="S38" s="241"/>
      <c r="T38" s="241"/>
      <c r="U38" s="241"/>
      <c r="V38" s="241"/>
      <c r="W38" s="241"/>
      <c r="X38" s="241"/>
      <c r="Y38" s="241"/>
      <c r="Z38" s="241"/>
      <c r="AA38" s="241"/>
      <c r="AB38" s="290">
        <f t="shared" si="0"/>
        <v>270</v>
      </c>
      <c r="AC38" s="290" t="e">
        <f t="shared" si="1"/>
        <v>#N/A</v>
      </c>
      <c r="AD38" s="290">
        <f t="shared" si="2"/>
        <v>27</v>
      </c>
      <c r="AE38" s="290">
        <f t="shared" si="3"/>
        <v>243</v>
      </c>
    </row>
    <row r="39" spans="1:31" x14ac:dyDescent="0.25">
      <c r="A39" s="280"/>
      <c r="B39" s="331">
        <f>Crop!B75</f>
        <v>41666</v>
      </c>
      <c r="C39" s="332">
        <f t="shared" si="4"/>
        <v>270</v>
      </c>
      <c r="D39" s="332" t="str">
        <f t="shared" si="5"/>
        <v/>
      </c>
      <c r="E39" s="332">
        <f t="shared" si="6"/>
        <v>27</v>
      </c>
      <c r="F39" s="332">
        <f t="shared" si="7"/>
        <v>243</v>
      </c>
      <c r="G39" s="241"/>
      <c r="H39" s="241"/>
      <c r="I39" s="241"/>
      <c r="J39" s="241"/>
      <c r="K39" s="289"/>
      <c r="L39" s="289"/>
      <c r="M39" s="241"/>
      <c r="N39" s="241"/>
      <c r="O39" s="241"/>
      <c r="P39" s="241"/>
      <c r="Q39" s="241"/>
      <c r="R39" s="241"/>
      <c r="S39" s="241"/>
      <c r="T39" s="241"/>
      <c r="U39" s="241"/>
      <c r="V39" s="241"/>
      <c r="W39" s="241"/>
      <c r="X39" s="241"/>
      <c r="Y39" s="241"/>
      <c r="Z39" s="241"/>
      <c r="AA39" s="241"/>
      <c r="AB39" s="290">
        <f t="shared" si="0"/>
        <v>270</v>
      </c>
      <c r="AC39" s="290" t="e">
        <f t="shared" si="1"/>
        <v>#N/A</v>
      </c>
      <c r="AD39" s="290">
        <f t="shared" si="2"/>
        <v>27</v>
      </c>
      <c r="AE39" s="290">
        <f t="shared" si="3"/>
        <v>243</v>
      </c>
    </row>
    <row r="40" spans="1:31" x14ac:dyDescent="0.25">
      <c r="A40" s="280"/>
      <c r="B40" s="331">
        <f>Crop!B76</f>
        <v>41667</v>
      </c>
      <c r="C40" s="332">
        <f t="shared" si="4"/>
        <v>270</v>
      </c>
      <c r="D40" s="332" t="str">
        <f t="shared" si="5"/>
        <v/>
      </c>
      <c r="E40" s="332">
        <f t="shared" si="6"/>
        <v>27</v>
      </c>
      <c r="F40" s="332">
        <f t="shared" si="7"/>
        <v>243</v>
      </c>
      <c r="G40" s="241"/>
      <c r="H40" s="241"/>
      <c r="I40" s="241"/>
      <c r="J40" s="241"/>
      <c r="K40" s="289"/>
      <c r="L40" s="289"/>
      <c r="M40" s="241"/>
      <c r="N40" s="241"/>
      <c r="O40" s="241"/>
      <c r="P40" s="241"/>
      <c r="Q40" s="241"/>
      <c r="R40" s="241"/>
      <c r="S40" s="241"/>
      <c r="T40" s="241"/>
      <c r="U40" s="241"/>
      <c r="V40" s="241"/>
      <c r="W40" s="241"/>
      <c r="X40" s="241"/>
      <c r="Y40" s="241"/>
      <c r="Z40" s="241"/>
      <c r="AA40" s="241"/>
      <c r="AB40" s="290">
        <f t="shared" si="0"/>
        <v>270</v>
      </c>
      <c r="AC40" s="290" t="e">
        <f t="shared" si="1"/>
        <v>#N/A</v>
      </c>
      <c r="AD40" s="290">
        <f t="shared" si="2"/>
        <v>27</v>
      </c>
      <c r="AE40" s="290">
        <f t="shared" si="3"/>
        <v>243</v>
      </c>
    </row>
    <row r="41" spans="1:31" x14ac:dyDescent="0.25">
      <c r="A41" s="280"/>
      <c r="B41" s="331">
        <f>Crop!B77</f>
        <v>41668</v>
      </c>
      <c r="C41" s="332">
        <f t="shared" si="4"/>
        <v>270</v>
      </c>
      <c r="D41" s="332" t="str">
        <f t="shared" si="5"/>
        <v/>
      </c>
      <c r="E41" s="332">
        <f t="shared" si="6"/>
        <v>27</v>
      </c>
      <c r="F41" s="332">
        <f t="shared" si="7"/>
        <v>243</v>
      </c>
      <c r="G41" s="241"/>
      <c r="H41" s="241"/>
      <c r="I41" s="241"/>
      <c r="J41" s="241"/>
      <c r="K41" s="289"/>
      <c r="L41" s="289"/>
      <c r="M41" s="241"/>
      <c r="N41" s="241"/>
      <c r="O41" s="241"/>
      <c r="P41" s="241"/>
      <c r="Q41" s="241"/>
      <c r="R41" s="241"/>
      <c r="S41" s="241"/>
      <c r="T41" s="241"/>
      <c r="U41" s="241"/>
      <c r="V41" s="241"/>
      <c r="W41" s="241"/>
      <c r="X41" s="241"/>
      <c r="Y41" s="241"/>
      <c r="Z41" s="241"/>
      <c r="AA41" s="241"/>
      <c r="AB41" s="290">
        <f t="shared" si="0"/>
        <v>270</v>
      </c>
      <c r="AC41" s="290" t="e">
        <f t="shared" si="1"/>
        <v>#N/A</v>
      </c>
      <c r="AD41" s="290">
        <f t="shared" si="2"/>
        <v>27</v>
      </c>
      <c r="AE41" s="290">
        <f t="shared" si="3"/>
        <v>243</v>
      </c>
    </row>
    <row r="42" spans="1:31" x14ac:dyDescent="0.25">
      <c r="A42" s="280"/>
      <c r="B42" s="331">
        <f>Crop!B78</f>
        <v>41669</v>
      </c>
      <c r="C42" s="332">
        <f t="shared" si="4"/>
        <v>270</v>
      </c>
      <c r="D42" s="332" t="str">
        <f t="shared" si="5"/>
        <v/>
      </c>
      <c r="E42" s="332">
        <f t="shared" si="6"/>
        <v>27</v>
      </c>
      <c r="F42" s="332">
        <f t="shared" si="7"/>
        <v>243</v>
      </c>
      <c r="G42" s="241"/>
      <c r="H42" s="241"/>
      <c r="I42" s="241"/>
      <c r="J42" s="241"/>
      <c r="K42" s="289"/>
      <c r="L42" s="289"/>
      <c r="M42" s="241"/>
      <c r="N42" s="241"/>
      <c r="O42" s="241"/>
      <c r="P42" s="241"/>
      <c r="Q42" s="241"/>
      <c r="R42" s="241"/>
      <c r="S42" s="241"/>
      <c r="T42" s="241"/>
      <c r="U42" s="241"/>
      <c r="V42" s="241"/>
      <c r="W42" s="241"/>
      <c r="X42" s="241"/>
      <c r="Y42" s="241"/>
      <c r="Z42" s="241"/>
      <c r="AA42" s="241"/>
      <c r="AB42" s="290">
        <f t="shared" si="0"/>
        <v>270</v>
      </c>
      <c r="AC42" s="290" t="e">
        <f t="shared" si="1"/>
        <v>#N/A</v>
      </c>
      <c r="AD42" s="290">
        <f t="shared" si="2"/>
        <v>27</v>
      </c>
      <c r="AE42" s="290">
        <f t="shared" si="3"/>
        <v>243</v>
      </c>
    </row>
    <row r="43" spans="1:31" x14ac:dyDescent="0.25">
      <c r="A43" s="280"/>
      <c r="B43" s="331">
        <f>Crop!B79</f>
        <v>41670</v>
      </c>
      <c r="C43" s="332">
        <f t="shared" si="4"/>
        <v>270</v>
      </c>
      <c r="D43" s="332" t="str">
        <f t="shared" si="5"/>
        <v/>
      </c>
      <c r="E43" s="332">
        <f t="shared" si="6"/>
        <v>27</v>
      </c>
      <c r="F43" s="332">
        <f t="shared" si="7"/>
        <v>243</v>
      </c>
      <c r="G43" s="241"/>
      <c r="H43" s="241"/>
      <c r="I43" s="241"/>
      <c r="J43" s="241"/>
      <c r="K43" s="289"/>
      <c r="L43" s="289"/>
      <c r="M43" s="241"/>
      <c r="N43" s="241"/>
      <c r="O43" s="241"/>
      <c r="P43" s="241"/>
      <c r="Q43" s="241"/>
      <c r="R43" s="241"/>
      <c r="S43" s="241"/>
      <c r="T43" s="241"/>
      <c r="U43" s="241"/>
      <c r="V43" s="241"/>
      <c r="W43" s="241"/>
      <c r="X43" s="241"/>
      <c r="Y43" s="241"/>
      <c r="Z43" s="241"/>
      <c r="AA43" s="241"/>
      <c r="AB43" s="290">
        <f t="shared" si="0"/>
        <v>270</v>
      </c>
      <c r="AC43" s="290" t="e">
        <f t="shared" si="1"/>
        <v>#N/A</v>
      </c>
      <c r="AD43" s="290">
        <f t="shared" si="2"/>
        <v>27</v>
      </c>
      <c r="AE43" s="290">
        <f t="shared" si="3"/>
        <v>243</v>
      </c>
    </row>
    <row r="44" spans="1:31" x14ac:dyDescent="0.25">
      <c r="A44" s="280"/>
      <c r="B44" s="331">
        <f>Crop!B80</f>
        <v>41671</v>
      </c>
      <c r="C44" s="332">
        <f t="shared" si="4"/>
        <v>270</v>
      </c>
      <c r="D44" s="332" t="str">
        <f t="shared" si="5"/>
        <v/>
      </c>
      <c r="E44" s="332">
        <f t="shared" si="6"/>
        <v>27</v>
      </c>
      <c r="F44" s="332">
        <f t="shared" si="7"/>
        <v>243</v>
      </c>
      <c r="G44" s="241"/>
      <c r="H44" s="241"/>
      <c r="I44" s="241"/>
      <c r="J44" s="241"/>
      <c r="K44" s="289"/>
      <c r="L44" s="289"/>
      <c r="M44" s="241"/>
      <c r="N44" s="241"/>
      <c r="O44" s="241"/>
      <c r="P44" s="241"/>
      <c r="Q44" s="241"/>
      <c r="R44" s="241"/>
      <c r="S44" s="241"/>
      <c r="T44" s="241"/>
      <c r="U44" s="241"/>
      <c r="V44" s="241"/>
      <c r="W44" s="241"/>
      <c r="X44" s="241"/>
      <c r="Y44" s="241"/>
      <c r="Z44" s="241"/>
      <c r="AA44" s="241"/>
      <c r="AB44" s="290">
        <f t="shared" si="0"/>
        <v>270</v>
      </c>
      <c r="AC44" s="290" t="e">
        <f t="shared" si="1"/>
        <v>#N/A</v>
      </c>
      <c r="AD44" s="290">
        <f t="shared" si="2"/>
        <v>27</v>
      </c>
      <c r="AE44" s="290">
        <f t="shared" si="3"/>
        <v>243</v>
      </c>
    </row>
    <row r="45" spans="1:31" x14ac:dyDescent="0.25">
      <c r="A45" s="280"/>
      <c r="B45" s="331">
        <f>Crop!B81</f>
        <v>41672</v>
      </c>
      <c r="C45" s="332">
        <f t="shared" si="4"/>
        <v>270</v>
      </c>
      <c r="D45" s="332" t="str">
        <f t="shared" si="5"/>
        <v/>
      </c>
      <c r="E45" s="332">
        <f t="shared" si="6"/>
        <v>27</v>
      </c>
      <c r="F45" s="332">
        <f t="shared" si="7"/>
        <v>243</v>
      </c>
      <c r="G45" s="241"/>
      <c r="H45" s="241"/>
      <c r="I45" s="241"/>
      <c r="J45" s="241"/>
      <c r="K45" s="289"/>
      <c r="L45" s="289"/>
      <c r="M45" s="241"/>
      <c r="N45" s="241"/>
      <c r="O45" s="241"/>
      <c r="P45" s="241"/>
      <c r="Q45" s="241"/>
      <c r="R45" s="241"/>
      <c r="S45" s="241"/>
      <c r="T45" s="241"/>
      <c r="U45" s="241"/>
      <c r="V45" s="241"/>
      <c r="W45" s="241"/>
      <c r="X45" s="241"/>
      <c r="Y45" s="241"/>
      <c r="Z45" s="241"/>
      <c r="AA45" s="241"/>
      <c r="AB45" s="290">
        <f t="shared" si="0"/>
        <v>270</v>
      </c>
      <c r="AC45" s="290" t="e">
        <f t="shared" si="1"/>
        <v>#N/A</v>
      </c>
      <c r="AD45" s="290">
        <f t="shared" si="2"/>
        <v>27</v>
      </c>
      <c r="AE45" s="290">
        <f t="shared" si="3"/>
        <v>243</v>
      </c>
    </row>
    <row r="46" spans="1:31" x14ac:dyDescent="0.25">
      <c r="A46" s="280"/>
      <c r="B46" s="331">
        <f>Crop!B82</f>
        <v>41673</v>
      </c>
      <c r="C46" s="332">
        <f t="shared" si="4"/>
        <v>270</v>
      </c>
      <c r="D46" s="332" t="str">
        <f t="shared" si="5"/>
        <v/>
      </c>
      <c r="E46" s="332">
        <f t="shared" si="6"/>
        <v>27</v>
      </c>
      <c r="F46" s="332">
        <f t="shared" si="7"/>
        <v>243</v>
      </c>
      <c r="G46" s="241"/>
      <c r="H46" s="241"/>
      <c r="I46" s="241"/>
      <c r="J46" s="241"/>
      <c r="K46" s="289"/>
      <c r="L46" s="289"/>
      <c r="M46" s="241"/>
      <c r="N46" s="241"/>
      <c r="O46" s="241"/>
      <c r="P46" s="241"/>
      <c r="Q46" s="241"/>
      <c r="R46" s="241"/>
      <c r="S46" s="241"/>
      <c r="T46" s="241"/>
      <c r="U46" s="241"/>
      <c r="V46" s="241"/>
      <c r="W46" s="241"/>
      <c r="X46" s="241"/>
      <c r="Y46" s="241"/>
      <c r="Z46" s="241"/>
      <c r="AA46" s="241"/>
      <c r="AB46" s="290">
        <f t="shared" si="0"/>
        <v>270</v>
      </c>
      <c r="AC46" s="290" t="e">
        <f t="shared" si="1"/>
        <v>#N/A</v>
      </c>
      <c r="AD46" s="290">
        <f t="shared" si="2"/>
        <v>27</v>
      </c>
      <c r="AE46" s="290">
        <f t="shared" si="3"/>
        <v>243</v>
      </c>
    </row>
    <row r="47" spans="1:31" x14ac:dyDescent="0.25">
      <c r="A47" s="280"/>
      <c r="B47" s="331">
        <f>Crop!B83</f>
        <v>41674</v>
      </c>
      <c r="C47" s="332">
        <f t="shared" si="4"/>
        <v>270</v>
      </c>
      <c r="D47" s="332" t="str">
        <f t="shared" si="5"/>
        <v/>
      </c>
      <c r="E47" s="332">
        <f t="shared" si="6"/>
        <v>27</v>
      </c>
      <c r="F47" s="332">
        <f t="shared" si="7"/>
        <v>243</v>
      </c>
      <c r="G47" s="241"/>
      <c r="H47" s="241"/>
      <c r="I47" s="241"/>
      <c r="J47" s="241"/>
      <c r="K47" s="289"/>
      <c r="L47" s="289"/>
      <c r="M47" s="241"/>
      <c r="N47" s="241"/>
      <c r="O47" s="241"/>
      <c r="P47" s="241"/>
      <c r="Q47" s="241"/>
      <c r="R47" s="241"/>
      <c r="S47" s="241"/>
      <c r="T47" s="241"/>
      <c r="U47" s="241"/>
      <c r="V47" s="241"/>
      <c r="W47" s="241"/>
      <c r="X47" s="241"/>
      <c r="Y47" s="241"/>
      <c r="Z47" s="241"/>
      <c r="AA47" s="241"/>
      <c r="AB47" s="290">
        <f t="shared" si="0"/>
        <v>270</v>
      </c>
      <c r="AC47" s="290" t="e">
        <f t="shared" si="1"/>
        <v>#N/A</v>
      </c>
      <c r="AD47" s="290">
        <f t="shared" si="2"/>
        <v>27</v>
      </c>
      <c r="AE47" s="290">
        <f t="shared" si="3"/>
        <v>243</v>
      </c>
    </row>
    <row r="48" spans="1:31" x14ac:dyDescent="0.25">
      <c r="A48" s="280"/>
      <c r="B48" s="331">
        <f>Crop!B84</f>
        <v>41675</v>
      </c>
      <c r="C48" s="332">
        <f t="shared" si="4"/>
        <v>270</v>
      </c>
      <c r="D48" s="332" t="str">
        <f t="shared" si="5"/>
        <v/>
      </c>
      <c r="E48" s="332">
        <f t="shared" si="6"/>
        <v>27</v>
      </c>
      <c r="F48" s="332">
        <f t="shared" si="7"/>
        <v>243</v>
      </c>
      <c r="G48" s="241"/>
      <c r="H48" s="241"/>
      <c r="I48" s="241"/>
      <c r="J48" s="241"/>
      <c r="K48" s="289"/>
      <c r="L48" s="289"/>
      <c r="M48" s="241"/>
      <c r="N48" s="241"/>
      <c r="O48" s="241"/>
      <c r="P48" s="241"/>
      <c r="Q48" s="241"/>
      <c r="R48" s="241"/>
      <c r="S48" s="241"/>
      <c r="T48" s="241"/>
      <c r="U48" s="241"/>
      <c r="V48" s="241"/>
      <c r="W48" s="241"/>
      <c r="X48" s="241"/>
      <c r="Y48" s="241"/>
      <c r="Z48" s="241"/>
      <c r="AA48" s="241"/>
      <c r="AB48" s="290">
        <f t="shared" si="0"/>
        <v>270</v>
      </c>
      <c r="AC48" s="290" t="e">
        <f t="shared" si="1"/>
        <v>#N/A</v>
      </c>
      <c r="AD48" s="290">
        <f t="shared" si="2"/>
        <v>27</v>
      </c>
      <c r="AE48" s="290">
        <f t="shared" si="3"/>
        <v>243</v>
      </c>
    </row>
    <row r="49" spans="1:31" x14ac:dyDescent="0.25">
      <c r="A49" s="280"/>
      <c r="B49" s="331">
        <f>Crop!B85</f>
        <v>41676</v>
      </c>
      <c r="C49" s="332">
        <f t="shared" si="4"/>
        <v>270</v>
      </c>
      <c r="D49" s="332" t="str">
        <f t="shared" si="5"/>
        <v/>
      </c>
      <c r="E49" s="332">
        <f t="shared" si="6"/>
        <v>27</v>
      </c>
      <c r="F49" s="332">
        <f t="shared" si="7"/>
        <v>243</v>
      </c>
      <c r="G49" s="241"/>
      <c r="H49" s="241"/>
      <c r="I49" s="241"/>
      <c r="J49" s="241"/>
      <c r="K49" s="289"/>
      <c r="L49" s="289"/>
      <c r="M49" s="241"/>
      <c r="N49" s="241"/>
      <c r="O49" s="241"/>
      <c r="P49" s="241"/>
      <c r="Q49" s="241"/>
      <c r="R49" s="241"/>
      <c r="S49" s="241"/>
      <c r="T49" s="241"/>
      <c r="U49" s="241"/>
      <c r="V49" s="241"/>
      <c r="W49" s="241"/>
      <c r="X49" s="241"/>
      <c r="Y49" s="241"/>
      <c r="Z49" s="241"/>
      <c r="AA49" s="241"/>
      <c r="AB49" s="290">
        <f t="shared" si="0"/>
        <v>270</v>
      </c>
      <c r="AC49" s="290" t="e">
        <f t="shared" si="1"/>
        <v>#N/A</v>
      </c>
      <c r="AD49" s="290">
        <f t="shared" si="2"/>
        <v>27</v>
      </c>
      <c r="AE49" s="290">
        <f t="shared" si="3"/>
        <v>243</v>
      </c>
    </row>
    <row r="50" spans="1:31" x14ac:dyDescent="0.25">
      <c r="A50" s="280"/>
      <c r="B50" s="331">
        <f>Crop!B86</f>
        <v>41677</v>
      </c>
      <c r="C50" s="332">
        <f t="shared" si="4"/>
        <v>270</v>
      </c>
      <c r="D50" s="332" t="str">
        <f t="shared" si="5"/>
        <v/>
      </c>
      <c r="E50" s="332">
        <f t="shared" si="6"/>
        <v>27</v>
      </c>
      <c r="F50" s="332">
        <f t="shared" si="7"/>
        <v>243</v>
      </c>
      <c r="G50" s="241"/>
      <c r="H50" s="241"/>
      <c r="I50" s="241"/>
      <c r="J50" s="241"/>
      <c r="K50" s="289"/>
      <c r="L50" s="289"/>
      <c r="M50" s="241"/>
      <c r="N50" s="241"/>
      <c r="O50" s="241"/>
      <c r="P50" s="241"/>
      <c r="Q50" s="241"/>
      <c r="R50" s="241"/>
      <c r="S50" s="241"/>
      <c r="T50" s="241"/>
      <c r="U50" s="241"/>
      <c r="V50" s="241"/>
      <c r="W50" s="241"/>
      <c r="X50" s="241"/>
      <c r="Y50" s="241"/>
      <c r="Z50" s="241"/>
      <c r="AA50" s="241"/>
      <c r="AB50" s="290">
        <f t="shared" si="0"/>
        <v>270</v>
      </c>
      <c r="AC50" s="290" t="e">
        <f t="shared" si="1"/>
        <v>#N/A</v>
      </c>
      <c r="AD50" s="290">
        <f t="shared" si="2"/>
        <v>27</v>
      </c>
      <c r="AE50" s="290">
        <f t="shared" si="3"/>
        <v>243</v>
      </c>
    </row>
    <row r="51" spans="1:31" x14ac:dyDescent="0.25">
      <c r="A51" s="280"/>
      <c r="B51" s="331">
        <f>Crop!B87</f>
        <v>41678</v>
      </c>
      <c r="C51" s="332">
        <f t="shared" si="4"/>
        <v>270</v>
      </c>
      <c r="D51" s="332" t="str">
        <f t="shared" si="5"/>
        <v/>
      </c>
      <c r="E51" s="332">
        <f t="shared" si="6"/>
        <v>27</v>
      </c>
      <c r="F51" s="332">
        <f t="shared" si="7"/>
        <v>243</v>
      </c>
      <c r="G51" s="241"/>
      <c r="H51" s="241"/>
      <c r="I51" s="241"/>
      <c r="J51" s="241"/>
      <c r="K51" s="289"/>
      <c r="L51" s="289"/>
      <c r="M51" s="241"/>
      <c r="N51" s="241"/>
      <c r="O51" s="241"/>
      <c r="P51" s="241"/>
      <c r="Q51" s="241"/>
      <c r="R51" s="241"/>
      <c r="S51" s="241"/>
      <c r="T51" s="241"/>
      <c r="U51" s="241"/>
      <c r="V51" s="241"/>
      <c r="W51" s="241"/>
      <c r="X51" s="241"/>
      <c r="Y51" s="241"/>
      <c r="Z51" s="241"/>
      <c r="AA51" s="241"/>
      <c r="AB51" s="290">
        <f t="shared" si="0"/>
        <v>270</v>
      </c>
      <c r="AC51" s="290" t="e">
        <f t="shared" si="1"/>
        <v>#N/A</v>
      </c>
      <c r="AD51" s="290">
        <f t="shared" si="2"/>
        <v>27</v>
      </c>
      <c r="AE51" s="290">
        <f t="shared" si="3"/>
        <v>243</v>
      </c>
    </row>
    <row r="52" spans="1:31" x14ac:dyDescent="0.25">
      <c r="A52" s="280"/>
      <c r="B52" s="331">
        <f>Crop!B88</f>
        <v>41679</v>
      </c>
      <c r="C52" s="332">
        <f t="shared" si="4"/>
        <v>270</v>
      </c>
      <c r="D52" s="332" t="str">
        <f t="shared" si="5"/>
        <v/>
      </c>
      <c r="E52" s="332">
        <f t="shared" si="6"/>
        <v>27</v>
      </c>
      <c r="F52" s="332">
        <f t="shared" si="7"/>
        <v>243</v>
      </c>
      <c r="G52" s="241"/>
      <c r="H52" s="241"/>
      <c r="I52" s="241"/>
      <c r="J52" s="241"/>
      <c r="K52" s="289"/>
      <c r="L52" s="289"/>
      <c r="M52" s="241"/>
      <c r="N52" s="241"/>
      <c r="O52" s="241"/>
      <c r="P52" s="241"/>
      <c r="Q52" s="241"/>
      <c r="R52" s="241"/>
      <c r="S52" s="241"/>
      <c r="T52" s="241"/>
      <c r="U52" s="241"/>
      <c r="V52" s="241"/>
      <c r="W52" s="241"/>
      <c r="X52" s="241"/>
      <c r="Y52" s="241"/>
      <c r="Z52" s="241"/>
      <c r="AA52" s="241"/>
      <c r="AB52" s="290">
        <f t="shared" si="0"/>
        <v>270</v>
      </c>
      <c r="AC52" s="290" t="e">
        <f t="shared" si="1"/>
        <v>#N/A</v>
      </c>
      <c r="AD52" s="290">
        <f t="shared" si="2"/>
        <v>27</v>
      </c>
      <c r="AE52" s="290">
        <f t="shared" si="3"/>
        <v>243</v>
      </c>
    </row>
    <row r="53" spans="1:31" x14ac:dyDescent="0.25">
      <c r="A53" s="280"/>
      <c r="B53" s="331">
        <f>Crop!B89</f>
        <v>41680</v>
      </c>
      <c r="C53" s="332">
        <f t="shared" si="4"/>
        <v>270</v>
      </c>
      <c r="D53" s="332" t="str">
        <f t="shared" si="5"/>
        <v/>
      </c>
      <c r="E53" s="332">
        <f t="shared" si="6"/>
        <v>27</v>
      </c>
      <c r="F53" s="332">
        <f t="shared" si="7"/>
        <v>243</v>
      </c>
      <c r="G53" s="241"/>
      <c r="H53" s="241"/>
      <c r="I53" s="241"/>
      <c r="J53" s="241"/>
      <c r="K53" s="289"/>
      <c r="L53" s="289"/>
      <c r="M53" s="241"/>
      <c r="N53" s="241"/>
      <c r="O53" s="241"/>
      <c r="P53" s="241"/>
      <c r="Q53" s="241"/>
      <c r="R53" s="241"/>
      <c r="S53" s="241"/>
      <c r="T53" s="241"/>
      <c r="U53" s="241"/>
      <c r="V53" s="241"/>
      <c r="W53" s="241"/>
      <c r="X53" s="241"/>
      <c r="Y53" s="241"/>
      <c r="Z53" s="241"/>
      <c r="AA53" s="241"/>
      <c r="AB53" s="290">
        <f t="shared" si="0"/>
        <v>270</v>
      </c>
      <c r="AC53" s="290" t="e">
        <f t="shared" si="1"/>
        <v>#N/A</v>
      </c>
      <c r="AD53" s="290">
        <f t="shared" si="2"/>
        <v>27</v>
      </c>
      <c r="AE53" s="290">
        <f t="shared" si="3"/>
        <v>243</v>
      </c>
    </row>
    <row r="54" spans="1:31" x14ac:dyDescent="0.25">
      <c r="A54" s="280"/>
      <c r="B54" s="331">
        <f>Crop!B90</f>
        <v>41681</v>
      </c>
      <c r="C54" s="332">
        <f t="shared" si="4"/>
        <v>270</v>
      </c>
      <c r="D54" s="332" t="str">
        <f t="shared" si="5"/>
        <v/>
      </c>
      <c r="E54" s="332">
        <f t="shared" si="6"/>
        <v>27</v>
      </c>
      <c r="F54" s="332">
        <f t="shared" si="7"/>
        <v>243</v>
      </c>
      <c r="G54" s="241"/>
      <c r="H54" s="241"/>
      <c r="I54" s="241"/>
      <c r="J54" s="241"/>
      <c r="K54" s="289"/>
      <c r="L54" s="289"/>
      <c r="M54" s="241"/>
      <c r="N54" s="241"/>
      <c r="O54" s="241"/>
      <c r="P54" s="241"/>
      <c r="Q54" s="241"/>
      <c r="R54" s="241"/>
      <c r="S54" s="241"/>
      <c r="T54" s="241"/>
      <c r="U54" s="241"/>
      <c r="V54" s="241"/>
      <c r="W54" s="241"/>
      <c r="X54" s="241"/>
      <c r="Y54" s="241"/>
      <c r="Z54" s="241"/>
      <c r="AA54" s="241"/>
      <c r="AB54" s="290">
        <f t="shared" si="0"/>
        <v>270</v>
      </c>
      <c r="AC54" s="290" t="e">
        <f t="shared" si="1"/>
        <v>#N/A</v>
      </c>
      <c r="AD54" s="290">
        <f t="shared" si="2"/>
        <v>27</v>
      </c>
      <c r="AE54" s="290">
        <f t="shared" si="3"/>
        <v>243</v>
      </c>
    </row>
    <row r="55" spans="1:31" x14ac:dyDescent="0.25">
      <c r="A55" s="280"/>
      <c r="B55" s="331">
        <f>Crop!B91</f>
        <v>41682</v>
      </c>
      <c r="C55" s="332">
        <f t="shared" si="4"/>
        <v>270</v>
      </c>
      <c r="D55" s="332" t="str">
        <f t="shared" si="5"/>
        <v/>
      </c>
      <c r="E55" s="332">
        <f t="shared" si="6"/>
        <v>27</v>
      </c>
      <c r="F55" s="332">
        <f t="shared" si="7"/>
        <v>243</v>
      </c>
      <c r="G55" s="241"/>
      <c r="H55" s="241"/>
      <c r="I55" s="241"/>
      <c r="J55" s="241"/>
      <c r="K55" s="289"/>
      <c r="L55" s="289"/>
      <c r="M55" s="241"/>
      <c r="N55" s="241"/>
      <c r="O55" s="241"/>
      <c r="P55" s="241"/>
      <c r="Q55" s="241"/>
      <c r="R55" s="241"/>
      <c r="S55" s="241"/>
      <c r="T55" s="241"/>
      <c r="U55" s="241"/>
      <c r="V55" s="241"/>
      <c r="W55" s="241"/>
      <c r="X55" s="241"/>
      <c r="Y55" s="241"/>
      <c r="Z55" s="241"/>
      <c r="AA55" s="241"/>
      <c r="AB55" s="290">
        <f t="shared" si="0"/>
        <v>270</v>
      </c>
      <c r="AC55" s="290" t="e">
        <f t="shared" si="1"/>
        <v>#N/A</v>
      </c>
      <c r="AD55" s="290">
        <f t="shared" si="2"/>
        <v>27</v>
      </c>
      <c r="AE55" s="290">
        <f t="shared" si="3"/>
        <v>243</v>
      </c>
    </row>
    <row r="56" spans="1:31" x14ac:dyDescent="0.25">
      <c r="A56" s="280"/>
      <c r="B56" s="331">
        <f>Crop!B92</f>
        <v>41683</v>
      </c>
      <c r="C56" s="332">
        <f t="shared" si="4"/>
        <v>270</v>
      </c>
      <c r="D56" s="332" t="str">
        <f t="shared" si="5"/>
        <v/>
      </c>
      <c r="E56" s="332">
        <f t="shared" si="6"/>
        <v>27</v>
      </c>
      <c r="F56" s="332">
        <f t="shared" si="7"/>
        <v>243</v>
      </c>
      <c r="G56" s="241"/>
      <c r="H56" s="241"/>
      <c r="I56" s="241"/>
      <c r="J56" s="241"/>
      <c r="K56" s="289"/>
      <c r="L56" s="289"/>
      <c r="M56" s="241"/>
      <c r="N56" s="241"/>
      <c r="O56" s="241"/>
      <c r="P56" s="241"/>
      <c r="Q56" s="241"/>
      <c r="R56" s="241"/>
      <c r="S56" s="241"/>
      <c r="T56" s="241"/>
      <c r="U56" s="241"/>
      <c r="V56" s="241"/>
      <c r="W56" s="241"/>
      <c r="X56" s="241"/>
      <c r="Y56" s="241"/>
      <c r="Z56" s="241"/>
      <c r="AA56" s="241"/>
      <c r="AB56" s="290">
        <f t="shared" si="0"/>
        <v>270</v>
      </c>
      <c r="AC56" s="290" t="e">
        <f t="shared" si="1"/>
        <v>#N/A</v>
      </c>
      <c r="AD56" s="290">
        <f t="shared" si="2"/>
        <v>27</v>
      </c>
      <c r="AE56" s="290">
        <f t="shared" si="3"/>
        <v>243</v>
      </c>
    </row>
    <row r="57" spans="1:31" x14ac:dyDescent="0.25">
      <c r="A57" s="280"/>
      <c r="B57" s="331">
        <f>Crop!B93</f>
        <v>41684</v>
      </c>
      <c r="C57" s="332">
        <f t="shared" si="4"/>
        <v>270</v>
      </c>
      <c r="D57" s="332" t="str">
        <f t="shared" si="5"/>
        <v/>
      </c>
      <c r="E57" s="332">
        <f t="shared" si="6"/>
        <v>27</v>
      </c>
      <c r="F57" s="332">
        <f t="shared" si="7"/>
        <v>243</v>
      </c>
      <c r="G57" s="241"/>
      <c r="H57" s="241"/>
      <c r="I57" s="241"/>
      <c r="J57" s="241"/>
      <c r="K57" s="289"/>
      <c r="L57" s="289"/>
      <c r="M57" s="241"/>
      <c r="N57" s="241"/>
      <c r="O57" s="241"/>
      <c r="P57" s="241"/>
      <c r="Q57" s="241"/>
      <c r="R57" s="241"/>
      <c r="S57" s="241"/>
      <c r="T57" s="241"/>
      <c r="U57" s="241"/>
      <c r="V57" s="241"/>
      <c r="W57" s="241"/>
      <c r="X57" s="241"/>
      <c r="Y57" s="241"/>
      <c r="Z57" s="241"/>
      <c r="AA57" s="241"/>
      <c r="AB57" s="290">
        <f t="shared" si="0"/>
        <v>270</v>
      </c>
      <c r="AC57" s="290" t="e">
        <f t="shared" si="1"/>
        <v>#N/A</v>
      </c>
      <c r="AD57" s="290">
        <f t="shared" si="2"/>
        <v>27</v>
      </c>
      <c r="AE57" s="290">
        <f t="shared" si="3"/>
        <v>243</v>
      </c>
    </row>
    <row r="58" spans="1:31" x14ac:dyDescent="0.25">
      <c r="A58" s="280"/>
      <c r="B58" s="331">
        <f>Crop!B94</f>
        <v>41685</v>
      </c>
      <c r="C58" s="332">
        <f t="shared" si="4"/>
        <v>270</v>
      </c>
      <c r="D58" s="332" t="str">
        <f t="shared" si="5"/>
        <v/>
      </c>
      <c r="E58" s="332">
        <f t="shared" si="6"/>
        <v>27</v>
      </c>
      <c r="F58" s="332">
        <f t="shared" si="7"/>
        <v>243</v>
      </c>
      <c r="G58" s="241"/>
      <c r="H58" s="241"/>
      <c r="I58" s="241"/>
      <c r="J58" s="241"/>
      <c r="K58" s="289"/>
      <c r="L58" s="289"/>
      <c r="M58" s="241"/>
      <c r="N58" s="241"/>
      <c r="O58" s="241"/>
      <c r="P58" s="241"/>
      <c r="Q58" s="241"/>
      <c r="R58" s="241"/>
      <c r="S58" s="241"/>
      <c r="T58" s="241"/>
      <c r="U58" s="241"/>
      <c r="V58" s="241"/>
      <c r="W58" s="241"/>
      <c r="X58" s="241"/>
      <c r="Y58" s="241"/>
      <c r="Z58" s="241"/>
      <c r="AA58" s="241"/>
      <c r="AB58" s="290">
        <f t="shared" si="0"/>
        <v>270</v>
      </c>
      <c r="AC58" s="290" t="e">
        <f t="shared" si="1"/>
        <v>#N/A</v>
      </c>
      <c r="AD58" s="290">
        <f t="shared" si="2"/>
        <v>27</v>
      </c>
      <c r="AE58" s="290">
        <f t="shared" si="3"/>
        <v>243</v>
      </c>
    </row>
    <row r="59" spans="1:31" x14ac:dyDescent="0.25">
      <c r="A59" s="280"/>
      <c r="B59" s="331">
        <f>Crop!B95</f>
        <v>41686</v>
      </c>
      <c r="C59" s="332">
        <f t="shared" si="4"/>
        <v>270</v>
      </c>
      <c r="D59" s="332" t="str">
        <f t="shared" si="5"/>
        <v/>
      </c>
      <c r="E59" s="332">
        <f t="shared" si="6"/>
        <v>27</v>
      </c>
      <c r="F59" s="332">
        <f t="shared" si="7"/>
        <v>243</v>
      </c>
      <c r="G59" s="241"/>
      <c r="H59" s="241"/>
      <c r="I59" s="241"/>
      <c r="J59" s="241"/>
      <c r="K59" s="289"/>
      <c r="L59" s="289"/>
      <c r="M59" s="241"/>
      <c r="N59" s="241"/>
      <c r="O59" s="241"/>
      <c r="P59" s="241"/>
      <c r="Q59" s="241"/>
      <c r="R59" s="241"/>
      <c r="S59" s="241"/>
      <c r="T59" s="241"/>
      <c r="U59" s="241"/>
      <c r="V59" s="241"/>
      <c r="W59" s="241"/>
      <c r="X59" s="241"/>
      <c r="Y59" s="241"/>
      <c r="Z59" s="241"/>
      <c r="AA59" s="241"/>
      <c r="AB59" s="290">
        <f t="shared" si="0"/>
        <v>270</v>
      </c>
      <c r="AC59" s="290" t="e">
        <f t="shared" si="1"/>
        <v>#N/A</v>
      </c>
      <c r="AD59" s="290">
        <f t="shared" si="2"/>
        <v>27</v>
      </c>
      <c r="AE59" s="290">
        <f t="shared" si="3"/>
        <v>243</v>
      </c>
    </row>
    <row r="60" spans="1:31" x14ac:dyDescent="0.25">
      <c r="A60" s="280"/>
      <c r="B60" s="331">
        <f>Crop!B96</f>
        <v>41687</v>
      </c>
      <c r="C60" s="332">
        <f t="shared" si="4"/>
        <v>270</v>
      </c>
      <c r="D60" s="332" t="str">
        <f t="shared" si="5"/>
        <v/>
      </c>
      <c r="E60" s="332">
        <f t="shared" si="6"/>
        <v>27</v>
      </c>
      <c r="F60" s="332">
        <f t="shared" si="7"/>
        <v>243</v>
      </c>
      <c r="G60" s="241"/>
      <c r="H60" s="241"/>
      <c r="I60" s="241"/>
      <c r="J60" s="241"/>
      <c r="K60" s="289"/>
      <c r="L60" s="289"/>
      <c r="M60" s="241"/>
      <c r="N60" s="241"/>
      <c r="O60" s="241"/>
      <c r="P60" s="241"/>
      <c r="Q60" s="241"/>
      <c r="R60" s="241"/>
      <c r="S60" s="241"/>
      <c r="T60" s="241"/>
      <c r="U60" s="241"/>
      <c r="V60" s="241"/>
      <c r="W60" s="241"/>
      <c r="X60" s="241"/>
      <c r="Y60" s="241"/>
      <c r="Z60" s="241"/>
      <c r="AA60" s="241"/>
      <c r="AB60" s="290">
        <f t="shared" si="0"/>
        <v>270</v>
      </c>
      <c r="AC60" s="290" t="e">
        <f t="shared" si="1"/>
        <v>#N/A</v>
      </c>
      <c r="AD60" s="290">
        <f t="shared" si="2"/>
        <v>27</v>
      </c>
      <c r="AE60" s="290">
        <f t="shared" si="3"/>
        <v>243</v>
      </c>
    </row>
    <row r="61" spans="1:31" x14ac:dyDescent="0.25">
      <c r="A61" s="280"/>
      <c r="B61" s="331">
        <f>Crop!B97</f>
        <v>41688</v>
      </c>
      <c r="C61" s="332">
        <f t="shared" si="4"/>
        <v>270</v>
      </c>
      <c r="D61" s="332" t="str">
        <f t="shared" si="5"/>
        <v/>
      </c>
      <c r="E61" s="332">
        <f t="shared" si="6"/>
        <v>27</v>
      </c>
      <c r="F61" s="332">
        <f t="shared" si="7"/>
        <v>243</v>
      </c>
      <c r="G61" s="241"/>
      <c r="H61" s="241"/>
      <c r="I61" s="241"/>
      <c r="J61" s="241"/>
      <c r="K61" s="289"/>
      <c r="L61" s="289"/>
      <c r="M61" s="241"/>
      <c r="N61" s="241"/>
      <c r="O61" s="241"/>
      <c r="P61" s="241"/>
      <c r="Q61" s="241"/>
      <c r="R61" s="241"/>
      <c r="S61" s="241"/>
      <c r="T61" s="241"/>
      <c r="U61" s="241"/>
      <c r="V61" s="241"/>
      <c r="W61" s="241"/>
      <c r="X61" s="241"/>
      <c r="Y61" s="241"/>
      <c r="Z61" s="241"/>
      <c r="AA61" s="241"/>
      <c r="AB61" s="290">
        <f t="shared" si="0"/>
        <v>270</v>
      </c>
      <c r="AC61" s="290" t="e">
        <f t="shared" si="1"/>
        <v>#N/A</v>
      </c>
      <c r="AD61" s="290">
        <f t="shared" si="2"/>
        <v>27</v>
      </c>
      <c r="AE61" s="290">
        <f t="shared" si="3"/>
        <v>243</v>
      </c>
    </row>
    <row r="62" spans="1:31" x14ac:dyDescent="0.25">
      <c r="A62" s="280"/>
      <c r="B62" s="331">
        <f>Crop!B98</f>
        <v>41689</v>
      </c>
      <c r="C62" s="332">
        <f t="shared" si="4"/>
        <v>270</v>
      </c>
      <c r="D62" s="332" t="str">
        <f t="shared" si="5"/>
        <v/>
      </c>
      <c r="E62" s="332">
        <f t="shared" si="6"/>
        <v>27</v>
      </c>
      <c r="F62" s="332">
        <f t="shared" si="7"/>
        <v>243</v>
      </c>
      <c r="G62" s="241"/>
      <c r="H62" s="241"/>
      <c r="I62" s="241"/>
      <c r="J62" s="241"/>
      <c r="K62" s="289"/>
      <c r="L62" s="289"/>
      <c r="M62" s="241"/>
      <c r="N62" s="241"/>
      <c r="O62" s="241"/>
      <c r="P62" s="241"/>
      <c r="Q62" s="241"/>
      <c r="R62" s="241"/>
      <c r="S62" s="241"/>
      <c r="T62" s="241"/>
      <c r="U62" s="241"/>
      <c r="V62" s="241"/>
      <c r="W62" s="241"/>
      <c r="X62" s="241"/>
      <c r="Y62" s="241"/>
      <c r="Z62" s="241"/>
      <c r="AA62" s="241"/>
      <c r="AB62" s="290">
        <f t="shared" si="0"/>
        <v>270</v>
      </c>
      <c r="AC62" s="290" t="e">
        <f t="shared" si="1"/>
        <v>#N/A</v>
      </c>
      <c r="AD62" s="290">
        <f t="shared" si="2"/>
        <v>27</v>
      </c>
      <c r="AE62" s="290">
        <f t="shared" si="3"/>
        <v>243</v>
      </c>
    </row>
    <row r="63" spans="1:31" x14ac:dyDescent="0.25">
      <c r="A63" s="280"/>
      <c r="B63" s="331">
        <f>Crop!B99</f>
        <v>41690</v>
      </c>
      <c r="C63" s="332">
        <f t="shared" si="4"/>
        <v>270</v>
      </c>
      <c r="D63" s="332" t="str">
        <f t="shared" si="5"/>
        <v/>
      </c>
      <c r="E63" s="332">
        <f t="shared" si="6"/>
        <v>27</v>
      </c>
      <c r="F63" s="332">
        <f t="shared" si="7"/>
        <v>243</v>
      </c>
      <c r="G63" s="241"/>
      <c r="H63" s="241"/>
      <c r="I63" s="241"/>
      <c r="J63" s="241"/>
      <c r="K63" s="289"/>
      <c r="L63" s="289"/>
      <c r="M63" s="241"/>
      <c r="N63" s="241"/>
      <c r="O63" s="241"/>
      <c r="P63" s="241"/>
      <c r="Q63" s="241"/>
      <c r="R63" s="241"/>
      <c r="S63" s="241"/>
      <c r="T63" s="241"/>
      <c r="U63" s="241"/>
      <c r="V63" s="241"/>
      <c r="W63" s="241"/>
      <c r="X63" s="241"/>
      <c r="Y63" s="241"/>
      <c r="Z63" s="241"/>
      <c r="AA63" s="241"/>
      <c r="AB63" s="290">
        <f t="shared" si="0"/>
        <v>270</v>
      </c>
      <c r="AC63" s="290" t="e">
        <f t="shared" si="1"/>
        <v>#N/A</v>
      </c>
      <c r="AD63" s="290">
        <f t="shared" si="2"/>
        <v>27</v>
      </c>
      <c r="AE63" s="290">
        <f t="shared" si="3"/>
        <v>243</v>
      </c>
    </row>
    <row r="64" spans="1:31" x14ac:dyDescent="0.25">
      <c r="A64" s="280"/>
      <c r="B64" s="331">
        <f>Crop!B100</f>
        <v>41691</v>
      </c>
      <c r="C64" s="332">
        <f t="shared" si="4"/>
        <v>270</v>
      </c>
      <c r="D64" s="332" t="str">
        <f t="shared" si="5"/>
        <v/>
      </c>
      <c r="E64" s="332">
        <f t="shared" si="6"/>
        <v>27</v>
      </c>
      <c r="F64" s="332">
        <f t="shared" si="7"/>
        <v>243</v>
      </c>
      <c r="G64" s="241"/>
      <c r="H64" s="241"/>
      <c r="I64" s="241"/>
      <c r="J64" s="241"/>
      <c r="K64" s="289"/>
      <c r="L64" s="289"/>
      <c r="M64" s="241"/>
      <c r="N64" s="241"/>
      <c r="O64" s="241"/>
      <c r="P64" s="241"/>
      <c r="Q64" s="241"/>
      <c r="R64" s="241"/>
      <c r="S64" s="241"/>
      <c r="T64" s="241"/>
      <c r="U64" s="241"/>
      <c r="V64" s="241"/>
      <c r="W64" s="241"/>
      <c r="X64" s="241"/>
      <c r="Y64" s="241"/>
      <c r="Z64" s="241"/>
      <c r="AA64" s="241"/>
      <c r="AB64" s="290">
        <f t="shared" si="0"/>
        <v>270</v>
      </c>
      <c r="AC64" s="290" t="e">
        <f t="shared" si="1"/>
        <v>#N/A</v>
      </c>
      <c r="AD64" s="290">
        <f t="shared" si="2"/>
        <v>27</v>
      </c>
      <c r="AE64" s="290">
        <f t="shared" si="3"/>
        <v>243</v>
      </c>
    </row>
    <row r="65" spans="1:31" x14ac:dyDescent="0.25">
      <c r="A65" s="280"/>
      <c r="B65" s="331">
        <f>Crop!B101</f>
        <v>41692</v>
      </c>
      <c r="C65" s="332">
        <f t="shared" si="4"/>
        <v>270</v>
      </c>
      <c r="D65" s="332" t="str">
        <f t="shared" si="5"/>
        <v/>
      </c>
      <c r="E65" s="332">
        <f t="shared" si="6"/>
        <v>27</v>
      </c>
      <c r="F65" s="332">
        <f t="shared" si="7"/>
        <v>243</v>
      </c>
      <c r="G65" s="241"/>
      <c r="H65" s="241"/>
      <c r="I65" s="241"/>
      <c r="J65" s="241"/>
      <c r="K65" s="289"/>
      <c r="L65" s="289"/>
      <c r="M65" s="241"/>
      <c r="N65" s="241"/>
      <c r="O65" s="241"/>
      <c r="P65" s="241"/>
      <c r="Q65" s="241"/>
      <c r="R65" s="241"/>
      <c r="S65" s="241"/>
      <c r="T65" s="241"/>
      <c r="U65" s="241"/>
      <c r="V65" s="241"/>
      <c r="W65" s="241"/>
      <c r="X65" s="241"/>
      <c r="Y65" s="241"/>
      <c r="Z65" s="241"/>
      <c r="AA65" s="241"/>
      <c r="AB65" s="290">
        <f t="shared" si="0"/>
        <v>270</v>
      </c>
      <c r="AC65" s="290" t="e">
        <f t="shared" si="1"/>
        <v>#N/A</v>
      </c>
      <c r="AD65" s="290">
        <f t="shared" si="2"/>
        <v>27</v>
      </c>
      <c r="AE65" s="290">
        <f t="shared" si="3"/>
        <v>243</v>
      </c>
    </row>
    <row r="66" spans="1:31" x14ac:dyDescent="0.25">
      <c r="A66" s="280"/>
      <c r="B66" s="331">
        <f>Crop!B102</f>
        <v>41693</v>
      </c>
      <c r="C66" s="332">
        <f t="shared" si="4"/>
        <v>270</v>
      </c>
      <c r="D66" s="332" t="str">
        <f t="shared" si="5"/>
        <v/>
      </c>
      <c r="E66" s="332">
        <f t="shared" si="6"/>
        <v>27</v>
      </c>
      <c r="F66" s="332">
        <f t="shared" si="7"/>
        <v>243</v>
      </c>
      <c r="G66" s="241"/>
      <c r="H66" s="241"/>
      <c r="I66" s="241"/>
      <c r="J66" s="241"/>
      <c r="K66" s="289"/>
      <c r="L66" s="289"/>
      <c r="M66" s="241"/>
      <c r="N66" s="241"/>
      <c r="O66" s="241"/>
      <c r="P66" s="241"/>
      <c r="Q66" s="241"/>
      <c r="R66" s="241"/>
      <c r="S66" s="241"/>
      <c r="T66" s="241"/>
      <c r="U66" s="241"/>
      <c r="V66" s="241"/>
      <c r="W66" s="241"/>
      <c r="X66" s="241"/>
      <c r="Y66" s="241"/>
      <c r="Z66" s="241"/>
      <c r="AA66" s="241"/>
      <c r="AB66" s="290">
        <f t="shared" si="0"/>
        <v>270</v>
      </c>
      <c r="AC66" s="290" t="e">
        <f t="shared" si="1"/>
        <v>#N/A</v>
      </c>
      <c r="AD66" s="290">
        <f t="shared" si="2"/>
        <v>27</v>
      </c>
      <c r="AE66" s="290">
        <f t="shared" si="3"/>
        <v>243</v>
      </c>
    </row>
    <row r="67" spans="1:31" x14ac:dyDescent="0.25">
      <c r="A67" s="280"/>
      <c r="B67" s="331">
        <f>Crop!B103</f>
        <v>41694</v>
      </c>
      <c r="C67" s="332">
        <f t="shared" si="4"/>
        <v>270</v>
      </c>
      <c r="D67" s="332" t="str">
        <f t="shared" si="5"/>
        <v/>
      </c>
      <c r="E67" s="332">
        <f t="shared" si="6"/>
        <v>27</v>
      </c>
      <c r="F67" s="332">
        <f t="shared" si="7"/>
        <v>243</v>
      </c>
      <c r="G67" s="241"/>
      <c r="H67" s="241"/>
      <c r="I67" s="241"/>
      <c r="J67" s="241"/>
      <c r="K67" s="289"/>
      <c r="L67" s="289"/>
      <c r="M67" s="241"/>
      <c r="N67" s="241"/>
      <c r="O67" s="241"/>
      <c r="P67" s="241"/>
      <c r="Q67" s="241"/>
      <c r="R67" s="241"/>
      <c r="S67" s="241"/>
      <c r="T67" s="241"/>
      <c r="U67" s="241"/>
      <c r="V67" s="241"/>
      <c r="W67" s="241"/>
      <c r="X67" s="241"/>
      <c r="Y67" s="241"/>
      <c r="Z67" s="241"/>
      <c r="AA67" s="241"/>
      <c r="AB67" s="290">
        <f t="shared" si="0"/>
        <v>270</v>
      </c>
      <c r="AC67" s="290" t="e">
        <f t="shared" si="1"/>
        <v>#N/A</v>
      </c>
      <c r="AD67" s="290">
        <f t="shared" si="2"/>
        <v>27</v>
      </c>
      <c r="AE67" s="290">
        <f t="shared" si="3"/>
        <v>243</v>
      </c>
    </row>
    <row r="68" spans="1:31" x14ac:dyDescent="0.25">
      <c r="A68" s="280"/>
      <c r="B68" s="331">
        <f>Crop!B104</f>
        <v>41695</v>
      </c>
      <c r="C68" s="332">
        <f t="shared" si="4"/>
        <v>270</v>
      </c>
      <c r="D68" s="332" t="str">
        <f t="shared" si="5"/>
        <v/>
      </c>
      <c r="E68" s="332">
        <f t="shared" si="6"/>
        <v>27</v>
      </c>
      <c r="F68" s="332">
        <f t="shared" si="7"/>
        <v>243</v>
      </c>
      <c r="G68" s="241"/>
      <c r="H68" s="241"/>
      <c r="I68" s="241"/>
      <c r="J68" s="241"/>
      <c r="K68" s="289"/>
      <c r="L68" s="289"/>
      <c r="M68" s="241"/>
      <c r="N68" s="241"/>
      <c r="O68" s="241"/>
      <c r="P68" s="241"/>
      <c r="Q68" s="241"/>
      <c r="R68" s="241"/>
      <c r="S68" s="241"/>
      <c r="T68" s="241"/>
      <c r="U68" s="241"/>
      <c r="V68" s="241"/>
      <c r="W68" s="241"/>
      <c r="X68" s="241"/>
      <c r="Y68" s="241"/>
      <c r="Z68" s="241"/>
      <c r="AA68" s="241"/>
      <c r="AB68" s="290">
        <f t="shared" si="0"/>
        <v>270</v>
      </c>
      <c r="AC68" s="290" t="e">
        <f t="shared" si="1"/>
        <v>#N/A</v>
      </c>
      <c r="AD68" s="290">
        <f t="shared" si="2"/>
        <v>27</v>
      </c>
      <c r="AE68" s="290">
        <f t="shared" si="3"/>
        <v>243</v>
      </c>
    </row>
    <row r="69" spans="1:31" x14ac:dyDescent="0.25">
      <c r="A69" s="280"/>
      <c r="B69" s="331">
        <f>Crop!B105</f>
        <v>41696</v>
      </c>
      <c r="C69" s="332">
        <f t="shared" si="4"/>
        <v>270</v>
      </c>
      <c r="D69" s="332" t="str">
        <f t="shared" si="5"/>
        <v/>
      </c>
      <c r="E69" s="332">
        <f t="shared" si="6"/>
        <v>27</v>
      </c>
      <c r="F69" s="332">
        <f t="shared" si="7"/>
        <v>243</v>
      </c>
      <c r="G69" s="241"/>
      <c r="H69" s="241"/>
      <c r="I69" s="241"/>
      <c r="J69" s="241"/>
      <c r="K69" s="289"/>
      <c r="L69" s="289"/>
      <c r="M69" s="241"/>
      <c r="N69" s="241"/>
      <c r="O69" s="241"/>
      <c r="P69" s="241"/>
      <c r="Q69" s="241"/>
      <c r="R69" s="241"/>
      <c r="S69" s="241"/>
      <c r="T69" s="241"/>
      <c r="U69" s="241"/>
      <c r="V69" s="241"/>
      <c r="W69" s="241"/>
      <c r="X69" s="241"/>
      <c r="Y69" s="241"/>
      <c r="Z69" s="241"/>
      <c r="AA69" s="241"/>
      <c r="AB69" s="290">
        <f t="shared" si="0"/>
        <v>270</v>
      </c>
      <c r="AC69" s="290" t="e">
        <f t="shared" si="1"/>
        <v>#N/A</v>
      </c>
      <c r="AD69" s="290">
        <f t="shared" si="2"/>
        <v>27</v>
      </c>
      <c r="AE69" s="290">
        <f t="shared" si="3"/>
        <v>243</v>
      </c>
    </row>
    <row r="70" spans="1:31" x14ac:dyDescent="0.25">
      <c r="A70" s="280"/>
      <c r="B70" s="331">
        <f>Crop!B106</f>
        <v>41697</v>
      </c>
      <c r="C70" s="332">
        <f t="shared" si="4"/>
        <v>270</v>
      </c>
      <c r="D70" s="332" t="str">
        <f t="shared" si="5"/>
        <v/>
      </c>
      <c r="E70" s="332">
        <f t="shared" si="6"/>
        <v>27</v>
      </c>
      <c r="F70" s="332">
        <f t="shared" si="7"/>
        <v>243</v>
      </c>
      <c r="G70" s="241"/>
      <c r="H70" s="241"/>
      <c r="I70" s="241"/>
      <c r="J70" s="241"/>
      <c r="K70" s="289"/>
      <c r="L70" s="289"/>
      <c r="M70" s="241"/>
      <c r="N70" s="241"/>
      <c r="O70" s="241"/>
      <c r="P70" s="241"/>
      <c r="Q70" s="241"/>
      <c r="R70" s="241"/>
      <c r="S70" s="241"/>
      <c r="T70" s="241"/>
      <c r="U70" s="241"/>
      <c r="V70" s="241"/>
      <c r="W70" s="241"/>
      <c r="X70" s="241"/>
      <c r="Y70" s="241"/>
      <c r="Z70" s="241"/>
      <c r="AA70" s="241"/>
      <c r="AB70" s="290">
        <f t="shared" si="0"/>
        <v>270</v>
      </c>
      <c r="AC70" s="290" t="e">
        <f t="shared" si="1"/>
        <v>#N/A</v>
      </c>
      <c r="AD70" s="290">
        <f t="shared" si="2"/>
        <v>27</v>
      </c>
      <c r="AE70" s="290">
        <f t="shared" si="3"/>
        <v>243</v>
      </c>
    </row>
    <row r="71" spans="1:31" x14ac:dyDescent="0.25">
      <c r="A71" s="280"/>
      <c r="B71" s="331">
        <f>Crop!B107</f>
        <v>41698</v>
      </c>
      <c r="C71" s="332">
        <f t="shared" si="4"/>
        <v>270</v>
      </c>
      <c r="D71" s="332" t="str">
        <f t="shared" si="5"/>
        <v/>
      </c>
      <c r="E71" s="332">
        <f t="shared" si="6"/>
        <v>27</v>
      </c>
      <c r="F71" s="332">
        <f t="shared" si="7"/>
        <v>243</v>
      </c>
      <c r="G71" s="241"/>
      <c r="H71" s="241"/>
      <c r="I71" s="241"/>
      <c r="J71" s="241"/>
      <c r="K71" s="289"/>
      <c r="L71" s="289"/>
      <c r="M71" s="241"/>
      <c r="N71" s="241"/>
      <c r="O71" s="241"/>
      <c r="P71" s="241"/>
      <c r="Q71" s="241"/>
      <c r="R71" s="241"/>
      <c r="S71" s="241"/>
      <c r="T71" s="241"/>
      <c r="U71" s="241"/>
      <c r="V71" s="241"/>
      <c r="W71" s="241"/>
      <c r="X71" s="241"/>
      <c r="Y71" s="241"/>
      <c r="Z71" s="241"/>
      <c r="AA71" s="241"/>
      <c r="AB71" s="290">
        <f t="shared" si="0"/>
        <v>270</v>
      </c>
      <c r="AC71" s="290" t="e">
        <f t="shared" si="1"/>
        <v>#N/A</v>
      </c>
      <c r="AD71" s="290">
        <f t="shared" si="2"/>
        <v>27</v>
      </c>
      <c r="AE71" s="290">
        <f t="shared" si="3"/>
        <v>243</v>
      </c>
    </row>
    <row r="72" spans="1:31" x14ac:dyDescent="0.25">
      <c r="A72" s="280"/>
      <c r="B72" s="331">
        <f>Crop!B108</f>
        <v>41699</v>
      </c>
      <c r="C72" s="332">
        <f t="shared" si="4"/>
        <v>270</v>
      </c>
      <c r="D72" s="332">
        <f t="shared" si="5"/>
        <v>0</v>
      </c>
      <c r="E72" s="332">
        <f t="shared" si="6"/>
        <v>135</v>
      </c>
      <c r="F72" s="332">
        <f t="shared" si="7"/>
        <v>135</v>
      </c>
      <c r="G72" s="241"/>
      <c r="H72" s="241"/>
      <c r="I72" s="241"/>
      <c r="J72" s="241"/>
      <c r="K72" s="289"/>
      <c r="L72" s="289"/>
      <c r="M72" s="241"/>
      <c r="N72" s="241"/>
      <c r="O72" s="241"/>
      <c r="P72" s="241"/>
      <c r="Q72" s="241"/>
      <c r="R72" s="241"/>
      <c r="S72" s="241"/>
      <c r="T72" s="241"/>
      <c r="U72" s="241"/>
      <c r="V72" s="241"/>
      <c r="W72" s="241"/>
      <c r="X72" s="241"/>
      <c r="Y72" s="241"/>
      <c r="Z72" s="241"/>
      <c r="AA72" s="241"/>
      <c r="AB72" s="290">
        <f t="shared" si="0"/>
        <v>270</v>
      </c>
      <c r="AC72" s="290">
        <f t="shared" si="1"/>
        <v>0</v>
      </c>
      <c r="AD72" s="290">
        <f t="shared" si="2"/>
        <v>135</v>
      </c>
      <c r="AE72" s="290">
        <f t="shared" si="3"/>
        <v>135</v>
      </c>
    </row>
    <row r="73" spans="1:31" x14ac:dyDescent="0.25">
      <c r="A73" s="280"/>
      <c r="B73" s="331">
        <f>Crop!B109</f>
        <v>41700</v>
      </c>
      <c r="C73" s="332">
        <f t="shared" si="4"/>
        <v>270</v>
      </c>
      <c r="D73" s="332">
        <f t="shared" si="5"/>
        <v>0</v>
      </c>
      <c r="E73" s="332">
        <f t="shared" si="6"/>
        <v>135</v>
      </c>
      <c r="F73" s="332">
        <f t="shared" si="7"/>
        <v>135</v>
      </c>
      <c r="G73" s="241"/>
      <c r="H73" s="241"/>
      <c r="I73" s="241"/>
      <c r="J73" s="241"/>
      <c r="K73" s="289"/>
      <c r="L73" s="289"/>
      <c r="M73" s="241"/>
      <c r="N73" s="241"/>
      <c r="O73" s="241"/>
      <c r="P73" s="241"/>
      <c r="Q73" s="241"/>
      <c r="R73" s="241"/>
      <c r="S73" s="241"/>
      <c r="T73" s="241"/>
      <c r="U73" s="241"/>
      <c r="V73" s="241"/>
      <c r="W73" s="241"/>
      <c r="X73" s="241"/>
      <c r="Y73" s="241"/>
      <c r="Z73" s="241"/>
      <c r="AA73" s="241"/>
      <c r="AB73" s="290">
        <f t="shared" si="0"/>
        <v>270</v>
      </c>
      <c r="AC73" s="290">
        <f t="shared" si="1"/>
        <v>0</v>
      </c>
      <c r="AD73" s="290">
        <f t="shared" si="2"/>
        <v>135</v>
      </c>
      <c r="AE73" s="290">
        <f t="shared" si="3"/>
        <v>135</v>
      </c>
    </row>
    <row r="74" spans="1:31" x14ac:dyDescent="0.25">
      <c r="A74" s="280"/>
      <c r="B74" s="331">
        <f>Crop!B110</f>
        <v>41701</v>
      </c>
      <c r="C74" s="332">
        <f t="shared" si="4"/>
        <v>270</v>
      </c>
      <c r="D74" s="332">
        <f t="shared" si="5"/>
        <v>0</v>
      </c>
      <c r="E74" s="332">
        <f t="shared" si="6"/>
        <v>135</v>
      </c>
      <c r="F74" s="332">
        <f t="shared" si="7"/>
        <v>135</v>
      </c>
      <c r="G74" s="241"/>
      <c r="H74" s="241"/>
      <c r="I74" s="241"/>
      <c r="J74" s="241"/>
      <c r="K74" s="289"/>
      <c r="L74" s="289"/>
      <c r="M74" s="241"/>
      <c r="N74" s="241"/>
      <c r="O74" s="241"/>
      <c r="P74" s="241"/>
      <c r="Q74" s="241"/>
      <c r="R74" s="241"/>
      <c r="S74" s="241"/>
      <c r="T74" s="241"/>
      <c r="U74" s="241"/>
      <c r="V74" s="241"/>
      <c r="W74" s="241"/>
      <c r="X74" s="241"/>
      <c r="Y74" s="241"/>
      <c r="Z74" s="241"/>
      <c r="AA74" s="241"/>
      <c r="AB74" s="290">
        <f t="shared" si="0"/>
        <v>270</v>
      </c>
      <c r="AC74" s="290">
        <f t="shared" si="1"/>
        <v>0</v>
      </c>
      <c r="AD74" s="290">
        <f t="shared" si="2"/>
        <v>135</v>
      </c>
      <c r="AE74" s="290">
        <f t="shared" si="3"/>
        <v>135</v>
      </c>
    </row>
    <row r="75" spans="1:31" x14ac:dyDescent="0.25">
      <c r="A75" s="280"/>
      <c r="B75" s="331">
        <f>Crop!B111</f>
        <v>41702</v>
      </c>
      <c r="C75" s="332">
        <f t="shared" si="4"/>
        <v>270</v>
      </c>
      <c r="D75" s="332">
        <f t="shared" si="5"/>
        <v>0</v>
      </c>
      <c r="E75" s="332">
        <f t="shared" si="6"/>
        <v>135</v>
      </c>
      <c r="F75" s="332">
        <f t="shared" si="7"/>
        <v>135</v>
      </c>
      <c r="G75" s="241"/>
      <c r="H75" s="241"/>
      <c r="I75" s="241"/>
      <c r="J75" s="241"/>
      <c r="K75" s="289"/>
      <c r="L75" s="289"/>
      <c r="M75" s="241"/>
      <c r="N75" s="241"/>
      <c r="O75" s="241"/>
      <c r="P75" s="241"/>
      <c r="Q75" s="241"/>
      <c r="R75" s="241"/>
      <c r="S75" s="241"/>
      <c r="T75" s="241"/>
      <c r="U75" s="241"/>
      <c r="V75" s="241"/>
      <c r="W75" s="241"/>
      <c r="X75" s="241"/>
      <c r="Y75" s="241"/>
      <c r="Z75" s="241"/>
      <c r="AA75" s="241"/>
      <c r="AB75" s="290">
        <f t="shared" si="0"/>
        <v>270</v>
      </c>
      <c r="AC75" s="290">
        <f t="shared" si="1"/>
        <v>0</v>
      </c>
      <c r="AD75" s="290">
        <f t="shared" si="2"/>
        <v>135</v>
      </c>
      <c r="AE75" s="290">
        <f t="shared" si="3"/>
        <v>135</v>
      </c>
    </row>
    <row r="76" spans="1:31" x14ac:dyDescent="0.25">
      <c r="A76" s="280"/>
      <c r="B76" s="331">
        <f>Crop!B112</f>
        <v>41703</v>
      </c>
      <c r="C76" s="332">
        <f t="shared" si="4"/>
        <v>270</v>
      </c>
      <c r="D76" s="332">
        <f t="shared" si="5"/>
        <v>0</v>
      </c>
      <c r="E76" s="332">
        <f t="shared" si="6"/>
        <v>135</v>
      </c>
      <c r="F76" s="332">
        <f t="shared" si="7"/>
        <v>135</v>
      </c>
      <c r="G76" s="241"/>
      <c r="H76" s="241"/>
      <c r="I76" s="241"/>
      <c r="J76" s="241"/>
      <c r="K76" s="289"/>
      <c r="L76" s="289"/>
      <c r="M76" s="241"/>
      <c r="N76" s="241"/>
      <c r="O76" s="241"/>
      <c r="P76" s="241"/>
      <c r="Q76" s="241"/>
      <c r="R76" s="241"/>
      <c r="S76" s="241"/>
      <c r="T76" s="241"/>
      <c r="U76" s="241"/>
      <c r="V76" s="241"/>
      <c r="W76" s="241"/>
      <c r="X76" s="241"/>
      <c r="Y76" s="241"/>
      <c r="Z76" s="241"/>
      <c r="AA76" s="241"/>
      <c r="AB76" s="290">
        <f t="shared" si="0"/>
        <v>270</v>
      </c>
      <c r="AC76" s="290">
        <f t="shared" si="1"/>
        <v>0</v>
      </c>
      <c r="AD76" s="290">
        <f t="shared" si="2"/>
        <v>135</v>
      </c>
      <c r="AE76" s="290">
        <f t="shared" si="3"/>
        <v>135</v>
      </c>
    </row>
    <row r="77" spans="1:31" x14ac:dyDescent="0.25">
      <c r="A77" s="280"/>
      <c r="B77" s="331">
        <f>Crop!B113</f>
        <v>41704</v>
      </c>
      <c r="C77" s="332">
        <f t="shared" si="4"/>
        <v>270</v>
      </c>
      <c r="D77" s="332">
        <f t="shared" si="5"/>
        <v>0</v>
      </c>
      <c r="E77" s="332">
        <f t="shared" si="6"/>
        <v>135</v>
      </c>
      <c r="F77" s="332">
        <f t="shared" si="7"/>
        <v>135</v>
      </c>
      <c r="G77" s="241"/>
      <c r="H77" s="241"/>
      <c r="I77" s="241"/>
      <c r="J77" s="241"/>
      <c r="K77" s="289"/>
      <c r="L77" s="289"/>
      <c r="M77" s="241"/>
      <c r="N77" s="241"/>
      <c r="O77" s="241"/>
      <c r="P77" s="241"/>
      <c r="Q77" s="241"/>
      <c r="R77" s="241"/>
      <c r="S77" s="241"/>
      <c r="T77" s="241"/>
      <c r="U77" s="241"/>
      <c r="V77" s="241"/>
      <c r="W77" s="241"/>
      <c r="X77" s="241"/>
      <c r="Y77" s="241"/>
      <c r="Z77" s="241"/>
      <c r="AA77" s="241"/>
      <c r="AB77" s="290">
        <f t="shared" ref="AB77:AB140" si="8">IF(C77="",#N/A,C77)</f>
        <v>270</v>
      </c>
      <c r="AC77" s="290">
        <f t="shared" ref="AC77:AC140" si="9">IF(D77="",#N/A,D77)</f>
        <v>0</v>
      </c>
      <c r="AD77" s="290">
        <f t="shared" ref="AD77:AD140" si="10">IF(E77="",#N/A,E77)</f>
        <v>135</v>
      </c>
      <c r="AE77" s="290">
        <f t="shared" ref="AE77:AE140" si="11">IF(F77="",#N/A,F77)</f>
        <v>135</v>
      </c>
    </row>
    <row r="78" spans="1:31" x14ac:dyDescent="0.25">
      <c r="A78" s="280"/>
      <c r="B78" s="331">
        <f>Crop!B114</f>
        <v>41705</v>
      </c>
      <c r="C78" s="332">
        <f t="shared" ref="C78:C141" si="12">G$8</f>
        <v>270</v>
      </c>
      <c r="D78" s="332">
        <f t="shared" ref="D78:D141" si="13">IF(B78=B$6,AC$6,IF(B78&gt;B$10,"",IF(B78&gt;=B$9,D77+AD$9,IF(B78&gt;B$8,D77+AD$8,IF(B78&gt;B$7,D77+AD$7,IF(B78&gt;B$6,AC$6,""))))))</f>
        <v>0</v>
      </c>
      <c r="E78" s="332">
        <f t="shared" ref="E78:E141" si="14">IF($B78&lt;B$6,150*F$8,IF($B78=$B$6,L$6,IF($B78&gt;$B$10,150*F$8,IF($B78&gt;=$B$9,E77+AB$9,IF($B78&gt;$B$8,E77+AB$8,IF($B78&gt;$B$7,E77+AB$7,IF($B78&gt;$B$6,L$6,"")))))))</f>
        <v>135</v>
      </c>
      <c r="F78" s="332">
        <f t="shared" si="7"/>
        <v>135</v>
      </c>
      <c r="G78" s="241"/>
      <c r="H78" s="241"/>
      <c r="I78" s="241"/>
      <c r="J78" s="241"/>
      <c r="K78" s="289"/>
      <c r="L78" s="289"/>
      <c r="M78" s="241"/>
      <c r="N78" s="241"/>
      <c r="O78" s="241"/>
      <c r="P78" s="241"/>
      <c r="Q78" s="241"/>
      <c r="R78" s="241"/>
      <c r="S78" s="241"/>
      <c r="T78" s="241"/>
      <c r="U78" s="241"/>
      <c r="V78" s="241"/>
      <c r="W78" s="241"/>
      <c r="X78" s="241"/>
      <c r="Y78" s="241"/>
      <c r="Z78" s="241"/>
      <c r="AA78" s="241"/>
      <c r="AB78" s="290">
        <f t="shared" si="8"/>
        <v>270</v>
      </c>
      <c r="AC78" s="290">
        <f t="shared" si="9"/>
        <v>0</v>
      </c>
      <c r="AD78" s="290">
        <f t="shared" si="10"/>
        <v>135</v>
      </c>
      <c r="AE78" s="290">
        <f t="shared" si="11"/>
        <v>135</v>
      </c>
    </row>
    <row r="79" spans="1:31" x14ac:dyDescent="0.25">
      <c r="A79" s="280"/>
      <c r="B79" s="331">
        <f>Crop!B115</f>
        <v>41706</v>
      </c>
      <c r="C79" s="332">
        <f t="shared" si="12"/>
        <v>270</v>
      </c>
      <c r="D79" s="332">
        <f t="shared" si="13"/>
        <v>0</v>
      </c>
      <c r="E79" s="332">
        <f t="shared" si="14"/>
        <v>135</v>
      </c>
      <c r="F79" s="332">
        <f t="shared" ref="F79:F142" si="15">IF(C79="","",C79-E79)</f>
        <v>135</v>
      </c>
      <c r="G79" s="241"/>
      <c r="H79" s="241"/>
      <c r="I79" s="241"/>
      <c r="J79" s="241"/>
      <c r="K79" s="289"/>
      <c r="L79" s="289"/>
      <c r="M79" s="241"/>
      <c r="N79" s="241"/>
      <c r="O79" s="241"/>
      <c r="P79" s="241"/>
      <c r="Q79" s="241"/>
      <c r="R79" s="241"/>
      <c r="S79" s="241"/>
      <c r="T79" s="241"/>
      <c r="U79" s="241"/>
      <c r="V79" s="241"/>
      <c r="W79" s="241"/>
      <c r="X79" s="241"/>
      <c r="Y79" s="241"/>
      <c r="Z79" s="241"/>
      <c r="AA79" s="241"/>
      <c r="AB79" s="290">
        <f t="shared" si="8"/>
        <v>270</v>
      </c>
      <c r="AC79" s="290">
        <f t="shared" si="9"/>
        <v>0</v>
      </c>
      <c r="AD79" s="290">
        <f t="shared" si="10"/>
        <v>135</v>
      </c>
      <c r="AE79" s="290">
        <f t="shared" si="11"/>
        <v>135</v>
      </c>
    </row>
    <row r="80" spans="1:31" x14ac:dyDescent="0.25">
      <c r="A80" s="280"/>
      <c r="B80" s="331">
        <f>Crop!B116</f>
        <v>41707</v>
      </c>
      <c r="C80" s="332">
        <f t="shared" si="12"/>
        <v>270</v>
      </c>
      <c r="D80" s="332">
        <f t="shared" si="13"/>
        <v>0</v>
      </c>
      <c r="E80" s="332">
        <f t="shared" si="14"/>
        <v>135</v>
      </c>
      <c r="F80" s="332">
        <f t="shared" si="15"/>
        <v>135</v>
      </c>
      <c r="G80" s="241"/>
      <c r="H80" s="241"/>
      <c r="I80" s="241"/>
      <c r="J80" s="241"/>
      <c r="K80" s="289"/>
      <c r="L80" s="289"/>
      <c r="M80" s="241"/>
      <c r="N80" s="241"/>
      <c r="O80" s="241"/>
      <c r="P80" s="241"/>
      <c r="Q80" s="241"/>
      <c r="R80" s="241"/>
      <c r="S80" s="241"/>
      <c r="T80" s="241"/>
      <c r="U80" s="241"/>
      <c r="V80" s="241"/>
      <c r="W80" s="241"/>
      <c r="X80" s="241"/>
      <c r="Y80" s="241"/>
      <c r="Z80" s="241"/>
      <c r="AA80" s="241"/>
      <c r="AB80" s="290">
        <f t="shared" si="8"/>
        <v>270</v>
      </c>
      <c r="AC80" s="290">
        <f t="shared" si="9"/>
        <v>0</v>
      </c>
      <c r="AD80" s="290">
        <f t="shared" si="10"/>
        <v>135</v>
      </c>
      <c r="AE80" s="290">
        <f t="shared" si="11"/>
        <v>135</v>
      </c>
    </row>
    <row r="81" spans="1:31" x14ac:dyDescent="0.25">
      <c r="A81" s="280"/>
      <c r="B81" s="331">
        <f>Crop!B117</f>
        <v>41708</v>
      </c>
      <c r="C81" s="332">
        <f t="shared" si="12"/>
        <v>270</v>
      </c>
      <c r="D81" s="332">
        <f t="shared" si="13"/>
        <v>0</v>
      </c>
      <c r="E81" s="332">
        <f t="shared" si="14"/>
        <v>135</v>
      </c>
      <c r="F81" s="332">
        <f t="shared" si="15"/>
        <v>135</v>
      </c>
      <c r="G81" s="241"/>
      <c r="H81" s="241"/>
      <c r="I81" s="241"/>
      <c r="J81" s="241"/>
      <c r="K81" s="289"/>
      <c r="L81" s="289"/>
      <c r="M81" s="241"/>
      <c r="N81" s="241"/>
      <c r="O81" s="241"/>
      <c r="P81" s="241"/>
      <c r="Q81" s="241"/>
      <c r="R81" s="241"/>
      <c r="S81" s="241"/>
      <c r="T81" s="241"/>
      <c r="U81" s="241"/>
      <c r="V81" s="241"/>
      <c r="W81" s="241"/>
      <c r="X81" s="241"/>
      <c r="Y81" s="241"/>
      <c r="Z81" s="241"/>
      <c r="AA81" s="241"/>
      <c r="AB81" s="290">
        <f t="shared" si="8"/>
        <v>270</v>
      </c>
      <c r="AC81" s="290">
        <f t="shared" si="9"/>
        <v>0</v>
      </c>
      <c r="AD81" s="290">
        <f t="shared" si="10"/>
        <v>135</v>
      </c>
      <c r="AE81" s="290">
        <f t="shared" si="11"/>
        <v>135</v>
      </c>
    </row>
    <row r="82" spans="1:31" x14ac:dyDescent="0.25">
      <c r="A82" s="280"/>
      <c r="B82" s="331">
        <f>Crop!B118</f>
        <v>41709</v>
      </c>
      <c r="C82" s="332">
        <f t="shared" si="12"/>
        <v>270</v>
      </c>
      <c r="D82" s="332">
        <f t="shared" si="13"/>
        <v>0</v>
      </c>
      <c r="E82" s="332">
        <f t="shared" si="14"/>
        <v>135</v>
      </c>
      <c r="F82" s="332">
        <f t="shared" si="15"/>
        <v>135</v>
      </c>
      <c r="G82" s="241"/>
      <c r="H82" s="241"/>
      <c r="I82" s="241"/>
      <c r="J82" s="241"/>
      <c r="K82" s="289"/>
      <c r="L82" s="289"/>
      <c r="M82" s="241"/>
      <c r="N82" s="241"/>
      <c r="O82" s="241"/>
      <c r="P82" s="241"/>
      <c r="Q82" s="241"/>
      <c r="R82" s="241"/>
      <c r="S82" s="241"/>
      <c r="T82" s="241"/>
      <c r="U82" s="241"/>
      <c r="V82" s="241"/>
      <c r="W82" s="241"/>
      <c r="X82" s="241"/>
      <c r="Y82" s="241"/>
      <c r="Z82" s="241"/>
      <c r="AA82" s="241"/>
      <c r="AB82" s="290">
        <f t="shared" si="8"/>
        <v>270</v>
      </c>
      <c r="AC82" s="290">
        <f t="shared" si="9"/>
        <v>0</v>
      </c>
      <c r="AD82" s="290">
        <f t="shared" si="10"/>
        <v>135</v>
      </c>
      <c r="AE82" s="290">
        <f t="shared" si="11"/>
        <v>135</v>
      </c>
    </row>
    <row r="83" spans="1:31" x14ac:dyDescent="0.25">
      <c r="A83" s="280"/>
      <c r="B83" s="331">
        <f>Crop!B119</f>
        <v>41710</v>
      </c>
      <c r="C83" s="332">
        <f t="shared" si="12"/>
        <v>270</v>
      </c>
      <c r="D83" s="332">
        <f t="shared" si="13"/>
        <v>0</v>
      </c>
      <c r="E83" s="332">
        <f t="shared" si="14"/>
        <v>135</v>
      </c>
      <c r="F83" s="332">
        <f t="shared" si="15"/>
        <v>135</v>
      </c>
      <c r="G83" s="241"/>
      <c r="H83" s="241"/>
      <c r="I83" s="241"/>
      <c r="J83" s="241"/>
      <c r="K83" s="289"/>
      <c r="L83" s="289"/>
      <c r="M83" s="241"/>
      <c r="N83" s="241"/>
      <c r="O83" s="241"/>
      <c r="P83" s="241"/>
      <c r="Q83" s="241"/>
      <c r="R83" s="241"/>
      <c r="S83" s="241"/>
      <c r="T83" s="241"/>
      <c r="U83" s="241"/>
      <c r="V83" s="241"/>
      <c r="W83" s="241"/>
      <c r="X83" s="241"/>
      <c r="Y83" s="241"/>
      <c r="Z83" s="241"/>
      <c r="AA83" s="241"/>
      <c r="AB83" s="290">
        <f t="shared" si="8"/>
        <v>270</v>
      </c>
      <c r="AC83" s="290">
        <f t="shared" si="9"/>
        <v>0</v>
      </c>
      <c r="AD83" s="290">
        <f t="shared" si="10"/>
        <v>135</v>
      </c>
      <c r="AE83" s="290">
        <f t="shared" si="11"/>
        <v>135</v>
      </c>
    </row>
    <row r="84" spans="1:31" x14ac:dyDescent="0.25">
      <c r="A84" s="280"/>
      <c r="B84" s="331">
        <f>Crop!B120</f>
        <v>41711</v>
      </c>
      <c r="C84" s="332">
        <f t="shared" si="12"/>
        <v>270</v>
      </c>
      <c r="D84" s="332">
        <f t="shared" si="13"/>
        <v>0</v>
      </c>
      <c r="E84" s="332">
        <f t="shared" si="14"/>
        <v>135</v>
      </c>
      <c r="F84" s="332">
        <f t="shared" si="15"/>
        <v>135</v>
      </c>
      <c r="G84" s="241"/>
      <c r="H84" s="241"/>
      <c r="I84" s="241"/>
      <c r="J84" s="241"/>
      <c r="K84" s="289"/>
      <c r="L84" s="289"/>
      <c r="M84" s="241"/>
      <c r="N84" s="241"/>
      <c r="O84" s="241"/>
      <c r="P84" s="241"/>
      <c r="Q84" s="241"/>
      <c r="R84" s="241"/>
      <c r="S84" s="241"/>
      <c r="T84" s="241"/>
      <c r="U84" s="241"/>
      <c r="V84" s="241"/>
      <c r="W84" s="241"/>
      <c r="X84" s="241"/>
      <c r="Y84" s="241"/>
      <c r="Z84" s="241"/>
      <c r="AA84" s="241"/>
      <c r="AB84" s="290">
        <f t="shared" si="8"/>
        <v>270</v>
      </c>
      <c r="AC84" s="290">
        <f t="shared" si="9"/>
        <v>0</v>
      </c>
      <c r="AD84" s="290">
        <f t="shared" si="10"/>
        <v>135</v>
      </c>
      <c r="AE84" s="290">
        <f t="shared" si="11"/>
        <v>135</v>
      </c>
    </row>
    <row r="85" spans="1:31" x14ac:dyDescent="0.25">
      <c r="A85" s="280"/>
      <c r="B85" s="331">
        <f>Crop!B121</f>
        <v>41712</v>
      </c>
      <c r="C85" s="332">
        <f t="shared" si="12"/>
        <v>270</v>
      </c>
      <c r="D85" s="332">
        <f t="shared" si="13"/>
        <v>0</v>
      </c>
      <c r="E85" s="332">
        <f t="shared" si="14"/>
        <v>135</v>
      </c>
      <c r="F85" s="332">
        <f t="shared" si="15"/>
        <v>135</v>
      </c>
      <c r="G85" s="241"/>
      <c r="H85" s="241"/>
      <c r="I85" s="241"/>
      <c r="J85" s="241"/>
      <c r="K85" s="289"/>
      <c r="L85" s="289"/>
      <c r="M85" s="241"/>
      <c r="N85" s="241"/>
      <c r="O85" s="241"/>
      <c r="P85" s="241"/>
      <c r="Q85" s="241"/>
      <c r="R85" s="241"/>
      <c r="S85" s="241"/>
      <c r="T85" s="241"/>
      <c r="U85" s="241"/>
      <c r="V85" s="241"/>
      <c r="W85" s="241"/>
      <c r="X85" s="241"/>
      <c r="Y85" s="241"/>
      <c r="Z85" s="241"/>
      <c r="AA85" s="241"/>
      <c r="AB85" s="290">
        <f t="shared" si="8"/>
        <v>270</v>
      </c>
      <c r="AC85" s="290">
        <f t="shared" si="9"/>
        <v>0</v>
      </c>
      <c r="AD85" s="290">
        <f t="shared" si="10"/>
        <v>135</v>
      </c>
      <c r="AE85" s="290">
        <f t="shared" si="11"/>
        <v>135</v>
      </c>
    </row>
    <row r="86" spans="1:31" x14ac:dyDescent="0.25">
      <c r="A86" s="280"/>
      <c r="B86" s="331">
        <f>Crop!B122</f>
        <v>41713</v>
      </c>
      <c r="C86" s="332">
        <f t="shared" si="12"/>
        <v>270</v>
      </c>
      <c r="D86" s="332">
        <f t="shared" si="13"/>
        <v>0</v>
      </c>
      <c r="E86" s="332">
        <f t="shared" si="14"/>
        <v>135</v>
      </c>
      <c r="F86" s="332">
        <f t="shared" si="15"/>
        <v>135</v>
      </c>
      <c r="G86" s="241"/>
      <c r="H86" s="241"/>
      <c r="I86" s="241"/>
      <c r="J86" s="241"/>
      <c r="K86" s="289"/>
      <c r="L86" s="289"/>
      <c r="M86" s="241"/>
      <c r="N86" s="241"/>
      <c r="O86" s="241"/>
      <c r="P86" s="241"/>
      <c r="Q86" s="241"/>
      <c r="R86" s="241"/>
      <c r="S86" s="241"/>
      <c r="T86" s="241"/>
      <c r="U86" s="241"/>
      <c r="V86" s="241"/>
      <c r="W86" s="241"/>
      <c r="X86" s="241"/>
      <c r="Y86" s="241"/>
      <c r="Z86" s="241"/>
      <c r="AA86" s="241"/>
      <c r="AB86" s="290">
        <f t="shared" si="8"/>
        <v>270</v>
      </c>
      <c r="AC86" s="290">
        <f t="shared" si="9"/>
        <v>0</v>
      </c>
      <c r="AD86" s="290">
        <f t="shared" si="10"/>
        <v>135</v>
      </c>
      <c r="AE86" s="290">
        <f t="shared" si="11"/>
        <v>135</v>
      </c>
    </row>
    <row r="87" spans="1:31" x14ac:dyDescent="0.25">
      <c r="A87" s="280"/>
      <c r="B87" s="331">
        <f>Crop!B123</f>
        <v>41714</v>
      </c>
      <c r="C87" s="332">
        <f t="shared" si="12"/>
        <v>270</v>
      </c>
      <c r="D87" s="332">
        <f t="shared" si="13"/>
        <v>0</v>
      </c>
      <c r="E87" s="332">
        <f t="shared" si="14"/>
        <v>135</v>
      </c>
      <c r="F87" s="332">
        <f t="shared" si="15"/>
        <v>135</v>
      </c>
      <c r="G87" s="241"/>
      <c r="H87" s="241"/>
      <c r="I87" s="241"/>
      <c r="J87" s="241"/>
      <c r="K87" s="289"/>
      <c r="L87" s="289"/>
      <c r="M87" s="241"/>
      <c r="N87" s="241"/>
      <c r="O87" s="241"/>
      <c r="P87" s="241"/>
      <c r="Q87" s="241"/>
      <c r="R87" s="241"/>
      <c r="S87" s="241"/>
      <c r="T87" s="241"/>
      <c r="U87" s="241"/>
      <c r="V87" s="241"/>
      <c r="W87" s="241"/>
      <c r="X87" s="241"/>
      <c r="Y87" s="241"/>
      <c r="Z87" s="241"/>
      <c r="AA87" s="241"/>
      <c r="AB87" s="290">
        <f t="shared" si="8"/>
        <v>270</v>
      </c>
      <c r="AC87" s="290">
        <f t="shared" si="9"/>
        <v>0</v>
      </c>
      <c r="AD87" s="290">
        <f t="shared" si="10"/>
        <v>135</v>
      </c>
      <c r="AE87" s="290">
        <f t="shared" si="11"/>
        <v>135</v>
      </c>
    </row>
    <row r="88" spans="1:31" x14ac:dyDescent="0.25">
      <c r="A88" s="280"/>
      <c r="B88" s="331">
        <f>Crop!B124</f>
        <v>41715</v>
      </c>
      <c r="C88" s="332">
        <f t="shared" si="12"/>
        <v>270</v>
      </c>
      <c r="D88" s="332">
        <f t="shared" si="13"/>
        <v>0</v>
      </c>
      <c r="E88" s="332">
        <f t="shared" si="14"/>
        <v>135</v>
      </c>
      <c r="F88" s="332">
        <f t="shared" si="15"/>
        <v>135</v>
      </c>
      <c r="G88" s="241"/>
      <c r="H88" s="241"/>
      <c r="I88" s="241"/>
      <c r="J88" s="241"/>
      <c r="K88" s="289"/>
      <c r="L88" s="289"/>
      <c r="M88" s="241"/>
      <c r="N88" s="241"/>
      <c r="O88" s="241"/>
      <c r="P88" s="241"/>
      <c r="Q88" s="241"/>
      <c r="R88" s="241"/>
      <c r="S88" s="241"/>
      <c r="T88" s="241"/>
      <c r="U88" s="241"/>
      <c r="V88" s="241"/>
      <c r="W88" s="241"/>
      <c r="X88" s="241"/>
      <c r="Y88" s="241"/>
      <c r="Z88" s="241"/>
      <c r="AA88" s="241"/>
      <c r="AB88" s="290">
        <f t="shared" si="8"/>
        <v>270</v>
      </c>
      <c r="AC88" s="290">
        <f t="shared" si="9"/>
        <v>0</v>
      </c>
      <c r="AD88" s="290">
        <f t="shared" si="10"/>
        <v>135</v>
      </c>
      <c r="AE88" s="290">
        <f t="shared" si="11"/>
        <v>135</v>
      </c>
    </row>
    <row r="89" spans="1:31" x14ac:dyDescent="0.25">
      <c r="A89" s="280"/>
      <c r="B89" s="331">
        <f>Crop!B125</f>
        <v>41716</v>
      </c>
      <c r="C89" s="332">
        <f t="shared" si="12"/>
        <v>270</v>
      </c>
      <c r="D89" s="332">
        <f t="shared" si="13"/>
        <v>0</v>
      </c>
      <c r="E89" s="332">
        <f t="shared" si="14"/>
        <v>135</v>
      </c>
      <c r="F89" s="332">
        <f t="shared" si="15"/>
        <v>135</v>
      </c>
      <c r="G89" s="241"/>
      <c r="H89" s="241"/>
      <c r="I89" s="241"/>
      <c r="J89" s="241"/>
      <c r="K89" s="289"/>
      <c r="L89" s="289"/>
      <c r="M89" s="241"/>
      <c r="N89" s="241"/>
      <c r="O89" s="241"/>
      <c r="P89" s="241"/>
      <c r="Q89" s="241"/>
      <c r="R89" s="241"/>
      <c r="S89" s="241"/>
      <c r="T89" s="241"/>
      <c r="U89" s="241"/>
      <c r="V89" s="241"/>
      <c r="W89" s="241"/>
      <c r="X89" s="241"/>
      <c r="Y89" s="241"/>
      <c r="Z89" s="241"/>
      <c r="AA89" s="241"/>
      <c r="AB89" s="290">
        <f t="shared" si="8"/>
        <v>270</v>
      </c>
      <c r="AC89" s="290">
        <f t="shared" si="9"/>
        <v>0</v>
      </c>
      <c r="AD89" s="290">
        <f t="shared" si="10"/>
        <v>135</v>
      </c>
      <c r="AE89" s="290">
        <f t="shared" si="11"/>
        <v>135</v>
      </c>
    </row>
    <row r="90" spans="1:31" x14ac:dyDescent="0.25">
      <c r="A90" s="280"/>
      <c r="B90" s="331">
        <f>Crop!B126</f>
        <v>41717</v>
      </c>
      <c r="C90" s="332">
        <f t="shared" si="12"/>
        <v>270</v>
      </c>
      <c r="D90" s="332">
        <f t="shared" si="13"/>
        <v>0</v>
      </c>
      <c r="E90" s="332">
        <f t="shared" si="14"/>
        <v>135</v>
      </c>
      <c r="F90" s="332">
        <f t="shared" si="15"/>
        <v>135</v>
      </c>
      <c r="G90" s="241"/>
      <c r="H90" s="241"/>
      <c r="I90" s="241"/>
      <c r="J90" s="241"/>
      <c r="K90" s="289"/>
      <c r="L90" s="289"/>
      <c r="M90" s="241"/>
      <c r="N90" s="241"/>
      <c r="O90" s="241"/>
      <c r="P90" s="241"/>
      <c r="Q90" s="241"/>
      <c r="R90" s="241"/>
      <c r="S90" s="241"/>
      <c r="T90" s="241"/>
      <c r="U90" s="241"/>
      <c r="V90" s="241"/>
      <c r="W90" s="241"/>
      <c r="X90" s="241"/>
      <c r="Y90" s="241"/>
      <c r="Z90" s="241"/>
      <c r="AA90" s="241"/>
      <c r="AB90" s="290">
        <f t="shared" si="8"/>
        <v>270</v>
      </c>
      <c r="AC90" s="290">
        <f t="shared" si="9"/>
        <v>0</v>
      </c>
      <c r="AD90" s="290">
        <f t="shared" si="10"/>
        <v>135</v>
      </c>
      <c r="AE90" s="290">
        <f t="shared" si="11"/>
        <v>135</v>
      </c>
    </row>
    <row r="91" spans="1:31" x14ac:dyDescent="0.25">
      <c r="A91" s="280"/>
      <c r="B91" s="331">
        <f>Crop!B127</f>
        <v>41718</v>
      </c>
      <c r="C91" s="332">
        <f t="shared" si="12"/>
        <v>270</v>
      </c>
      <c r="D91" s="332">
        <f t="shared" si="13"/>
        <v>0</v>
      </c>
      <c r="E91" s="332">
        <f t="shared" si="14"/>
        <v>135</v>
      </c>
      <c r="F91" s="332">
        <f t="shared" si="15"/>
        <v>135</v>
      </c>
      <c r="G91" s="241"/>
      <c r="H91" s="241"/>
      <c r="I91" s="241"/>
      <c r="J91" s="241"/>
      <c r="K91" s="289"/>
      <c r="L91" s="289"/>
      <c r="M91" s="241"/>
      <c r="N91" s="241"/>
      <c r="O91" s="241"/>
      <c r="P91" s="241"/>
      <c r="Q91" s="241"/>
      <c r="R91" s="241"/>
      <c r="S91" s="241"/>
      <c r="T91" s="241"/>
      <c r="U91" s="241"/>
      <c r="V91" s="241"/>
      <c r="W91" s="241"/>
      <c r="X91" s="241"/>
      <c r="Y91" s="241"/>
      <c r="Z91" s="241"/>
      <c r="AA91" s="241"/>
      <c r="AB91" s="290">
        <f t="shared" si="8"/>
        <v>270</v>
      </c>
      <c r="AC91" s="290">
        <f t="shared" si="9"/>
        <v>0</v>
      </c>
      <c r="AD91" s="290">
        <f t="shared" si="10"/>
        <v>135</v>
      </c>
      <c r="AE91" s="290">
        <f t="shared" si="11"/>
        <v>135</v>
      </c>
    </row>
    <row r="92" spans="1:31" x14ac:dyDescent="0.25">
      <c r="A92" s="280"/>
      <c r="B92" s="331">
        <f>Crop!B128</f>
        <v>41719</v>
      </c>
      <c r="C92" s="332">
        <f t="shared" si="12"/>
        <v>270</v>
      </c>
      <c r="D92" s="332">
        <f t="shared" si="13"/>
        <v>0</v>
      </c>
      <c r="E92" s="332">
        <f t="shared" si="14"/>
        <v>135</v>
      </c>
      <c r="F92" s="332">
        <f t="shared" si="15"/>
        <v>135</v>
      </c>
      <c r="G92" s="241"/>
      <c r="H92" s="241"/>
      <c r="I92" s="241"/>
      <c r="J92" s="241"/>
      <c r="K92" s="289"/>
      <c r="L92" s="289"/>
      <c r="M92" s="241"/>
      <c r="N92" s="241"/>
      <c r="O92" s="241"/>
      <c r="P92" s="241"/>
      <c r="Q92" s="241"/>
      <c r="R92" s="241"/>
      <c r="S92" s="241"/>
      <c r="T92" s="241"/>
      <c r="U92" s="241"/>
      <c r="V92" s="241"/>
      <c r="W92" s="241"/>
      <c r="X92" s="241"/>
      <c r="Y92" s="241"/>
      <c r="Z92" s="241"/>
      <c r="AA92" s="241"/>
      <c r="AB92" s="290">
        <f t="shared" si="8"/>
        <v>270</v>
      </c>
      <c r="AC92" s="290">
        <f t="shared" si="9"/>
        <v>0</v>
      </c>
      <c r="AD92" s="290">
        <f t="shared" si="10"/>
        <v>135</v>
      </c>
      <c r="AE92" s="290">
        <f t="shared" si="11"/>
        <v>135</v>
      </c>
    </row>
    <row r="93" spans="1:31" x14ac:dyDescent="0.25">
      <c r="A93" s="280"/>
      <c r="B93" s="331">
        <f>Crop!B129</f>
        <v>41720</v>
      </c>
      <c r="C93" s="332">
        <f t="shared" si="12"/>
        <v>270</v>
      </c>
      <c r="D93" s="332">
        <f t="shared" si="13"/>
        <v>0</v>
      </c>
      <c r="E93" s="332">
        <f t="shared" si="14"/>
        <v>135</v>
      </c>
      <c r="F93" s="332">
        <f t="shared" si="15"/>
        <v>135</v>
      </c>
      <c r="G93" s="241"/>
      <c r="H93" s="241"/>
      <c r="I93" s="241"/>
      <c r="J93" s="241"/>
      <c r="K93" s="289"/>
      <c r="L93" s="289"/>
      <c r="M93" s="241"/>
      <c r="N93" s="241"/>
      <c r="O93" s="241"/>
      <c r="P93" s="241"/>
      <c r="Q93" s="241"/>
      <c r="R93" s="241"/>
      <c r="S93" s="241"/>
      <c r="T93" s="241"/>
      <c r="U93" s="241"/>
      <c r="V93" s="241"/>
      <c r="W93" s="241"/>
      <c r="X93" s="241"/>
      <c r="Y93" s="241"/>
      <c r="Z93" s="241"/>
      <c r="AA93" s="241"/>
      <c r="AB93" s="290">
        <f t="shared" si="8"/>
        <v>270</v>
      </c>
      <c r="AC93" s="290">
        <f t="shared" si="9"/>
        <v>0</v>
      </c>
      <c r="AD93" s="290">
        <f t="shared" si="10"/>
        <v>135</v>
      </c>
      <c r="AE93" s="290">
        <f t="shared" si="11"/>
        <v>135</v>
      </c>
    </row>
    <row r="94" spans="1:31" x14ac:dyDescent="0.25">
      <c r="A94" s="280"/>
      <c r="B94" s="331">
        <f>Crop!B130</f>
        <v>41721</v>
      </c>
      <c r="C94" s="332">
        <f t="shared" si="12"/>
        <v>270</v>
      </c>
      <c r="D94" s="332">
        <f t="shared" si="13"/>
        <v>0</v>
      </c>
      <c r="E94" s="332">
        <f t="shared" si="14"/>
        <v>135</v>
      </c>
      <c r="F94" s="332">
        <f t="shared" si="15"/>
        <v>135</v>
      </c>
      <c r="G94" s="241"/>
      <c r="H94" s="241"/>
      <c r="I94" s="241"/>
      <c r="J94" s="241"/>
      <c r="K94" s="289"/>
      <c r="L94" s="289"/>
      <c r="M94" s="241"/>
      <c r="N94" s="241"/>
      <c r="O94" s="241"/>
      <c r="P94" s="241"/>
      <c r="Q94" s="241"/>
      <c r="R94" s="241"/>
      <c r="S94" s="241"/>
      <c r="T94" s="241"/>
      <c r="U94" s="241"/>
      <c r="V94" s="241"/>
      <c r="W94" s="241"/>
      <c r="X94" s="241"/>
      <c r="Y94" s="241"/>
      <c r="Z94" s="241"/>
      <c r="AA94" s="241"/>
      <c r="AB94" s="290">
        <f t="shared" si="8"/>
        <v>270</v>
      </c>
      <c r="AC94" s="290">
        <f t="shared" si="9"/>
        <v>0</v>
      </c>
      <c r="AD94" s="290">
        <f t="shared" si="10"/>
        <v>135</v>
      </c>
      <c r="AE94" s="290">
        <f t="shared" si="11"/>
        <v>135</v>
      </c>
    </row>
    <row r="95" spans="1:31" x14ac:dyDescent="0.25">
      <c r="A95" s="280"/>
      <c r="B95" s="331">
        <f>Crop!B131</f>
        <v>41722</v>
      </c>
      <c r="C95" s="332">
        <f t="shared" si="12"/>
        <v>270</v>
      </c>
      <c r="D95" s="332">
        <f t="shared" si="13"/>
        <v>0</v>
      </c>
      <c r="E95" s="332">
        <f t="shared" si="14"/>
        <v>135</v>
      </c>
      <c r="F95" s="332">
        <f t="shared" si="15"/>
        <v>135</v>
      </c>
      <c r="G95" s="241"/>
      <c r="H95" s="241"/>
      <c r="I95" s="241"/>
      <c r="J95" s="241"/>
      <c r="K95" s="289"/>
      <c r="L95" s="289"/>
      <c r="M95" s="241"/>
      <c r="N95" s="241"/>
      <c r="O95" s="241"/>
      <c r="P95" s="241"/>
      <c r="Q95" s="241"/>
      <c r="R95" s="241"/>
      <c r="S95" s="241"/>
      <c r="T95" s="241"/>
      <c r="U95" s="241"/>
      <c r="V95" s="241"/>
      <c r="W95" s="241"/>
      <c r="X95" s="241"/>
      <c r="Y95" s="241"/>
      <c r="Z95" s="241"/>
      <c r="AA95" s="241"/>
      <c r="AB95" s="290">
        <f t="shared" si="8"/>
        <v>270</v>
      </c>
      <c r="AC95" s="290">
        <f t="shared" si="9"/>
        <v>0</v>
      </c>
      <c r="AD95" s="290">
        <f t="shared" si="10"/>
        <v>135</v>
      </c>
      <c r="AE95" s="290">
        <f t="shared" si="11"/>
        <v>135</v>
      </c>
    </row>
    <row r="96" spans="1:31" x14ac:dyDescent="0.25">
      <c r="A96" s="280"/>
      <c r="B96" s="331">
        <f>Crop!B132</f>
        <v>41723</v>
      </c>
      <c r="C96" s="332">
        <f t="shared" si="12"/>
        <v>270</v>
      </c>
      <c r="D96" s="332">
        <f t="shared" si="13"/>
        <v>0</v>
      </c>
      <c r="E96" s="332">
        <f t="shared" si="14"/>
        <v>135</v>
      </c>
      <c r="F96" s="332">
        <f t="shared" si="15"/>
        <v>135</v>
      </c>
      <c r="G96" s="241"/>
      <c r="H96" s="241"/>
      <c r="I96" s="241"/>
      <c r="J96" s="241"/>
      <c r="K96" s="289"/>
      <c r="L96" s="289"/>
      <c r="M96" s="241"/>
      <c r="N96" s="241"/>
      <c r="O96" s="241"/>
      <c r="P96" s="241"/>
      <c r="Q96" s="241"/>
      <c r="R96" s="241"/>
      <c r="S96" s="241"/>
      <c r="T96" s="241"/>
      <c r="U96" s="241"/>
      <c r="V96" s="241"/>
      <c r="W96" s="241"/>
      <c r="X96" s="241"/>
      <c r="Y96" s="241"/>
      <c r="Z96" s="241"/>
      <c r="AA96" s="241"/>
      <c r="AB96" s="290">
        <f t="shared" si="8"/>
        <v>270</v>
      </c>
      <c r="AC96" s="290">
        <f t="shared" si="9"/>
        <v>0</v>
      </c>
      <c r="AD96" s="290">
        <f t="shared" si="10"/>
        <v>135</v>
      </c>
      <c r="AE96" s="290">
        <f t="shared" si="11"/>
        <v>135</v>
      </c>
    </row>
    <row r="97" spans="1:31" x14ac:dyDescent="0.25">
      <c r="A97" s="280"/>
      <c r="B97" s="331">
        <f>Crop!B133</f>
        <v>41724</v>
      </c>
      <c r="C97" s="332">
        <f t="shared" si="12"/>
        <v>270</v>
      </c>
      <c r="D97" s="332">
        <f t="shared" si="13"/>
        <v>0</v>
      </c>
      <c r="E97" s="332">
        <f t="shared" si="14"/>
        <v>135</v>
      </c>
      <c r="F97" s="332">
        <f t="shared" si="15"/>
        <v>135</v>
      </c>
      <c r="G97" s="241"/>
      <c r="H97" s="241"/>
      <c r="I97" s="241"/>
      <c r="J97" s="241"/>
      <c r="K97" s="289"/>
      <c r="L97" s="289"/>
      <c r="M97" s="241"/>
      <c r="N97" s="241"/>
      <c r="O97" s="241"/>
      <c r="P97" s="241"/>
      <c r="Q97" s="241"/>
      <c r="R97" s="241"/>
      <c r="S97" s="241"/>
      <c r="T97" s="241"/>
      <c r="U97" s="241"/>
      <c r="V97" s="241"/>
      <c r="W97" s="241"/>
      <c r="X97" s="241"/>
      <c r="Y97" s="241"/>
      <c r="Z97" s="241"/>
      <c r="AA97" s="241"/>
      <c r="AB97" s="290">
        <f t="shared" si="8"/>
        <v>270</v>
      </c>
      <c r="AC97" s="290">
        <f t="shared" si="9"/>
        <v>0</v>
      </c>
      <c r="AD97" s="290">
        <f t="shared" si="10"/>
        <v>135</v>
      </c>
      <c r="AE97" s="290">
        <f t="shared" si="11"/>
        <v>135</v>
      </c>
    </row>
    <row r="98" spans="1:31" x14ac:dyDescent="0.25">
      <c r="A98" s="280"/>
      <c r="B98" s="331">
        <f>Crop!B134</f>
        <v>41725</v>
      </c>
      <c r="C98" s="332">
        <f t="shared" si="12"/>
        <v>270</v>
      </c>
      <c r="D98" s="332">
        <f t="shared" si="13"/>
        <v>0</v>
      </c>
      <c r="E98" s="332">
        <f t="shared" si="14"/>
        <v>135</v>
      </c>
      <c r="F98" s="332">
        <f t="shared" si="15"/>
        <v>135</v>
      </c>
      <c r="G98" s="241"/>
      <c r="H98" s="241"/>
      <c r="I98" s="241"/>
      <c r="J98" s="241"/>
      <c r="K98" s="289"/>
      <c r="L98" s="289"/>
      <c r="M98" s="241"/>
      <c r="N98" s="241"/>
      <c r="O98" s="241"/>
      <c r="P98" s="241"/>
      <c r="Q98" s="241"/>
      <c r="R98" s="241"/>
      <c r="S98" s="241"/>
      <c r="T98" s="241"/>
      <c r="U98" s="241"/>
      <c r="V98" s="241"/>
      <c r="W98" s="241"/>
      <c r="X98" s="241"/>
      <c r="Y98" s="241"/>
      <c r="Z98" s="241"/>
      <c r="AA98" s="241"/>
      <c r="AB98" s="290">
        <f t="shared" si="8"/>
        <v>270</v>
      </c>
      <c r="AC98" s="290">
        <f t="shared" si="9"/>
        <v>0</v>
      </c>
      <c r="AD98" s="290">
        <f t="shared" si="10"/>
        <v>135</v>
      </c>
      <c r="AE98" s="290">
        <f t="shared" si="11"/>
        <v>135</v>
      </c>
    </row>
    <row r="99" spans="1:31" x14ac:dyDescent="0.25">
      <c r="A99" s="280"/>
      <c r="B99" s="331">
        <f>Crop!B135</f>
        <v>41726</v>
      </c>
      <c r="C99" s="332">
        <f t="shared" si="12"/>
        <v>270</v>
      </c>
      <c r="D99" s="332">
        <f t="shared" si="13"/>
        <v>0</v>
      </c>
      <c r="E99" s="332">
        <f t="shared" si="14"/>
        <v>135</v>
      </c>
      <c r="F99" s="332">
        <f t="shared" si="15"/>
        <v>135</v>
      </c>
      <c r="G99" s="241"/>
      <c r="H99" s="241"/>
      <c r="I99" s="241"/>
      <c r="J99" s="241"/>
      <c r="K99" s="289"/>
      <c r="L99" s="289"/>
      <c r="M99" s="241"/>
      <c r="N99" s="241"/>
      <c r="O99" s="241"/>
      <c r="P99" s="241"/>
      <c r="Q99" s="241"/>
      <c r="R99" s="241"/>
      <c r="S99" s="241"/>
      <c r="T99" s="241"/>
      <c r="U99" s="241"/>
      <c r="V99" s="241"/>
      <c r="W99" s="241"/>
      <c r="X99" s="241"/>
      <c r="Y99" s="241"/>
      <c r="Z99" s="241"/>
      <c r="AA99" s="241"/>
      <c r="AB99" s="290">
        <f t="shared" si="8"/>
        <v>270</v>
      </c>
      <c r="AC99" s="290">
        <f t="shared" si="9"/>
        <v>0</v>
      </c>
      <c r="AD99" s="290">
        <f t="shared" si="10"/>
        <v>135</v>
      </c>
      <c r="AE99" s="290">
        <f t="shared" si="11"/>
        <v>135</v>
      </c>
    </row>
    <row r="100" spans="1:31" x14ac:dyDescent="0.25">
      <c r="A100" s="280"/>
      <c r="B100" s="331">
        <f>Crop!B136</f>
        <v>41727</v>
      </c>
      <c r="C100" s="332">
        <f t="shared" si="12"/>
        <v>270</v>
      </c>
      <c r="D100" s="332">
        <f t="shared" si="13"/>
        <v>0</v>
      </c>
      <c r="E100" s="332">
        <f t="shared" si="14"/>
        <v>135</v>
      </c>
      <c r="F100" s="332">
        <f t="shared" si="15"/>
        <v>135</v>
      </c>
      <c r="G100" s="241"/>
      <c r="H100" s="241"/>
      <c r="I100" s="241"/>
      <c r="J100" s="241"/>
      <c r="K100" s="289"/>
      <c r="L100" s="289"/>
      <c r="M100" s="241"/>
      <c r="N100" s="241"/>
      <c r="O100" s="241"/>
      <c r="P100" s="241"/>
      <c r="Q100" s="241"/>
      <c r="R100" s="241"/>
      <c r="S100" s="241"/>
      <c r="T100" s="241"/>
      <c r="U100" s="241"/>
      <c r="V100" s="241"/>
      <c r="W100" s="241"/>
      <c r="X100" s="241"/>
      <c r="Y100" s="241"/>
      <c r="Z100" s="241"/>
      <c r="AA100" s="241"/>
      <c r="AB100" s="290">
        <f t="shared" si="8"/>
        <v>270</v>
      </c>
      <c r="AC100" s="290">
        <f t="shared" si="9"/>
        <v>0</v>
      </c>
      <c r="AD100" s="290">
        <f t="shared" si="10"/>
        <v>135</v>
      </c>
      <c r="AE100" s="290">
        <f t="shared" si="11"/>
        <v>135</v>
      </c>
    </row>
    <row r="101" spans="1:31" x14ac:dyDescent="0.25">
      <c r="A101" s="280"/>
      <c r="B101" s="331">
        <f>Crop!B137</f>
        <v>41728</v>
      </c>
      <c r="C101" s="332">
        <f t="shared" si="12"/>
        <v>270</v>
      </c>
      <c r="D101" s="332">
        <f t="shared" si="13"/>
        <v>0</v>
      </c>
      <c r="E101" s="332">
        <f t="shared" si="14"/>
        <v>135</v>
      </c>
      <c r="F101" s="332">
        <f t="shared" si="15"/>
        <v>135</v>
      </c>
      <c r="G101" s="241"/>
      <c r="H101" s="241"/>
      <c r="I101" s="241"/>
      <c r="J101" s="241"/>
      <c r="K101" s="289"/>
      <c r="L101" s="289"/>
      <c r="M101" s="241"/>
      <c r="N101" s="241"/>
      <c r="O101" s="241"/>
      <c r="P101" s="241"/>
      <c r="Q101" s="241"/>
      <c r="R101" s="241"/>
      <c r="S101" s="241"/>
      <c r="T101" s="241"/>
      <c r="U101" s="241"/>
      <c r="V101" s="241"/>
      <c r="W101" s="241"/>
      <c r="X101" s="241"/>
      <c r="Y101" s="241"/>
      <c r="Z101" s="241"/>
      <c r="AA101" s="241"/>
      <c r="AB101" s="290">
        <f t="shared" si="8"/>
        <v>270</v>
      </c>
      <c r="AC101" s="290">
        <f t="shared" si="9"/>
        <v>0</v>
      </c>
      <c r="AD101" s="290">
        <f t="shared" si="10"/>
        <v>135</v>
      </c>
      <c r="AE101" s="290">
        <f t="shared" si="11"/>
        <v>135</v>
      </c>
    </row>
    <row r="102" spans="1:31" x14ac:dyDescent="0.25">
      <c r="A102" s="280"/>
      <c r="B102" s="331">
        <f>Crop!B138</f>
        <v>41729</v>
      </c>
      <c r="C102" s="332">
        <f t="shared" si="12"/>
        <v>270</v>
      </c>
      <c r="D102" s="332">
        <f t="shared" si="13"/>
        <v>0</v>
      </c>
      <c r="E102" s="332">
        <f t="shared" si="14"/>
        <v>135</v>
      </c>
      <c r="F102" s="332">
        <f t="shared" si="15"/>
        <v>135</v>
      </c>
      <c r="G102" s="241"/>
      <c r="H102" s="241"/>
      <c r="I102" s="241"/>
      <c r="J102" s="241"/>
      <c r="K102" s="289"/>
      <c r="L102" s="289"/>
      <c r="M102" s="241"/>
      <c r="N102" s="241"/>
      <c r="O102" s="241"/>
      <c r="P102" s="241"/>
      <c r="Q102" s="241"/>
      <c r="R102" s="241"/>
      <c r="S102" s="241"/>
      <c r="T102" s="241"/>
      <c r="U102" s="241"/>
      <c r="V102" s="241"/>
      <c r="W102" s="241"/>
      <c r="X102" s="241"/>
      <c r="Y102" s="241"/>
      <c r="Z102" s="241"/>
      <c r="AA102" s="241"/>
      <c r="AB102" s="290">
        <f t="shared" si="8"/>
        <v>270</v>
      </c>
      <c r="AC102" s="290">
        <f t="shared" si="9"/>
        <v>0</v>
      </c>
      <c r="AD102" s="290">
        <f t="shared" si="10"/>
        <v>135</v>
      </c>
      <c r="AE102" s="290">
        <f t="shared" si="11"/>
        <v>135</v>
      </c>
    </row>
    <row r="103" spans="1:31" x14ac:dyDescent="0.25">
      <c r="A103" s="280"/>
      <c r="B103" s="331">
        <f>Crop!B139</f>
        <v>41730</v>
      </c>
      <c r="C103" s="332">
        <f t="shared" si="12"/>
        <v>270</v>
      </c>
      <c r="D103" s="332">
        <f t="shared" si="13"/>
        <v>0</v>
      </c>
      <c r="E103" s="332">
        <f t="shared" si="14"/>
        <v>135</v>
      </c>
      <c r="F103" s="332">
        <f t="shared" si="15"/>
        <v>135</v>
      </c>
      <c r="G103" s="241"/>
      <c r="H103" s="241"/>
      <c r="I103" s="241"/>
      <c r="J103" s="241"/>
      <c r="K103" s="289"/>
      <c r="L103" s="289"/>
      <c r="M103" s="241"/>
      <c r="N103" s="241"/>
      <c r="O103" s="241"/>
      <c r="P103" s="241"/>
      <c r="Q103" s="241"/>
      <c r="R103" s="241"/>
      <c r="S103" s="241"/>
      <c r="T103" s="241"/>
      <c r="U103" s="241"/>
      <c r="V103" s="241"/>
      <c r="W103" s="241"/>
      <c r="X103" s="241"/>
      <c r="Y103" s="241"/>
      <c r="Z103" s="241"/>
      <c r="AA103" s="241"/>
      <c r="AB103" s="290">
        <f t="shared" si="8"/>
        <v>270</v>
      </c>
      <c r="AC103" s="290">
        <f t="shared" si="9"/>
        <v>0</v>
      </c>
      <c r="AD103" s="290">
        <f t="shared" si="10"/>
        <v>135</v>
      </c>
      <c r="AE103" s="290">
        <f t="shared" si="11"/>
        <v>135</v>
      </c>
    </row>
    <row r="104" spans="1:31" x14ac:dyDescent="0.25">
      <c r="A104" s="280"/>
      <c r="B104" s="331">
        <f>Crop!B140</f>
        <v>41731</v>
      </c>
      <c r="C104" s="332">
        <f t="shared" si="12"/>
        <v>270</v>
      </c>
      <c r="D104" s="332">
        <f t="shared" si="13"/>
        <v>0</v>
      </c>
      <c r="E104" s="332">
        <f t="shared" si="14"/>
        <v>135</v>
      </c>
      <c r="F104" s="332">
        <f t="shared" si="15"/>
        <v>135</v>
      </c>
      <c r="G104" s="241"/>
      <c r="H104" s="241"/>
      <c r="I104" s="241"/>
      <c r="J104" s="241"/>
      <c r="K104" s="289"/>
      <c r="L104" s="289"/>
      <c r="M104" s="241"/>
      <c r="N104" s="241"/>
      <c r="O104" s="241"/>
      <c r="P104" s="241"/>
      <c r="Q104" s="241"/>
      <c r="R104" s="241"/>
      <c r="S104" s="241"/>
      <c r="T104" s="241"/>
      <c r="U104" s="241"/>
      <c r="V104" s="241"/>
      <c r="W104" s="241"/>
      <c r="X104" s="241"/>
      <c r="Y104" s="241"/>
      <c r="Z104" s="241"/>
      <c r="AA104" s="241"/>
      <c r="AB104" s="290">
        <f t="shared" si="8"/>
        <v>270</v>
      </c>
      <c r="AC104" s="290">
        <f t="shared" si="9"/>
        <v>0</v>
      </c>
      <c r="AD104" s="290">
        <f t="shared" si="10"/>
        <v>135</v>
      </c>
      <c r="AE104" s="290">
        <f t="shared" si="11"/>
        <v>135</v>
      </c>
    </row>
    <row r="105" spans="1:31" x14ac:dyDescent="0.25">
      <c r="A105" s="280"/>
      <c r="B105" s="331">
        <f>Crop!B141</f>
        <v>41732</v>
      </c>
      <c r="C105" s="332">
        <f t="shared" si="12"/>
        <v>270</v>
      </c>
      <c r="D105" s="332">
        <f t="shared" si="13"/>
        <v>0</v>
      </c>
      <c r="E105" s="332">
        <f t="shared" si="14"/>
        <v>135</v>
      </c>
      <c r="F105" s="332">
        <f t="shared" si="15"/>
        <v>135</v>
      </c>
      <c r="G105" s="241"/>
      <c r="H105" s="241"/>
      <c r="I105" s="241"/>
      <c r="J105" s="241"/>
      <c r="K105" s="289"/>
      <c r="L105" s="289"/>
      <c r="M105" s="241"/>
      <c r="N105" s="241"/>
      <c r="O105" s="241"/>
      <c r="P105" s="241"/>
      <c r="Q105" s="241"/>
      <c r="R105" s="241"/>
      <c r="S105" s="241"/>
      <c r="T105" s="241"/>
      <c r="U105" s="241"/>
      <c r="V105" s="241"/>
      <c r="W105" s="241"/>
      <c r="X105" s="241"/>
      <c r="Y105" s="241"/>
      <c r="Z105" s="241"/>
      <c r="AA105" s="241"/>
      <c r="AB105" s="290">
        <f t="shared" si="8"/>
        <v>270</v>
      </c>
      <c r="AC105" s="290">
        <f t="shared" si="9"/>
        <v>0</v>
      </c>
      <c r="AD105" s="290">
        <f t="shared" si="10"/>
        <v>135</v>
      </c>
      <c r="AE105" s="290">
        <f t="shared" si="11"/>
        <v>135</v>
      </c>
    </row>
    <row r="106" spans="1:31" x14ac:dyDescent="0.25">
      <c r="A106" s="280"/>
      <c r="B106" s="331">
        <f>Crop!B142</f>
        <v>41733</v>
      </c>
      <c r="C106" s="332">
        <f t="shared" si="12"/>
        <v>270</v>
      </c>
      <c r="D106" s="332">
        <f t="shared" si="13"/>
        <v>0</v>
      </c>
      <c r="E106" s="332">
        <f t="shared" si="14"/>
        <v>135</v>
      </c>
      <c r="F106" s="332">
        <f t="shared" si="15"/>
        <v>135</v>
      </c>
      <c r="G106" s="241"/>
      <c r="H106" s="241"/>
      <c r="I106" s="241"/>
      <c r="J106" s="241"/>
      <c r="K106" s="289"/>
      <c r="L106" s="289"/>
      <c r="M106" s="241"/>
      <c r="N106" s="241"/>
      <c r="O106" s="241"/>
      <c r="P106" s="241"/>
      <c r="Q106" s="241"/>
      <c r="R106" s="241"/>
      <c r="S106" s="241"/>
      <c r="T106" s="241"/>
      <c r="U106" s="241"/>
      <c r="V106" s="241"/>
      <c r="W106" s="241"/>
      <c r="X106" s="241"/>
      <c r="Y106" s="241"/>
      <c r="Z106" s="241"/>
      <c r="AA106" s="241"/>
      <c r="AB106" s="290">
        <f t="shared" si="8"/>
        <v>270</v>
      </c>
      <c r="AC106" s="290">
        <f t="shared" si="9"/>
        <v>0</v>
      </c>
      <c r="AD106" s="290">
        <f t="shared" si="10"/>
        <v>135</v>
      </c>
      <c r="AE106" s="290">
        <f t="shared" si="11"/>
        <v>135</v>
      </c>
    </row>
    <row r="107" spans="1:31" x14ac:dyDescent="0.25">
      <c r="A107" s="280"/>
      <c r="B107" s="331">
        <f>Crop!B143</f>
        <v>41734</v>
      </c>
      <c r="C107" s="332">
        <f t="shared" si="12"/>
        <v>270</v>
      </c>
      <c r="D107" s="332">
        <f t="shared" si="13"/>
        <v>0</v>
      </c>
      <c r="E107" s="332">
        <f t="shared" si="14"/>
        <v>135</v>
      </c>
      <c r="F107" s="332">
        <f t="shared" si="15"/>
        <v>135</v>
      </c>
      <c r="G107" s="241"/>
      <c r="H107" s="241"/>
      <c r="I107" s="241"/>
      <c r="J107" s="241"/>
      <c r="K107" s="289"/>
      <c r="L107" s="289"/>
      <c r="M107" s="241"/>
      <c r="N107" s="241"/>
      <c r="O107" s="241"/>
      <c r="P107" s="241"/>
      <c r="Q107" s="241"/>
      <c r="R107" s="241"/>
      <c r="S107" s="241"/>
      <c r="T107" s="241"/>
      <c r="U107" s="241"/>
      <c r="V107" s="241"/>
      <c r="W107" s="241"/>
      <c r="X107" s="241"/>
      <c r="Y107" s="241"/>
      <c r="Z107" s="241"/>
      <c r="AA107" s="241"/>
      <c r="AB107" s="290">
        <f t="shared" si="8"/>
        <v>270</v>
      </c>
      <c r="AC107" s="290">
        <f t="shared" si="9"/>
        <v>0</v>
      </c>
      <c r="AD107" s="290">
        <f t="shared" si="10"/>
        <v>135</v>
      </c>
      <c r="AE107" s="290">
        <f t="shared" si="11"/>
        <v>135</v>
      </c>
    </row>
    <row r="108" spans="1:31" x14ac:dyDescent="0.25">
      <c r="A108" s="280"/>
      <c r="B108" s="331">
        <f>Crop!B144</f>
        <v>41735</v>
      </c>
      <c r="C108" s="332">
        <f t="shared" si="12"/>
        <v>270</v>
      </c>
      <c r="D108" s="332">
        <f t="shared" si="13"/>
        <v>0</v>
      </c>
      <c r="E108" s="332">
        <f t="shared" si="14"/>
        <v>135</v>
      </c>
      <c r="F108" s="332">
        <f t="shared" si="15"/>
        <v>135</v>
      </c>
      <c r="G108" s="241"/>
      <c r="H108" s="241"/>
      <c r="I108" s="241"/>
      <c r="J108" s="241"/>
      <c r="K108" s="289"/>
      <c r="L108" s="289"/>
      <c r="M108" s="241"/>
      <c r="N108" s="241"/>
      <c r="O108" s="241"/>
      <c r="P108" s="241"/>
      <c r="Q108" s="241"/>
      <c r="R108" s="241"/>
      <c r="S108" s="241"/>
      <c r="T108" s="241"/>
      <c r="U108" s="241"/>
      <c r="V108" s="241"/>
      <c r="W108" s="241"/>
      <c r="X108" s="241"/>
      <c r="Y108" s="241"/>
      <c r="Z108" s="241"/>
      <c r="AA108" s="241"/>
      <c r="AB108" s="290">
        <f t="shared" si="8"/>
        <v>270</v>
      </c>
      <c r="AC108" s="290">
        <f t="shared" si="9"/>
        <v>0</v>
      </c>
      <c r="AD108" s="290">
        <f t="shared" si="10"/>
        <v>135</v>
      </c>
      <c r="AE108" s="290">
        <f t="shared" si="11"/>
        <v>135</v>
      </c>
    </row>
    <row r="109" spans="1:31" x14ac:dyDescent="0.25">
      <c r="A109" s="280"/>
      <c r="B109" s="331">
        <f>Crop!B145</f>
        <v>41736</v>
      </c>
      <c r="C109" s="332">
        <f t="shared" si="12"/>
        <v>270</v>
      </c>
      <c r="D109" s="332">
        <f t="shared" si="13"/>
        <v>0</v>
      </c>
      <c r="E109" s="332">
        <f t="shared" si="14"/>
        <v>135</v>
      </c>
      <c r="F109" s="332">
        <f t="shared" si="15"/>
        <v>135</v>
      </c>
      <c r="G109" s="241"/>
      <c r="H109" s="241"/>
      <c r="I109" s="241"/>
      <c r="J109" s="241"/>
      <c r="K109" s="289"/>
      <c r="L109" s="289"/>
      <c r="M109" s="241"/>
      <c r="N109" s="241"/>
      <c r="O109" s="241"/>
      <c r="P109" s="241"/>
      <c r="Q109" s="241"/>
      <c r="R109" s="241"/>
      <c r="S109" s="241"/>
      <c r="T109" s="241"/>
      <c r="U109" s="241"/>
      <c r="V109" s="241"/>
      <c r="W109" s="241"/>
      <c r="X109" s="241"/>
      <c r="Y109" s="241"/>
      <c r="Z109" s="241"/>
      <c r="AA109" s="241"/>
      <c r="AB109" s="290">
        <f t="shared" si="8"/>
        <v>270</v>
      </c>
      <c r="AC109" s="290">
        <f t="shared" si="9"/>
        <v>0</v>
      </c>
      <c r="AD109" s="290">
        <f t="shared" si="10"/>
        <v>135</v>
      </c>
      <c r="AE109" s="290">
        <f t="shared" si="11"/>
        <v>135</v>
      </c>
    </row>
    <row r="110" spans="1:31" x14ac:dyDescent="0.25">
      <c r="A110" s="280"/>
      <c r="B110" s="331">
        <f>Crop!B146</f>
        <v>41737</v>
      </c>
      <c r="C110" s="332">
        <f t="shared" si="12"/>
        <v>270</v>
      </c>
      <c r="D110" s="332">
        <f t="shared" si="13"/>
        <v>0</v>
      </c>
      <c r="E110" s="332">
        <f t="shared" si="14"/>
        <v>135</v>
      </c>
      <c r="F110" s="332">
        <f t="shared" si="15"/>
        <v>135</v>
      </c>
      <c r="G110" s="241"/>
      <c r="H110" s="241"/>
      <c r="I110" s="241"/>
      <c r="J110" s="241"/>
      <c r="K110" s="289"/>
      <c r="L110" s="289"/>
      <c r="M110" s="241"/>
      <c r="N110" s="241"/>
      <c r="O110" s="241"/>
      <c r="P110" s="241"/>
      <c r="Q110" s="241"/>
      <c r="R110" s="241"/>
      <c r="S110" s="241"/>
      <c r="T110" s="241"/>
      <c r="U110" s="241"/>
      <c r="V110" s="241"/>
      <c r="W110" s="241"/>
      <c r="X110" s="241"/>
      <c r="Y110" s="241"/>
      <c r="Z110" s="241"/>
      <c r="AA110" s="241"/>
      <c r="AB110" s="290">
        <f t="shared" si="8"/>
        <v>270</v>
      </c>
      <c r="AC110" s="290">
        <f t="shared" si="9"/>
        <v>0</v>
      </c>
      <c r="AD110" s="290">
        <f t="shared" si="10"/>
        <v>135</v>
      </c>
      <c r="AE110" s="290">
        <f t="shared" si="11"/>
        <v>135</v>
      </c>
    </row>
    <row r="111" spans="1:31" x14ac:dyDescent="0.25">
      <c r="A111" s="280"/>
      <c r="B111" s="331">
        <f>Crop!B147</f>
        <v>41738</v>
      </c>
      <c r="C111" s="332">
        <f t="shared" si="12"/>
        <v>270</v>
      </c>
      <c r="D111" s="332">
        <f t="shared" si="13"/>
        <v>0</v>
      </c>
      <c r="E111" s="332">
        <f t="shared" si="14"/>
        <v>135</v>
      </c>
      <c r="F111" s="332">
        <f t="shared" si="15"/>
        <v>135</v>
      </c>
      <c r="G111" s="241"/>
      <c r="H111" s="241"/>
      <c r="I111" s="241"/>
      <c r="J111" s="241"/>
      <c r="K111" s="289"/>
      <c r="L111" s="289"/>
      <c r="M111" s="241"/>
      <c r="N111" s="241"/>
      <c r="O111" s="241"/>
      <c r="P111" s="241"/>
      <c r="Q111" s="241"/>
      <c r="R111" s="241"/>
      <c r="S111" s="241"/>
      <c r="T111" s="241"/>
      <c r="U111" s="241"/>
      <c r="V111" s="241"/>
      <c r="W111" s="241"/>
      <c r="X111" s="241"/>
      <c r="Y111" s="241"/>
      <c r="Z111" s="241"/>
      <c r="AA111" s="241"/>
      <c r="AB111" s="290">
        <f t="shared" si="8"/>
        <v>270</v>
      </c>
      <c r="AC111" s="290">
        <f t="shared" si="9"/>
        <v>0</v>
      </c>
      <c r="AD111" s="290">
        <f t="shared" si="10"/>
        <v>135</v>
      </c>
      <c r="AE111" s="290">
        <f t="shared" si="11"/>
        <v>135</v>
      </c>
    </row>
    <row r="112" spans="1:31" x14ac:dyDescent="0.25">
      <c r="A112" s="280"/>
      <c r="B112" s="331">
        <f>Crop!B148</f>
        <v>41739</v>
      </c>
      <c r="C112" s="332">
        <f t="shared" si="12"/>
        <v>270</v>
      </c>
      <c r="D112" s="332">
        <f t="shared" si="13"/>
        <v>0</v>
      </c>
      <c r="E112" s="332">
        <f t="shared" si="14"/>
        <v>135</v>
      </c>
      <c r="F112" s="332">
        <f t="shared" si="15"/>
        <v>135</v>
      </c>
      <c r="G112" s="241"/>
      <c r="H112" s="241"/>
      <c r="I112" s="241"/>
      <c r="J112" s="241"/>
      <c r="K112" s="289"/>
      <c r="L112" s="289"/>
      <c r="M112" s="241"/>
      <c r="N112" s="241"/>
      <c r="O112" s="241"/>
      <c r="P112" s="241"/>
      <c r="Q112" s="241"/>
      <c r="R112" s="241"/>
      <c r="S112" s="241"/>
      <c r="T112" s="241"/>
      <c r="U112" s="241"/>
      <c r="V112" s="241"/>
      <c r="W112" s="241"/>
      <c r="X112" s="241"/>
      <c r="Y112" s="241"/>
      <c r="Z112" s="241"/>
      <c r="AA112" s="241"/>
      <c r="AB112" s="290">
        <f t="shared" si="8"/>
        <v>270</v>
      </c>
      <c r="AC112" s="290">
        <f t="shared" si="9"/>
        <v>0</v>
      </c>
      <c r="AD112" s="290">
        <f t="shared" si="10"/>
        <v>135</v>
      </c>
      <c r="AE112" s="290">
        <f t="shared" si="11"/>
        <v>135</v>
      </c>
    </row>
    <row r="113" spans="1:31" x14ac:dyDescent="0.25">
      <c r="A113" s="280"/>
      <c r="B113" s="331">
        <f>Crop!B149</f>
        <v>41740</v>
      </c>
      <c r="C113" s="332">
        <f t="shared" si="12"/>
        <v>270</v>
      </c>
      <c r="D113" s="332">
        <f t="shared" si="13"/>
        <v>0</v>
      </c>
      <c r="E113" s="332">
        <f t="shared" si="14"/>
        <v>135</v>
      </c>
      <c r="F113" s="332">
        <f t="shared" si="15"/>
        <v>135</v>
      </c>
      <c r="G113" s="241"/>
      <c r="H113" s="241"/>
      <c r="I113" s="241"/>
      <c r="J113" s="241"/>
      <c r="K113" s="289"/>
      <c r="L113" s="289"/>
      <c r="M113" s="241"/>
      <c r="N113" s="241"/>
      <c r="O113" s="241"/>
      <c r="P113" s="241"/>
      <c r="Q113" s="241"/>
      <c r="R113" s="241"/>
      <c r="S113" s="241"/>
      <c r="T113" s="241"/>
      <c r="U113" s="241"/>
      <c r="V113" s="241"/>
      <c r="W113" s="241"/>
      <c r="X113" s="241"/>
      <c r="Y113" s="241"/>
      <c r="Z113" s="241"/>
      <c r="AA113" s="241"/>
      <c r="AB113" s="290">
        <f t="shared" si="8"/>
        <v>270</v>
      </c>
      <c r="AC113" s="290">
        <f t="shared" si="9"/>
        <v>0</v>
      </c>
      <c r="AD113" s="290">
        <f t="shared" si="10"/>
        <v>135</v>
      </c>
      <c r="AE113" s="290">
        <f t="shared" si="11"/>
        <v>135</v>
      </c>
    </row>
    <row r="114" spans="1:31" x14ac:dyDescent="0.25">
      <c r="A114" s="280"/>
      <c r="B114" s="331">
        <f>Crop!B150</f>
        <v>41741</v>
      </c>
      <c r="C114" s="332">
        <f t="shared" si="12"/>
        <v>270</v>
      </c>
      <c r="D114" s="332">
        <f t="shared" si="13"/>
        <v>0</v>
      </c>
      <c r="E114" s="332">
        <f t="shared" si="14"/>
        <v>135</v>
      </c>
      <c r="F114" s="332">
        <f t="shared" si="15"/>
        <v>135</v>
      </c>
      <c r="G114" s="241"/>
      <c r="H114" s="241"/>
      <c r="I114" s="241"/>
      <c r="J114" s="241"/>
      <c r="K114" s="289"/>
      <c r="L114" s="289"/>
      <c r="M114" s="241"/>
      <c r="N114" s="241"/>
      <c r="O114" s="241"/>
      <c r="P114" s="241"/>
      <c r="Q114" s="241"/>
      <c r="R114" s="241"/>
      <c r="S114" s="241"/>
      <c r="T114" s="241"/>
      <c r="U114" s="241"/>
      <c r="V114" s="241"/>
      <c r="W114" s="241"/>
      <c r="X114" s="241"/>
      <c r="Y114" s="241"/>
      <c r="Z114" s="241"/>
      <c r="AA114" s="241"/>
      <c r="AB114" s="290">
        <f t="shared" si="8"/>
        <v>270</v>
      </c>
      <c r="AC114" s="290">
        <f t="shared" si="9"/>
        <v>0</v>
      </c>
      <c r="AD114" s="290">
        <f t="shared" si="10"/>
        <v>135</v>
      </c>
      <c r="AE114" s="290">
        <f t="shared" si="11"/>
        <v>135</v>
      </c>
    </row>
    <row r="115" spans="1:31" x14ac:dyDescent="0.25">
      <c r="A115" s="280"/>
      <c r="B115" s="331">
        <f>Crop!B151</f>
        <v>41742</v>
      </c>
      <c r="C115" s="332">
        <f t="shared" si="12"/>
        <v>270</v>
      </c>
      <c r="D115" s="332">
        <f t="shared" si="13"/>
        <v>0</v>
      </c>
      <c r="E115" s="332">
        <f t="shared" si="14"/>
        <v>135</v>
      </c>
      <c r="F115" s="332">
        <f t="shared" si="15"/>
        <v>135</v>
      </c>
      <c r="G115" s="241"/>
      <c r="H115" s="241"/>
      <c r="I115" s="241"/>
      <c r="J115" s="241"/>
      <c r="K115" s="289"/>
      <c r="L115" s="289"/>
      <c r="M115" s="241"/>
      <c r="N115" s="241"/>
      <c r="O115" s="241"/>
      <c r="P115" s="241"/>
      <c r="Q115" s="241"/>
      <c r="R115" s="241"/>
      <c r="S115" s="241"/>
      <c r="T115" s="241"/>
      <c r="U115" s="241"/>
      <c r="V115" s="241"/>
      <c r="W115" s="241"/>
      <c r="X115" s="241"/>
      <c r="Y115" s="241"/>
      <c r="Z115" s="241"/>
      <c r="AA115" s="241"/>
      <c r="AB115" s="290">
        <f t="shared" si="8"/>
        <v>270</v>
      </c>
      <c r="AC115" s="290">
        <f t="shared" si="9"/>
        <v>0</v>
      </c>
      <c r="AD115" s="290">
        <f t="shared" si="10"/>
        <v>135</v>
      </c>
      <c r="AE115" s="290">
        <f t="shared" si="11"/>
        <v>135</v>
      </c>
    </row>
    <row r="116" spans="1:31" x14ac:dyDescent="0.25">
      <c r="A116" s="280"/>
      <c r="B116" s="331">
        <f>Crop!B152</f>
        <v>41743</v>
      </c>
      <c r="C116" s="332">
        <f t="shared" si="12"/>
        <v>270</v>
      </c>
      <c r="D116" s="332">
        <f t="shared" si="13"/>
        <v>0</v>
      </c>
      <c r="E116" s="332">
        <f t="shared" si="14"/>
        <v>135</v>
      </c>
      <c r="F116" s="332">
        <f t="shared" si="15"/>
        <v>135</v>
      </c>
      <c r="G116" s="241"/>
      <c r="H116" s="241"/>
      <c r="I116" s="241"/>
      <c r="J116" s="241"/>
      <c r="K116" s="289"/>
      <c r="L116" s="289"/>
      <c r="M116" s="241"/>
      <c r="N116" s="241"/>
      <c r="O116" s="241"/>
      <c r="P116" s="241"/>
      <c r="Q116" s="241"/>
      <c r="R116" s="241"/>
      <c r="S116" s="241"/>
      <c r="T116" s="241"/>
      <c r="U116" s="241"/>
      <c r="V116" s="241"/>
      <c r="W116" s="241"/>
      <c r="X116" s="241"/>
      <c r="Y116" s="241"/>
      <c r="Z116" s="241"/>
      <c r="AA116" s="241"/>
      <c r="AB116" s="290">
        <f t="shared" si="8"/>
        <v>270</v>
      </c>
      <c r="AC116" s="290">
        <f t="shared" si="9"/>
        <v>0</v>
      </c>
      <c r="AD116" s="290">
        <f t="shared" si="10"/>
        <v>135</v>
      </c>
      <c r="AE116" s="290">
        <f t="shared" si="11"/>
        <v>135</v>
      </c>
    </row>
    <row r="117" spans="1:31" x14ac:dyDescent="0.25">
      <c r="A117" s="280"/>
      <c r="B117" s="331">
        <f>Crop!B153</f>
        <v>41744</v>
      </c>
      <c r="C117" s="332">
        <f t="shared" si="12"/>
        <v>270</v>
      </c>
      <c r="D117" s="332">
        <f t="shared" si="13"/>
        <v>0</v>
      </c>
      <c r="E117" s="332">
        <f t="shared" si="14"/>
        <v>135</v>
      </c>
      <c r="F117" s="332">
        <f t="shared" si="15"/>
        <v>135</v>
      </c>
      <c r="G117" s="241"/>
      <c r="H117" s="241"/>
      <c r="I117" s="241"/>
      <c r="J117" s="241"/>
      <c r="K117" s="289"/>
      <c r="L117" s="289"/>
      <c r="M117" s="241"/>
      <c r="N117" s="241"/>
      <c r="O117" s="241"/>
      <c r="P117" s="241"/>
      <c r="Q117" s="241"/>
      <c r="R117" s="241"/>
      <c r="S117" s="241"/>
      <c r="T117" s="241"/>
      <c r="U117" s="241"/>
      <c r="V117" s="241"/>
      <c r="W117" s="241"/>
      <c r="X117" s="241"/>
      <c r="Y117" s="241"/>
      <c r="Z117" s="241"/>
      <c r="AA117" s="241"/>
      <c r="AB117" s="290">
        <f t="shared" si="8"/>
        <v>270</v>
      </c>
      <c r="AC117" s="290">
        <f t="shared" si="9"/>
        <v>0</v>
      </c>
      <c r="AD117" s="290">
        <f t="shared" si="10"/>
        <v>135</v>
      </c>
      <c r="AE117" s="290">
        <f t="shared" si="11"/>
        <v>135</v>
      </c>
    </row>
    <row r="118" spans="1:31" x14ac:dyDescent="0.25">
      <c r="A118" s="280"/>
      <c r="B118" s="331">
        <f>Crop!B154</f>
        <v>41745</v>
      </c>
      <c r="C118" s="332">
        <f t="shared" si="12"/>
        <v>270</v>
      </c>
      <c r="D118" s="332">
        <f t="shared" si="13"/>
        <v>0</v>
      </c>
      <c r="E118" s="332">
        <f t="shared" si="14"/>
        <v>135</v>
      </c>
      <c r="F118" s="332">
        <f t="shared" si="15"/>
        <v>135</v>
      </c>
      <c r="G118" s="241"/>
      <c r="H118" s="241"/>
      <c r="I118" s="241"/>
      <c r="J118" s="241"/>
      <c r="K118" s="289"/>
      <c r="L118" s="289"/>
      <c r="M118" s="241"/>
      <c r="N118" s="241"/>
      <c r="O118" s="241"/>
      <c r="P118" s="241"/>
      <c r="Q118" s="241"/>
      <c r="R118" s="241"/>
      <c r="S118" s="241"/>
      <c r="T118" s="241"/>
      <c r="U118" s="241"/>
      <c r="V118" s="241"/>
      <c r="W118" s="241"/>
      <c r="X118" s="241"/>
      <c r="Y118" s="241"/>
      <c r="Z118" s="241"/>
      <c r="AA118" s="241"/>
      <c r="AB118" s="290">
        <f t="shared" si="8"/>
        <v>270</v>
      </c>
      <c r="AC118" s="290">
        <f t="shared" si="9"/>
        <v>0</v>
      </c>
      <c r="AD118" s="290">
        <f t="shared" si="10"/>
        <v>135</v>
      </c>
      <c r="AE118" s="290">
        <f t="shared" si="11"/>
        <v>135</v>
      </c>
    </row>
    <row r="119" spans="1:31" x14ac:dyDescent="0.25">
      <c r="A119" s="280"/>
      <c r="B119" s="331">
        <f>Crop!B155</f>
        <v>41746</v>
      </c>
      <c r="C119" s="332">
        <f t="shared" si="12"/>
        <v>270</v>
      </c>
      <c r="D119" s="332">
        <f t="shared" si="13"/>
        <v>0</v>
      </c>
      <c r="E119" s="332">
        <f t="shared" si="14"/>
        <v>135</v>
      </c>
      <c r="F119" s="332">
        <f t="shared" si="15"/>
        <v>135</v>
      </c>
      <c r="G119" s="241"/>
      <c r="H119" s="241"/>
      <c r="I119" s="241"/>
      <c r="J119" s="241"/>
      <c r="K119" s="289"/>
      <c r="L119" s="289"/>
      <c r="M119" s="241"/>
      <c r="N119" s="241"/>
      <c r="O119" s="241"/>
      <c r="P119" s="241"/>
      <c r="Q119" s="241"/>
      <c r="R119" s="241"/>
      <c r="S119" s="241"/>
      <c r="T119" s="241"/>
      <c r="U119" s="241"/>
      <c r="V119" s="241"/>
      <c r="W119" s="241"/>
      <c r="X119" s="241"/>
      <c r="Y119" s="241"/>
      <c r="Z119" s="241"/>
      <c r="AA119" s="241"/>
      <c r="AB119" s="290">
        <f t="shared" si="8"/>
        <v>270</v>
      </c>
      <c r="AC119" s="290">
        <f t="shared" si="9"/>
        <v>0</v>
      </c>
      <c r="AD119" s="290">
        <f t="shared" si="10"/>
        <v>135</v>
      </c>
      <c r="AE119" s="290">
        <f t="shared" si="11"/>
        <v>135</v>
      </c>
    </row>
    <row r="120" spans="1:31" x14ac:dyDescent="0.25">
      <c r="A120" s="280"/>
      <c r="B120" s="331">
        <f>Crop!B156</f>
        <v>41747</v>
      </c>
      <c r="C120" s="332">
        <f t="shared" si="12"/>
        <v>270</v>
      </c>
      <c r="D120" s="332">
        <f t="shared" si="13"/>
        <v>0</v>
      </c>
      <c r="E120" s="332">
        <f t="shared" si="14"/>
        <v>135</v>
      </c>
      <c r="F120" s="332">
        <f t="shared" si="15"/>
        <v>135</v>
      </c>
      <c r="G120" s="241"/>
      <c r="H120" s="241"/>
      <c r="I120" s="241"/>
      <c r="J120" s="241"/>
      <c r="K120" s="289"/>
      <c r="L120" s="289"/>
      <c r="M120" s="241"/>
      <c r="N120" s="241"/>
      <c r="O120" s="241"/>
      <c r="P120" s="241"/>
      <c r="Q120" s="241"/>
      <c r="R120" s="241"/>
      <c r="S120" s="241"/>
      <c r="T120" s="241"/>
      <c r="U120" s="241"/>
      <c r="V120" s="241"/>
      <c r="W120" s="241"/>
      <c r="X120" s="241"/>
      <c r="Y120" s="241"/>
      <c r="Z120" s="241"/>
      <c r="AA120" s="241"/>
      <c r="AB120" s="290">
        <f t="shared" si="8"/>
        <v>270</v>
      </c>
      <c r="AC120" s="290">
        <f t="shared" si="9"/>
        <v>0</v>
      </c>
      <c r="AD120" s="290">
        <f t="shared" si="10"/>
        <v>135</v>
      </c>
      <c r="AE120" s="290">
        <f t="shared" si="11"/>
        <v>135</v>
      </c>
    </row>
    <row r="121" spans="1:31" x14ac:dyDescent="0.25">
      <c r="A121" s="280"/>
      <c r="B121" s="331">
        <f>Crop!B157</f>
        <v>41748</v>
      </c>
      <c r="C121" s="332">
        <f t="shared" si="12"/>
        <v>270</v>
      </c>
      <c r="D121" s="332">
        <f t="shared" si="13"/>
        <v>0</v>
      </c>
      <c r="E121" s="332">
        <f t="shared" si="14"/>
        <v>135</v>
      </c>
      <c r="F121" s="332">
        <f t="shared" si="15"/>
        <v>135</v>
      </c>
      <c r="G121" s="241"/>
      <c r="H121" s="241"/>
      <c r="I121" s="241"/>
      <c r="J121" s="241"/>
      <c r="K121" s="289"/>
      <c r="L121" s="289"/>
      <c r="M121" s="241"/>
      <c r="N121" s="241"/>
      <c r="O121" s="241"/>
      <c r="P121" s="241"/>
      <c r="Q121" s="241"/>
      <c r="R121" s="241"/>
      <c r="S121" s="241"/>
      <c r="T121" s="241"/>
      <c r="U121" s="241"/>
      <c r="V121" s="241"/>
      <c r="W121" s="241"/>
      <c r="X121" s="241"/>
      <c r="Y121" s="241"/>
      <c r="Z121" s="241"/>
      <c r="AA121" s="241"/>
      <c r="AB121" s="290">
        <f t="shared" si="8"/>
        <v>270</v>
      </c>
      <c r="AC121" s="290">
        <f t="shared" si="9"/>
        <v>0</v>
      </c>
      <c r="AD121" s="290">
        <f t="shared" si="10"/>
        <v>135</v>
      </c>
      <c r="AE121" s="290">
        <f t="shared" si="11"/>
        <v>135</v>
      </c>
    </row>
    <row r="122" spans="1:31" x14ac:dyDescent="0.25">
      <c r="A122" s="280"/>
      <c r="B122" s="331">
        <f>Crop!B158</f>
        <v>41749</v>
      </c>
      <c r="C122" s="332">
        <f t="shared" si="12"/>
        <v>270</v>
      </c>
      <c r="D122" s="332">
        <f t="shared" si="13"/>
        <v>0</v>
      </c>
      <c r="E122" s="332">
        <f t="shared" si="14"/>
        <v>135</v>
      </c>
      <c r="F122" s="332">
        <f t="shared" si="15"/>
        <v>135</v>
      </c>
      <c r="G122" s="241"/>
      <c r="H122" s="241"/>
      <c r="I122" s="241"/>
      <c r="J122" s="241"/>
      <c r="K122" s="289"/>
      <c r="L122" s="289"/>
      <c r="M122" s="241"/>
      <c r="N122" s="241"/>
      <c r="O122" s="241"/>
      <c r="P122" s="241"/>
      <c r="Q122" s="241"/>
      <c r="R122" s="241"/>
      <c r="S122" s="241"/>
      <c r="T122" s="241"/>
      <c r="U122" s="241"/>
      <c r="V122" s="241"/>
      <c r="W122" s="241"/>
      <c r="X122" s="241"/>
      <c r="Y122" s="241"/>
      <c r="Z122" s="241"/>
      <c r="AA122" s="241"/>
      <c r="AB122" s="290">
        <f t="shared" si="8"/>
        <v>270</v>
      </c>
      <c r="AC122" s="290">
        <f t="shared" si="9"/>
        <v>0</v>
      </c>
      <c r="AD122" s="290">
        <f t="shared" si="10"/>
        <v>135</v>
      </c>
      <c r="AE122" s="290">
        <f t="shared" si="11"/>
        <v>135</v>
      </c>
    </row>
    <row r="123" spans="1:31" x14ac:dyDescent="0.25">
      <c r="A123" s="280"/>
      <c r="B123" s="331">
        <f>Crop!B159</f>
        <v>41750</v>
      </c>
      <c r="C123" s="332">
        <f t="shared" si="12"/>
        <v>270</v>
      </c>
      <c r="D123" s="332">
        <f t="shared" si="13"/>
        <v>0</v>
      </c>
      <c r="E123" s="332">
        <f t="shared" si="14"/>
        <v>135</v>
      </c>
      <c r="F123" s="332">
        <f t="shared" si="15"/>
        <v>135</v>
      </c>
      <c r="G123" s="241"/>
      <c r="H123" s="241"/>
      <c r="I123" s="241"/>
      <c r="J123" s="241"/>
      <c r="K123" s="289"/>
      <c r="L123" s="289"/>
      <c r="M123" s="241"/>
      <c r="N123" s="241"/>
      <c r="O123" s="241"/>
      <c r="P123" s="241"/>
      <c r="Q123" s="241"/>
      <c r="R123" s="241"/>
      <c r="S123" s="241"/>
      <c r="T123" s="241"/>
      <c r="U123" s="241"/>
      <c r="V123" s="241"/>
      <c r="W123" s="241"/>
      <c r="X123" s="241"/>
      <c r="Y123" s="241"/>
      <c r="Z123" s="241"/>
      <c r="AA123" s="241"/>
      <c r="AB123" s="290">
        <f t="shared" si="8"/>
        <v>270</v>
      </c>
      <c r="AC123" s="290">
        <f t="shared" si="9"/>
        <v>0</v>
      </c>
      <c r="AD123" s="290">
        <f t="shared" si="10"/>
        <v>135</v>
      </c>
      <c r="AE123" s="290">
        <f t="shared" si="11"/>
        <v>135</v>
      </c>
    </row>
    <row r="124" spans="1:31" x14ac:dyDescent="0.25">
      <c r="A124" s="280"/>
      <c r="B124" s="331">
        <f>Crop!B160</f>
        <v>41751</v>
      </c>
      <c r="C124" s="332">
        <f t="shared" si="12"/>
        <v>270</v>
      </c>
      <c r="D124" s="332">
        <f t="shared" si="13"/>
        <v>0</v>
      </c>
      <c r="E124" s="332">
        <f t="shared" si="14"/>
        <v>135</v>
      </c>
      <c r="F124" s="332">
        <f t="shared" si="15"/>
        <v>135</v>
      </c>
      <c r="G124" s="241"/>
      <c r="H124" s="241"/>
      <c r="I124" s="241"/>
      <c r="J124" s="241"/>
      <c r="K124" s="289"/>
      <c r="L124" s="289"/>
      <c r="M124" s="241"/>
      <c r="N124" s="241"/>
      <c r="O124" s="241"/>
      <c r="P124" s="241"/>
      <c r="Q124" s="241"/>
      <c r="R124" s="241"/>
      <c r="S124" s="241"/>
      <c r="T124" s="241"/>
      <c r="U124" s="241"/>
      <c r="V124" s="241"/>
      <c r="W124" s="241"/>
      <c r="X124" s="241"/>
      <c r="Y124" s="241"/>
      <c r="Z124" s="241"/>
      <c r="AA124" s="241"/>
      <c r="AB124" s="290">
        <f t="shared" si="8"/>
        <v>270</v>
      </c>
      <c r="AC124" s="290">
        <f t="shared" si="9"/>
        <v>0</v>
      </c>
      <c r="AD124" s="290">
        <f t="shared" si="10"/>
        <v>135</v>
      </c>
      <c r="AE124" s="290">
        <f t="shared" si="11"/>
        <v>135</v>
      </c>
    </row>
    <row r="125" spans="1:31" x14ac:dyDescent="0.25">
      <c r="A125" s="280"/>
      <c r="B125" s="331">
        <f>Crop!B161</f>
        <v>41752</v>
      </c>
      <c r="C125" s="332">
        <f t="shared" si="12"/>
        <v>270</v>
      </c>
      <c r="D125" s="332">
        <f t="shared" si="13"/>
        <v>0</v>
      </c>
      <c r="E125" s="332">
        <f t="shared" si="14"/>
        <v>135</v>
      </c>
      <c r="F125" s="332">
        <f t="shared" si="15"/>
        <v>135</v>
      </c>
      <c r="G125" s="241"/>
      <c r="H125" s="241"/>
      <c r="I125" s="241"/>
      <c r="J125" s="241"/>
      <c r="K125" s="289"/>
      <c r="L125" s="289"/>
      <c r="M125" s="241"/>
      <c r="N125" s="241"/>
      <c r="O125" s="241"/>
      <c r="P125" s="241"/>
      <c r="Q125" s="241"/>
      <c r="R125" s="241"/>
      <c r="S125" s="241"/>
      <c r="T125" s="241"/>
      <c r="U125" s="241"/>
      <c r="V125" s="241"/>
      <c r="W125" s="241"/>
      <c r="X125" s="241"/>
      <c r="Y125" s="241"/>
      <c r="Z125" s="241"/>
      <c r="AA125" s="241"/>
      <c r="AB125" s="290">
        <f t="shared" si="8"/>
        <v>270</v>
      </c>
      <c r="AC125" s="290">
        <f t="shared" si="9"/>
        <v>0</v>
      </c>
      <c r="AD125" s="290">
        <f t="shared" si="10"/>
        <v>135</v>
      </c>
      <c r="AE125" s="290">
        <f t="shared" si="11"/>
        <v>135</v>
      </c>
    </row>
    <row r="126" spans="1:31" x14ac:dyDescent="0.25">
      <c r="A126" s="280"/>
      <c r="B126" s="331">
        <f>Crop!B162</f>
        <v>41753</v>
      </c>
      <c r="C126" s="332">
        <f t="shared" si="12"/>
        <v>270</v>
      </c>
      <c r="D126" s="332">
        <f t="shared" si="13"/>
        <v>0</v>
      </c>
      <c r="E126" s="332">
        <f t="shared" si="14"/>
        <v>135</v>
      </c>
      <c r="F126" s="332">
        <f t="shared" si="15"/>
        <v>135</v>
      </c>
      <c r="G126" s="241"/>
      <c r="H126" s="241"/>
      <c r="I126" s="241"/>
      <c r="J126" s="241"/>
      <c r="K126" s="289"/>
      <c r="L126" s="289"/>
      <c r="M126" s="241"/>
      <c r="N126" s="241"/>
      <c r="O126" s="241"/>
      <c r="P126" s="241"/>
      <c r="Q126" s="241"/>
      <c r="R126" s="241"/>
      <c r="S126" s="241"/>
      <c r="T126" s="241"/>
      <c r="U126" s="241"/>
      <c r="V126" s="241"/>
      <c r="W126" s="241"/>
      <c r="X126" s="241"/>
      <c r="Y126" s="241"/>
      <c r="Z126" s="241"/>
      <c r="AA126" s="241"/>
      <c r="AB126" s="290">
        <f t="shared" si="8"/>
        <v>270</v>
      </c>
      <c r="AC126" s="290">
        <f t="shared" si="9"/>
        <v>0</v>
      </c>
      <c r="AD126" s="290">
        <f t="shared" si="10"/>
        <v>135</v>
      </c>
      <c r="AE126" s="290">
        <f t="shared" si="11"/>
        <v>135</v>
      </c>
    </row>
    <row r="127" spans="1:31" x14ac:dyDescent="0.25">
      <c r="A127" s="280"/>
      <c r="B127" s="331">
        <f>Crop!B163</f>
        <v>41754</v>
      </c>
      <c r="C127" s="332">
        <f t="shared" si="12"/>
        <v>270</v>
      </c>
      <c r="D127" s="332">
        <f t="shared" si="13"/>
        <v>0</v>
      </c>
      <c r="E127" s="332">
        <f t="shared" si="14"/>
        <v>135</v>
      </c>
      <c r="F127" s="332">
        <f t="shared" si="15"/>
        <v>135</v>
      </c>
      <c r="G127" s="241"/>
      <c r="H127" s="241"/>
      <c r="I127" s="241"/>
      <c r="J127" s="241"/>
      <c r="K127" s="289"/>
      <c r="L127" s="289"/>
      <c r="M127" s="241"/>
      <c r="N127" s="241"/>
      <c r="O127" s="241"/>
      <c r="P127" s="241"/>
      <c r="Q127" s="241"/>
      <c r="R127" s="241"/>
      <c r="S127" s="241"/>
      <c r="T127" s="241"/>
      <c r="U127" s="241"/>
      <c r="V127" s="241"/>
      <c r="W127" s="241"/>
      <c r="X127" s="241"/>
      <c r="Y127" s="241"/>
      <c r="Z127" s="241"/>
      <c r="AA127" s="241"/>
      <c r="AB127" s="290">
        <f t="shared" si="8"/>
        <v>270</v>
      </c>
      <c r="AC127" s="290">
        <f t="shared" si="9"/>
        <v>0</v>
      </c>
      <c r="AD127" s="290">
        <f t="shared" si="10"/>
        <v>135</v>
      </c>
      <c r="AE127" s="290">
        <f t="shared" si="11"/>
        <v>135</v>
      </c>
    </row>
    <row r="128" spans="1:31" x14ac:dyDescent="0.25">
      <c r="A128" s="280"/>
      <c r="B128" s="331">
        <f>Crop!B164</f>
        <v>41755</v>
      </c>
      <c r="C128" s="332">
        <f t="shared" si="12"/>
        <v>270</v>
      </c>
      <c r="D128" s="332">
        <f t="shared" si="13"/>
        <v>0</v>
      </c>
      <c r="E128" s="332">
        <f t="shared" si="14"/>
        <v>135</v>
      </c>
      <c r="F128" s="332">
        <f t="shared" si="15"/>
        <v>135</v>
      </c>
      <c r="G128" s="241"/>
      <c r="H128" s="241"/>
      <c r="I128" s="241"/>
      <c r="J128" s="241"/>
      <c r="K128" s="289"/>
      <c r="L128" s="289"/>
      <c r="M128" s="241"/>
      <c r="N128" s="241"/>
      <c r="O128" s="241"/>
      <c r="P128" s="241"/>
      <c r="Q128" s="241"/>
      <c r="R128" s="241"/>
      <c r="S128" s="241"/>
      <c r="T128" s="241"/>
      <c r="U128" s="241"/>
      <c r="V128" s="241"/>
      <c r="W128" s="241"/>
      <c r="X128" s="241"/>
      <c r="Y128" s="241"/>
      <c r="Z128" s="241"/>
      <c r="AA128" s="241"/>
      <c r="AB128" s="290">
        <f t="shared" si="8"/>
        <v>270</v>
      </c>
      <c r="AC128" s="290">
        <f t="shared" si="9"/>
        <v>0</v>
      </c>
      <c r="AD128" s="290">
        <f t="shared" si="10"/>
        <v>135</v>
      </c>
      <c r="AE128" s="290">
        <f t="shared" si="11"/>
        <v>135</v>
      </c>
    </row>
    <row r="129" spans="1:31" x14ac:dyDescent="0.25">
      <c r="A129" s="280"/>
      <c r="B129" s="331">
        <f>Crop!B165</f>
        <v>41756</v>
      </c>
      <c r="C129" s="332">
        <f t="shared" si="12"/>
        <v>270</v>
      </c>
      <c r="D129" s="332">
        <f t="shared" si="13"/>
        <v>0</v>
      </c>
      <c r="E129" s="332">
        <f t="shared" si="14"/>
        <v>135</v>
      </c>
      <c r="F129" s="332">
        <f t="shared" si="15"/>
        <v>135</v>
      </c>
      <c r="G129" s="241"/>
      <c r="H129" s="241"/>
      <c r="I129" s="241"/>
      <c r="J129" s="241"/>
      <c r="K129" s="289"/>
      <c r="L129" s="289"/>
      <c r="M129" s="241"/>
      <c r="N129" s="241"/>
      <c r="O129" s="241"/>
      <c r="P129" s="241"/>
      <c r="Q129" s="241"/>
      <c r="R129" s="241"/>
      <c r="S129" s="241"/>
      <c r="T129" s="241"/>
      <c r="U129" s="241"/>
      <c r="V129" s="241"/>
      <c r="W129" s="241"/>
      <c r="X129" s="241"/>
      <c r="Y129" s="241"/>
      <c r="Z129" s="241"/>
      <c r="AA129" s="241"/>
      <c r="AB129" s="290">
        <f t="shared" si="8"/>
        <v>270</v>
      </c>
      <c r="AC129" s="290">
        <f t="shared" si="9"/>
        <v>0</v>
      </c>
      <c r="AD129" s="290">
        <f t="shared" si="10"/>
        <v>135</v>
      </c>
      <c r="AE129" s="290">
        <f t="shared" si="11"/>
        <v>135</v>
      </c>
    </row>
    <row r="130" spans="1:31" x14ac:dyDescent="0.25">
      <c r="A130" s="280"/>
      <c r="B130" s="331">
        <f>Crop!B166</f>
        <v>41757</v>
      </c>
      <c r="C130" s="332">
        <f t="shared" si="12"/>
        <v>270</v>
      </c>
      <c r="D130" s="332">
        <f t="shared" si="13"/>
        <v>0</v>
      </c>
      <c r="E130" s="332">
        <f t="shared" si="14"/>
        <v>135</v>
      </c>
      <c r="F130" s="332">
        <f t="shared" si="15"/>
        <v>135</v>
      </c>
      <c r="G130" s="241"/>
      <c r="H130" s="241"/>
      <c r="I130" s="241"/>
      <c r="J130" s="241"/>
      <c r="K130" s="289"/>
      <c r="L130" s="289"/>
      <c r="M130" s="241"/>
      <c r="N130" s="241"/>
      <c r="O130" s="241"/>
      <c r="P130" s="241"/>
      <c r="Q130" s="241"/>
      <c r="R130" s="241"/>
      <c r="S130" s="241"/>
      <c r="T130" s="241"/>
      <c r="U130" s="241"/>
      <c r="V130" s="241"/>
      <c r="W130" s="241"/>
      <c r="X130" s="241"/>
      <c r="Y130" s="241"/>
      <c r="Z130" s="241"/>
      <c r="AA130" s="241"/>
      <c r="AB130" s="290">
        <f t="shared" si="8"/>
        <v>270</v>
      </c>
      <c r="AC130" s="290">
        <f t="shared" si="9"/>
        <v>0</v>
      </c>
      <c r="AD130" s="290">
        <f t="shared" si="10"/>
        <v>135</v>
      </c>
      <c r="AE130" s="290">
        <f t="shared" si="11"/>
        <v>135</v>
      </c>
    </row>
    <row r="131" spans="1:31" x14ac:dyDescent="0.25">
      <c r="A131" s="280"/>
      <c r="B131" s="331">
        <f>Crop!B167</f>
        <v>41758</v>
      </c>
      <c r="C131" s="332">
        <f t="shared" si="12"/>
        <v>270</v>
      </c>
      <c r="D131" s="332">
        <f t="shared" si="13"/>
        <v>0</v>
      </c>
      <c r="E131" s="332">
        <f t="shared" si="14"/>
        <v>135</v>
      </c>
      <c r="F131" s="332">
        <f t="shared" si="15"/>
        <v>135</v>
      </c>
      <c r="G131" s="241"/>
      <c r="H131" s="241"/>
      <c r="I131" s="241"/>
      <c r="J131" s="241"/>
      <c r="K131" s="289"/>
      <c r="L131" s="289"/>
      <c r="M131" s="241"/>
      <c r="N131" s="241"/>
      <c r="O131" s="241"/>
      <c r="P131" s="241"/>
      <c r="Q131" s="241"/>
      <c r="R131" s="241"/>
      <c r="S131" s="241"/>
      <c r="T131" s="241"/>
      <c r="U131" s="241"/>
      <c r="V131" s="241"/>
      <c r="W131" s="241"/>
      <c r="X131" s="241"/>
      <c r="Y131" s="241"/>
      <c r="Z131" s="241"/>
      <c r="AA131" s="241"/>
      <c r="AB131" s="290">
        <f t="shared" si="8"/>
        <v>270</v>
      </c>
      <c r="AC131" s="290">
        <f t="shared" si="9"/>
        <v>0</v>
      </c>
      <c r="AD131" s="290">
        <f t="shared" si="10"/>
        <v>135</v>
      </c>
      <c r="AE131" s="290">
        <f t="shared" si="11"/>
        <v>135</v>
      </c>
    </row>
    <row r="132" spans="1:31" x14ac:dyDescent="0.25">
      <c r="A132" s="280"/>
      <c r="B132" s="331">
        <f>Crop!B168</f>
        <v>41759</v>
      </c>
      <c r="C132" s="332">
        <f t="shared" si="12"/>
        <v>270</v>
      </c>
      <c r="D132" s="332">
        <f t="shared" si="13"/>
        <v>0</v>
      </c>
      <c r="E132" s="332">
        <f t="shared" si="14"/>
        <v>135</v>
      </c>
      <c r="F132" s="332">
        <f t="shared" si="15"/>
        <v>135</v>
      </c>
      <c r="G132" s="241"/>
      <c r="H132" s="241"/>
      <c r="I132" s="241"/>
      <c r="J132" s="241"/>
      <c r="K132" s="289"/>
      <c r="L132" s="289"/>
      <c r="M132" s="241"/>
      <c r="N132" s="241"/>
      <c r="O132" s="241"/>
      <c r="P132" s="241"/>
      <c r="Q132" s="241"/>
      <c r="R132" s="241"/>
      <c r="S132" s="241"/>
      <c r="T132" s="241"/>
      <c r="U132" s="241"/>
      <c r="V132" s="241"/>
      <c r="W132" s="241"/>
      <c r="X132" s="241"/>
      <c r="Y132" s="241"/>
      <c r="Z132" s="241"/>
      <c r="AA132" s="241"/>
      <c r="AB132" s="290">
        <f t="shared" si="8"/>
        <v>270</v>
      </c>
      <c r="AC132" s="290">
        <f t="shared" si="9"/>
        <v>0</v>
      </c>
      <c r="AD132" s="290">
        <f t="shared" si="10"/>
        <v>135</v>
      </c>
      <c r="AE132" s="290">
        <f t="shared" si="11"/>
        <v>135</v>
      </c>
    </row>
    <row r="133" spans="1:31" x14ac:dyDescent="0.25">
      <c r="A133" s="280"/>
      <c r="B133" s="331">
        <f>Crop!B169</f>
        <v>41760</v>
      </c>
      <c r="C133" s="332">
        <f t="shared" si="12"/>
        <v>270</v>
      </c>
      <c r="D133" s="332">
        <f t="shared" si="13"/>
        <v>0</v>
      </c>
      <c r="E133" s="332">
        <f t="shared" si="14"/>
        <v>135</v>
      </c>
      <c r="F133" s="332">
        <f t="shared" si="15"/>
        <v>135</v>
      </c>
      <c r="G133" s="241"/>
      <c r="H133" s="241"/>
      <c r="I133" s="241"/>
      <c r="J133" s="241"/>
      <c r="K133" s="289"/>
      <c r="L133" s="289"/>
      <c r="M133" s="241"/>
      <c r="N133" s="241"/>
      <c r="O133" s="241"/>
      <c r="P133" s="241"/>
      <c r="Q133" s="241"/>
      <c r="R133" s="241"/>
      <c r="S133" s="241"/>
      <c r="T133" s="241"/>
      <c r="U133" s="241"/>
      <c r="V133" s="241"/>
      <c r="W133" s="241"/>
      <c r="X133" s="241"/>
      <c r="Y133" s="241"/>
      <c r="Z133" s="241"/>
      <c r="AA133" s="241"/>
      <c r="AB133" s="290">
        <f t="shared" si="8"/>
        <v>270</v>
      </c>
      <c r="AC133" s="290">
        <f t="shared" si="9"/>
        <v>0</v>
      </c>
      <c r="AD133" s="290">
        <f t="shared" si="10"/>
        <v>135</v>
      </c>
      <c r="AE133" s="290">
        <f t="shared" si="11"/>
        <v>135</v>
      </c>
    </row>
    <row r="134" spans="1:31" x14ac:dyDescent="0.25">
      <c r="A134" s="280"/>
      <c r="B134" s="331">
        <f>Crop!B170</f>
        <v>41761</v>
      </c>
      <c r="C134" s="332">
        <f t="shared" si="12"/>
        <v>270</v>
      </c>
      <c r="D134" s="332">
        <f t="shared" si="13"/>
        <v>0</v>
      </c>
      <c r="E134" s="332">
        <f t="shared" si="14"/>
        <v>135</v>
      </c>
      <c r="F134" s="332">
        <f t="shared" si="15"/>
        <v>135</v>
      </c>
      <c r="G134" s="241"/>
      <c r="H134" s="241"/>
      <c r="I134" s="241"/>
      <c r="J134" s="241"/>
      <c r="K134" s="289"/>
      <c r="L134" s="289"/>
      <c r="M134" s="241"/>
      <c r="N134" s="241"/>
      <c r="O134" s="241"/>
      <c r="P134" s="241"/>
      <c r="Q134" s="241"/>
      <c r="R134" s="241"/>
      <c r="S134" s="241"/>
      <c r="T134" s="241"/>
      <c r="U134" s="241"/>
      <c r="V134" s="241"/>
      <c r="W134" s="241"/>
      <c r="X134" s="241"/>
      <c r="Y134" s="241"/>
      <c r="Z134" s="241"/>
      <c r="AA134" s="241"/>
      <c r="AB134" s="290">
        <f t="shared" si="8"/>
        <v>270</v>
      </c>
      <c r="AC134" s="290">
        <f t="shared" si="9"/>
        <v>0</v>
      </c>
      <c r="AD134" s="290">
        <f t="shared" si="10"/>
        <v>135</v>
      </c>
      <c r="AE134" s="290">
        <f t="shared" si="11"/>
        <v>135</v>
      </c>
    </row>
    <row r="135" spans="1:31" x14ac:dyDescent="0.25">
      <c r="A135" s="280"/>
      <c r="B135" s="331">
        <f>Crop!B171</f>
        <v>41762</v>
      </c>
      <c r="C135" s="332">
        <f t="shared" si="12"/>
        <v>270</v>
      </c>
      <c r="D135" s="332">
        <f t="shared" si="13"/>
        <v>0</v>
      </c>
      <c r="E135" s="332">
        <f t="shared" si="14"/>
        <v>135</v>
      </c>
      <c r="F135" s="332">
        <f t="shared" si="15"/>
        <v>135</v>
      </c>
      <c r="G135" s="241"/>
      <c r="H135" s="241"/>
      <c r="I135" s="241"/>
      <c r="J135" s="241"/>
      <c r="K135" s="289"/>
      <c r="L135" s="289"/>
      <c r="M135" s="241"/>
      <c r="N135" s="241"/>
      <c r="O135" s="241"/>
      <c r="P135" s="241"/>
      <c r="Q135" s="241"/>
      <c r="R135" s="241"/>
      <c r="S135" s="241"/>
      <c r="T135" s="241"/>
      <c r="U135" s="241"/>
      <c r="V135" s="241"/>
      <c r="W135" s="241"/>
      <c r="X135" s="241"/>
      <c r="Y135" s="241"/>
      <c r="Z135" s="241"/>
      <c r="AA135" s="241"/>
      <c r="AB135" s="290">
        <f t="shared" si="8"/>
        <v>270</v>
      </c>
      <c r="AC135" s="290">
        <f t="shared" si="9"/>
        <v>0</v>
      </c>
      <c r="AD135" s="290">
        <f t="shared" si="10"/>
        <v>135</v>
      </c>
      <c r="AE135" s="290">
        <f t="shared" si="11"/>
        <v>135</v>
      </c>
    </row>
    <row r="136" spans="1:31" x14ac:dyDescent="0.25">
      <c r="A136" s="280"/>
      <c r="B136" s="331">
        <f>Crop!B172</f>
        <v>41763</v>
      </c>
      <c r="C136" s="332">
        <f t="shared" si="12"/>
        <v>270</v>
      </c>
      <c r="D136" s="332">
        <f t="shared" si="13"/>
        <v>0</v>
      </c>
      <c r="E136" s="332">
        <f t="shared" si="14"/>
        <v>135</v>
      </c>
      <c r="F136" s="332">
        <f t="shared" si="15"/>
        <v>135</v>
      </c>
      <c r="G136" s="241"/>
      <c r="H136" s="241"/>
      <c r="I136" s="241"/>
      <c r="J136" s="241"/>
      <c r="K136" s="289"/>
      <c r="L136" s="289"/>
      <c r="M136" s="241"/>
      <c r="N136" s="241"/>
      <c r="O136" s="241"/>
      <c r="P136" s="241"/>
      <c r="Q136" s="241"/>
      <c r="R136" s="241"/>
      <c r="S136" s="241"/>
      <c r="T136" s="241"/>
      <c r="U136" s="241"/>
      <c r="V136" s="241"/>
      <c r="W136" s="241"/>
      <c r="X136" s="241"/>
      <c r="Y136" s="241"/>
      <c r="Z136" s="241"/>
      <c r="AA136" s="241"/>
      <c r="AB136" s="290">
        <f t="shared" si="8"/>
        <v>270</v>
      </c>
      <c r="AC136" s="290">
        <f t="shared" si="9"/>
        <v>0</v>
      </c>
      <c r="AD136" s="290">
        <f t="shared" si="10"/>
        <v>135</v>
      </c>
      <c r="AE136" s="290">
        <f t="shared" si="11"/>
        <v>135</v>
      </c>
    </row>
    <row r="137" spans="1:31" x14ac:dyDescent="0.25">
      <c r="A137" s="280"/>
      <c r="B137" s="331">
        <f>Crop!B173</f>
        <v>41764</v>
      </c>
      <c r="C137" s="332">
        <f t="shared" si="12"/>
        <v>270</v>
      </c>
      <c r="D137" s="332">
        <f t="shared" si="13"/>
        <v>0</v>
      </c>
      <c r="E137" s="332">
        <f t="shared" si="14"/>
        <v>135</v>
      </c>
      <c r="F137" s="332">
        <f t="shared" si="15"/>
        <v>135</v>
      </c>
      <c r="G137" s="241"/>
      <c r="H137" s="241"/>
      <c r="I137" s="241"/>
      <c r="J137" s="241"/>
      <c r="K137" s="289"/>
      <c r="L137" s="289"/>
      <c r="M137" s="241"/>
      <c r="N137" s="241"/>
      <c r="O137" s="241"/>
      <c r="P137" s="241"/>
      <c r="Q137" s="241"/>
      <c r="R137" s="241"/>
      <c r="S137" s="241"/>
      <c r="T137" s="241"/>
      <c r="U137" s="241"/>
      <c r="V137" s="241"/>
      <c r="W137" s="241"/>
      <c r="X137" s="241"/>
      <c r="Y137" s="241"/>
      <c r="Z137" s="241"/>
      <c r="AA137" s="241"/>
      <c r="AB137" s="290">
        <f t="shared" si="8"/>
        <v>270</v>
      </c>
      <c r="AC137" s="290">
        <f t="shared" si="9"/>
        <v>0</v>
      </c>
      <c r="AD137" s="290">
        <f t="shared" si="10"/>
        <v>135</v>
      </c>
      <c r="AE137" s="290">
        <f t="shared" si="11"/>
        <v>135</v>
      </c>
    </row>
    <row r="138" spans="1:31" x14ac:dyDescent="0.25">
      <c r="A138" s="280"/>
      <c r="B138" s="331">
        <f>Crop!B174</f>
        <v>41765</v>
      </c>
      <c r="C138" s="332">
        <f t="shared" si="12"/>
        <v>270</v>
      </c>
      <c r="D138" s="332">
        <f t="shared" si="13"/>
        <v>0</v>
      </c>
      <c r="E138" s="332">
        <f t="shared" si="14"/>
        <v>135</v>
      </c>
      <c r="F138" s="332">
        <f t="shared" si="15"/>
        <v>135</v>
      </c>
      <c r="G138" s="241"/>
      <c r="H138" s="241"/>
      <c r="I138" s="241"/>
      <c r="J138" s="241"/>
      <c r="K138" s="289"/>
      <c r="L138" s="289"/>
      <c r="M138" s="241"/>
      <c r="N138" s="241"/>
      <c r="O138" s="241"/>
      <c r="P138" s="241"/>
      <c r="Q138" s="241"/>
      <c r="R138" s="241"/>
      <c r="S138" s="241"/>
      <c r="T138" s="241"/>
      <c r="U138" s="241"/>
      <c r="V138" s="241"/>
      <c r="W138" s="241"/>
      <c r="X138" s="241"/>
      <c r="Y138" s="241"/>
      <c r="Z138" s="241"/>
      <c r="AA138" s="241"/>
      <c r="AB138" s="290">
        <f t="shared" si="8"/>
        <v>270</v>
      </c>
      <c r="AC138" s="290">
        <f t="shared" si="9"/>
        <v>0</v>
      </c>
      <c r="AD138" s="290">
        <f t="shared" si="10"/>
        <v>135</v>
      </c>
      <c r="AE138" s="290">
        <f t="shared" si="11"/>
        <v>135</v>
      </c>
    </row>
    <row r="139" spans="1:31" x14ac:dyDescent="0.25">
      <c r="A139" s="280"/>
      <c r="B139" s="331">
        <f>Crop!B175</f>
        <v>41766</v>
      </c>
      <c r="C139" s="332">
        <f t="shared" si="12"/>
        <v>270</v>
      </c>
      <c r="D139" s="332">
        <f t="shared" si="13"/>
        <v>0</v>
      </c>
      <c r="E139" s="332">
        <f t="shared" si="14"/>
        <v>135</v>
      </c>
      <c r="F139" s="332">
        <f t="shared" si="15"/>
        <v>135</v>
      </c>
      <c r="G139" s="241"/>
      <c r="H139" s="241"/>
      <c r="I139" s="241"/>
      <c r="J139" s="241"/>
      <c r="K139" s="289"/>
      <c r="L139" s="289"/>
      <c r="M139" s="241"/>
      <c r="N139" s="241"/>
      <c r="O139" s="241"/>
      <c r="P139" s="241"/>
      <c r="Q139" s="241"/>
      <c r="R139" s="241"/>
      <c r="S139" s="241"/>
      <c r="T139" s="241"/>
      <c r="U139" s="241"/>
      <c r="V139" s="241"/>
      <c r="W139" s="241"/>
      <c r="X139" s="241"/>
      <c r="Y139" s="241"/>
      <c r="Z139" s="241"/>
      <c r="AA139" s="241"/>
      <c r="AB139" s="290">
        <f t="shared" si="8"/>
        <v>270</v>
      </c>
      <c r="AC139" s="290">
        <f t="shared" si="9"/>
        <v>0</v>
      </c>
      <c r="AD139" s="290">
        <f t="shared" si="10"/>
        <v>135</v>
      </c>
      <c r="AE139" s="290">
        <f t="shared" si="11"/>
        <v>135</v>
      </c>
    </row>
    <row r="140" spans="1:31" x14ac:dyDescent="0.25">
      <c r="A140" s="280"/>
      <c r="B140" s="331">
        <f>Crop!B176</f>
        <v>41767</v>
      </c>
      <c r="C140" s="332">
        <f t="shared" si="12"/>
        <v>270</v>
      </c>
      <c r="D140" s="332">
        <f t="shared" si="13"/>
        <v>0</v>
      </c>
      <c r="E140" s="332">
        <f t="shared" si="14"/>
        <v>135</v>
      </c>
      <c r="F140" s="332">
        <f t="shared" si="15"/>
        <v>135</v>
      </c>
      <c r="G140" s="241"/>
      <c r="H140" s="241"/>
      <c r="I140" s="241"/>
      <c r="J140" s="241"/>
      <c r="K140" s="289"/>
      <c r="L140" s="289"/>
      <c r="M140" s="241"/>
      <c r="N140" s="241"/>
      <c r="O140" s="241"/>
      <c r="P140" s="241"/>
      <c r="Q140" s="241"/>
      <c r="R140" s="241"/>
      <c r="S140" s="241"/>
      <c r="T140" s="241"/>
      <c r="U140" s="241"/>
      <c r="V140" s="241"/>
      <c r="W140" s="241"/>
      <c r="X140" s="241"/>
      <c r="Y140" s="241"/>
      <c r="Z140" s="241"/>
      <c r="AA140" s="241"/>
      <c r="AB140" s="290">
        <f t="shared" si="8"/>
        <v>270</v>
      </c>
      <c r="AC140" s="290">
        <f t="shared" si="9"/>
        <v>0</v>
      </c>
      <c r="AD140" s="290">
        <f t="shared" si="10"/>
        <v>135</v>
      </c>
      <c r="AE140" s="290">
        <f t="shared" si="11"/>
        <v>135</v>
      </c>
    </row>
    <row r="141" spans="1:31" x14ac:dyDescent="0.25">
      <c r="A141" s="280"/>
      <c r="B141" s="331">
        <f>Crop!B177</f>
        <v>41768</v>
      </c>
      <c r="C141" s="332">
        <f t="shared" si="12"/>
        <v>270</v>
      </c>
      <c r="D141" s="332">
        <f t="shared" si="13"/>
        <v>0</v>
      </c>
      <c r="E141" s="332">
        <f t="shared" si="14"/>
        <v>135</v>
      </c>
      <c r="F141" s="332">
        <f t="shared" si="15"/>
        <v>135</v>
      </c>
      <c r="G141" s="241"/>
      <c r="H141" s="241"/>
      <c r="I141" s="241"/>
      <c r="J141" s="241"/>
      <c r="K141" s="289"/>
      <c r="L141" s="289"/>
      <c r="M141" s="241"/>
      <c r="N141" s="241"/>
      <c r="O141" s="241"/>
      <c r="P141" s="241"/>
      <c r="Q141" s="241"/>
      <c r="R141" s="241"/>
      <c r="S141" s="241"/>
      <c r="T141" s="241"/>
      <c r="U141" s="241"/>
      <c r="V141" s="241"/>
      <c r="W141" s="241"/>
      <c r="X141" s="241"/>
      <c r="Y141" s="241"/>
      <c r="Z141" s="241"/>
      <c r="AA141" s="241"/>
      <c r="AB141" s="290">
        <f t="shared" ref="AB141:AB204" si="16">IF(C141="",#N/A,C141)</f>
        <v>270</v>
      </c>
      <c r="AC141" s="290">
        <f t="shared" ref="AC141:AC204" si="17">IF(D141="",#N/A,D141)</f>
        <v>0</v>
      </c>
      <c r="AD141" s="290">
        <f t="shared" ref="AD141:AD204" si="18">IF(E141="",#N/A,E141)</f>
        <v>135</v>
      </c>
      <c r="AE141" s="290">
        <f t="shared" ref="AE141:AE204" si="19">IF(F141="",#N/A,F141)</f>
        <v>135</v>
      </c>
    </row>
    <row r="142" spans="1:31" x14ac:dyDescent="0.25">
      <c r="A142" s="280"/>
      <c r="B142" s="331">
        <f>Crop!B178</f>
        <v>41769</v>
      </c>
      <c r="C142" s="332">
        <f t="shared" ref="C142:C205" si="20">G$8</f>
        <v>270</v>
      </c>
      <c r="D142" s="332">
        <f t="shared" ref="D142:D205" si="21">IF(B142=B$6,AC$6,IF(B142&gt;B$10,"",IF(B142&gt;=B$9,D141+AD$9,IF(B142&gt;B$8,D141+AD$8,IF(B142&gt;B$7,D141+AD$7,IF(B142&gt;B$6,AC$6,""))))))</f>
        <v>0</v>
      </c>
      <c r="E142" s="332">
        <f t="shared" ref="E142:E205" si="22">IF($B142&lt;B$6,150*F$8,IF($B142=$B$6,L$6,IF($B142&gt;$B$10,150*F$8,IF($B142&gt;=$B$9,E141+AB$9,IF($B142&gt;$B$8,E141+AB$8,IF($B142&gt;$B$7,E141+AB$7,IF($B142&gt;$B$6,L$6,"")))))))</f>
        <v>135</v>
      </c>
      <c r="F142" s="332">
        <f t="shared" si="15"/>
        <v>135</v>
      </c>
      <c r="G142" s="241"/>
      <c r="H142" s="241"/>
      <c r="I142" s="241"/>
      <c r="J142" s="241"/>
      <c r="K142" s="289"/>
      <c r="L142" s="289"/>
      <c r="M142" s="241"/>
      <c r="N142" s="241"/>
      <c r="O142" s="241"/>
      <c r="P142" s="241"/>
      <c r="Q142" s="241"/>
      <c r="R142" s="241"/>
      <c r="S142" s="241"/>
      <c r="T142" s="241"/>
      <c r="U142" s="241"/>
      <c r="V142" s="241"/>
      <c r="W142" s="241"/>
      <c r="X142" s="241"/>
      <c r="Y142" s="241"/>
      <c r="Z142" s="241"/>
      <c r="AA142" s="241"/>
      <c r="AB142" s="290">
        <f t="shared" si="16"/>
        <v>270</v>
      </c>
      <c r="AC142" s="290">
        <f t="shared" si="17"/>
        <v>0</v>
      </c>
      <c r="AD142" s="290">
        <f t="shared" si="18"/>
        <v>135</v>
      </c>
      <c r="AE142" s="290">
        <f t="shared" si="19"/>
        <v>135</v>
      </c>
    </row>
    <row r="143" spans="1:31" x14ac:dyDescent="0.25">
      <c r="A143" s="280"/>
      <c r="B143" s="331">
        <f>Crop!B179</f>
        <v>41770</v>
      </c>
      <c r="C143" s="332">
        <f t="shared" si="20"/>
        <v>270</v>
      </c>
      <c r="D143" s="332">
        <f t="shared" si="21"/>
        <v>0</v>
      </c>
      <c r="E143" s="332">
        <f t="shared" si="22"/>
        <v>135</v>
      </c>
      <c r="F143" s="332">
        <f t="shared" ref="F143:F206" si="23">IF(C143="","",C143-E143)</f>
        <v>135</v>
      </c>
      <c r="G143" s="241"/>
      <c r="H143" s="241"/>
      <c r="I143" s="241"/>
      <c r="J143" s="241"/>
      <c r="K143" s="289"/>
      <c r="L143" s="289"/>
      <c r="M143" s="241"/>
      <c r="N143" s="241"/>
      <c r="O143" s="241"/>
      <c r="P143" s="241"/>
      <c r="Q143" s="241"/>
      <c r="R143" s="241"/>
      <c r="S143" s="241"/>
      <c r="T143" s="241"/>
      <c r="U143" s="241"/>
      <c r="V143" s="241"/>
      <c r="W143" s="241"/>
      <c r="X143" s="241"/>
      <c r="Y143" s="241"/>
      <c r="Z143" s="241"/>
      <c r="AA143" s="241"/>
      <c r="AB143" s="290">
        <f t="shared" si="16"/>
        <v>270</v>
      </c>
      <c r="AC143" s="290">
        <f t="shared" si="17"/>
        <v>0</v>
      </c>
      <c r="AD143" s="290">
        <f t="shared" si="18"/>
        <v>135</v>
      </c>
      <c r="AE143" s="290">
        <f t="shared" si="19"/>
        <v>135</v>
      </c>
    </row>
    <row r="144" spans="1:31" x14ac:dyDescent="0.25">
      <c r="A144" s="280"/>
      <c r="B144" s="331">
        <f>Crop!B180</f>
        <v>41771</v>
      </c>
      <c r="C144" s="332">
        <f t="shared" si="20"/>
        <v>270</v>
      </c>
      <c r="D144" s="332">
        <f t="shared" si="21"/>
        <v>0</v>
      </c>
      <c r="E144" s="332">
        <f t="shared" si="22"/>
        <v>135</v>
      </c>
      <c r="F144" s="332">
        <f t="shared" si="23"/>
        <v>135</v>
      </c>
      <c r="G144" s="241"/>
      <c r="H144" s="241"/>
      <c r="I144" s="241"/>
      <c r="J144" s="241"/>
      <c r="K144" s="289"/>
      <c r="L144" s="289"/>
      <c r="M144" s="241"/>
      <c r="N144" s="241"/>
      <c r="O144" s="241"/>
      <c r="P144" s="241"/>
      <c r="Q144" s="241"/>
      <c r="R144" s="241"/>
      <c r="S144" s="241"/>
      <c r="T144" s="241"/>
      <c r="U144" s="241"/>
      <c r="V144" s="241"/>
      <c r="W144" s="241"/>
      <c r="X144" s="241"/>
      <c r="Y144" s="241"/>
      <c r="Z144" s="241"/>
      <c r="AA144" s="241"/>
      <c r="AB144" s="290">
        <f t="shared" si="16"/>
        <v>270</v>
      </c>
      <c r="AC144" s="290">
        <f t="shared" si="17"/>
        <v>0</v>
      </c>
      <c r="AD144" s="290">
        <f t="shared" si="18"/>
        <v>135</v>
      </c>
      <c r="AE144" s="290">
        <f t="shared" si="19"/>
        <v>135</v>
      </c>
    </row>
    <row r="145" spans="1:31" x14ac:dyDescent="0.25">
      <c r="A145" s="280"/>
      <c r="B145" s="331">
        <f>Crop!B181</f>
        <v>41772</v>
      </c>
      <c r="C145" s="332">
        <f t="shared" si="20"/>
        <v>270</v>
      </c>
      <c r="D145" s="332">
        <f t="shared" si="21"/>
        <v>0</v>
      </c>
      <c r="E145" s="332">
        <f t="shared" si="22"/>
        <v>135</v>
      </c>
      <c r="F145" s="332">
        <f t="shared" si="23"/>
        <v>135</v>
      </c>
      <c r="G145" s="241"/>
      <c r="H145" s="241"/>
      <c r="I145" s="241"/>
      <c r="J145" s="241"/>
      <c r="K145" s="289"/>
      <c r="L145" s="289"/>
      <c r="M145" s="241"/>
      <c r="N145" s="241"/>
      <c r="O145" s="241"/>
      <c r="P145" s="241"/>
      <c r="Q145" s="241"/>
      <c r="R145" s="241"/>
      <c r="S145" s="241"/>
      <c r="T145" s="241"/>
      <c r="U145" s="241"/>
      <c r="V145" s="241"/>
      <c r="W145" s="241"/>
      <c r="X145" s="241"/>
      <c r="Y145" s="241"/>
      <c r="Z145" s="241"/>
      <c r="AA145" s="241"/>
      <c r="AB145" s="290">
        <f t="shared" si="16"/>
        <v>270</v>
      </c>
      <c r="AC145" s="290">
        <f t="shared" si="17"/>
        <v>0</v>
      </c>
      <c r="AD145" s="290">
        <f t="shared" si="18"/>
        <v>135</v>
      </c>
      <c r="AE145" s="290">
        <f t="shared" si="19"/>
        <v>135</v>
      </c>
    </row>
    <row r="146" spans="1:31" x14ac:dyDescent="0.25">
      <c r="A146" s="280"/>
      <c r="B146" s="331">
        <f>Crop!B182</f>
        <v>41773</v>
      </c>
      <c r="C146" s="332">
        <f t="shared" si="20"/>
        <v>270</v>
      </c>
      <c r="D146" s="332">
        <f t="shared" si="21"/>
        <v>0</v>
      </c>
      <c r="E146" s="332">
        <f t="shared" si="22"/>
        <v>135</v>
      </c>
      <c r="F146" s="332">
        <f t="shared" si="23"/>
        <v>135</v>
      </c>
      <c r="G146" s="241"/>
      <c r="H146" s="241"/>
      <c r="I146" s="241"/>
      <c r="J146" s="241"/>
      <c r="K146" s="289"/>
      <c r="L146" s="289"/>
      <c r="M146" s="241"/>
      <c r="N146" s="241"/>
      <c r="O146" s="241"/>
      <c r="P146" s="241"/>
      <c r="Q146" s="241"/>
      <c r="R146" s="241"/>
      <c r="S146" s="241"/>
      <c r="T146" s="241"/>
      <c r="U146" s="241"/>
      <c r="V146" s="241"/>
      <c r="W146" s="241"/>
      <c r="X146" s="241"/>
      <c r="Y146" s="241"/>
      <c r="Z146" s="241"/>
      <c r="AA146" s="241"/>
      <c r="AB146" s="290">
        <f t="shared" si="16"/>
        <v>270</v>
      </c>
      <c r="AC146" s="290">
        <f t="shared" si="17"/>
        <v>0</v>
      </c>
      <c r="AD146" s="290">
        <f t="shared" si="18"/>
        <v>135</v>
      </c>
      <c r="AE146" s="290">
        <f t="shared" si="19"/>
        <v>135</v>
      </c>
    </row>
    <row r="147" spans="1:31" x14ac:dyDescent="0.25">
      <c r="A147" s="280"/>
      <c r="B147" s="331">
        <f>Crop!B183</f>
        <v>41774</v>
      </c>
      <c r="C147" s="332">
        <f t="shared" si="20"/>
        <v>270</v>
      </c>
      <c r="D147" s="332">
        <f t="shared" si="21"/>
        <v>0</v>
      </c>
      <c r="E147" s="332">
        <f t="shared" si="22"/>
        <v>135</v>
      </c>
      <c r="F147" s="332">
        <f t="shared" si="23"/>
        <v>135</v>
      </c>
      <c r="G147" s="241"/>
      <c r="H147" s="241"/>
      <c r="I147" s="241"/>
      <c r="J147" s="241"/>
      <c r="K147" s="289"/>
      <c r="L147" s="289"/>
      <c r="M147" s="241"/>
      <c r="N147" s="241"/>
      <c r="O147" s="241"/>
      <c r="P147" s="241"/>
      <c r="Q147" s="241"/>
      <c r="R147" s="241"/>
      <c r="S147" s="241"/>
      <c r="T147" s="241"/>
      <c r="U147" s="241"/>
      <c r="V147" s="241"/>
      <c r="W147" s="241"/>
      <c r="X147" s="241"/>
      <c r="Y147" s="241"/>
      <c r="Z147" s="241"/>
      <c r="AA147" s="241"/>
      <c r="AB147" s="290">
        <f t="shared" si="16"/>
        <v>270</v>
      </c>
      <c r="AC147" s="290">
        <f t="shared" si="17"/>
        <v>0</v>
      </c>
      <c r="AD147" s="290">
        <f t="shared" si="18"/>
        <v>135</v>
      </c>
      <c r="AE147" s="290">
        <f t="shared" si="19"/>
        <v>135</v>
      </c>
    </row>
    <row r="148" spans="1:31" x14ac:dyDescent="0.25">
      <c r="A148" s="280"/>
      <c r="B148" s="331">
        <f>Crop!B184</f>
        <v>41775</v>
      </c>
      <c r="C148" s="332">
        <f t="shared" si="20"/>
        <v>270</v>
      </c>
      <c r="D148" s="332">
        <f t="shared" si="21"/>
        <v>0</v>
      </c>
      <c r="E148" s="332">
        <f t="shared" si="22"/>
        <v>135</v>
      </c>
      <c r="F148" s="332">
        <f t="shared" si="23"/>
        <v>135</v>
      </c>
      <c r="G148" s="241"/>
      <c r="H148" s="241"/>
      <c r="I148" s="241"/>
      <c r="J148" s="241"/>
      <c r="K148" s="289"/>
      <c r="L148" s="289"/>
      <c r="M148" s="241"/>
      <c r="N148" s="241"/>
      <c r="O148" s="241"/>
      <c r="P148" s="241"/>
      <c r="Q148" s="241"/>
      <c r="R148" s="241"/>
      <c r="S148" s="241"/>
      <c r="T148" s="241"/>
      <c r="U148" s="241"/>
      <c r="V148" s="241"/>
      <c r="W148" s="241"/>
      <c r="X148" s="241"/>
      <c r="Y148" s="241"/>
      <c r="Z148" s="241"/>
      <c r="AA148" s="241"/>
      <c r="AB148" s="290">
        <f t="shared" si="16"/>
        <v>270</v>
      </c>
      <c r="AC148" s="290">
        <f t="shared" si="17"/>
        <v>0</v>
      </c>
      <c r="AD148" s="290">
        <f t="shared" si="18"/>
        <v>135</v>
      </c>
      <c r="AE148" s="290">
        <f t="shared" si="19"/>
        <v>135</v>
      </c>
    </row>
    <row r="149" spans="1:31" x14ac:dyDescent="0.25">
      <c r="A149" s="280"/>
      <c r="B149" s="331">
        <f>Crop!B185</f>
        <v>41776</v>
      </c>
      <c r="C149" s="332">
        <f t="shared" si="20"/>
        <v>270</v>
      </c>
      <c r="D149" s="332">
        <f t="shared" si="21"/>
        <v>0</v>
      </c>
      <c r="E149" s="332">
        <f t="shared" si="22"/>
        <v>135</v>
      </c>
      <c r="F149" s="332">
        <f t="shared" si="23"/>
        <v>135</v>
      </c>
      <c r="G149" s="241"/>
      <c r="H149" s="241"/>
      <c r="I149" s="241"/>
      <c r="J149" s="241"/>
      <c r="K149" s="289"/>
      <c r="L149" s="289"/>
      <c r="M149" s="241"/>
      <c r="N149" s="241"/>
      <c r="O149" s="241"/>
      <c r="P149" s="241"/>
      <c r="Q149" s="241"/>
      <c r="R149" s="241"/>
      <c r="S149" s="241"/>
      <c r="T149" s="241"/>
      <c r="U149" s="241"/>
      <c r="V149" s="241"/>
      <c r="W149" s="241"/>
      <c r="X149" s="241"/>
      <c r="Y149" s="241"/>
      <c r="Z149" s="241"/>
      <c r="AA149" s="241"/>
      <c r="AB149" s="290">
        <f t="shared" si="16"/>
        <v>270</v>
      </c>
      <c r="AC149" s="290">
        <f t="shared" si="17"/>
        <v>0</v>
      </c>
      <c r="AD149" s="290">
        <f t="shared" si="18"/>
        <v>135</v>
      </c>
      <c r="AE149" s="290">
        <f t="shared" si="19"/>
        <v>135</v>
      </c>
    </row>
    <row r="150" spans="1:31" x14ac:dyDescent="0.25">
      <c r="A150" s="280"/>
      <c r="B150" s="331">
        <f>Crop!B186</f>
        <v>41777</v>
      </c>
      <c r="C150" s="332">
        <f t="shared" si="20"/>
        <v>270</v>
      </c>
      <c r="D150" s="332">
        <f t="shared" si="21"/>
        <v>0</v>
      </c>
      <c r="E150" s="332">
        <f t="shared" si="22"/>
        <v>135</v>
      </c>
      <c r="F150" s="332">
        <f t="shared" si="23"/>
        <v>135</v>
      </c>
      <c r="G150" s="241"/>
      <c r="H150" s="241"/>
      <c r="I150" s="241"/>
      <c r="J150" s="241"/>
      <c r="K150" s="289"/>
      <c r="L150" s="289"/>
      <c r="M150" s="241"/>
      <c r="N150" s="241"/>
      <c r="O150" s="241"/>
      <c r="P150" s="241"/>
      <c r="Q150" s="241"/>
      <c r="R150" s="241"/>
      <c r="S150" s="241"/>
      <c r="T150" s="241"/>
      <c r="U150" s="241"/>
      <c r="V150" s="241"/>
      <c r="W150" s="241"/>
      <c r="X150" s="241"/>
      <c r="Y150" s="241"/>
      <c r="Z150" s="241"/>
      <c r="AA150" s="241"/>
      <c r="AB150" s="290">
        <f t="shared" si="16"/>
        <v>270</v>
      </c>
      <c r="AC150" s="290">
        <f t="shared" si="17"/>
        <v>0</v>
      </c>
      <c r="AD150" s="290">
        <f t="shared" si="18"/>
        <v>135</v>
      </c>
      <c r="AE150" s="290">
        <f t="shared" si="19"/>
        <v>135</v>
      </c>
    </row>
    <row r="151" spans="1:31" x14ac:dyDescent="0.25">
      <c r="A151" s="280"/>
      <c r="B151" s="331">
        <f>Crop!B187</f>
        <v>41778</v>
      </c>
      <c r="C151" s="332">
        <f t="shared" si="20"/>
        <v>270</v>
      </c>
      <c r="D151" s="332">
        <f t="shared" si="21"/>
        <v>0</v>
      </c>
      <c r="E151" s="332">
        <f t="shared" si="22"/>
        <v>135</v>
      </c>
      <c r="F151" s="332">
        <f t="shared" si="23"/>
        <v>135</v>
      </c>
      <c r="G151" s="241"/>
      <c r="H151" s="241"/>
      <c r="I151" s="241"/>
      <c r="J151" s="241"/>
      <c r="K151" s="289"/>
      <c r="L151" s="289"/>
      <c r="M151" s="241"/>
      <c r="N151" s="241"/>
      <c r="O151" s="241"/>
      <c r="P151" s="241"/>
      <c r="Q151" s="241"/>
      <c r="R151" s="241"/>
      <c r="S151" s="241"/>
      <c r="T151" s="241"/>
      <c r="U151" s="241"/>
      <c r="V151" s="241"/>
      <c r="W151" s="241"/>
      <c r="X151" s="241"/>
      <c r="Y151" s="241"/>
      <c r="Z151" s="241"/>
      <c r="AA151" s="241"/>
      <c r="AB151" s="290">
        <f t="shared" si="16"/>
        <v>270</v>
      </c>
      <c r="AC151" s="290">
        <f t="shared" si="17"/>
        <v>0</v>
      </c>
      <c r="AD151" s="290">
        <f t="shared" si="18"/>
        <v>135</v>
      </c>
      <c r="AE151" s="290">
        <f t="shared" si="19"/>
        <v>135</v>
      </c>
    </row>
    <row r="152" spans="1:31" x14ac:dyDescent="0.25">
      <c r="A152" s="280"/>
      <c r="B152" s="331">
        <f>Crop!B188</f>
        <v>41779</v>
      </c>
      <c r="C152" s="332">
        <f t="shared" si="20"/>
        <v>270</v>
      </c>
      <c r="D152" s="332">
        <f t="shared" si="21"/>
        <v>0</v>
      </c>
      <c r="E152" s="332">
        <f t="shared" si="22"/>
        <v>135</v>
      </c>
      <c r="F152" s="332">
        <f t="shared" si="23"/>
        <v>135</v>
      </c>
      <c r="G152" s="241"/>
      <c r="H152" s="241"/>
      <c r="I152" s="241"/>
      <c r="J152" s="241"/>
      <c r="K152" s="289"/>
      <c r="L152" s="289"/>
      <c r="M152" s="241"/>
      <c r="N152" s="241"/>
      <c r="O152" s="241"/>
      <c r="P152" s="241"/>
      <c r="Q152" s="241"/>
      <c r="R152" s="241"/>
      <c r="S152" s="241"/>
      <c r="T152" s="241"/>
      <c r="U152" s="241"/>
      <c r="V152" s="241"/>
      <c r="W152" s="241"/>
      <c r="X152" s="241"/>
      <c r="Y152" s="241"/>
      <c r="Z152" s="241"/>
      <c r="AA152" s="241"/>
      <c r="AB152" s="290">
        <f t="shared" si="16"/>
        <v>270</v>
      </c>
      <c r="AC152" s="290">
        <f t="shared" si="17"/>
        <v>0</v>
      </c>
      <c r="AD152" s="290">
        <f t="shared" si="18"/>
        <v>135</v>
      </c>
      <c r="AE152" s="290">
        <f t="shared" si="19"/>
        <v>135</v>
      </c>
    </row>
    <row r="153" spans="1:31" x14ac:dyDescent="0.25">
      <c r="A153" s="280"/>
      <c r="B153" s="331">
        <f>Crop!B189</f>
        <v>41780</v>
      </c>
      <c r="C153" s="332">
        <f t="shared" si="20"/>
        <v>270</v>
      </c>
      <c r="D153" s="332">
        <f t="shared" si="21"/>
        <v>0</v>
      </c>
      <c r="E153" s="332">
        <f t="shared" si="22"/>
        <v>135</v>
      </c>
      <c r="F153" s="332">
        <f t="shared" si="23"/>
        <v>135</v>
      </c>
      <c r="G153" s="241"/>
      <c r="H153" s="241"/>
      <c r="I153" s="241"/>
      <c r="J153" s="241"/>
      <c r="K153" s="289"/>
      <c r="L153" s="289"/>
      <c r="M153" s="241"/>
      <c r="N153" s="241"/>
      <c r="O153" s="241"/>
      <c r="P153" s="241"/>
      <c r="Q153" s="241"/>
      <c r="R153" s="241"/>
      <c r="S153" s="241"/>
      <c r="T153" s="241"/>
      <c r="U153" s="241"/>
      <c r="V153" s="241"/>
      <c r="W153" s="241"/>
      <c r="X153" s="241"/>
      <c r="Y153" s="241"/>
      <c r="Z153" s="241"/>
      <c r="AA153" s="241"/>
      <c r="AB153" s="290">
        <f t="shared" si="16"/>
        <v>270</v>
      </c>
      <c r="AC153" s="290">
        <f t="shared" si="17"/>
        <v>0</v>
      </c>
      <c r="AD153" s="290">
        <f t="shared" si="18"/>
        <v>135</v>
      </c>
      <c r="AE153" s="290">
        <f t="shared" si="19"/>
        <v>135</v>
      </c>
    </row>
    <row r="154" spans="1:31" x14ac:dyDescent="0.25">
      <c r="A154" s="280"/>
      <c r="B154" s="331">
        <f>Crop!B190</f>
        <v>41781</v>
      </c>
      <c r="C154" s="332">
        <f t="shared" si="20"/>
        <v>270</v>
      </c>
      <c r="D154" s="332">
        <f t="shared" si="21"/>
        <v>0</v>
      </c>
      <c r="E154" s="332">
        <f t="shared" si="22"/>
        <v>135</v>
      </c>
      <c r="F154" s="332">
        <f t="shared" si="23"/>
        <v>135</v>
      </c>
      <c r="G154" s="241"/>
      <c r="H154" s="241"/>
      <c r="I154" s="241"/>
      <c r="J154" s="241"/>
      <c r="K154" s="289"/>
      <c r="L154" s="289"/>
      <c r="M154" s="241"/>
      <c r="N154" s="241"/>
      <c r="O154" s="241"/>
      <c r="P154" s="241"/>
      <c r="Q154" s="241"/>
      <c r="R154" s="241"/>
      <c r="S154" s="241"/>
      <c r="T154" s="241"/>
      <c r="U154" s="241"/>
      <c r="V154" s="241"/>
      <c r="W154" s="241"/>
      <c r="X154" s="241"/>
      <c r="Y154" s="241"/>
      <c r="Z154" s="241"/>
      <c r="AA154" s="241"/>
      <c r="AB154" s="290">
        <f t="shared" si="16"/>
        <v>270</v>
      </c>
      <c r="AC154" s="290">
        <f t="shared" si="17"/>
        <v>0</v>
      </c>
      <c r="AD154" s="290">
        <f t="shared" si="18"/>
        <v>135</v>
      </c>
      <c r="AE154" s="290">
        <f t="shared" si="19"/>
        <v>135</v>
      </c>
    </row>
    <row r="155" spans="1:31" x14ac:dyDescent="0.25">
      <c r="A155" s="280"/>
      <c r="B155" s="331">
        <f>Crop!B191</f>
        <v>41782</v>
      </c>
      <c r="C155" s="332">
        <f t="shared" si="20"/>
        <v>270</v>
      </c>
      <c r="D155" s="332">
        <f t="shared" si="21"/>
        <v>0</v>
      </c>
      <c r="E155" s="332">
        <f t="shared" si="22"/>
        <v>135</v>
      </c>
      <c r="F155" s="332">
        <f t="shared" si="23"/>
        <v>135</v>
      </c>
      <c r="G155" s="241"/>
      <c r="H155" s="241"/>
      <c r="I155" s="241"/>
      <c r="J155" s="241"/>
      <c r="K155" s="289"/>
      <c r="L155" s="289"/>
      <c r="M155" s="241"/>
      <c r="N155" s="241"/>
      <c r="O155" s="241"/>
      <c r="P155" s="241"/>
      <c r="Q155" s="241"/>
      <c r="R155" s="241"/>
      <c r="S155" s="241"/>
      <c r="T155" s="241"/>
      <c r="U155" s="241"/>
      <c r="V155" s="241"/>
      <c r="W155" s="241"/>
      <c r="X155" s="241"/>
      <c r="Y155" s="241"/>
      <c r="Z155" s="241"/>
      <c r="AA155" s="241"/>
      <c r="AB155" s="290">
        <f t="shared" si="16"/>
        <v>270</v>
      </c>
      <c r="AC155" s="290">
        <f t="shared" si="17"/>
        <v>0</v>
      </c>
      <c r="AD155" s="290">
        <f t="shared" si="18"/>
        <v>135</v>
      </c>
      <c r="AE155" s="290">
        <f t="shared" si="19"/>
        <v>135</v>
      </c>
    </row>
    <row r="156" spans="1:31" x14ac:dyDescent="0.25">
      <c r="A156" s="280"/>
      <c r="B156" s="331">
        <f>Crop!B192</f>
        <v>41783</v>
      </c>
      <c r="C156" s="332">
        <f t="shared" si="20"/>
        <v>270</v>
      </c>
      <c r="D156" s="332">
        <f t="shared" si="21"/>
        <v>0</v>
      </c>
      <c r="E156" s="332">
        <f t="shared" si="22"/>
        <v>135</v>
      </c>
      <c r="F156" s="332">
        <f t="shared" si="23"/>
        <v>135</v>
      </c>
      <c r="G156" s="241"/>
      <c r="H156" s="241"/>
      <c r="I156" s="241"/>
      <c r="J156" s="241"/>
      <c r="K156" s="289"/>
      <c r="L156" s="289"/>
      <c r="M156" s="241"/>
      <c r="N156" s="241"/>
      <c r="O156" s="241"/>
      <c r="P156" s="241"/>
      <c r="Q156" s="241"/>
      <c r="R156" s="241"/>
      <c r="S156" s="241"/>
      <c r="T156" s="241"/>
      <c r="U156" s="241"/>
      <c r="V156" s="241"/>
      <c r="W156" s="241"/>
      <c r="X156" s="241"/>
      <c r="Y156" s="241"/>
      <c r="Z156" s="241"/>
      <c r="AA156" s="241"/>
      <c r="AB156" s="290">
        <f t="shared" si="16"/>
        <v>270</v>
      </c>
      <c r="AC156" s="290">
        <f t="shared" si="17"/>
        <v>0</v>
      </c>
      <c r="AD156" s="290">
        <f t="shared" si="18"/>
        <v>135</v>
      </c>
      <c r="AE156" s="290">
        <f t="shared" si="19"/>
        <v>135</v>
      </c>
    </row>
    <row r="157" spans="1:31" x14ac:dyDescent="0.25">
      <c r="A157" s="280"/>
      <c r="B157" s="331">
        <f>Crop!B193</f>
        <v>41784</v>
      </c>
      <c r="C157" s="332">
        <f t="shared" si="20"/>
        <v>270</v>
      </c>
      <c r="D157" s="332">
        <f t="shared" si="21"/>
        <v>0</v>
      </c>
      <c r="E157" s="332">
        <f t="shared" si="22"/>
        <v>135</v>
      </c>
      <c r="F157" s="332">
        <f t="shared" si="23"/>
        <v>135</v>
      </c>
      <c r="G157" s="241"/>
      <c r="H157" s="241"/>
      <c r="I157" s="241"/>
      <c r="J157" s="241"/>
      <c r="K157" s="289"/>
      <c r="L157" s="289"/>
      <c r="M157" s="241"/>
      <c r="N157" s="241"/>
      <c r="O157" s="241"/>
      <c r="P157" s="241"/>
      <c r="Q157" s="241"/>
      <c r="R157" s="241"/>
      <c r="S157" s="241"/>
      <c r="T157" s="241"/>
      <c r="U157" s="241"/>
      <c r="V157" s="241"/>
      <c r="W157" s="241"/>
      <c r="X157" s="241"/>
      <c r="Y157" s="241"/>
      <c r="Z157" s="241"/>
      <c r="AA157" s="241"/>
      <c r="AB157" s="290">
        <f t="shared" si="16"/>
        <v>270</v>
      </c>
      <c r="AC157" s="290">
        <f t="shared" si="17"/>
        <v>0</v>
      </c>
      <c r="AD157" s="290">
        <f t="shared" si="18"/>
        <v>135</v>
      </c>
      <c r="AE157" s="290">
        <f t="shared" si="19"/>
        <v>135</v>
      </c>
    </row>
    <row r="158" spans="1:31" x14ac:dyDescent="0.25">
      <c r="A158" s="280"/>
      <c r="B158" s="331">
        <f>Crop!B194</f>
        <v>41785</v>
      </c>
      <c r="C158" s="332">
        <f t="shared" si="20"/>
        <v>270</v>
      </c>
      <c r="D158" s="332">
        <f t="shared" si="21"/>
        <v>0</v>
      </c>
      <c r="E158" s="332">
        <f t="shared" si="22"/>
        <v>135</v>
      </c>
      <c r="F158" s="332">
        <f t="shared" si="23"/>
        <v>135</v>
      </c>
      <c r="G158" s="241"/>
      <c r="H158" s="241"/>
      <c r="I158" s="241"/>
      <c r="J158" s="241"/>
      <c r="K158" s="289"/>
      <c r="L158" s="289"/>
      <c r="M158" s="241"/>
      <c r="N158" s="241"/>
      <c r="O158" s="241"/>
      <c r="P158" s="241"/>
      <c r="Q158" s="241"/>
      <c r="R158" s="241"/>
      <c r="S158" s="241"/>
      <c r="T158" s="241"/>
      <c r="U158" s="241"/>
      <c r="V158" s="241"/>
      <c r="W158" s="241"/>
      <c r="X158" s="241"/>
      <c r="Y158" s="241"/>
      <c r="Z158" s="241"/>
      <c r="AA158" s="241"/>
      <c r="AB158" s="290">
        <f t="shared" si="16"/>
        <v>270</v>
      </c>
      <c r="AC158" s="290">
        <f t="shared" si="17"/>
        <v>0</v>
      </c>
      <c r="AD158" s="290">
        <f t="shared" si="18"/>
        <v>135</v>
      </c>
      <c r="AE158" s="290">
        <f t="shared" si="19"/>
        <v>135</v>
      </c>
    </row>
    <row r="159" spans="1:31" x14ac:dyDescent="0.25">
      <c r="A159" s="280"/>
      <c r="B159" s="331">
        <f>Crop!B195</f>
        <v>41786</v>
      </c>
      <c r="C159" s="332">
        <f t="shared" si="20"/>
        <v>270</v>
      </c>
      <c r="D159" s="332">
        <f t="shared" si="21"/>
        <v>0</v>
      </c>
      <c r="E159" s="332">
        <f t="shared" si="22"/>
        <v>135</v>
      </c>
      <c r="F159" s="332">
        <f t="shared" si="23"/>
        <v>135</v>
      </c>
      <c r="G159" s="241"/>
      <c r="H159" s="241"/>
      <c r="I159" s="241"/>
      <c r="J159" s="241"/>
      <c r="K159" s="289"/>
      <c r="L159" s="289"/>
      <c r="M159" s="241"/>
      <c r="N159" s="241"/>
      <c r="O159" s="241"/>
      <c r="P159" s="241"/>
      <c r="Q159" s="241"/>
      <c r="R159" s="241"/>
      <c r="S159" s="241"/>
      <c r="T159" s="241"/>
      <c r="U159" s="241"/>
      <c r="V159" s="241"/>
      <c r="W159" s="241"/>
      <c r="X159" s="241"/>
      <c r="Y159" s="241"/>
      <c r="Z159" s="241"/>
      <c r="AA159" s="241"/>
      <c r="AB159" s="290">
        <f t="shared" si="16"/>
        <v>270</v>
      </c>
      <c r="AC159" s="290">
        <f t="shared" si="17"/>
        <v>0</v>
      </c>
      <c r="AD159" s="290">
        <f t="shared" si="18"/>
        <v>135</v>
      </c>
      <c r="AE159" s="290">
        <f t="shared" si="19"/>
        <v>135</v>
      </c>
    </row>
    <row r="160" spans="1:31" x14ac:dyDescent="0.25">
      <c r="A160" s="280"/>
      <c r="B160" s="331">
        <f>Crop!B196</f>
        <v>41787</v>
      </c>
      <c r="C160" s="332">
        <f t="shared" si="20"/>
        <v>270</v>
      </c>
      <c r="D160" s="332">
        <f t="shared" si="21"/>
        <v>0</v>
      </c>
      <c r="E160" s="332">
        <f t="shared" si="22"/>
        <v>135</v>
      </c>
      <c r="F160" s="332">
        <f t="shared" si="23"/>
        <v>135</v>
      </c>
      <c r="G160" s="241"/>
      <c r="H160" s="241"/>
      <c r="I160" s="241"/>
      <c r="J160" s="241"/>
      <c r="K160" s="289"/>
      <c r="L160" s="289"/>
      <c r="M160" s="241"/>
      <c r="N160" s="241"/>
      <c r="O160" s="241"/>
      <c r="P160" s="241"/>
      <c r="Q160" s="241"/>
      <c r="R160" s="241"/>
      <c r="S160" s="241"/>
      <c r="T160" s="241"/>
      <c r="U160" s="241"/>
      <c r="V160" s="241"/>
      <c r="W160" s="241"/>
      <c r="X160" s="241"/>
      <c r="Y160" s="241"/>
      <c r="Z160" s="241"/>
      <c r="AA160" s="241"/>
      <c r="AB160" s="290">
        <f t="shared" si="16"/>
        <v>270</v>
      </c>
      <c r="AC160" s="290">
        <f t="shared" si="17"/>
        <v>0</v>
      </c>
      <c r="AD160" s="290">
        <f t="shared" si="18"/>
        <v>135</v>
      </c>
      <c r="AE160" s="290">
        <f t="shared" si="19"/>
        <v>135</v>
      </c>
    </row>
    <row r="161" spans="1:31" x14ac:dyDescent="0.25">
      <c r="A161" s="280"/>
      <c r="B161" s="331">
        <f>Crop!B197</f>
        <v>41788</v>
      </c>
      <c r="C161" s="332">
        <f t="shared" si="20"/>
        <v>270</v>
      </c>
      <c r="D161" s="332">
        <f t="shared" si="21"/>
        <v>0</v>
      </c>
      <c r="E161" s="332">
        <f t="shared" si="22"/>
        <v>135</v>
      </c>
      <c r="F161" s="332">
        <f t="shared" si="23"/>
        <v>135</v>
      </c>
      <c r="G161" s="241"/>
      <c r="H161" s="241"/>
      <c r="I161" s="241"/>
      <c r="J161" s="241"/>
      <c r="K161" s="289"/>
      <c r="L161" s="289"/>
      <c r="M161" s="241"/>
      <c r="N161" s="241"/>
      <c r="O161" s="241"/>
      <c r="P161" s="241"/>
      <c r="Q161" s="241"/>
      <c r="R161" s="241"/>
      <c r="S161" s="241"/>
      <c r="T161" s="241"/>
      <c r="U161" s="241"/>
      <c r="V161" s="241"/>
      <c r="W161" s="241"/>
      <c r="X161" s="241"/>
      <c r="Y161" s="241"/>
      <c r="Z161" s="241"/>
      <c r="AA161" s="241"/>
      <c r="AB161" s="290">
        <f t="shared" si="16"/>
        <v>270</v>
      </c>
      <c r="AC161" s="290">
        <f t="shared" si="17"/>
        <v>0</v>
      </c>
      <c r="AD161" s="290">
        <f t="shared" si="18"/>
        <v>135</v>
      </c>
      <c r="AE161" s="290">
        <f t="shared" si="19"/>
        <v>135</v>
      </c>
    </row>
    <row r="162" spans="1:31" x14ac:dyDescent="0.25">
      <c r="A162" s="280"/>
      <c r="B162" s="331">
        <f>Crop!B198</f>
        <v>41789</v>
      </c>
      <c r="C162" s="332">
        <f t="shared" si="20"/>
        <v>270</v>
      </c>
      <c r="D162" s="332">
        <f t="shared" si="21"/>
        <v>0</v>
      </c>
      <c r="E162" s="332">
        <f t="shared" si="22"/>
        <v>135</v>
      </c>
      <c r="F162" s="332">
        <f t="shared" si="23"/>
        <v>135</v>
      </c>
      <c r="G162" s="241"/>
      <c r="H162" s="241"/>
      <c r="I162" s="241"/>
      <c r="J162" s="241"/>
      <c r="K162" s="289"/>
      <c r="L162" s="289"/>
      <c r="M162" s="241"/>
      <c r="N162" s="241"/>
      <c r="O162" s="241"/>
      <c r="P162" s="241"/>
      <c r="Q162" s="241"/>
      <c r="R162" s="241"/>
      <c r="S162" s="241"/>
      <c r="T162" s="241"/>
      <c r="U162" s="241"/>
      <c r="V162" s="241"/>
      <c r="W162" s="241"/>
      <c r="X162" s="241"/>
      <c r="Y162" s="241"/>
      <c r="Z162" s="241"/>
      <c r="AA162" s="241"/>
      <c r="AB162" s="290">
        <f t="shared" si="16"/>
        <v>270</v>
      </c>
      <c r="AC162" s="290">
        <f t="shared" si="17"/>
        <v>0</v>
      </c>
      <c r="AD162" s="290">
        <f t="shared" si="18"/>
        <v>135</v>
      </c>
      <c r="AE162" s="290">
        <f t="shared" si="19"/>
        <v>135</v>
      </c>
    </row>
    <row r="163" spans="1:31" x14ac:dyDescent="0.25">
      <c r="A163" s="280"/>
      <c r="B163" s="331">
        <f>Crop!B199</f>
        <v>41790</v>
      </c>
      <c r="C163" s="332">
        <f t="shared" si="20"/>
        <v>270</v>
      </c>
      <c r="D163" s="332">
        <f t="shared" si="21"/>
        <v>0</v>
      </c>
      <c r="E163" s="332">
        <f t="shared" si="22"/>
        <v>135</v>
      </c>
      <c r="F163" s="332">
        <f t="shared" si="23"/>
        <v>135</v>
      </c>
      <c r="G163" s="241"/>
      <c r="H163" s="241"/>
      <c r="I163" s="241"/>
      <c r="J163" s="241"/>
      <c r="K163" s="289"/>
      <c r="L163" s="289"/>
      <c r="M163" s="241"/>
      <c r="N163" s="241"/>
      <c r="O163" s="241"/>
      <c r="P163" s="241"/>
      <c r="Q163" s="241"/>
      <c r="R163" s="241"/>
      <c r="S163" s="241"/>
      <c r="T163" s="241"/>
      <c r="U163" s="241"/>
      <c r="V163" s="241"/>
      <c r="W163" s="241"/>
      <c r="X163" s="241"/>
      <c r="Y163" s="241"/>
      <c r="Z163" s="241"/>
      <c r="AA163" s="241"/>
      <c r="AB163" s="290">
        <f t="shared" si="16"/>
        <v>270</v>
      </c>
      <c r="AC163" s="290">
        <f t="shared" si="17"/>
        <v>0</v>
      </c>
      <c r="AD163" s="290">
        <f t="shared" si="18"/>
        <v>135</v>
      </c>
      <c r="AE163" s="290">
        <f t="shared" si="19"/>
        <v>135</v>
      </c>
    </row>
    <row r="164" spans="1:31" x14ac:dyDescent="0.25">
      <c r="A164" s="280"/>
      <c r="B164" s="331">
        <f>Crop!B200</f>
        <v>41791</v>
      </c>
      <c r="C164" s="332">
        <f t="shared" si="20"/>
        <v>270</v>
      </c>
      <c r="D164" s="332">
        <f t="shared" si="21"/>
        <v>0</v>
      </c>
      <c r="E164" s="332">
        <f t="shared" si="22"/>
        <v>135</v>
      </c>
      <c r="F164" s="332">
        <f t="shared" si="23"/>
        <v>135</v>
      </c>
      <c r="G164" s="241"/>
      <c r="H164" s="241"/>
      <c r="I164" s="241"/>
      <c r="J164" s="241"/>
      <c r="K164" s="289"/>
      <c r="L164" s="289"/>
      <c r="M164" s="241"/>
      <c r="N164" s="241"/>
      <c r="O164" s="241"/>
      <c r="P164" s="241"/>
      <c r="Q164" s="241"/>
      <c r="R164" s="241"/>
      <c r="S164" s="241"/>
      <c r="T164" s="241"/>
      <c r="U164" s="241"/>
      <c r="V164" s="241"/>
      <c r="W164" s="241"/>
      <c r="X164" s="241"/>
      <c r="Y164" s="241"/>
      <c r="Z164" s="241"/>
      <c r="AA164" s="241"/>
      <c r="AB164" s="290">
        <f t="shared" si="16"/>
        <v>270</v>
      </c>
      <c r="AC164" s="290">
        <f t="shared" si="17"/>
        <v>0</v>
      </c>
      <c r="AD164" s="290">
        <f t="shared" si="18"/>
        <v>135</v>
      </c>
      <c r="AE164" s="290">
        <f t="shared" si="19"/>
        <v>135</v>
      </c>
    </row>
    <row r="165" spans="1:31" x14ac:dyDescent="0.25">
      <c r="A165" s="280"/>
      <c r="B165" s="331">
        <f>Crop!B201</f>
        <v>41792</v>
      </c>
      <c r="C165" s="332">
        <f t="shared" si="20"/>
        <v>270</v>
      </c>
      <c r="D165" s="332">
        <f t="shared" si="21"/>
        <v>0</v>
      </c>
      <c r="E165" s="332">
        <f t="shared" si="22"/>
        <v>135</v>
      </c>
      <c r="F165" s="332">
        <f t="shared" si="23"/>
        <v>135</v>
      </c>
      <c r="G165" s="241"/>
      <c r="H165" s="241"/>
      <c r="I165" s="241"/>
      <c r="J165" s="241"/>
      <c r="K165" s="289"/>
      <c r="L165" s="289"/>
      <c r="M165" s="241"/>
      <c r="N165" s="241"/>
      <c r="O165" s="241"/>
      <c r="P165" s="241"/>
      <c r="Q165" s="241"/>
      <c r="R165" s="241"/>
      <c r="S165" s="241"/>
      <c r="T165" s="241"/>
      <c r="U165" s="241"/>
      <c r="V165" s="241"/>
      <c r="W165" s="241"/>
      <c r="X165" s="241"/>
      <c r="Y165" s="241"/>
      <c r="Z165" s="241"/>
      <c r="AA165" s="241"/>
      <c r="AB165" s="290">
        <f t="shared" si="16"/>
        <v>270</v>
      </c>
      <c r="AC165" s="290">
        <f t="shared" si="17"/>
        <v>0</v>
      </c>
      <c r="AD165" s="290">
        <f t="shared" si="18"/>
        <v>135</v>
      </c>
      <c r="AE165" s="290">
        <f t="shared" si="19"/>
        <v>135</v>
      </c>
    </row>
    <row r="166" spans="1:31" x14ac:dyDescent="0.25">
      <c r="A166" s="280"/>
      <c r="B166" s="331">
        <f>Crop!B202</f>
        <v>41793</v>
      </c>
      <c r="C166" s="332">
        <f t="shared" si="20"/>
        <v>270</v>
      </c>
      <c r="D166" s="332">
        <f t="shared" si="21"/>
        <v>0</v>
      </c>
      <c r="E166" s="332">
        <f t="shared" si="22"/>
        <v>135</v>
      </c>
      <c r="F166" s="332">
        <f t="shared" si="23"/>
        <v>135</v>
      </c>
      <c r="G166" s="241"/>
      <c r="H166" s="241"/>
      <c r="I166" s="241"/>
      <c r="J166" s="241"/>
      <c r="K166" s="289"/>
      <c r="L166" s="289"/>
      <c r="M166" s="241"/>
      <c r="N166" s="241"/>
      <c r="O166" s="241"/>
      <c r="P166" s="241"/>
      <c r="Q166" s="241"/>
      <c r="R166" s="241"/>
      <c r="S166" s="241"/>
      <c r="T166" s="241"/>
      <c r="U166" s="241"/>
      <c r="V166" s="241"/>
      <c r="W166" s="241"/>
      <c r="X166" s="241"/>
      <c r="Y166" s="241"/>
      <c r="Z166" s="241"/>
      <c r="AA166" s="241"/>
      <c r="AB166" s="290">
        <f t="shared" si="16"/>
        <v>270</v>
      </c>
      <c r="AC166" s="290">
        <f t="shared" si="17"/>
        <v>0</v>
      </c>
      <c r="AD166" s="290">
        <f t="shared" si="18"/>
        <v>135</v>
      </c>
      <c r="AE166" s="290">
        <f t="shared" si="19"/>
        <v>135</v>
      </c>
    </row>
    <row r="167" spans="1:31" x14ac:dyDescent="0.25">
      <c r="A167" s="280"/>
      <c r="B167" s="331">
        <f>Crop!B203</f>
        <v>41794</v>
      </c>
      <c r="C167" s="332">
        <f t="shared" si="20"/>
        <v>270</v>
      </c>
      <c r="D167" s="332">
        <f t="shared" si="21"/>
        <v>0</v>
      </c>
      <c r="E167" s="332">
        <f t="shared" si="22"/>
        <v>135</v>
      </c>
      <c r="F167" s="332">
        <f t="shared" si="23"/>
        <v>135</v>
      </c>
      <c r="G167" s="241"/>
      <c r="H167" s="241"/>
      <c r="I167" s="241"/>
      <c r="J167" s="241"/>
      <c r="K167" s="289"/>
      <c r="L167" s="289"/>
      <c r="M167" s="241"/>
      <c r="N167" s="241"/>
      <c r="O167" s="241"/>
      <c r="P167" s="241"/>
      <c r="Q167" s="241"/>
      <c r="R167" s="241"/>
      <c r="S167" s="241"/>
      <c r="T167" s="241"/>
      <c r="U167" s="241"/>
      <c r="V167" s="241"/>
      <c r="W167" s="241"/>
      <c r="X167" s="241"/>
      <c r="Y167" s="241"/>
      <c r="Z167" s="241"/>
      <c r="AA167" s="241"/>
      <c r="AB167" s="290">
        <f t="shared" si="16"/>
        <v>270</v>
      </c>
      <c r="AC167" s="290">
        <f t="shared" si="17"/>
        <v>0</v>
      </c>
      <c r="AD167" s="290">
        <f t="shared" si="18"/>
        <v>135</v>
      </c>
      <c r="AE167" s="290">
        <f t="shared" si="19"/>
        <v>135</v>
      </c>
    </row>
    <row r="168" spans="1:31" x14ac:dyDescent="0.25">
      <c r="A168" s="280"/>
      <c r="B168" s="331">
        <f>Crop!B204</f>
        <v>41795</v>
      </c>
      <c r="C168" s="332">
        <f t="shared" si="20"/>
        <v>270</v>
      </c>
      <c r="D168" s="332">
        <f t="shared" si="21"/>
        <v>0</v>
      </c>
      <c r="E168" s="332">
        <f t="shared" si="22"/>
        <v>135</v>
      </c>
      <c r="F168" s="332">
        <f t="shared" si="23"/>
        <v>135</v>
      </c>
      <c r="G168" s="241"/>
      <c r="H168" s="241"/>
      <c r="I168" s="241"/>
      <c r="J168" s="241"/>
      <c r="K168" s="289"/>
      <c r="L168" s="289"/>
      <c r="M168" s="241"/>
      <c r="N168" s="241"/>
      <c r="O168" s="241"/>
      <c r="P168" s="241"/>
      <c r="Q168" s="241"/>
      <c r="R168" s="241"/>
      <c r="S168" s="241"/>
      <c r="T168" s="241"/>
      <c r="U168" s="241"/>
      <c r="V168" s="241"/>
      <c r="W168" s="241"/>
      <c r="X168" s="241"/>
      <c r="Y168" s="241"/>
      <c r="Z168" s="241"/>
      <c r="AA168" s="241"/>
      <c r="AB168" s="290">
        <f t="shared" si="16"/>
        <v>270</v>
      </c>
      <c r="AC168" s="290">
        <f t="shared" si="17"/>
        <v>0</v>
      </c>
      <c r="AD168" s="290">
        <f t="shared" si="18"/>
        <v>135</v>
      </c>
      <c r="AE168" s="290">
        <f t="shared" si="19"/>
        <v>135</v>
      </c>
    </row>
    <row r="169" spans="1:31" x14ac:dyDescent="0.25">
      <c r="A169" s="280"/>
      <c r="B169" s="331">
        <f>Crop!B205</f>
        <v>41796</v>
      </c>
      <c r="C169" s="332">
        <f t="shared" si="20"/>
        <v>270</v>
      </c>
      <c r="D169" s="332">
        <f t="shared" si="21"/>
        <v>0</v>
      </c>
      <c r="E169" s="332">
        <f t="shared" si="22"/>
        <v>135</v>
      </c>
      <c r="F169" s="332">
        <f t="shared" si="23"/>
        <v>135</v>
      </c>
      <c r="G169" s="241"/>
      <c r="H169" s="241"/>
      <c r="I169" s="241"/>
      <c r="J169" s="241"/>
      <c r="K169" s="289"/>
      <c r="L169" s="289"/>
      <c r="M169" s="241"/>
      <c r="N169" s="241"/>
      <c r="O169" s="241"/>
      <c r="P169" s="241"/>
      <c r="Q169" s="241"/>
      <c r="R169" s="241"/>
      <c r="S169" s="241"/>
      <c r="T169" s="241"/>
      <c r="U169" s="241"/>
      <c r="V169" s="241"/>
      <c r="W169" s="241"/>
      <c r="X169" s="241"/>
      <c r="Y169" s="241"/>
      <c r="Z169" s="241"/>
      <c r="AA169" s="241"/>
      <c r="AB169" s="290">
        <f t="shared" si="16"/>
        <v>270</v>
      </c>
      <c r="AC169" s="290">
        <f t="shared" si="17"/>
        <v>0</v>
      </c>
      <c r="AD169" s="290">
        <f t="shared" si="18"/>
        <v>135</v>
      </c>
      <c r="AE169" s="290">
        <f t="shared" si="19"/>
        <v>135</v>
      </c>
    </row>
    <row r="170" spans="1:31" x14ac:dyDescent="0.25">
      <c r="A170" s="280"/>
      <c r="B170" s="331">
        <f>Crop!B206</f>
        <v>41797</v>
      </c>
      <c r="C170" s="332">
        <f t="shared" si="20"/>
        <v>270</v>
      </c>
      <c r="D170" s="332">
        <f t="shared" si="21"/>
        <v>0</v>
      </c>
      <c r="E170" s="332">
        <f t="shared" si="22"/>
        <v>135</v>
      </c>
      <c r="F170" s="332">
        <f t="shared" si="23"/>
        <v>135</v>
      </c>
      <c r="G170" s="241"/>
      <c r="H170" s="241"/>
      <c r="I170" s="241"/>
      <c r="J170" s="241"/>
      <c r="K170" s="289"/>
      <c r="L170" s="289"/>
      <c r="M170" s="241"/>
      <c r="N170" s="241"/>
      <c r="O170" s="241"/>
      <c r="P170" s="241"/>
      <c r="Q170" s="241"/>
      <c r="R170" s="241"/>
      <c r="S170" s="241"/>
      <c r="T170" s="241"/>
      <c r="U170" s="241"/>
      <c r="V170" s="241"/>
      <c r="W170" s="241"/>
      <c r="X170" s="241"/>
      <c r="Y170" s="241"/>
      <c r="Z170" s="241"/>
      <c r="AA170" s="241"/>
      <c r="AB170" s="290">
        <f t="shared" si="16"/>
        <v>270</v>
      </c>
      <c r="AC170" s="290">
        <f t="shared" si="17"/>
        <v>0</v>
      </c>
      <c r="AD170" s="290">
        <f t="shared" si="18"/>
        <v>135</v>
      </c>
      <c r="AE170" s="290">
        <f t="shared" si="19"/>
        <v>135</v>
      </c>
    </row>
    <row r="171" spans="1:31" x14ac:dyDescent="0.25">
      <c r="A171" s="280"/>
      <c r="B171" s="331">
        <f>Crop!B207</f>
        <v>41798</v>
      </c>
      <c r="C171" s="332">
        <f t="shared" si="20"/>
        <v>270</v>
      </c>
      <c r="D171" s="332">
        <f t="shared" si="21"/>
        <v>0</v>
      </c>
      <c r="E171" s="332">
        <f t="shared" si="22"/>
        <v>135</v>
      </c>
      <c r="F171" s="332">
        <f t="shared" si="23"/>
        <v>135</v>
      </c>
      <c r="G171" s="241"/>
      <c r="H171" s="241"/>
      <c r="I171" s="241"/>
      <c r="J171" s="241"/>
      <c r="K171" s="289"/>
      <c r="L171" s="289"/>
      <c r="M171" s="241"/>
      <c r="N171" s="241"/>
      <c r="O171" s="241"/>
      <c r="P171" s="241"/>
      <c r="Q171" s="241"/>
      <c r="R171" s="241"/>
      <c r="S171" s="241"/>
      <c r="T171" s="241"/>
      <c r="U171" s="241"/>
      <c r="V171" s="241"/>
      <c r="W171" s="241"/>
      <c r="X171" s="241"/>
      <c r="Y171" s="241"/>
      <c r="Z171" s="241"/>
      <c r="AA171" s="241"/>
      <c r="AB171" s="290">
        <f t="shared" si="16"/>
        <v>270</v>
      </c>
      <c r="AC171" s="290">
        <f t="shared" si="17"/>
        <v>0</v>
      </c>
      <c r="AD171" s="290">
        <f t="shared" si="18"/>
        <v>135</v>
      </c>
      <c r="AE171" s="290">
        <f t="shared" si="19"/>
        <v>135</v>
      </c>
    </row>
    <row r="172" spans="1:31" x14ac:dyDescent="0.25">
      <c r="A172" s="280"/>
      <c r="B172" s="331">
        <f>Crop!B208</f>
        <v>41799</v>
      </c>
      <c r="C172" s="332">
        <f t="shared" si="20"/>
        <v>270</v>
      </c>
      <c r="D172" s="332">
        <f t="shared" si="21"/>
        <v>0</v>
      </c>
      <c r="E172" s="332">
        <f t="shared" si="22"/>
        <v>135</v>
      </c>
      <c r="F172" s="332">
        <f t="shared" si="23"/>
        <v>135</v>
      </c>
      <c r="G172" s="241"/>
      <c r="H172" s="241"/>
      <c r="I172" s="241"/>
      <c r="J172" s="241"/>
      <c r="K172" s="289"/>
      <c r="L172" s="289"/>
      <c r="M172" s="241"/>
      <c r="N172" s="241"/>
      <c r="O172" s="241"/>
      <c r="P172" s="241"/>
      <c r="Q172" s="241"/>
      <c r="R172" s="241"/>
      <c r="S172" s="241"/>
      <c r="T172" s="241"/>
      <c r="U172" s="241"/>
      <c r="V172" s="241"/>
      <c r="W172" s="241"/>
      <c r="X172" s="241"/>
      <c r="Y172" s="241"/>
      <c r="Z172" s="241"/>
      <c r="AA172" s="241"/>
      <c r="AB172" s="290">
        <f t="shared" si="16"/>
        <v>270</v>
      </c>
      <c r="AC172" s="290">
        <f t="shared" si="17"/>
        <v>0</v>
      </c>
      <c r="AD172" s="290">
        <f t="shared" si="18"/>
        <v>135</v>
      </c>
      <c r="AE172" s="290">
        <f t="shared" si="19"/>
        <v>135</v>
      </c>
    </row>
    <row r="173" spans="1:31" x14ac:dyDescent="0.25">
      <c r="A173" s="280"/>
      <c r="B173" s="331">
        <f>Crop!B209</f>
        <v>41800</v>
      </c>
      <c r="C173" s="332">
        <f t="shared" si="20"/>
        <v>270</v>
      </c>
      <c r="D173" s="332">
        <f t="shared" si="21"/>
        <v>0</v>
      </c>
      <c r="E173" s="332">
        <f t="shared" si="22"/>
        <v>135</v>
      </c>
      <c r="F173" s="332">
        <f t="shared" si="23"/>
        <v>135</v>
      </c>
      <c r="G173" s="241"/>
      <c r="H173" s="241"/>
      <c r="I173" s="241"/>
      <c r="J173" s="241"/>
      <c r="K173" s="289"/>
      <c r="L173" s="289"/>
      <c r="M173" s="241"/>
      <c r="N173" s="241"/>
      <c r="O173" s="241"/>
      <c r="P173" s="241"/>
      <c r="Q173" s="241"/>
      <c r="R173" s="241"/>
      <c r="S173" s="241"/>
      <c r="T173" s="241"/>
      <c r="U173" s="241"/>
      <c r="V173" s="241"/>
      <c r="W173" s="241"/>
      <c r="X173" s="241"/>
      <c r="Y173" s="241"/>
      <c r="Z173" s="241"/>
      <c r="AA173" s="241"/>
      <c r="AB173" s="290">
        <f t="shared" si="16"/>
        <v>270</v>
      </c>
      <c r="AC173" s="290">
        <f t="shared" si="17"/>
        <v>0</v>
      </c>
      <c r="AD173" s="290">
        <f t="shared" si="18"/>
        <v>135</v>
      </c>
      <c r="AE173" s="290">
        <f t="shared" si="19"/>
        <v>135</v>
      </c>
    </row>
    <row r="174" spans="1:31" x14ac:dyDescent="0.25">
      <c r="A174" s="280"/>
      <c r="B174" s="331">
        <f>Crop!B210</f>
        <v>41801</v>
      </c>
      <c r="C174" s="332">
        <f t="shared" si="20"/>
        <v>270</v>
      </c>
      <c r="D174" s="332">
        <f t="shared" si="21"/>
        <v>0</v>
      </c>
      <c r="E174" s="332">
        <f t="shared" si="22"/>
        <v>135</v>
      </c>
      <c r="F174" s="332">
        <f t="shared" si="23"/>
        <v>135</v>
      </c>
      <c r="G174" s="241"/>
      <c r="H174" s="241"/>
      <c r="I174" s="241"/>
      <c r="J174" s="241"/>
      <c r="K174" s="289"/>
      <c r="L174" s="289"/>
      <c r="M174" s="241"/>
      <c r="N174" s="241"/>
      <c r="O174" s="241"/>
      <c r="P174" s="241"/>
      <c r="Q174" s="241"/>
      <c r="R174" s="241"/>
      <c r="S174" s="241"/>
      <c r="T174" s="241"/>
      <c r="U174" s="241"/>
      <c r="V174" s="241"/>
      <c r="W174" s="241"/>
      <c r="X174" s="241"/>
      <c r="Y174" s="241"/>
      <c r="Z174" s="241"/>
      <c r="AA174" s="241"/>
      <c r="AB174" s="290">
        <f t="shared" si="16"/>
        <v>270</v>
      </c>
      <c r="AC174" s="290">
        <f t="shared" si="17"/>
        <v>0</v>
      </c>
      <c r="AD174" s="290">
        <f t="shared" si="18"/>
        <v>135</v>
      </c>
      <c r="AE174" s="290">
        <f t="shared" si="19"/>
        <v>135</v>
      </c>
    </row>
    <row r="175" spans="1:31" x14ac:dyDescent="0.25">
      <c r="A175" s="280"/>
      <c r="B175" s="331">
        <f>Crop!B211</f>
        <v>41802</v>
      </c>
      <c r="C175" s="332">
        <f t="shared" si="20"/>
        <v>270</v>
      </c>
      <c r="D175" s="332">
        <f t="shared" si="21"/>
        <v>0</v>
      </c>
      <c r="E175" s="332">
        <f t="shared" si="22"/>
        <v>135</v>
      </c>
      <c r="F175" s="332">
        <f t="shared" si="23"/>
        <v>135</v>
      </c>
      <c r="G175" s="241"/>
      <c r="H175" s="241"/>
      <c r="I175" s="241"/>
      <c r="J175" s="241"/>
      <c r="K175" s="289"/>
      <c r="L175" s="289"/>
      <c r="M175" s="241"/>
      <c r="N175" s="241"/>
      <c r="O175" s="241"/>
      <c r="P175" s="241"/>
      <c r="Q175" s="241"/>
      <c r="R175" s="241"/>
      <c r="S175" s="241"/>
      <c r="T175" s="241"/>
      <c r="U175" s="241"/>
      <c r="V175" s="241"/>
      <c r="W175" s="241"/>
      <c r="X175" s="241"/>
      <c r="Y175" s="241"/>
      <c r="Z175" s="241"/>
      <c r="AA175" s="241"/>
      <c r="AB175" s="290">
        <f t="shared" si="16"/>
        <v>270</v>
      </c>
      <c r="AC175" s="290">
        <f t="shared" si="17"/>
        <v>0</v>
      </c>
      <c r="AD175" s="290">
        <f t="shared" si="18"/>
        <v>135</v>
      </c>
      <c r="AE175" s="290">
        <f t="shared" si="19"/>
        <v>135</v>
      </c>
    </row>
    <row r="176" spans="1:31" x14ac:dyDescent="0.25">
      <c r="A176" s="280"/>
      <c r="B176" s="331">
        <f>Crop!B212</f>
        <v>41803</v>
      </c>
      <c r="C176" s="332">
        <f t="shared" si="20"/>
        <v>270</v>
      </c>
      <c r="D176" s="332">
        <f t="shared" si="21"/>
        <v>0</v>
      </c>
      <c r="E176" s="332">
        <f t="shared" si="22"/>
        <v>135</v>
      </c>
      <c r="F176" s="332">
        <f t="shared" si="23"/>
        <v>135</v>
      </c>
      <c r="G176" s="241"/>
      <c r="H176" s="241"/>
      <c r="I176" s="241"/>
      <c r="J176" s="241"/>
      <c r="K176" s="289"/>
      <c r="L176" s="289"/>
      <c r="M176" s="241"/>
      <c r="N176" s="241"/>
      <c r="O176" s="241"/>
      <c r="P176" s="241"/>
      <c r="Q176" s="241"/>
      <c r="R176" s="241"/>
      <c r="S176" s="241"/>
      <c r="T176" s="241"/>
      <c r="U176" s="241"/>
      <c r="V176" s="241"/>
      <c r="W176" s="241"/>
      <c r="X176" s="241"/>
      <c r="Y176" s="241"/>
      <c r="Z176" s="241"/>
      <c r="AA176" s="241"/>
      <c r="AB176" s="290">
        <f t="shared" si="16"/>
        <v>270</v>
      </c>
      <c r="AC176" s="290">
        <f t="shared" si="17"/>
        <v>0</v>
      </c>
      <c r="AD176" s="290">
        <f t="shared" si="18"/>
        <v>135</v>
      </c>
      <c r="AE176" s="290">
        <f t="shared" si="19"/>
        <v>135</v>
      </c>
    </row>
    <row r="177" spans="1:31" x14ac:dyDescent="0.25">
      <c r="A177" s="280"/>
      <c r="B177" s="331">
        <f>Crop!B213</f>
        <v>41804</v>
      </c>
      <c r="C177" s="332">
        <f t="shared" si="20"/>
        <v>270</v>
      </c>
      <c r="D177" s="332">
        <f t="shared" si="21"/>
        <v>0</v>
      </c>
      <c r="E177" s="332">
        <f t="shared" si="22"/>
        <v>135</v>
      </c>
      <c r="F177" s="332">
        <f t="shared" si="23"/>
        <v>135</v>
      </c>
      <c r="G177" s="241"/>
      <c r="H177" s="241"/>
      <c r="I177" s="241"/>
      <c r="J177" s="241"/>
      <c r="K177" s="289"/>
      <c r="L177" s="289"/>
      <c r="M177" s="241"/>
      <c r="N177" s="241"/>
      <c r="O177" s="241"/>
      <c r="P177" s="241"/>
      <c r="Q177" s="241"/>
      <c r="R177" s="241"/>
      <c r="S177" s="241"/>
      <c r="T177" s="241"/>
      <c r="U177" s="241"/>
      <c r="V177" s="241"/>
      <c r="W177" s="241"/>
      <c r="X177" s="241"/>
      <c r="Y177" s="241"/>
      <c r="Z177" s="241"/>
      <c r="AA177" s="241"/>
      <c r="AB177" s="290">
        <f t="shared" si="16"/>
        <v>270</v>
      </c>
      <c r="AC177" s="290">
        <f t="shared" si="17"/>
        <v>0</v>
      </c>
      <c r="AD177" s="290">
        <f t="shared" si="18"/>
        <v>135</v>
      </c>
      <c r="AE177" s="290">
        <f t="shared" si="19"/>
        <v>135</v>
      </c>
    </row>
    <row r="178" spans="1:31" x14ac:dyDescent="0.25">
      <c r="A178" s="280"/>
      <c r="B178" s="331">
        <f>Crop!B214</f>
        <v>41805</v>
      </c>
      <c r="C178" s="332">
        <f t="shared" si="20"/>
        <v>270</v>
      </c>
      <c r="D178" s="332">
        <f t="shared" si="21"/>
        <v>0</v>
      </c>
      <c r="E178" s="332">
        <f t="shared" si="22"/>
        <v>135</v>
      </c>
      <c r="F178" s="332">
        <f t="shared" si="23"/>
        <v>135</v>
      </c>
      <c r="G178" s="241"/>
      <c r="H178" s="241"/>
      <c r="I178" s="241"/>
      <c r="J178" s="241"/>
      <c r="K178" s="289"/>
      <c r="L178" s="289"/>
      <c r="M178" s="241"/>
      <c r="N178" s="241"/>
      <c r="O178" s="241"/>
      <c r="P178" s="241"/>
      <c r="Q178" s="241"/>
      <c r="R178" s="241"/>
      <c r="S178" s="241"/>
      <c r="T178" s="241"/>
      <c r="U178" s="241"/>
      <c r="V178" s="241"/>
      <c r="W178" s="241"/>
      <c r="X178" s="241"/>
      <c r="Y178" s="241"/>
      <c r="Z178" s="241"/>
      <c r="AA178" s="241"/>
      <c r="AB178" s="290">
        <f t="shared" si="16"/>
        <v>270</v>
      </c>
      <c r="AC178" s="290">
        <f t="shared" si="17"/>
        <v>0</v>
      </c>
      <c r="AD178" s="290">
        <f t="shared" si="18"/>
        <v>135</v>
      </c>
      <c r="AE178" s="290">
        <f t="shared" si="19"/>
        <v>135</v>
      </c>
    </row>
    <row r="179" spans="1:31" x14ac:dyDescent="0.25">
      <c r="A179" s="280"/>
      <c r="B179" s="331">
        <f>Crop!B215</f>
        <v>41806</v>
      </c>
      <c r="C179" s="332">
        <f t="shared" si="20"/>
        <v>270</v>
      </c>
      <c r="D179" s="332">
        <f t="shared" si="21"/>
        <v>0</v>
      </c>
      <c r="E179" s="332">
        <f t="shared" si="22"/>
        <v>135</v>
      </c>
      <c r="F179" s="332">
        <f t="shared" si="23"/>
        <v>135</v>
      </c>
      <c r="G179" s="241"/>
      <c r="H179" s="241"/>
      <c r="I179" s="241"/>
      <c r="J179" s="241"/>
      <c r="K179" s="289"/>
      <c r="L179" s="289"/>
      <c r="M179" s="241"/>
      <c r="N179" s="241"/>
      <c r="O179" s="241"/>
      <c r="P179" s="241"/>
      <c r="Q179" s="241"/>
      <c r="R179" s="241"/>
      <c r="S179" s="241"/>
      <c r="T179" s="241"/>
      <c r="U179" s="241"/>
      <c r="V179" s="241"/>
      <c r="W179" s="241"/>
      <c r="X179" s="241"/>
      <c r="Y179" s="241"/>
      <c r="Z179" s="241"/>
      <c r="AA179" s="241"/>
      <c r="AB179" s="290">
        <f t="shared" si="16"/>
        <v>270</v>
      </c>
      <c r="AC179" s="290">
        <f t="shared" si="17"/>
        <v>0</v>
      </c>
      <c r="AD179" s="290">
        <f t="shared" si="18"/>
        <v>135</v>
      </c>
      <c r="AE179" s="290">
        <f t="shared" si="19"/>
        <v>135</v>
      </c>
    </row>
    <row r="180" spans="1:31" x14ac:dyDescent="0.25">
      <c r="A180" s="280"/>
      <c r="B180" s="331">
        <f>Crop!B216</f>
        <v>41807</v>
      </c>
      <c r="C180" s="332">
        <f t="shared" si="20"/>
        <v>270</v>
      </c>
      <c r="D180" s="332">
        <f t="shared" si="21"/>
        <v>0</v>
      </c>
      <c r="E180" s="332">
        <f t="shared" si="22"/>
        <v>135</v>
      </c>
      <c r="F180" s="332">
        <f t="shared" si="23"/>
        <v>135</v>
      </c>
      <c r="G180" s="241"/>
      <c r="H180" s="241"/>
      <c r="I180" s="241"/>
      <c r="J180" s="241"/>
      <c r="K180" s="289"/>
      <c r="L180" s="289"/>
      <c r="M180" s="241"/>
      <c r="N180" s="241"/>
      <c r="O180" s="241"/>
      <c r="P180" s="241"/>
      <c r="Q180" s="241"/>
      <c r="R180" s="241"/>
      <c r="S180" s="241"/>
      <c r="T180" s="241"/>
      <c r="U180" s="241"/>
      <c r="V180" s="241"/>
      <c r="W180" s="241"/>
      <c r="X180" s="241"/>
      <c r="Y180" s="241"/>
      <c r="Z180" s="241"/>
      <c r="AA180" s="241"/>
      <c r="AB180" s="290">
        <f t="shared" si="16"/>
        <v>270</v>
      </c>
      <c r="AC180" s="290">
        <f t="shared" si="17"/>
        <v>0</v>
      </c>
      <c r="AD180" s="290">
        <f t="shared" si="18"/>
        <v>135</v>
      </c>
      <c r="AE180" s="290">
        <f t="shared" si="19"/>
        <v>135</v>
      </c>
    </row>
    <row r="181" spans="1:31" x14ac:dyDescent="0.25">
      <c r="A181" s="280"/>
      <c r="B181" s="331">
        <f>Crop!B217</f>
        <v>41808</v>
      </c>
      <c r="C181" s="332">
        <f t="shared" si="20"/>
        <v>270</v>
      </c>
      <c r="D181" s="332">
        <f t="shared" si="21"/>
        <v>0</v>
      </c>
      <c r="E181" s="332">
        <f t="shared" si="22"/>
        <v>135</v>
      </c>
      <c r="F181" s="332">
        <f t="shared" si="23"/>
        <v>135</v>
      </c>
      <c r="G181" s="241"/>
      <c r="H181" s="241"/>
      <c r="I181" s="241"/>
      <c r="J181" s="241"/>
      <c r="K181" s="289"/>
      <c r="L181" s="289"/>
      <c r="M181" s="241"/>
      <c r="N181" s="241"/>
      <c r="O181" s="241"/>
      <c r="P181" s="241"/>
      <c r="Q181" s="241"/>
      <c r="R181" s="241"/>
      <c r="S181" s="241"/>
      <c r="T181" s="241"/>
      <c r="U181" s="241"/>
      <c r="V181" s="241"/>
      <c r="W181" s="241"/>
      <c r="X181" s="241"/>
      <c r="Y181" s="241"/>
      <c r="Z181" s="241"/>
      <c r="AA181" s="241"/>
      <c r="AB181" s="290">
        <f t="shared" si="16"/>
        <v>270</v>
      </c>
      <c r="AC181" s="290">
        <f t="shared" si="17"/>
        <v>0</v>
      </c>
      <c r="AD181" s="290">
        <f t="shared" si="18"/>
        <v>135</v>
      </c>
      <c r="AE181" s="290">
        <f t="shared" si="19"/>
        <v>135</v>
      </c>
    </row>
    <row r="182" spans="1:31" x14ac:dyDescent="0.25">
      <c r="A182" s="280"/>
      <c r="B182" s="331">
        <f>Crop!B218</f>
        <v>41809</v>
      </c>
      <c r="C182" s="332">
        <f t="shared" si="20"/>
        <v>270</v>
      </c>
      <c r="D182" s="332">
        <f t="shared" si="21"/>
        <v>0</v>
      </c>
      <c r="E182" s="332">
        <f t="shared" si="22"/>
        <v>135</v>
      </c>
      <c r="F182" s="332">
        <f t="shared" si="23"/>
        <v>135</v>
      </c>
      <c r="G182" s="241"/>
      <c r="H182" s="241"/>
      <c r="I182" s="241"/>
      <c r="J182" s="241"/>
      <c r="K182" s="289"/>
      <c r="L182" s="289"/>
      <c r="M182" s="241"/>
      <c r="N182" s="241"/>
      <c r="O182" s="241"/>
      <c r="P182" s="241"/>
      <c r="Q182" s="241"/>
      <c r="R182" s="241"/>
      <c r="S182" s="241"/>
      <c r="T182" s="241"/>
      <c r="U182" s="241"/>
      <c r="V182" s="241"/>
      <c r="W182" s="241"/>
      <c r="X182" s="241"/>
      <c r="Y182" s="241"/>
      <c r="Z182" s="241"/>
      <c r="AA182" s="241"/>
      <c r="AB182" s="290">
        <f t="shared" si="16"/>
        <v>270</v>
      </c>
      <c r="AC182" s="290">
        <f t="shared" si="17"/>
        <v>0</v>
      </c>
      <c r="AD182" s="290">
        <f t="shared" si="18"/>
        <v>135</v>
      </c>
      <c r="AE182" s="290">
        <f t="shared" si="19"/>
        <v>135</v>
      </c>
    </row>
    <row r="183" spans="1:31" x14ac:dyDescent="0.25">
      <c r="A183" s="280"/>
      <c r="B183" s="331">
        <f>Crop!B219</f>
        <v>41810</v>
      </c>
      <c r="C183" s="332">
        <f t="shared" si="20"/>
        <v>270</v>
      </c>
      <c r="D183" s="332">
        <f t="shared" si="21"/>
        <v>0</v>
      </c>
      <c r="E183" s="332">
        <f t="shared" si="22"/>
        <v>135</v>
      </c>
      <c r="F183" s="332">
        <f t="shared" si="23"/>
        <v>135</v>
      </c>
      <c r="G183" s="241"/>
      <c r="H183" s="241"/>
      <c r="I183" s="241"/>
      <c r="J183" s="241"/>
      <c r="K183" s="289"/>
      <c r="L183" s="289"/>
      <c r="M183" s="241"/>
      <c r="N183" s="241"/>
      <c r="O183" s="241"/>
      <c r="P183" s="241"/>
      <c r="Q183" s="241"/>
      <c r="R183" s="241"/>
      <c r="S183" s="241"/>
      <c r="T183" s="241"/>
      <c r="U183" s="241"/>
      <c r="V183" s="241"/>
      <c r="W183" s="241"/>
      <c r="X183" s="241"/>
      <c r="Y183" s="241"/>
      <c r="Z183" s="241"/>
      <c r="AA183" s="241"/>
      <c r="AB183" s="290">
        <f t="shared" si="16"/>
        <v>270</v>
      </c>
      <c r="AC183" s="290">
        <f t="shared" si="17"/>
        <v>0</v>
      </c>
      <c r="AD183" s="290">
        <f t="shared" si="18"/>
        <v>135</v>
      </c>
      <c r="AE183" s="290">
        <f t="shared" si="19"/>
        <v>135</v>
      </c>
    </row>
    <row r="184" spans="1:31" x14ac:dyDescent="0.25">
      <c r="A184" s="280"/>
      <c r="B184" s="331">
        <f>Crop!B220</f>
        <v>41811</v>
      </c>
      <c r="C184" s="332">
        <f t="shared" si="20"/>
        <v>270</v>
      </c>
      <c r="D184" s="332">
        <f t="shared" si="21"/>
        <v>0</v>
      </c>
      <c r="E184" s="332">
        <f t="shared" si="22"/>
        <v>135</v>
      </c>
      <c r="F184" s="332">
        <f t="shared" si="23"/>
        <v>135</v>
      </c>
      <c r="G184" s="241"/>
      <c r="H184" s="241"/>
      <c r="I184" s="241"/>
      <c r="J184" s="241"/>
      <c r="K184" s="289"/>
      <c r="L184" s="289"/>
      <c r="M184" s="241"/>
      <c r="N184" s="241"/>
      <c r="O184" s="241"/>
      <c r="P184" s="241"/>
      <c r="Q184" s="241"/>
      <c r="R184" s="241"/>
      <c r="S184" s="241"/>
      <c r="T184" s="241"/>
      <c r="U184" s="241"/>
      <c r="V184" s="241"/>
      <c r="W184" s="241"/>
      <c r="X184" s="241"/>
      <c r="Y184" s="241"/>
      <c r="Z184" s="241"/>
      <c r="AA184" s="241"/>
      <c r="AB184" s="290">
        <f t="shared" si="16"/>
        <v>270</v>
      </c>
      <c r="AC184" s="290">
        <f t="shared" si="17"/>
        <v>0</v>
      </c>
      <c r="AD184" s="290">
        <f t="shared" si="18"/>
        <v>135</v>
      </c>
      <c r="AE184" s="290">
        <f t="shared" si="19"/>
        <v>135</v>
      </c>
    </row>
    <row r="185" spans="1:31" x14ac:dyDescent="0.25">
      <c r="A185" s="280"/>
      <c r="B185" s="331">
        <f>Crop!B221</f>
        <v>41812</v>
      </c>
      <c r="C185" s="332">
        <f t="shared" si="20"/>
        <v>270</v>
      </c>
      <c r="D185" s="332">
        <f t="shared" si="21"/>
        <v>0</v>
      </c>
      <c r="E185" s="332">
        <f t="shared" si="22"/>
        <v>135</v>
      </c>
      <c r="F185" s="332">
        <f t="shared" si="23"/>
        <v>135</v>
      </c>
      <c r="G185" s="241"/>
      <c r="H185" s="241"/>
      <c r="I185" s="241"/>
      <c r="J185" s="241"/>
      <c r="K185" s="289"/>
      <c r="L185" s="289"/>
      <c r="M185" s="241"/>
      <c r="N185" s="241"/>
      <c r="O185" s="241"/>
      <c r="P185" s="241"/>
      <c r="Q185" s="241"/>
      <c r="R185" s="241"/>
      <c r="S185" s="241"/>
      <c r="T185" s="241"/>
      <c r="U185" s="241"/>
      <c r="V185" s="241"/>
      <c r="W185" s="241"/>
      <c r="X185" s="241"/>
      <c r="Y185" s="241"/>
      <c r="Z185" s="241"/>
      <c r="AA185" s="241"/>
      <c r="AB185" s="290">
        <f t="shared" si="16"/>
        <v>270</v>
      </c>
      <c r="AC185" s="290">
        <f t="shared" si="17"/>
        <v>0</v>
      </c>
      <c r="AD185" s="290">
        <f t="shared" si="18"/>
        <v>135</v>
      </c>
      <c r="AE185" s="290">
        <f t="shared" si="19"/>
        <v>135</v>
      </c>
    </row>
    <row r="186" spans="1:31" x14ac:dyDescent="0.25">
      <c r="A186" s="280"/>
      <c r="B186" s="331">
        <f>Crop!B222</f>
        <v>41813</v>
      </c>
      <c r="C186" s="332">
        <f t="shared" si="20"/>
        <v>270</v>
      </c>
      <c r="D186" s="332">
        <f t="shared" si="21"/>
        <v>0</v>
      </c>
      <c r="E186" s="332">
        <f t="shared" si="22"/>
        <v>135</v>
      </c>
      <c r="F186" s="332">
        <f t="shared" si="23"/>
        <v>135</v>
      </c>
      <c r="G186" s="241"/>
      <c r="H186" s="241"/>
      <c r="I186" s="241"/>
      <c r="J186" s="241"/>
      <c r="K186" s="289"/>
      <c r="L186" s="289"/>
      <c r="M186" s="241"/>
      <c r="N186" s="241"/>
      <c r="O186" s="241"/>
      <c r="P186" s="241"/>
      <c r="Q186" s="241"/>
      <c r="R186" s="241"/>
      <c r="S186" s="241"/>
      <c r="T186" s="241"/>
      <c r="U186" s="241"/>
      <c r="V186" s="241"/>
      <c r="W186" s="241"/>
      <c r="X186" s="241"/>
      <c r="Y186" s="241"/>
      <c r="Z186" s="241"/>
      <c r="AA186" s="241"/>
      <c r="AB186" s="290">
        <f t="shared" si="16"/>
        <v>270</v>
      </c>
      <c r="AC186" s="290">
        <f t="shared" si="17"/>
        <v>0</v>
      </c>
      <c r="AD186" s="290">
        <f t="shared" si="18"/>
        <v>135</v>
      </c>
      <c r="AE186" s="290">
        <f t="shared" si="19"/>
        <v>135</v>
      </c>
    </row>
    <row r="187" spans="1:31" x14ac:dyDescent="0.25">
      <c r="A187" s="280"/>
      <c r="B187" s="331">
        <f>Crop!B223</f>
        <v>41814</v>
      </c>
      <c r="C187" s="332">
        <f t="shared" si="20"/>
        <v>270</v>
      </c>
      <c r="D187" s="332">
        <f t="shared" si="21"/>
        <v>0</v>
      </c>
      <c r="E187" s="332">
        <f t="shared" si="22"/>
        <v>135</v>
      </c>
      <c r="F187" s="332">
        <f t="shared" si="23"/>
        <v>135</v>
      </c>
      <c r="G187" s="241"/>
      <c r="H187" s="241"/>
      <c r="I187" s="241"/>
      <c r="J187" s="241"/>
      <c r="K187" s="289"/>
      <c r="L187" s="289"/>
      <c r="M187" s="241"/>
      <c r="N187" s="241"/>
      <c r="O187" s="241"/>
      <c r="P187" s="241"/>
      <c r="Q187" s="241"/>
      <c r="R187" s="241"/>
      <c r="S187" s="241"/>
      <c r="T187" s="241"/>
      <c r="U187" s="241"/>
      <c r="V187" s="241"/>
      <c r="W187" s="241"/>
      <c r="X187" s="241"/>
      <c r="Y187" s="241"/>
      <c r="Z187" s="241"/>
      <c r="AA187" s="241"/>
      <c r="AB187" s="290">
        <f t="shared" si="16"/>
        <v>270</v>
      </c>
      <c r="AC187" s="290">
        <f t="shared" si="17"/>
        <v>0</v>
      </c>
      <c r="AD187" s="290">
        <f t="shared" si="18"/>
        <v>135</v>
      </c>
      <c r="AE187" s="290">
        <f t="shared" si="19"/>
        <v>135</v>
      </c>
    </row>
    <row r="188" spans="1:31" x14ac:dyDescent="0.25">
      <c r="A188" s="280"/>
      <c r="B188" s="331">
        <f>Crop!B224</f>
        <v>41815</v>
      </c>
      <c r="C188" s="332">
        <f t="shared" si="20"/>
        <v>270</v>
      </c>
      <c r="D188" s="332">
        <f t="shared" si="21"/>
        <v>0</v>
      </c>
      <c r="E188" s="332">
        <f t="shared" si="22"/>
        <v>135</v>
      </c>
      <c r="F188" s="332">
        <f t="shared" si="23"/>
        <v>135</v>
      </c>
      <c r="G188" s="241"/>
      <c r="H188" s="241"/>
      <c r="I188" s="241"/>
      <c r="J188" s="241"/>
      <c r="K188" s="289"/>
      <c r="L188" s="289"/>
      <c r="M188" s="241"/>
      <c r="N188" s="241"/>
      <c r="O188" s="241"/>
      <c r="P188" s="241"/>
      <c r="Q188" s="241"/>
      <c r="R188" s="241"/>
      <c r="S188" s="241"/>
      <c r="T188" s="241"/>
      <c r="U188" s="241"/>
      <c r="V188" s="241"/>
      <c r="W188" s="241"/>
      <c r="X188" s="241"/>
      <c r="Y188" s="241"/>
      <c r="Z188" s="241"/>
      <c r="AA188" s="241"/>
      <c r="AB188" s="290">
        <f t="shared" si="16"/>
        <v>270</v>
      </c>
      <c r="AC188" s="290">
        <f t="shared" si="17"/>
        <v>0</v>
      </c>
      <c r="AD188" s="290">
        <f t="shared" si="18"/>
        <v>135</v>
      </c>
      <c r="AE188" s="290">
        <f t="shared" si="19"/>
        <v>135</v>
      </c>
    </row>
    <row r="189" spans="1:31" x14ac:dyDescent="0.25">
      <c r="A189" s="280"/>
      <c r="B189" s="331">
        <f>Crop!B225</f>
        <v>41816</v>
      </c>
      <c r="C189" s="332">
        <f t="shared" si="20"/>
        <v>270</v>
      </c>
      <c r="D189" s="332">
        <f t="shared" si="21"/>
        <v>0</v>
      </c>
      <c r="E189" s="332">
        <f t="shared" si="22"/>
        <v>135</v>
      </c>
      <c r="F189" s="332">
        <f t="shared" si="23"/>
        <v>135</v>
      </c>
      <c r="G189" s="241"/>
      <c r="H189" s="241"/>
      <c r="I189" s="241"/>
      <c r="J189" s="241"/>
      <c r="K189" s="289"/>
      <c r="L189" s="289"/>
      <c r="M189" s="241"/>
      <c r="N189" s="241"/>
      <c r="O189" s="241"/>
      <c r="P189" s="241"/>
      <c r="Q189" s="241"/>
      <c r="R189" s="241"/>
      <c r="S189" s="241"/>
      <c r="T189" s="241"/>
      <c r="U189" s="241"/>
      <c r="V189" s="241"/>
      <c r="W189" s="241"/>
      <c r="X189" s="241"/>
      <c r="Y189" s="241"/>
      <c r="Z189" s="241"/>
      <c r="AA189" s="241"/>
      <c r="AB189" s="290">
        <f t="shared" si="16"/>
        <v>270</v>
      </c>
      <c r="AC189" s="290">
        <f t="shared" si="17"/>
        <v>0</v>
      </c>
      <c r="AD189" s="290">
        <f t="shared" si="18"/>
        <v>135</v>
      </c>
      <c r="AE189" s="290">
        <f t="shared" si="19"/>
        <v>135</v>
      </c>
    </row>
    <row r="190" spans="1:31" x14ac:dyDescent="0.25">
      <c r="A190" s="280"/>
      <c r="B190" s="331">
        <f>Crop!B226</f>
        <v>41817</v>
      </c>
      <c r="C190" s="332">
        <f t="shared" si="20"/>
        <v>270</v>
      </c>
      <c r="D190" s="332">
        <f t="shared" si="21"/>
        <v>0</v>
      </c>
      <c r="E190" s="332">
        <f t="shared" si="22"/>
        <v>135</v>
      </c>
      <c r="F190" s="332">
        <f t="shared" si="23"/>
        <v>135</v>
      </c>
      <c r="G190" s="241"/>
      <c r="H190" s="241"/>
      <c r="I190" s="241"/>
      <c r="J190" s="241"/>
      <c r="K190" s="289"/>
      <c r="L190" s="289"/>
      <c r="M190" s="241"/>
      <c r="N190" s="241"/>
      <c r="O190" s="241"/>
      <c r="P190" s="241"/>
      <c r="Q190" s="241"/>
      <c r="R190" s="241"/>
      <c r="S190" s="241"/>
      <c r="T190" s="241"/>
      <c r="U190" s="241"/>
      <c r="V190" s="241"/>
      <c r="W190" s="241"/>
      <c r="X190" s="241"/>
      <c r="Y190" s="241"/>
      <c r="Z190" s="241"/>
      <c r="AA190" s="241"/>
      <c r="AB190" s="290">
        <f t="shared" si="16"/>
        <v>270</v>
      </c>
      <c r="AC190" s="290">
        <f t="shared" si="17"/>
        <v>0</v>
      </c>
      <c r="AD190" s="290">
        <f t="shared" si="18"/>
        <v>135</v>
      </c>
      <c r="AE190" s="290">
        <f t="shared" si="19"/>
        <v>135</v>
      </c>
    </row>
    <row r="191" spans="1:31" x14ac:dyDescent="0.25">
      <c r="A191" s="280"/>
      <c r="B191" s="331">
        <f>Crop!B227</f>
        <v>41818</v>
      </c>
      <c r="C191" s="332">
        <f t="shared" si="20"/>
        <v>270</v>
      </c>
      <c r="D191" s="332">
        <f t="shared" si="21"/>
        <v>0</v>
      </c>
      <c r="E191" s="332">
        <f t="shared" si="22"/>
        <v>135</v>
      </c>
      <c r="F191" s="332">
        <f t="shared" si="23"/>
        <v>135</v>
      </c>
      <c r="G191" s="241"/>
      <c r="H191" s="241"/>
      <c r="I191" s="241"/>
      <c r="J191" s="241"/>
      <c r="K191" s="289"/>
      <c r="L191" s="289"/>
      <c r="M191" s="241"/>
      <c r="N191" s="241"/>
      <c r="O191" s="241"/>
      <c r="P191" s="241"/>
      <c r="Q191" s="241"/>
      <c r="R191" s="241"/>
      <c r="S191" s="241"/>
      <c r="T191" s="241"/>
      <c r="U191" s="241"/>
      <c r="V191" s="241"/>
      <c r="W191" s="241"/>
      <c r="X191" s="241"/>
      <c r="Y191" s="241"/>
      <c r="Z191" s="241"/>
      <c r="AA191" s="241"/>
      <c r="AB191" s="290">
        <f t="shared" si="16"/>
        <v>270</v>
      </c>
      <c r="AC191" s="290">
        <f t="shared" si="17"/>
        <v>0</v>
      </c>
      <c r="AD191" s="290">
        <f t="shared" si="18"/>
        <v>135</v>
      </c>
      <c r="AE191" s="290">
        <f t="shared" si="19"/>
        <v>135</v>
      </c>
    </row>
    <row r="192" spans="1:31" x14ac:dyDescent="0.25">
      <c r="A192" s="280"/>
      <c r="B192" s="331">
        <f>Crop!B228</f>
        <v>41819</v>
      </c>
      <c r="C192" s="332">
        <f t="shared" si="20"/>
        <v>270</v>
      </c>
      <c r="D192" s="332">
        <f t="shared" si="21"/>
        <v>0</v>
      </c>
      <c r="E192" s="332">
        <f t="shared" si="22"/>
        <v>135</v>
      </c>
      <c r="F192" s="332">
        <f t="shared" si="23"/>
        <v>135</v>
      </c>
      <c r="G192" s="241"/>
      <c r="H192" s="241"/>
      <c r="I192" s="241"/>
      <c r="J192" s="241"/>
      <c r="K192" s="289"/>
      <c r="L192" s="289"/>
      <c r="M192" s="241"/>
      <c r="N192" s="241"/>
      <c r="O192" s="241"/>
      <c r="P192" s="241"/>
      <c r="Q192" s="241"/>
      <c r="R192" s="241"/>
      <c r="S192" s="241"/>
      <c r="T192" s="241"/>
      <c r="U192" s="241"/>
      <c r="V192" s="241"/>
      <c r="W192" s="241"/>
      <c r="X192" s="241"/>
      <c r="Y192" s="241"/>
      <c r="Z192" s="241"/>
      <c r="AA192" s="241"/>
      <c r="AB192" s="290">
        <f t="shared" si="16"/>
        <v>270</v>
      </c>
      <c r="AC192" s="290">
        <f t="shared" si="17"/>
        <v>0</v>
      </c>
      <c r="AD192" s="290">
        <f t="shared" si="18"/>
        <v>135</v>
      </c>
      <c r="AE192" s="290">
        <f t="shared" si="19"/>
        <v>135</v>
      </c>
    </row>
    <row r="193" spans="1:31" x14ac:dyDescent="0.25">
      <c r="A193" s="280"/>
      <c r="B193" s="331">
        <f>Crop!B229</f>
        <v>41820</v>
      </c>
      <c r="C193" s="332">
        <f t="shared" si="20"/>
        <v>270</v>
      </c>
      <c r="D193" s="332">
        <f t="shared" si="21"/>
        <v>0</v>
      </c>
      <c r="E193" s="332">
        <f t="shared" si="22"/>
        <v>135</v>
      </c>
      <c r="F193" s="332">
        <f t="shared" si="23"/>
        <v>135</v>
      </c>
      <c r="G193" s="241"/>
      <c r="H193" s="241"/>
      <c r="I193" s="241"/>
      <c r="J193" s="241"/>
      <c r="K193" s="289"/>
      <c r="L193" s="289"/>
      <c r="M193" s="241"/>
      <c r="N193" s="241"/>
      <c r="O193" s="241"/>
      <c r="P193" s="241"/>
      <c r="Q193" s="241"/>
      <c r="R193" s="241"/>
      <c r="S193" s="241"/>
      <c r="T193" s="241"/>
      <c r="U193" s="241"/>
      <c r="V193" s="241"/>
      <c r="W193" s="241"/>
      <c r="X193" s="241"/>
      <c r="Y193" s="241"/>
      <c r="Z193" s="241"/>
      <c r="AA193" s="241"/>
      <c r="AB193" s="290">
        <f t="shared" si="16"/>
        <v>270</v>
      </c>
      <c r="AC193" s="290">
        <f t="shared" si="17"/>
        <v>0</v>
      </c>
      <c r="AD193" s="290">
        <f t="shared" si="18"/>
        <v>135</v>
      </c>
      <c r="AE193" s="290">
        <f t="shared" si="19"/>
        <v>135</v>
      </c>
    </row>
    <row r="194" spans="1:31" x14ac:dyDescent="0.25">
      <c r="A194" s="280"/>
      <c r="B194" s="331">
        <f>Crop!B230</f>
        <v>41821</v>
      </c>
      <c r="C194" s="332">
        <f t="shared" si="20"/>
        <v>270</v>
      </c>
      <c r="D194" s="332">
        <f t="shared" si="21"/>
        <v>0</v>
      </c>
      <c r="E194" s="332">
        <f t="shared" si="22"/>
        <v>135</v>
      </c>
      <c r="F194" s="332">
        <f t="shared" si="23"/>
        <v>135</v>
      </c>
      <c r="G194" s="241"/>
      <c r="H194" s="241"/>
      <c r="I194" s="241"/>
      <c r="J194" s="241"/>
      <c r="K194" s="289"/>
      <c r="L194" s="289"/>
      <c r="M194" s="241"/>
      <c r="N194" s="241"/>
      <c r="O194" s="241"/>
      <c r="P194" s="241"/>
      <c r="Q194" s="241"/>
      <c r="R194" s="241"/>
      <c r="S194" s="241"/>
      <c r="T194" s="241"/>
      <c r="U194" s="241"/>
      <c r="V194" s="241"/>
      <c r="W194" s="241"/>
      <c r="X194" s="241"/>
      <c r="Y194" s="241"/>
      <c r="Z194" s="241"/>
      <c r="AA194" s="241"/>
      <c r="AB194" s="290">
        <f t="shared" si="16"/>
        <v>270</v>
      </c>
      <c r="AC194" s="290">
        <f t="shared" si="17"/>
        <v>0</v>
      </c>
      <c r="AD194" s="290">
        <f t="shared" si="18"/>
        <v>135</v>
      </c>
      <c r="AE194" s="290">
        <f t="shared" si="19"/>
        <v>135</v>
      </c>
    </row>
    <row r="195" spans="1:31" x14ac:dyDescent="0.25">
      <c r="A195" s="280"/>
      <c r="B195" s="331">
        <f>Crop!B231</f>
        <v>41822</v>
      </c>
      <c r="C195" s="332">
        <f t="shared" si="20"/>
        <v>270</v>
      </c>
      <c r="D195" s="332">
        <f t="shared" si="21"/>
        <v>0</v>
      </c>
      <c r="E195" s="332">
        <f t="shared" si="22"/>
        <v>135</v>
      </c>
      <c r="F195" s="332">
        <f t="shared" si="23"/>
        <v>135</v>
      </c>
      <c r="G195" s="241"/>
      <c r="H195" s="241"/>
      <c r="I195" s="241"/>
      <c r="J195" s="241"/>
      <c r="K195" s="289"/>
      <c r="L195" s="289"/>
      <c r="M195" s="241"/>
      <c r="N195" s="241"/>
      <c r="O195" s="241"/>
      <c r="P195" s="241"/>
      <c r="Q195" s="241"/>
      <c r="R195" s="241"/>
      <c r="S195" s="241"/>
      <c r="T195" s="241"/>
      <c r="U195" s="241"/>
      <c r="V195" s="241"/>
      <c r="W195" s="241"/>
      <c r="X195" s="241"/>
      <c r="Y195" s="241"/>
      <c r="Z195" s="241"/>
      <c r="AA195" s="241"/>
      <c r="AB195" s="290">
        <f t="shared" si="16"/>
        <v>270</v>
      </c>
      <c r="AC195" s="290">
        <f t="shared" si="17"/>
        <v>0</v>
      </c>
      <c r="AD195" s="290">
        <f t="shared" si="18"/>
        <v>135</v>
      </c>
      <c r="AE195" s="290">
        <f t="shared" si="19"/>
        <v>135</v>
      </c>
    </row>
    <row r="196" spans="1:31" x14ac:dyDescent="0.25">
      <c r="A196" s="280"/>
      <c r="B196" s="331">
        <f>Crop!B232</f>
        <v>41823</v>
      </c>
      <c r="C196" s="332">
        <f t="shared" si="20"/>
        <v>270</v>
      </c>
      <c r="D196" s="332">
        <f t="shared" si="21"/>
        <v>0</v>
      </c>
      <c r="E196" s="332">
        <f t="shared" si="22"/>
        <v>135</v>
      </c>
      <c r="F196" s="332">
        <f t="shared" si="23"/>
        <v>135</v>
      </c>
      <c r="G196" s="241"/>
      <c r="H196" s="241"/>
      <c r="I196" s="241"/>
      <c r="J196" s="241"/>
      <c r="K196" s="289"/>
      <c r="L196" s="289"/>
      <c r="M196" s="241"/>
      <c r="N196" s="241"/>
      <c r="O196" s="241"/>
      <c r="P196" s="241"/>
      <c r="Q196" s="241"/>
      <c r="R196" s="241"/>
      <c r="S196" s="241"/>
      <c r="T196" s="241"/>
      <c r="U196" s="241"/>
      <c r="V196" s="241"/>
      <c r="W196" s="241"/>
      <c r="X196" s="241"/>
      <c r="Y196" s="241"/>
      <c r="Z196" s="241"/>
      <c r="AA196" s="241"/>
      <c r="AB196" s="290">
        <f t="shared" si="16"/>
        <v>270</v>
      </c>
      <c r="AC196" s="290">
        <f t="shared" si="17"/>
        <v>0</v>
      </c>
      <c r="AD196" s="290">
        <f t="shared" si="18"/>
        <v>135</v>
      </c>
      <c r="AE196" s="290">
        <f t="shared" si="19"/>
        <v>135</v>
      </c>
    </row>
    <row r="197" spans="1:31" x14ac:dyDescent="0.25">
      <c r="A197" s="280"/>
      <c r="B197" s="331">
        <f>Crop!B233</f>
        <v>41824</v>
      </c>
      <c r="C197" s="332">
        <f t="shared" si="20"/>
        <v>270</v>
      </c>
      <c r="D197" s="332">
        <f t="shared" si="21"/>
        <v>0</v>
      </c>
      <c r="E197" s="332">
        <f t="shared" si="22"/>
        <v>135</v>
      </c>
      <c r="F197" s="332">
        <f t="shared" si="23"/>
        <v>135</v>
      </c>
      <c r="G197" s="241"/>
      <c r="H197" s="241"/>
      <c r="I197" s="241"/>
      <c r="J197" s="241"/>
      <c r="K197" s="289"/>
      <c r="L197" s="289"/>
      <c r="M197" s="241"/>
      <c r="N197" s="241"/>
      <c r="O197" s="241"/>
      <c r="P197" s="241"/>
      <c r="Q197" s="241"/>
      <c r="R197" s="241"/>
      <c r="S197" s="241"/>
      <c r="T197" s="241"/>
      <c r="U197" s="241"/>
      <c r="V197" s="241"/>
      <c r="W197" s="241"/>
      <c r="X197" s="241"/>
      <c r="Y197" s="241"/>
      <c r="Z197" s="241"/>
      <c r="AA197" s="241"/>
      <c r="AB197" s="290">
        <f t="shared" si="16"/>
        <v>270</v>
      </c>
      <c r="AC197" s="290">
        <f t="shared" si="17"/>
        <v>0</v>
      </c>
      <c r="AD197" s="290">
        <f t="shared" si="18"/>
        <v>135</v>
      </c>
      <c r="AE197" s="290">
        <f t="shared" si="19"/>
        <v>135</v>
      </c>
    </row>
    <row r="198" spans="1:31" x14ac:dyDescent="0.25">
      <c r="A198" s="280"/>
      <c r="B198" s="331">
        <f>Crop!B234</f>
        <v>41825</v>
      </c>
      <c r="C198" s="332">
        <f t="shared" si="20"/>
        <v>270</v>
      </c>
      <c r="D198" s="332">
        <f t="shared" si="21"/>
        <v>0</v>
      </c>
      <c r="E198" s="332">
        <f t="shared" si="22"/>
        <v>135</v>
      </c>
      <c r="F198" s="332">
        <f t="shared" si="23"/>
        <v>135</v>
      </c>
      <c r="G198" s="241"/>
      <c r="H198" s="241"/>
      <c r="I198" s="241"/>
      <c r="J198" s="241"/>
      <c r="K198" s="289"/>
      <c r="L198" s="289"/>
      <c r="M198" s="241"/>
      <c r="N198" s="241"/>
      <c r="O198" s="241"/>
      <c r="P198" s="241"/>
      <c r="Q198" s="241"/>
      <c r="R198" s="241"/>
      <c r="S198" s="241"/>
      <c r="T198" s="241"/>
      <c r="U198" s="241"/>
      <c r="V198" s="241"/>
      <c r="W198" s="241"/>
      <c r="X198" s="241"/>
      <c r="Y198" s="241"/>
      <c r="Z198" s="241"/>
      <c r="AA198" s="241"/>
      <c r="AB198" s="290">
        <f t="shared" si="16"/>
        <v>270</v>
      </c>
      <c r="AC198" s="290">
        <f t="shared" si="17"/>
        <v>0</v>
      </c>
      <c r="AD198" s="290">
        <f t="shared" si="18"/>
        <v>135</v>
      </c>
      <c r="AE198" s="290">
        <f t="shared" si="19"/>
        <v>135</v>
      </c>
    </row>
    <row r="199" spans="1:31" x14ac:dyDescent="0.25">
      <c r="A199" s="280"/>
      <c r="B199" s="331">
        <f>Crop!B235</f>
        <v>41826</v>
      </c>
      <c r="C199" s="332">
        <f t="shared" si="20"/>
        <v>270</v>
      </c>
      <c r="D199" s="332">
        <f t="shared" si="21"/>
        <v>0</v>
      </c>
      <c r="E199" s="332">
        <f t="shared" si="22"/>
        <v>135</v>
      </c>
      <c r="F199" s="332">
        <f t="shared" si="23"/>
        <v>135</v>
      </c>
      <c r="G199" s="241"/>
      <c r="H199" s="241"/>
      <c r="I199" s="241"/>
      <c r="J199" s="241"/>
      <c r="K199" s="289"/>
      <c r="L199" s="289"/>
      <c r="M199" s="241"/>
      <c r="N199" s="241"/>
      <c r="O199" s="241"/>
      <c r="P199" s="241"/>
      <c r="Q199" s="241"/>
      <c r="R199" s="241"/>
      <c r="S199" s="241"/>
      <c r="T199" s="241"/>
      <c r="U199" s="241"/>
      <c r="V199" s="241"/>
      <c r="W199" s="241"/>
      <c r="X199" s="241"/>
      <c r="Y199" s="241"/>
      <c r="Z199" s="241"/>
      <c r="AA199" s="241"/>
      <c r="AB199" s="290">
        <f t="shared" si="16"/>
        <v>270</v>
      </c>
      <c r="AC199" s="290">
        <f t="shared" si="17"/>
        <v>0</v>
      </c>
      <c r="AD199" s="290">
        <f t="shared" si="18"/>
        <v>135</v>
      </c>
      <c r="AE199" s="290">
        <f t="shared" si="19"/>
        <v>135</v>
      </c>
    </row>
    <row r="200" spans="1:31" x14ac:dyDescent="0.25">
      <c r="A200" s="280"/>
      <c r="B200" s="331">
        <f>Crop!B236</f>
        <v>41827</v>
      </c>
      <c r="C200" s="332">
        <f t="shared" si="20"/>
        <v>270</v>
      </c>
      <c r="D200" s="332">
        <f t="shared" si="21"/>
        <v>0</v>
      </c>
      <c r="E200" s="332">
        <f t="shared" si="22"/>
        <v>135</v>
      </c>
      <c r="F200" s="332">
        <f t="shared" si="23"/>
        <v>135</v>
      </c>
      <c r="G200" s="241"/>
      <c r="H200" s="241"/>
      <c r="I200" s="241"/>
      <c r="J200" s="241"/>
      <c r="K200" s="289"/>
      <c r="L200" s="289"/>
      <c r="M200" s="241"/>
      <c r="N200" s="241"/>
      <c r="O200" s="241"/>
      <c r="P200" s="241"/>
      <c r="Q200" s="241"/>
      <c r="R200" s="241"/>
      <c r="S200" s="241"/>
      <c r="T200" s="241"/>
      <c r="U200" s="241"/>
      <c r="V200" s="241"/>
      <c r="W200" s="241"/>
      <c r="X200" s="241"/>
      <c r="Y200" s="241"/>
      <c r="Z200" s="241"/>
      <c r="AA200" s="241"/>
      <c r="AB200" s="290">
        <f t="shared" si="16"/>
        <v>270</v>
      </c>
      <c r="AC200" s="290">
        <f t="shared" si="17"/>
        <v>0</v>
      </c>
      <c r="AD200" s="290">
        <f t="shared" si="18"/>
        <v>135</v>
      </c>
      <c r="AE200" s="290">
        <f t="shared" si="19"/>
        <v>135</v>
      </c>
    </row>
    <row r="201" spans="1:31" x14ac:dyDescent="0.25">
      <c r="A201" s="280"/>
      <c r="B201" s="331">
        <f>Crop!B237</f>
        <v>41828</v>
      </c>
      <c r="C201" s="332">
        <f t="shared" si="20"/>
        <v>270</v>
      </c>
      <c r="D201" s="332">
        <f t="shared" si="21"/>
        <v>0</v>
      </c>
      <c r="E201" s="332">
        <f t="shared" si="22"/>
        <v>135</v>
      </c>
      <c r="F201" s="332">
        <f t="shared" si="23"/>
        <v>135</v>
      </c>
      <c r="G201" s="241"/>
      <c r="H201" s="241"/>
      <c r="I201" s="241"/>
      <c r="J201" s="241"/>
      <c r="K201" s="289"/>
      <c r="L201" s="289"/>
      <c r="M201" s="241"/>
      <c r="N201" s="241"/>
      <c r="O201" s="241"/>
      <c r="P201" s="241"/>
      <c r="Q201" s="241"/>
      <c r="R201" s="241"/>
      <c r="S201" s="241"/>
      <c r="T201" s="241"/>
      <c r="U201" s="241"/>
      <c r="V201" s="241"/>
      <c r="W201" s="241"/>
      <c r="X201" s="241"/>
      <c r="Y201" s="241"/>
      <c r="Z201" s="241"/>
      <c r="AA201" s="241"/>
      <c r="AB201" s="290">
        <f t="shared" si="16"/>
        <v>270</v>
      </c>
      <c r="AC201" s="290">
        <f t="shared" si="17"/>
        <v>0</v>
      </c>
      <c r="AD201" s="290">
        <f t="shared" si="18"/>
        <v>135</v>
      </c>
      <c r="AE201" s="290">
        <f t="shared" si="19"/>
        <v>135</v>
      </c>
    </row>
    <row r="202" spans="1:31" x14ac:dyDescent="0.25">
      <c r="A202" s="280"/>
      <c r="B202" s="331">
        <f>Crop!B238</f>
        <v>41829</v>
      </c>
      <c r="C202" s="332">
        <f t="shared" si="20"/>
        <v>270</v>
      </c>
      <c r="D202" s="332">
        <f t="shared" si="21"/>
        <v>0</v>
      </c>
      <c r="E202" s="332">
        <f t="shared" si="22"/>
        <v>135</v>
      </c>
      <c r="F202" s="332">
        <f t="shared" si="23"/>
        <v>135</v>
      </c>
      <c r="G202" s="241"/>
      <c r="H202" s="241"/>
      <c r="I202" s="241"/>
      <c r="J202" s="241"/>
      <c r="K202" s="289"/>
      <c r="L202" s="289"/>
      <c r="M202" s="241"/>
      <c r="N202" s="241"/>
      <c r="O202" s="241"/>
      <c r="P202" s="241"/>
      <c r="Q202" s="241"/>
      <c r="R202" s="241"/>
      <c r="S202" s="241"/>
      <c r="T202" s="241"/>
      <c r="U202" s="241"/>
      <c r="V202" s="241"/>
      <c r="W202" s="241"/>
      <c r="X202" s="241"/>
      <c r="Y202" s="241"/>
      <c r="Z202" s="241"/>
      <c r="AA202" s="241"/>
      <c r="AB202" s="290">
        <f t="shared" si="16"/>
        <v>270</v>
      </c>
      <c r="AC202" s="290">
        <f t="shared" si="17"/>
        <v>0</v>
      </c>
      <c r="AD202" s="290">
        <f t="shared" si="18"/>
        <v>135</v>
      </c>
      <c r="AE202" s="290">
        <f t="shared" si="19"/>
        <v>135</v>
      </c>
    </row>
    <row r="203" spans="1:31" x14ac:dyDescent="0.25">
      <c r="A203" s="280"/>
      <c r="B203" s="331">
        <f>Crop!B239</f>
        <v>41830</v>
      </c>
      <c r="C203" s="332">
        <f t="shared" si="20"/>
        <v>270</v>
      </c>
      <c r="D203" s="332">
        <f t="shared" si="21"/>
        <v>0</v>
      </c>
      <c r="E203" s="332">
        <f t="shared" si="22"/>
        <v>135</v>
      </c>
      <c r="F203" s="332">
        <f t="shared" si="23"/>
        <v>135</v>
      </c>
      <c r="G203" s="241"/>
      <c r="H203" s="241"/>
      <c r="I203" s="241"/>
      <c r="J203" s="241"/>
      <c r="K203" s="289"/>
      <c r="L203" s="289"/>
      <c r="M203" s="241"/>
      <c r="N203" s="241"/>
      <c r="O203" s="241"/>
      <c r="P203" s="241"/>
      <c r="Q203" s="241"/>
      <c r="R203" s="241"/>
      <c r="S203" s="241"/>
      <c r="T203" s="241"/>
      <c r="U203" s="241"/>
      <c r="V203" s="241"/>
      <c r="W203" s="241"/>
      <c r="X203" s="241"/>
      <c r="Y203" s="241"/>
      <c r="Z203" s="241"/>
      <c r="AA203" s="241"/>
      <c r="AB203" s="290">
        <f t="shared" si="16"/>
        <v>270</v>
      </c>
      <c r="AC203" s="290">
        <f t="shared" si="17"/>
        <v>0</v>
      </c>
      <c r="AD203" s="290">
        <f t="shared" si="18"/>
        <v>135</v>
      </c>
      <c r="AE203" s="290">
        <f t="shared" si="19"/>
        <v>135</v>
      </c>
    </row>
    <row r="204" spans="1:31" x14ac:dyDescent="0.25">
      <c r="A204" s="280"/>
      <c r="B204" s="331">
        <f>Crop!B240</f>
        <v>41831</v>
      </c>
      <c r="C204" s="332">
        <f t="shared" si="20"/>
        <v>270</v>
      </c>
      <c r="D204" s="332">
        <f t="shared" si="21"/>
        <v>0</v>
      </c>
      <c r="E204" s="332">
        <f t="shared" si="22"/>
        <v>135</v>
      </c>
      <c r="F204" s="332">
        <f t="shared" si="23"/>
        <v>135</v>
      </c>
      <c r="G204" s="241"/>
      <c r="H204" s="241"/>
      <c r="I204" s="241"/>
      <c r="J204" s="241"/>
      <c r="K204" s="289"/>
      <c r="L204" s="289"/>
      <c r="M204" s="241"/>
      <c r="N204" s="241"/>
      <c r="O204" s="241"/>
      <c r="P204" s="241"/>
      <c r="Q204" s="241"/>
      <c r="R204" s="241"/>
      <c r="S204" s="241"/>
      <c r="T204" s="241"/>
      <c r="U204" s="241"/>
      <c r="V204" s="241"/>
      <c r="W204" s="241"/>
      <c r="X204" s="241"/>
      <c r="Y204" s="241"/>
      <c r="Z204" s="241"/>
      <c r="AA204" s="241"/>
      <c r="AB204" s="290">
        <f t="shared" si="16"/>
        <v>270</v>
      </c>
      <c r="AC204" s="290">
        <f t="shared" si="17"/>
        <v>0</v>
      </c>
      <c r="AD204" s="290">
        <f t="shared" si="18"/>
        <v>135</v>
      </c>
      <c r="AE204" s="290">
        <f t="shared" si="19"/>
        <v>135</v>
      </c>
    </row>
    <row r="205" spans="1:31" x14ac:dyDescent="0.25">
      <c r="A205" s="280"/>
      <c r="B205" s="331">
        <f>Crop!B241</f>
        <v>41832</v>
      </c>
      <c r="C205" s="332">
        <f t="shared" si="20"/>
        <v>270</v>
      </c>
      <c r="D205" s="332">
        <f t="shared" si="21"/>
        <v>0</v>
      </c>
      <c r="E205" s="332">
        <f t="shared" si="22"/>
        <v>135</v>
      </c>
      <c r="F205" s="332">
        <f t="shared" si="23"/>
        <v>135</v>
      </c>
      <c r="G205" s="241"/>
      <c r="H205" s="241"/>
      <c r="I205" s="241"/>
      <c r="J205" s="241"/>
      <c r="K205" s="289"/>
      <c r="L205" s="289"/>
      <c r="M205" s="241"/>
      <c r="N205" s="241"/>
      <c r="O205" s="241"/>
      <c r="P205" s="241"/>
      <c r="Q205" s="241"/>
      <c r="R205" s="241"/>
      <c r="S205" s="241"/>
      <c r="T205" s="241"/>
      <c r="U205" s="241"/>
      <c r="V205" s="241"/>
      <c r="W205" s="241"/>
      <c r="X205" s="241"/>
      <c r="Y205" s="241"/>
      <c r="Z205" s="241"/>
      <c r="AA205" s="241"/>
      <c r="AB205" s="290">
        <f t="shared" ref="AB205:AB268" si="24">IF(C205="",#N/A,C205)</f>
        <v>270</v>
      </c>
      <c r="AC205" s="290">
        <f t="shared" ref="AC205:AC268" si="25">IF(D205="",#N/A,D205)</f>
        <v>0</v>
      </c>
      <c r="AD205" s="290">
        <f t="shared" ref="AD205:AD268" si="26">IF(E205="",#N/A,E205)</f>
        <v>135</v>
      </c>
      <c r="AE205" s="290">
        <f t="shared" ref="AE205:AE268" si="27">IF(F205="",#N/A,F205)</f>
        <v>135</v>
      </c>
    </row>
    <row r="206" spans="1:31" x14ac:dyDescent="0.25">
      <c r="A206" s="280"/>
      <c r="B206" s="331">
        <f>Crop!B242</f>
        <v>41833</v>
      </c>
      <c r="C206" s="332">
        <f t="shared" ref="C206:C269" si="28">G$8</f>
        <v>270</v>
      </c>
      <c r="D206" s="332">
        <f t="shared" ref="D206:D269" si="29">IF(B206=B$6,AC$6,IF(B206&gt;B$10,"",IF(B206&gt;=B$9,D205+AD$9,IF(B206&gt;B$8,D205+AD$8,IF(B206&gt;B$7,D205+AD$7,IF(B206&gt;B$6,AC$6,""))))))</f>
        <v>0</v>
      </c>
      <c r="E206" s="332">
        <f t="shared" ref="E206:E269" si="30">IF($B206&lt;B$6,150*F$8,IF($B206=$B$6,L$6,IF($B206&gt;$B$10,150*F$8,IF($B206&gt;=$B$9,E205+AB$9,IF($B206&gt;$B$8,E205+AB$8,IF($B206&gt;$B$7,E205+AB$7,IF($B206&gt;$B$6,L$6,"")))))))</f>
        <v>135</v>
      </c>
      <c r="F206" s="332">
        <f t="shared" si="23"/>
        <v>135</v>
      </c>
      <c r="G206" s="241"/>
      <c r="H206" s="241"/>
      <c r="I206" s="241"/>
      <c r="J206" s="241"/>
      <c r="K206" s="289"/>
      <c r="L206" s="289"/>
      <c r="M206" s="241"/>
      <c r="N206" s="241"/>
      <c r="O206" s="241"/>
      <c r="P206" s="241"/>
      <c r="Q206" s="241"/>
      <c r="R206" s="241"/>
      <c r="S206" s="241"/>
      <c r="T206" s="241"/>
      <c r="U206" s="241"/>
      <c r="V206" s="241"/>
      <c r="W206" s="241"/>
      <c r="X206" s="241"/>
      <c r="Y206" s="241"/>
      <c r="Z206" s="241"/>
      <c r="AA206" s="241"/>
      <c r="AB206" s="290">
        <f t="shared" si="24"/>
        <v>270</v>
      </c>
      <c r="AC206" s="290">
        <f t="shared" si="25"/>
        <v>0</v>
      </c>
      <c r="AD206" s="290">
        <f t="shared" si="26"/>
        <v>135</v>
      </c>
      <c r="AE206" s="290">
        <f t="shared" si="27"/>
        <v>135</v>
      </c>
    </row>
    <row r="207" spans="1:31" x14ac:dyDescent="0.25">
      <c r="A207" s="280"/>
      <c r="B207" s="331">
        <f>Crop!B243</f>
        <v>41834</v>
      </c>
      <c r="C207" s="332">
        <f t="shared" si="28"/>
        <v>270</v>
      </c>
      <c r="D207" s="332">
        <f t="shared" si="29"/>
        <v>0</v>
      </c>
      <c r="E207" s="332">
        <f t="shared" si="30"/>
        <v>135</v>
      </c>
      <c r="F207" s="332">
        <f t="shared" ref="F207:F270" si="31">IF(C207="","",C207-E207)</f>
        <v>135</v>
      </c>
      <c r="G207" s="241"/>
      <c r="H207" s="241"/>
      <c r="I207" s="241"/>
      <c r="J207" s="241"/>
      <c r="K207" s="289"/>
      <c r="L207" s="289"/>
      <c r="M207" s="241"/>
      <c r="N207" s="241"/>
      <c r="O207" s="241"/>
      <c r="P207" s="241"/>
      <c r="Q207" s="241"/>
      <c r="R207" s="241"/>
      <c r="S207" s="241"/>
      <c r="T207" s="241"/>
      <c r="U207" s="241"/>
      <c r="V207" s="241"/>
      <c r="W207" s="241"/>
      <c r="X207" s="241"/>
      <c r="Y207" s="241"/>
      <c r="Z207" s="241"/>
      <c r="AA207" s="241"/>
      <c r="AB207" s="290">
        <f t="shared" si="24"/>
        <v>270</v>
      </c>
      <c r="AC207" s="290">
        <f t="shared" si="25"/>
        <v>0</v>
      </c>
      <c r="AD207" s="290">
        <f t="shared" si="26"/>
        <v>135</v>
      </c>
      <c r="AE207" s="290">
        <f t="shared" si="27"/>
        <v>135</v>
      </c>
    </row>
    <row r="208" spans="1:31" x14ac:dyDescent="0.25">
      <c r="A208" s="280"/>
      <c r="B208" s="331">
        <f>Crop!B244</f>
        <v>41835</v>
      </c>
      <c r="C208" s="332">
        <f t="shared" si="28"/>
        <v>270</v>
      </c>
      <c r="D208" s="332">
        <f t="shared" si="29"/>
        <v>0</v>
      </c>
      <c r="E208" s="332">
        <f t="shared" si="30"/>
        <v>135</v>
      </c>
      <c r="F208" s="332">
        <f t="shared" si="31"/>
        <v>135</v>
      </c>
      <c r="G208" s="241"/>
      <c r="H208" s="241"/>
      <c r="I208" s="241"/>
      <c r="J208" s="241"/>
      <c r="K208" s="289"/>
      <c r="L208" s="289"/>
      <c r="M208" s="241"/>
      <c r="N208" s="241"/>
      <c r="O208" s="241"/>
      <c r="P208" s="241"/>
      <c r="Q208" s="241"/>
      <c r="R208" s="241"/>
      <c r="S208" s="241"/>
      <c r="T208" s="241"/>
      <c r="U208" s="241"/>
      <c r="V208" s="241"/>
      <c r="W208" s="241"/>
      <c r="X208" s="241"/>
      <c r="Y208" s="241"/>
      <c r="Z208" s="241"/>
      <c r="AA208" s="241"/>
      <c r="AB208" s="290">
        <f t="shared" si="24"/>
        <v>270</v>
      </c>
      <c r="AC208" s="290">
        <f t="shared" si="25"/>
        <v>0</v>
      </c>
      <c r="AD208" s="290">
        <f t="shared" si="26"/>
        <v>135</v>
      </c>
      <c r="AE208" s="290">
        <f t="shared" si="27"/>
        <v>135</v>
      </c>
    </row>
    <row r="209" spans="1:31" x14ac:dyDescent="0.25">
      <c r="A209" s="280"/>
      <c r="B209" s="331">
        <f>Crop!B245</f>
        <v>41836</v>
      </c>
      <c r="C209" s="332">
        <f t="shared" si="28"/>
        <v>270</v>
      </c>
      <c r="D209" s="332">
        <f t="shared" si="29"/>
        <v>0</v>
      </c>
      <c r="E209" s="332">
        <f t="shared" si="30"/>
        <v>135</v>
      </c>
      <c r="F209" s="332">
        <f t="shared" si="31"/>
        <v>135</v>
      </c>
      <c r="G209" s="241"/>
      <c r="H209" s="241"/>
      <c r="I209" s="241"/>
      <c r="J209" s="241"/>
      <c r="K209" s="289"/>
      <c r="L209" s="289"/>
      <c r="M209" s="241"/>
      <c r="N209" s="241"/>
      <c r="O209" s="241"/>
      <c r="P209" s="241"/>
      <c r="Q209" s="241"/>
      <c r="R209" s="241"/>
      <c r="S209" s="241"/>
      <c r="T209" s="241"/>
      <c r="U209" s="241"/>
      <c r="V209" s="241"/>
      <c r="W209" s="241"/>
      <c r="X209" s="241"/>
      <c r="Y209" s="241"/>
      <c r="Z209" s="241"/>
      <c r="AA209" s="241"/>
      <c r="AB209" s="290">
        <f t="shared" si="24"/>
        <v>270</v>
      </c>
      <c r="AC209" s="290">
        <f t="shared" si="25"/>
        <v>0</v>
      </c>
      <c r="AD209" s="290">
        <f t="shared" si="26"/>
        <v>135</v>
      </c>
      <c r="AE209" s="290">
        <f t="shared" si="27"/>
        <v>135</v>
      </c>
    </row>
    <row r="210" spans="1:31" x14ac:dyDescent="0.25">
      <c r="A210" s="280"/>
      <c r="B210" s="331">
        <f>Crop!B246</f>
        <v>41837</v>
      </c>
      <c r="C210" s="332">
        <f t="shared" si="28"/>
        <v>270</v>
      </c>
      <c r="D210" s="332">
        <f t="shared" si="29"/>
        <v>0</v>
      </c>
      <c r="E210" s="332">
        <f t="shared" si="30"/>
        <v>135</v>
      </c>
      <c r="F210" s="332">
        <f t="shared" si="31"/>
        <v>135</v>
      </c>
      <c r="G210" s="241"/>
      <c r="H210" s="241"/>
      <c r="I210" s="241"/>
      <c r="J210" s="241"/>
      <c r="K210" s="289"/>
      <c r="L210" s="289"/>
      <c r="M210" s="241"/>
      <c r="N210" s="241"/>
      <c r="O210" s="241"/>
      <c r="P210" s="241"/>
      <c r="Q210" s="241"/>
      <c r="R210" s="241"/>
      <c r="S210" s="241"/>
      <c r="T210" s="241"/>
      <c r="U210" s="241"/>
      <c r="V210" s="241"/>
      <c r="W210" s="241"/>
      <c r="X210" s="241"/>
      <c r="Y210" s="241"/>
      <c r="Z210" s="241"/>
      <c r="AA210" s="241"/>
      <c r="AB210" s="290">
        <f t="shared" si="24"/>
        <v>270</v>
      </c>
      <c r="AC210" s="290">
        <f t="shared" si="25"/>
        <v>0</v>
      </c>
      <c r="AD210" s="290">
        <f t="shared" si="26"/>
        <v>135</v>
      </c>
      <c r="AE210" s="290">
        <f t="shared" si="27"/>
        <v>135</v>
      </c>
    </row>
    <row r="211" spans="1:31" x14ac:dyDescent="0.25">
      <c r="A211" s="280"/>
      <c r="B211" s="331">
        <f>Crop!B247</f>
        <v>41838</v>
      </c>
      <c r="C211" s="332">
        <f t="shared" si="28"/>
        <v>270</v>
      </c>
      <c r="D211" s="332">
        <f t="shared" si="29"/>
        <v>0</v>
      </c>
      <c r="E211" s="332">
        <f t="shared" si="30"/>
        <v>135</v>
      </c>
      <c r="F211" s="332">
        <f t="shared" si="31"/>
        <v>135</v>
      </c>
      <c r="G211" s="241"/>
      <c r="H211" s="241"/>
      <c r="I211" s="241"/>
      <c r="J211" s="241"/>
      <c r="K211" s="289"/>
      <c r="L211" s="289"/>
      <c r="M211" s="241"/>
      <c r="N211" s="241"/>
      <c r="O211" s="241"/>
      <c r="P211" s="241"/>
      <c r="Q211" s="241"/>
      <c r="R211" s="241"/>
      <c r="S211" s="241"/>
      <c r="T211" s="241"/>
      <c r="U211" s="241"/>
      <c r="V211" s="241"/>
      <c r="W211" s="241"/>
      <c r="X211" s="241"/>
      <c r="Y211" s="241"/>
      <c r="Z211" s="241"/>
      <c r="AA211" s="241"/>
      <c r="AB211" s="290">
        <f t="shared" si="24"/>
        <v>270</v>
      </c>
      <c r="AC211" s="290">
        <f t="shared" si="25"/>
        <v>0</v>
      </c>
      <c r="AD211" s="290">
        <f t="shared" si="26"/>
        <v>135</v>
      </c>
      <c r="AE211" s="290">
        <f t="shared" si="27"/>
        <v>135</v>
      </c>
    </row>
    <row r="212" spans="1:31" x14ac:dyDescent="0.25">
      <c r="A212" s="280"/>
      <c r="B212" s="331">
        <f>Crop!B248</f>
        <v>41839</v>
      </c>
      <c r="C212" s="332">
        <f t="shared" si="28"/>
        <v>270</v>
      </c>
      <c r="D212" s="332">
        <f t="shared" si="29"/>
        <v>0</v>
      </c>
      <c r="E212" s="332">
        <f t="shared" si="30"/>
        <v>135</v>
      </c>
      <c r="F212" s="332">
        <f t="shared" si="31"/>
        <v>135</v>
      </c>
      <c r="G212" s="241"/>
      <c r="H212" s="241"/>
      <c r="I212" s="241"/>
      <c r="J212" s="241"/>
      <c r="K212" s="289"/>
      <c r="L212" s="289"/>
      <c r="M212" s="241"/>
      <c r="N212" s="241"/>
      <c r="O212" s="241"/>
      <c r="P212" s="241"/>
      <c r="Q212" s="241"/>
      <c r="R212" s="241"/>
      <c r="S212" s="241"/>
      <c r="T212" s="241"/>
      <c r="U212" s="241"/>
      <c r="V212" s="241"/>
      <c r="W212" s="241"/>
      <c r="X212" s="241"/>
      <c r="Y212" s="241"/>
      <c r="Z212" s="241"/>
      <c r="AA212" s="241"/>
      <c r="AB212" s="290">
        <f t="shared" si="24"/>
        <v>270</v>
      </c>
      <c r="AC212" s="290">
        <f t="shared" si="25"/>
        <v>0</v>
      </c>
      <c r="AD212" s="290">
        <f t="shared" si="26"/>
        <v>135</v>
      </c>
      <c r="AE212" s="290">
        <f t="shared" si="27"/>
        <v>135</v>
      </c>
    </row>
    <row r="213" spans="1:31" x14ac:dyDescent="0.25">
      <c r="A213" s="280"/>
      <c r="B213" s="331">
        <f>Crop!B249</f>
        <v>41840</v>
      </c>
      <c r="C213" s="332">
        <f t="shared" si="28"/>
        <v>270</v>
      </c>
      <c r="D213" s="332">
        <f t="shared" si="29"/>
        <v>0</v>
      </c>
      <c r="E213" s="332">
        <f t="shared" si="30"/>
        <v>135</v>
      </c>
      <c r="F213" s="332">
        <f t="shared" si="31"/>
        <v>135</v>
      </c>
      <c r="G213" s="241"/>
      <c r="H213" s="241"/>
      <c r="I213" s="241"/>
      <c r="J213" s="241"/>
      <c r="K213" s="289"/>
      <c r="L213" s="289"/>
      <c r="M213" s="241"/>
      <c r="N213" s="241"/>
      <c r="O213" s="241"/>
      <c r="P213" s="241"/>
      <c r="Q213" s="241"/>
      <c r="R213" s="241"/>
      <c r="S213" s="241"/>
      <c r="T213" s="241"/>
      <c r="U213" s="241"/>
      <c r="V213" s="241"/>
      <c r="W213" s="241"/>
      <c r="X213" s="241"/>
      <c r="Y213" s="241"/>
      <c r="Z213" s="241"/>
      <c r="AA213" s="241"/>
      <c r="AB213" s="290">
        <f t="shared" si="24"/>
        <v>270</v>
      </c>
      <c r="AC213" s="290">
        <f t="shared" si="25"/>
        <v>0</v>
      </c>
      <c r="AD213" s="290">
        <f t="shared" si="26"/>
        <v>135</v>
      </c>
      <c r="AE213" s="290">
        <f t="shared" si="27"/>
        <v>135</v>
      </c>
    </row>
    <row r="214" spans="1:31" x14ac:dyDescent="0.25">
      <c r="A214" s="280"/>
      <c r="B214" s="331">
        <f>Crop!B250</f>
        <v>41841</v>
      </c>
      <c r="C214" s="332">
        <f t="shared" si="28"/>
        <v>270</v>
      </c>
      <c r="D214" s="332">
        <f t="shared" si="29"/>
        <v>0</v>
      </c>
      <c r="E214" s="332">
        <f t="shared" si="30"/>
        <v>135</v>
      </c>
      <c r="F214" s="332">
        <f t="shared" si="31"/>
        <v>135</v>
      </c>
      <c r="G214" s="241"/>
      <c r="H214" s="241"/>
      <c r="I214" s="241"/>
      <c r="J214" s="241"/>
      <c r="K214" s="289"/>
      <c r="L214" s="289"/>
      <c r="M214" s="241"/>
      <c r="N214" s="241"/>
      <c r="O214" s="241"/>
      <c r="P214" s="241"/>
      <c r="Q214" s="241"/>
      <c r="R214" s="241"/>
      <c r="S214" s="241"/>
      <c r="T214" s="241"/>
      <c r="U214" s="241"/>
      <c r="V214" s="241"/>
      <c r="W214" s="241"/>
      <c r="X214" s="241"/>
      <c r="Y214" s="241"/>
      <c r="Z214" s="241"/>
      <c r="AA214" s="241"/>
      <c r="AB214" s="290">
        <f t="shared" si="24"/>
        <v>270</v>
      </c>
      <c r="AC214" s="290">
        <f t="shared" si="25"/>
        <v>0</v>
      </c>
      <c r="AD214" s="290">
        <f t="shared" si="26"/>
        <v>135</v>
      </c>
      <c r="AE214" s="290">
        <f t="shared" si="27"/>
        <v>135</v>
      </c>
    </row>
    <row r="215" spans="1:31" x14ac:dyDescent="0.25">
      <c r="A215" s="280"/>
      <c r="B215" s="331">
        <f>Crop!B251</f>
        <v>41842</v>
      </c>
      <c r="C215" s="332">
        <f t="shared" si="28"/>
        <v>270</v>
      </c>
      <c r="D215" s="332">
        <f t="shared" si="29"/>
        <v>0</v>
      </c>
      <c r="E215" s="332">
        <f t="shared" si="30"/>
        <v>135</v>
      </c>
      <c r="F215" s="332">
        <f t="shared" si="31"/>
        <v>135</v>
      </c>
      <c r="G215" s="241"/>
      <c r="H215" s="241"/>
      <c r="I215" s="241"/>
      <c r="J215" s="241"/>
      <c r="K215" s="289"/>
      <c r="L215" s="289"/>
      <c r="M215" s="241"/>
      <c r="N215" s="241"/>
      <c r="O215" s="241"/>
      <c r="P215" s="241"/>
      <c r="Q215" s="241"/>
      <c r="R215" s="241"/>
      <c r="S215" s="241"/>
      <c r="T215" s="241"/>
      <c r="U215" s="241"/>
      <c r="V215" s="241"/>
      <c r="W215" s="241"/>
      <c r="X215" s="241"/>
      <c r="Y215" s="241"/>
      <c r="Z215" s="241"/>
      <c r="AA215" s="241"/>
      <c r="AB215" s="290">
        <f t="shared" si="24"/>
        <v>270</v>
      </c>
      <c r="AC215" s="290">
        <f t="shared" si="25"/>
        <v>0</v>
      </c>
      <c r="AD215" s="290">
        <f t="shared" si="26"/>
        <v>135</v>
      </c>
      <c r="AE215" s="290">
        <f t="shared" si="27"/>
        <v>135</v>
      </c>
    </row>
    <row r="216" spans="1:31" x14ac:dyDescent="0.25">
      <c r="A216" s="280"/>
      <c r="B216" s="331">
        <f>Crop!B252</f>
        <v>41843</v>
      </c>
      <c r="C216" s="332">
        <f t="shared" si="28"/>
        <v>270</v>
      </c>
      <c r="D216" s="332">
        <f t="shared" si="29"/>
        <v>0</v>
      </c>
      <c r="E216" s="332">
        <f t="shared" si="30"/>
        <v>135</v>
      </c>
      <c r="F216" s="332">
        <f t="shared" si="31"/>
        <v>135</v>
      </c>
      <c r="G216" s="241"/>
      <c r="H216" s="241"/>
      <c r="I216" s="241"/>
      <c r="J216" s="241"/>
      <c r="K216" s="289"/>
      <c r="L216" s="289"/>
      <c r="M216" s="241"/>
      <c r="N216" s="241"/>
      <c r="O216" s="241"/>
      <c r="P216" s="241"/>
      <c r="Q216" s="241"/>
      <c r="R216" s="241"/>
      <c r="S216" s="241"/>
      <c r="T216" s="241"/>
      <c r="U216" s="241"/>
      <c r="V216" s="241"/>
      <c r="W216" s="241"/>
      <c r="X216" s="241"/>
      <c r="Y216" s="241"/>
      <c r="Z216" s="241"/>
      <c r="AA216" s="241"/>
      <c r="AB216" s="290">
        <f t="shared" si="24"/>
        <v>270</v>
      </c>
      <c r="AC216" s="290">
        <f t="shared" si="25"/>
        <v>0</v>
      </c>
      <c r="AD216" s="290">
        <f t="shared" si="26"/>
        <v>135</v>
      </c>
      <c r="AE216" s="290">
        <f t="shared" si="27"/>
        <v>135</v>
      </c>
    </row>
    <row r="217" spans="1:31" x14ac:dyDescent="0.25">
      <c r="A217" s="280"/>
      <c r="B217" s="331">
        <f>Crop!B253</f>
        <v>41844</v>
      </c>
      <c r="C217" s="332">
        <f t="shared" si="28"/>
        <v>270</v>
      </c>
      <c r="D217" s="332">
        <f t="shared" si="29"/>
        <v>0</v>
      </c>
      <c r="E217" s="332">
        <f t="shared" si="30"/>
        <v>135</v>
      </c>
      <c r="F217" s="332">
        <f t="shared" si="31"/>
        <v>135</v>
      </c>
      <c r="G217" s="241"/>
      <c r="H217" s="241"/>
      <c r="I217" s="241"/>
      <c r="J217" s="241"/>
      <c r="K217" s="289"/>
      <c r="L217" s="289"/>
      <c r="M217" s="241"/>
      <c r="N217" s="241"/>
      <c r="O217" s="241"/>
      <c r="P217" s="241"/>
      <c r="Q217" s="241"/>
      <c r="R217" s="241"/>
      <c r="S217" s="241"/>
      <c r="T217" s="241"/>
      <c r="U217" s="241"/>
      <c r="V217" s="241"/>
      <c r="W217" s="241"/>
      <c r="X217" s="241"/>
      <c r="Y217" s="241"/>
      <c r="Z217" s="241"/>
      <c r="AA217" s="241"/>
      <c r="AB217" s="290">
        <f t="shared" si="24"/>
        <v>270</v>
      </c>
      <c r="AC217" s="290">
        <f t="shared" si="25"/>
        <v>0</v>
      </c>
      <c r="AD217" s="290">
        <f t="shared" si="26"/>
        <v>135</v>
      </c>
      <c r="AE217" s="290">
        <f t="shared" si="27"/>
        <v>135</v>
      </c>
    </row>
    <row r="218" spans="1:31" x14ac:dyDescent="0.25">
      <c r="A218" s="280"/>
      <c r="B218" s="331">
        <f>Crop!B254</f>
        <v>41845</v>
      </c>
      <c r="C218" s="332">
        <f t="shared" si="28"/>
        <v>270</v>
      </c>
      <c r="D218" s="332">
        <f t="shared" si="29"/>
        <v>0</v>
      </c>
      <c r="E218" s="332">
        <f t="shared" si="30"/>
        <v>135</v>
      </c>
      <c r="F218" s="332">
        <f t="shared" si="31"/>
        <v>135</v>
      </c>
      <c r="G218" s="241"/>
      <c r="H218" s="241"/>
      <c r="I218" s="241"/>
      <c r="J218" s="241"/>
      <c r="K218" s="289"/>
      <c r="L218" s="289"/>
      <c r="M218" s="241"/>
      <c r="N218" s="241"/>
      <c r="O218" s="241"/>
      <c r="P218" s="241"/>
      <c r="Q218" s="241"/>
      <c r="R218" s="241"/>
      <c r="S218" s="241"/>
      <c r="T218" s="241"/>
      <c r="U218" s="241"/>
      <c r="V218" s="241"/>
      <c r="W218" s="241"/>
      <c r="X218" s="241"/>
      <c r="Y218" s="241"/>
      <c r="Z218" s="241"/>
      <c r="AA218" s="241"/>
      <c r="AB218" s="290">
        <f t="shared" si="24"/>
        <v>270</v>
      </c>
      <c r="AC218" s="290">
        <f t="shared" si="25"/>
        <v>0</v>
      </c>
      <c r="AD218" s="290">
        <f t="shared" si="26"/>
        <v>135</v>
      </c>
      <c r="AE218" s="290">
        <f t="shared" si="27"/>
        <v>135</v>
      </c>
    </row>
    <row r="219" spans="1:31" x14ac:dyDescent="0.25">
      <c r="A219" s="280"/>
      <c r="B219" s="331">
        <f>Crop!B255</f>
        <v>41846</v>
      </c>
      <c r="C219" s="332">
        <f t="shared" si="28"/>
        <v>270</v>
      </c>
      <c r="D219" s="332">
        <f t="shared" si="29"/>
        <v>0</v>
      </c>
      <c r="E219" s="332">
        <f t="shared" si="30"/>
        <v>135</v>
      </c>
      <c r="F219" s="332">
        <f t="shared" si="31"/>
        <v>135</v>
      </c>
      <c r="G219" s="241"/>
      <c r="H219" s="241"/>
      <c r="I219" s="241"/>
      <c r="J219" s="241"/>
      <c r="K219" s="289"/>
      <c r="L219" s="289"/>
      <c r="M219" s="241"/>
      <c r="N219" s="241"/>
      <c r="O219" s="241"/>
      <c r="P219" s="241"/>
      <c r="Q219" s="241"/>
      <c r="R219" s="241"/>
      <c r="S219" s="241"/>
      <c r="T219" s="241"/>
      <c r="U219" s="241"/>
      <c r="V219" s="241"/>
      <c r="W219" s="241"/>
      <c r="X219" s="241"/>
      <c r="Y219" s="241"/>
      <c r="Z219" s="241"/>
      <c r="AA219" s="241"/>
      <c r="AB219" s="290">
        <f t="shared" si="24"/>
        <v>270</v>
      </c>
      <c r="AC219" s="290">
        <f t="shared" si="25"/>
        <v>0</v>
      </c>
      <c r="AD219" s="290">
        <f t="shared" si="26"/>
        <v>135</v>
      </c>
      <c r="AE219" s="290">
        <f t="shared" si="27"/>
        <v>135</v>
      </c>
    </row>
    <row r="220" spans="1:31" x14ac:dyDescent="0.25">
      <c r="A220" s="280"/>
      <c r="B220" s="331">
        <f>Crop!B256</f>
        <v>41847</v>
      </c>
      <c r="C220" s="332">
        <f t="shared" si="28"/>
        <v>270</v>
      </c>
      <c r="D220" s="332">
        <f t="shared" si="29"/>
        <v>0</v>
      </c>
      <c r="E220" s="332">
        <f t="shared" si="30"/>
        <v>135</v>
      </c>
      <c r="F220" s="332">
        <f t="shared" si="31"/>
        <v>135</v>
      </c>
      <c r="G220" s="241"/>
      <c r="H220" s="241"/>
      <c r="I220" s="241"/>
      <c r="J220" s="241"/>
      <c r="K220" s="289"/>
      <c r="L220" s="289"/>
      <c r="M220" s="241"/>
      <c r="N220" s="241"/>
      <c r="O220" s="241"/>
      <c r="P220" s="241"/>
      <c r="Q220" s="241"/>
      <c r="R220" s="241"/>
      <c r="S220" s="241"/>
      <c r="T220" s="241"/>
      <c r="U220" s="241"/>
      <c r="V220" s="241"/>
      <c r="W220" s="241"/>
      <c r="X220" s="241"/>
      <c r="Y220" s="241"/>
      <c r="Z220" s="241"/>
      <c r="AA220" s="241"/>
      <c r="AB220" s="290">
        <f t="shared" si="24"/>
        <v>270</v>
      </c>
      <c r="AC220" s="290">
        <f t="shared" si="25"/>
        <v>0</v>
      </c>
      <c r="AD220" s="290">
        <f t="shared" si="26"/>
        <v>135</v>
      </c>
      <c r="AE220" s="290">
        <f t="shared" si="27"/>
        <v>135</v>
      </c>
    </row>
    <row r="221" spans="1:31" x14ac:dyDescent="0.25">
      <c r="A221" s="280"/>
      <c r="B221" s="331">
        <f>Crop!B257</f>
        <v>41848</v>
      </c>
      <c r="C221" s="332">
        <f t="shared" si="28"/>
        <v>270</v>
      </c>
      <c r="D221" s="332">
        <f t="shared" si="29"/>
        <v>0</v>
      </c>
      <c r="E221" s="332">
        <f t="shared" si="30"/>
        <v>135</v>
      </c>
      <c r="F221" s="332">
        <f t="shared" si="31"/>
        <v>135</v>
      </c>
      <c r="G221" s="241"/>
      <c r="H221" s="241"/>
      <c r="I221" s="241"/>
      <c r="J221" s="241"/>
      <c r="K221" s="289"/>
      <c r="L221" s="289"/>
      <c r="M221" s="241"/>
      <c r="N221" s="241"/>
      <c r="O221" s="241"/>
      <c r="P221" s="241"/>
      <c r="Q221" s="241"/>
      <c r="R221" s="241"/>
      <c r="S221" s="241"/>
      <c r="T221" s="241"/>
      <c r="U221" s="241"/>
      <c r="V221" s="241"/>
      <c r="W221" s="241"/>
      <c r="X221" s="241"/>
      <c r="Y221" s="241"/>
      <c r="Z221" s="241"/>
      <c r="AA221" s="241"/>
      <c r="AB221" s="290">
        <f t="shared" si="24"/>
        <v>270</v>
      </c>
      <c r="AC221" s="290">
        <f t="shared" si="25"/>
        <v>0</v>
      </c>
      <c r="AD221" s="290">
        <f t="shared" si="26"/>
        <v>135</v>
      </c>
      <c r="AE221" s="290">
        <f t="shared" si="27"/>
        <v>135</v>
      </c>
    </row>
    <row r="222" spans="1:31" x14ac:dyDescent="0.25">
      <c r="A222" s="280"/>
      <c r="B222" s="331">
        <f>Crop!B258</f>
        <v>41849</v>
      </c>
      <c r="C222" s="332">
        <f t="shared" si="28"/>
        <v>270</v>
      </c>
      <c r="D222" s="332">
        <f t="shared" si="29"/>
        <v>0</v>
      </c>
      <c r="E222" s="332">
        <f t="shared" si="30"/>
        <v>135</v>
      </c>
      <c r="F222" s="332">
        <f t="shared" si="31"/>
        <v>135</v>
      </c>
      <c r="G222" s="241"/>
      <c r="H222" s="241"/>
      <c r="I222" s="241"/>
      <c r="J222" s="241"/>
      <c r="K222" s="289"/>
      <c r="L222" s="289"/>
      <c r="M222" s="241"/>
      <c r="N222" s="241"/>
      <c r="O222" s="241"/>
      <c r="P222" s="241"/>
      <c r="Q222" s="241"/>
      <c r="R222" s="241"/>
      <c r="S222" s="241"/>
      <c r="T222" s="241"/>
      <c r="U222" s="241"/>
      <c r="V222" s="241"/>
      <c r="W222" s="241"/>
      <c r="X222" s="241"/>
      <c r="Y222" s="241"/>
      <c r="Z222" s="241"/>
      <c r="AA222" s="241"/>
      <c r="AB222" s="290">
        <f t="shared" si="24"/>
        <v>270</v>
      </c>
      <c r="AC222" s="290">
        <f t="shared" si="25"/>
        <v>0</v>
      </c>
      <c r="AD222" s="290">
        <f t="shared" si="26"/>
        <v>135</v>
      </c>
      <c r="AE222" s="290">
        <f t="shared" si="27"/>
        <v>135</v>
      </c>
    </row>
    <row r="223" spans="1:31" x14ac:dyDescent="0.25">
      <c r="A223" s="280"/>
      <c r="B223" s="331">
        <f>Crop!B259</f>
        <v>41850</v>
      </c>
      <c r="C223" s="332">
        <f t="shared" si="28"/>
        <v>270</v>
      </c>
      <c r="D223" s="332">
        <f t="shared" si="29"/>
        <v>0</v>
      </c>
      <c r="E223" s="332">
        <f t="shared" si="30"/>
        <v>135</v>
      </c>
      <c r="F223" s="332">
        <f t="shared" si="31"/>
        <v>135</v>
      </c>
      <c r="G223" s="241"/>
      <c r="H223" s="241"/>
      <c r="I223" s="241"/>
      <c r="J223" s="241"/>
      <c r="K223" s="289"/>
      <c r="L223" s="289"/>
      <c r="M223" s="241"/>
      <c r="N223" s="241"/>
      <c r="O223" s="241"/>
      <c r="P223" s="241"/>
      <c r="Q223" s="241"/>
      <c r="R223" s="241"/>
      <c r="S223" s="241"/>
      <c r="T223" s="241"/>
      <c r="U223" s="241"/>
      <c r="V223" s="241"/>
      <c r="W223" s="241"/>
      <c r="X223" s="241"/>
      <c r="Y223" s="241"/>
      <c r="Z223" s="241"/>
      <c r="AA223" s="241"/>
      <c r="AB223" s="290">
        <f t="shared" si="24"/>
        <v>270</v>
      </c>
      <c r="AC223" s="290">
        <f t="shared" si="25"/>
        <v>0</v>
      </c>
      <c r="AD223" s="290">
        <f t="shared" si="26"/>
        <v>135</v>
      </c>
      <c r="AE223" s="290">
        <f t="shared" si="27"/>
        <v>135</v>
      </c>
    </row>
    <row r="224" spans="1:31" x14ac:dyDescent="0.25">
      <c r="A224" s="280"/>
      <c r="B224" s="331">
        <f>Crop!B260</f>
        <v>41851</v>
      </c>
      <c r="C224" s="332">
        <f t="shared" si="28"/>
        <v>270</v>
      </c>
      <c r="D224" s="332">
        <f t="shared" si="29"/>
        <v>0</v>
      </c>
      <c r="E224" s="332">
        <f t="shared" si="30"/>
        <v>135</v>
      </c>
      <c r="F224" s="332">
        <f t="shared" si="31"/>
        <v>135</v>
      </c>
      <c r="G224" s="241"/>
      <c r="H224" s="241"/>
      <c r="I224" s="241"/>
      <c r="J224" s="241"/>
      <c r="K224" s="289"/>
      <c r="L224" s="289"/>
      <c r="M224" s="241"/>
      <c r="N224" s="241"/>
      <c r="O224" s="241"/>
      <c r="P224" s="241"/>
      <c r="Q224" s="241"/>
      <c r="R224" s="241"/>
      <c r="S224" s="241"/>
      <c r="T224" s="241"/>
      <c r="U224" s="241"/>
      <c r="V224" s="241"/>
      <c r="W224" s="241"/>
      <c r="X224" s="241"/>
      <c r="Y224" s="241"/>
      <c r="Z224" s="241"/>
      <c r="AA224" s="241"/>
      <c r="AB224" s="290">
        <f t="shared" si="24"/>
        <v>270</v>
      </c>
      <c r="AC224" s="290">
        <f t="shared" si="25"/>
        <v>0</v>
      </c>
      <c r="AD224" s="290">
        <f t="shared" si="26"/>
        <v>135</v>
      </c>
      <c r="AE224" s="290">
        <f t="shared" si="27"/>
        <v>135</v>
      </c>
    </row>
    <row r="225" spans="1:31" x14ac:dyDescent="0.25">
      <c r="A225" s="280"/>
      <c r="B225" s="331">
        <f>Crop!B261</f>
        <v>41852</v>
      </c>
      <c r="C225" s="332">
        <f t="shared" si="28"/>
        <v>270</v>
      </c>
      <c r="D225" s="332">
        <f t="shared" si="29"/>
        <v>0</v>
      </c>
      <c r="E225" s="332">
        <f t="shared" si="30"/>
        <v>135</v>
      </c>
      <c r="F225" s="332">
        <f t="shared" si="31"/>
        <v>135</v>
      </c>
      <c r="G225" s="241"/>
      <c r="H225" s="241"/>
      <c r="I225" s="241"/>
      <c r="J225" s="241"/>
      <c r="K225" s="289"/>
      <c r="L225" s="289"/>
      <c r="M225" s="241"/>
      <c r="N225" s="241"/>
      <c r="O225" s="241"/>
      <c r="P225" s="241"/>
      <c r="Q225" s="241"/>
      <c r="R225" s="241"/>
      <c r="S225" s="241"/>
      <c r="T225" s="241"/>
      <c r="U225" s="241"/>
      <c r="V225" s="241"/>
      <c r="W225" s="241"/>
      <c r="X225" s="241"/>
      <c r="Y225" s="241"/>
      <c r="Z225" s="241"/>
      <c r="AA225" s="241"/>
      <c r="AB225" s="290">
        <f t="shared" si="24"/>
        <v>270</v>
      </c>
      <c r="AC225" s="290">
        <f t="shared" si="25"/>
        <v>0</v>
      </c>
      <c r="AD225" s="290">
        <f t="shared" si="26"/>
        <v>135</v>
      </c>
      <c r="AE225" s="290">
        <f t="shared" si="27"/>
        <v>135</v>
      </c>
    </row>
    <row r="226" spans="1:31" x14ac:dyDescent="0.25">
      <c r="A226" s="280"/>
      <c r="B226" s="331">
        <f>Crop!B262</f>
        <v>41853</v>
      </c>
      <c r="C226" s="332">
        <f t="shared" si="28"/>
        <v>270</v>
      </c>
      <c r="D226" s="332">
        <f t="shared" si="29"/>
        <v>0</v>
      </c>
      <c r="E226" s="332">
        <f t="shared" si="30"/>
        <v>135</v>
      </c>
      <c r="F226" s="332">
        <f t="shared" si="31"/>
        <v>135</v>
      </c>
      <c r="G226" s="241"/>
      <c r="H226" s="241"/>
      <c r="I226" s="241"/>
      <c r="J226" s="241"/>
      <c r="K226" s="289"/>
      <c r="L226" s="289"/>
      <c r="M226" s="241"/>
      <c r="N226" s="241"/>
      <c r="O226" s="241"/>
      <c r="P226" s="241"/>
      <c r="Q226" s="241"/>
      <c r="R226" s="241"/>
      <c r="S226" s="241"/>
      <c r="T226" s="241"/>
      <c r="U226" s="241"/>
      <c r="V226" s="241"/>
      <c r="W226" s="241"/>
      <c r="X226" s="241"/>
      <c r="Y226" s="241"/>
      <c r="Z226" s="241"/>
      <c r="AA226" s="241"/>
      <c r="AB226" s="290">
        <f t="shared" si="24"/>
        <v>270</v>
      </c>
      <c r="AC226" s="290">
        <f t="shared" si="25"/>
        <v>0</v>
      </c>
      <c r="AD226" s="290">
        <f t="shared" si="26"/>
        <v>135</v>
      </c>
      <c r="AE226" s="290">
        <f t="shared" si="27"/>
        <v>135</v>
      </c>
    </row>
    <row r="227" spans="1:31" x14ac:dyDescent="0.25">
      <c r="A227" s="280"/>
      <c r="B227" s="331">
        <f>Crop!B263</f>
        <v>41854</v>
      </c>
      <c r="C227" s="332">
        <f t="shared" si="28"/>
        <v>270</v>
      </c>
      <c r="D227" s="332">
        <f t="shared" si="29"/>
        <v>0</v>
      </c>
      <c r="E227" s="332">
        <f t="shared" si="30"/>
        <v>135</v>
      </c>
      <c r="F227" s="332">
        <f t="shared" si="31"/>
        <v>135</v>
      </c>
      <c r="G227" s="241"/>
      <c r="H227" s="241"/>
      <c r="I227" s="241"/>
      <c r="J227" s="241"/>
      <c r="K227" s="289"/>
      <c r="L227" s="289"/>
      <c r="M227" s="241"/>
      <c r="N227" s="241"/>
      <c r="O227" s="241"/>
      <c r="P227" s="241"/>
      <c r="Q227" s="241"/>
      <c r="R227" s="241"/>
      <c r="S227" s="241"/>
      <c r="T227" s="241"/>
      <c r="U227" s="241"/>
      <c r="V227" s="241"/>
      <c r="W227" s="241"/>
      <c r="X227" s="241"/>
      <c r="Y227" s="241"/>
      <c r="Z227" s="241"/>
      <c r="AA227" s="241"/>
      <c r="AB227" s="290">
        <f t="shared" si="24"/>
        <v>270</v>
      </c>
      <c r="AC227" s="290">
        <f t="shared" si="25"/>
        <v>0</v>
      </c>
      <c r="AD227" s="290">
        <f t="shared" si="26"/>
        <v>135</v>
      </c>
      <c r="AE227" s="290">
        <f t="shared" si="27"/>
        <v>135</v>
      </c>
    </row>
    <row r="228" spans="1:31" x14ac:dyDescent="0.25">
      <c r="A228" s="280"/>
      <c r="B228" s="331">
        <f>Crop!B264</f>
        <v>41855</v>
      </c>
      <c r="C228" s="332">
        <f t="shared" si="28"/>
        <v>270</v>
      </c>
      <c r="D228" s="332">
        <f t="shared" si="29"/>
        <v>0</v>
      </c>
      <c r="E228" s="332">
        <f t="shared" si="30"/>
        <v>135</v>
      </c>
      <c r="F228" s="332">
        <f t="shared" si="31"/>
        <v>135</v>
      </c>
      <c r="G228" s="241"/>
      <c r="H228" s="241"/>
      <c r="I228" s="241"/>
      <c r="J228" s="241"/>
      <c r="K228" s="289"/>
      <c r="L228" s="289"/>
      <c r="M228" s="241"/>
      <c r="N228" s="241"/>
      <c r="O228" s="241"/>
      <c r="P228" s="241"/>
      <c r="Q228" s="241"/>
      <c r="R228" s="241"/>
      <c r="S228" s="241"/>
      <c r="T228" s="241"/>
      <c r="U228" s="241"/>
      <c r="V228" s="241"/>
      <c r="W228" s="241"/>
      <c r="X228" s="241"/>
      <c r="Y228" s="241"/>
      <c r="Z228" s="241"/>
      <c r="AA228" s="241"/>
      <c r="AB228" s="290">
        <f t="shared" si="24"/>
        <v>270</v>
      </c>
      <c r="AC228" s="290">
        <f t="shared" si="25"/>
        <v>0</v>
      </c>
      <c r="AD228" s="290">
        <f t="shared" si="26"/>
        <v>135</v>
      </c>
      <c r="AE228" s="290">
        <f t="shared" si="27"/>
        <v>135</v>
      </c>
    </row>
    <row r="229" spans="1:31" x14ac:dyDescent="0.25">
      <c r="A229" s="280"/>
      <c r="B229" s="331">
        <f>Crop!B265</f>
        <v>41856</v>
      </c>
      <c r="C229" s="332">
        <f t="shared" si="28"/>
        <v>270</v>
      </c>
      <c r="D229" s="332">
        <f t="shared" si="29"/>
        <v>0</v>
      </c>
      <c r="E229" s="332">
        <f t="shared" si="30"/>
        <v>135</v>
      </c>
      <c r="F229" s="332">
        <f t="shared" si="31"/>
        <v>135</v>
      </c>
      <c r="G229" s="241"/>
      <c r="H229" s="241"/>
      <c r="I229" s="241"/>
      <c r="J229" s="241"/>
      <c r="K229" s="289"/>
      <c r="L229" s="289"/>
      <c r="M229" s="241"/>
      <c r="N229" s="241"/>
      <c r="O229" s="241"/>
      <c r="P229" s="241"/>
      <c r="Q229" s="241"/>
      <c r="R229" s="241"/>
      <c r="S229" s="241"/>
      <c r="T229" s="241"/>
      <c r="U229" s="241"/>
      <c r="V229" s="241"/>
      <c r="W229" s="241"/>
      <c r="X229" s="241"/>
      <c r="Y229" s="241"/>
      <c r="Z229" s="241"/>
      <c r="AA229" s="241"/>
      <c r="AB229" s="290">
        <f t="shared" si="24"/>
        <v>270</v>
      </c>
      <c r="AC229" s="290">
        <f t="shared" si="25"/>
        <v>0</v>
      </c>
      <c r="AD229" s="290">
        <f t="shared" si="26"/>
        <v>135</v>
      </c>
      <c r="AE229" s="290">
        <f t="shared" si="27"/>
        <v>135</v>
      </c>
    </row>
    <row r="230" spans="1:31" x14ac:dyDescent="0.25">
      <c r="A230" s="280"/>
      <c r="B230" s="331">
        <f>Crop!B266</f>
        <v>41857</v>
      </c>
      <c r="C230" s="332">
        <f t="shared" si="28"/>
        <v>270</v>
      </c>
      <c r="D230" s="332">
        <f t="shared" si="29"/>
        <v>0</v>
      </c>
      <c r="E230" s="332">
        <f t="shared" si="30"/>
        <v>135</v>
      </c>
      <c r="F230" s="332">
        <f t="shared" si="31"/>
        <v>135</v>
      </c>
      <c r="G230" s="241"/>
      <c r="H230" s="241"/>
      <c r="I230" s="241"/>
      <c r="J230" s="241"/>
      <c r="K230" s="289"/>
      <c r="L230" s="289"/>
      <c r="M230" s="241"/>
      <c r="N230" s="241"/>
      <c r="O230" s="241"/>
      <c r="P230" s="241"/>
      <c r="Q230" s="241"/>
      <c r="R230" s="241"/>
      <c r="S230" s="241"/>
      <c r="T230" s="241"/>
      <c r="U230" s="241"/>
      <c r="V230" s="241"/>
      <c r="W230" s="241"/>
      <c r="X230" s="241"/>
      <c r="Y230" s="241"/>
      <c r="Z230" s="241"/>
      <c r="AA230" s="241"/>
      <c r="AB230" s="290">
        <f t="shared" si="24"/>
        <v>270</v>
      </c>
      <c r="AC230" s="290">
        <f t="shared" si="25"/>
        <v>0</v>
      </c>
      <c r="AD230" s="290">
        <f t="shared" si="26"/>
        <v>135</v>
      </c>
      <c r="AE230" s="290">
        <f t="shared" si="27"/>
        <v>135</v>
      </c>
    </row>
    <row r="231" spans="1:31" x14ac:dyDescent="0.25">
      <c r="A231" s="280"/>
      <c r="B231" s="331">
        <f>Crop!B267</f>
        <v>41858</v>
      </c>
      <c r="C231" s="332">
        <f t="shared" si="28"/>
        <v>270</v>
      </c>
      <c r="D231" s="332">
        <f t="shared" si="29"/>
        <v>0</v>
      </c>
      <c r="E231" s="332">
        <f t="shared" si="30"/>
        <v>135</v>
      </c>
      <c r="F231" s="332">
        <f t="shared" si="31"/>
        <v>135</v>
      </c>
      <c r="G231" s="241"/>
      <c r="H231" s="241"/>
      <c r="I231" s="241"/>
      <c r="J231" s="241"/>
      <c r="K231" s="289"/>
      <c r="L231" s="289"/>
      <c r="M231" s="241"/>
      <c r="N231" s="241"/>
      <c r="O231" s="241"/>
      <c r="P231" s="241"/>
      <c r="Q231" s="241"/>
      <c r="R231" s="241"/>
      <c r="S231" s="241"/>
      <c r="T231" s="241"/>
      <c r="U231" s="241"/>
      <c r="V231" s="241"/>
      <c r="W231" s="241"/>
      <c r="X231" s="241"/>
      <c r="Y231" s="241"/>
      <c r="Z231" s="241"/>
      <c r="AA231" s="241"/>
      <c r="AB231" s="290">
        <f t="shared" si="24"/>
        <v>270</v>
      </c>
      <c r="AC231" s="290">
        <f t="shared" si="25"/>
        <v>0</v>
      </c>
      <c r="AD231" s="290">
        <f t="shared" si="26"/>
        <v>135</v>
      </c>
      <c r="AE231" s="290">
        <f t="shared" si="27"/>
        <v>135</v>
      </c>
    </row>
    <row r="232" spans="1:31" x14ac:dyDescent="0.25">
      <c r="A232" s="280"/>
      <c r="B232" s="331">
        <f>Crop!B268</f>
        <v>41859</v>
      </c>
      <c r="C232" s="332">
        <f t="shared" si="28"/>
        <v>270</v>
      </c>
      <c r="D232" s="332">
        <f t="shared" si="29"/>
        <v>0</v>
      </c>
      <c r="E232" s="332">
        <f t="shared" si="30"/>
        <v>135</v>
      </c>
      <c r="F232" s="332">
        <f t="shared" si="31"/>
        <v>135</v>
      </c>
      <c r="G232" s="241"/>
      <c r="H232" s="241"/>
      <c r="I232" s="241"/>
      <c r="J232" s="241"/>
      <c r="K232" s="289"/>
      <c r="L232" s="289"/>
      <c r="M232" s="241"/>
      <c r="N232" s="241"/>
      <c r="O232" s="241"/>
      <c r="P232" s="241"/>
      <c r="Q232" s="241"/>
      <c r="R232" s="241"/>
      <c r="S232" s="241"/>
      <c r="T232" s="241"/>
      <c r="U232" s="241"/>
      <c r="V232" s="241"/>
      <c r="W232" s="241"/>
      <c r="X232" s="241"/>
      <c r="Y232" s="241"/>
      <c r="Z232" s="241"/>
      <c r="AA232" s="241"/>
      <c r="AB232" s="290">
        <f t="shared" si="24"/>
        <v>270</v>
      </c>
      <c r="AC232" s="290">
        <f t="shared" si="25"/>
        <v>0</v>
      </c>
      <c r="AD232" s="290">
        <f t="shared" si="26"/>
        <v>135</v>
      </c>
      <c r="AE232" s="290">
        <f t="shared" si="27"/>
        <v>135</v>
      </c>
    </row>
    <row r="233" spans="1:31" x14ac:dyDescent="0.25">
      <c r="A233" s="280"/>
      <c r="B233" s="331">
        <f>Crop!B269</f>
        <v>41860</v>
      </c>
      <c r="C233" s="332">
        <f t="shared" si="28"/>
        <v>270</v>
      </c>
      <c r="D233" s="332">
        <f t="shared" si="29"/>
        <v>0</v>
      </c>
      <c r="E233" s="332">
        <f t="shared" si="30"/>
        <v>135</v>
      </c>
      <c r="F233" s="332">
        <f t="shared" si="31"/>
        <v>135</v>
      </c>
      <c r="G233" s="241"/>
      <c r="H233" s="241"/>
      <c r="I233" s="241"/>
      <c r="J233" s="241"/>
      <c r="K233" s="289"/>
      <c r="L233" s="289"/>
      <c r="M233" s="241"/>
      <c r="N233" s="241"/>
      <c r="O233" s="241"/>
      <c r="P233" s="241"/>
      <c r="Q233" s="241"/>
      <c r="R233" s="241"/>
      <c r="S233" s="241"/>
      <c r="T233" s="241"/>
      <c r="U233" s="241"/>
      <c r="V233" s="241"/>
      <c r="W233" s="241"/>
      <c r="X233" s="241"/>
      <c r="Y233" s="241"/>
      <c r="Z233" s="241"/>
      <c r="AA233" s="241"/>
      <c r="AB233" s="290">
        <f t="shared" si="24"/>
        <v>270</v>
      </c>
      <c r="AC233" s="290">
        <f t="shared" si="25"/>
        <v>0</v>
      </c>
      <c r="AD233" s="290">
        <f t="shared" si="26"/>
        <v>135</v>
      </c>
      <c r="AE233" s="290">
        <f t="shared" si="27"/>
        <v>135</v>
      </c>
    </row>
    <row r="234" spans="1:31" x14ac:dyDescent="0.25">
      <c r="A234" s="280"/>
      <c r="B234" s="331">
        <f>Crop!B270</f>
        <v>41861</v>
      </c>
      <c r="C234" s="332">
        <f t="shared" si="28"/>
        <v>270</v>
      </c>
      <c r="D234" s="332">
        <f t="shared" si="29"/>
        <v>0</v>
      </c>
      <c r="E234" s="332">
        <f t="shared" si="30"/>
        <v>135</v>
      </c>
      <c r="F234" s="332">
        <f t="shared" si="31"/>
        <v>135</v>
      </c>
      <c r="G234" s="241"/>
      <c r="H234" s="241"/>
      <c r="I234" s="241"/>
      <c r="J234" s="241"/>
      <c r="K234" s="289"/>
      <c r="L234" s="289"/>
      <c r="M234" s="241"/>
      <c r="N234" s="241"/>
      <c r="O234" s="241"/>
      <c r="P234" s="241"/>
      <c r="Q234" s="241"/>
      <c r="R234" s="241"/>
      <c r="S234" s="241"/>
      <c r="T234" s="241"/>
      <c r="U234" s="241"/>
      <c r="V234" s="241"/>
      <c r="W234" s="241"/>
      <c r="X234" s="241"/>
      <c r="Y234" s="241"/>
      <c r="Z234" s="241"/>
      <c r="AA234" s="241"/>
      <c r="AB234" s="290">
        <f t="shared" si="24"/>
        <v>270</v>
      </c>
      <c r="AC234" s="290">
        <f t="shared" si="25"/>
        <v>0</v>
      </c>
      <c r="AD234" s="290">
        <f t="shared" si="26"/>
        <v>135</v>
      </c>
      <c r="AE234" s="290">
        <f t="shared" si="27"/>
        <v>135</v>
      </c>
    </row>
    <row r="235" spans="1:31" x14ac:dyDescent="0.25">
      <c r="A235" s="280"/>
      <c r="B235" s="331">
        <f>Crop!B271</f>
        <v>41862</v>
      </c>
      <c r="C235" s="332">
        <f t="shared" si="28"/>
        <v>270</v>
      </c>
      <c r="D235" s="332">
        <f t="shared" si="29"/>
        <v>0</v>
      </c>
      <c r="E235" s="332">
        <f t="shared" si="30"/>
        <v>135</v>
      </c>
      <c r="F235" s="332">
        <f t="shared" si="31"/>
        <v>135</v>
      </c>
      <c r="G235" s="241"/>
      <c r="H235" s="241"/>
      <c r="I235" s="241"/>
      <c r="J235" s="241"/>
      <c r="K235" s="289"/>
      <c r="L235" s="289"/>
      <c r="M235" s="241"/>
      <c r="N235" s="241"/>
      <c r="O235" s="241"/>
      <c r="P235" s="241"/>
      <c r="Q235" s="241"/>
      <c r="R235" s="241"/>
      <c r="S235" s="241"/>
      <c r="T235" s="241"/>
      <c r="U235" s="241"/>
      <c r="V235" s="241"/>
      <c r="W235" s="241"/>
      <c r="X235" s="241"/>
      <c r="Y235" s="241"/>
      <c r="Z235" s="241"/>
      <c r="AA235" s="241"/>
      <c r="AB235" s="290">
        <f t="shared" si="24"/>
        <v>270</v>
      </c>
      <c r="AC235" s="290">
        <f t="shared" si="25"/>
        <v>0</v>
      </c>
      <c r="AD235" s="290">
        <f t="shared" si="26"/>
        <v>135</v>
      </c>
      <c r="AE235" s="290">
        <f t="shared" si="27"/>
        <v>135</v>
      </c>
    </row>
    <row r="236" spans="1:31" x14ac:dyDescent="0.25">
      <c r="A236" s="280"/>
      <c r="B236" s="331">
        <f>Crop!B272</f>
        <v>41863</v>
      </c>
      <c r="C236" s="332">
        <f t="shared" si="28"/>
        <v>270</v>
      </c>
      <c r="D236" s="332">
        <f t="shared" si="29"/>
        <v>0</v>
      </c>
      <c r="E236" s="332">
        <f t="shared" si="30"/>
        <v>135</v>
      </c>
      <c r="F236" s="332">
        <f t="shared" si="31"/>
        <v>135</v>
      </c>
      <c r="G236" s="241"/>
      <c r="H236" s="241"/>
      <c r="I236" s="241"/>
      <c r="J236" s="241"/>
      <c r="K236" s="289"/>
      <c r="L236" s="289"/>
      <c r="M236" s="241"/>
      <c r="N236" s="241"/>
      <c r="O236" s="241"/>
      <c r="P236" s="241"/>
      <c r="Q236" s="241"/>
      <c r="R236" s="241"/>
      <c r="S236" s="241"/>
      <c r="T236" s="241"/>
      <c r="U236" s="241"/>
      <c r="V236" s="241"/>
      <c r="W236" s="241"/>
      <c r="X236" s="241"/>
      <c r="Y236" s="241"/>
      <c r="Z236" s="241"/>
      <c r="AA236" s="241"/>
      <c r="AB236" s="290">
        <f t="shared" si="24"/>
        <v>270</v>
      </c>
      <c r="AC236" s="290">
        <f t="shared" si="25"/>
        <v>0</v>
      </c>
      <c r="AD236" s="290">
        <f t="shared" si="26"/>
        <v>135</v>
      </c>
      <c r="AE236" s="290">
        <f t="shared" si="27"/>
        <v>135</v>
      </c>
    </row>
    <row r="237" spans="1:31" x14ac:dyDescent="0.25">
      <c r="A237" s="280"/>
      <c r="B237" s="331">
        <f>Crop!B273</f>
        <v>41864</v>
      </c>
      <c r="C237" s="332">
        <f t="shared" si="28"/>
        <v>270</v>
      </c>
      <c r="D237" s="332">
        <f t="shared" si="29"/>
        <v>0</v>
      </c>
      <c r="E237" s="332">
        <f t="shared" si="30"/>
        <v>135</v>
      </c>
      <c r="F237" s="332">
        <f t="shared" si="31"/>
        <v>135</v>
      </c>
      <c r="G237" s="241"/>
      <c r="H237" s="241"/>
      <c r="I237" s="241"/>
      <c r="J237" s="241"/>
      <c r="K237" s="289"/>
      <c r="L237" s="289"/>
      <c r="M237" s="241"/>
      <c r="N237" s="241"/>
      <c r="O237" s="241"/>
      <c r="P237" s="241"/>
      <c r="Q237" s="241"/>
      <c r="R237" s="241"/>
      <c r="S237" s="241"/>
      <c r="T237" s="241"/>
      <c r="U237" s="241"/>
      <c r="V237" s="241"/>
      <c r="W237" s="241"/>
      <c r="X237" s="241"/>
      <c r="Y237" s="241"/>
      <c r="Z237" s="241"/>
      <c r="AA237" s="241"/>
      <c r="AB237" s="290">
        <f t="shared" si="24"/>
        <v>270</v>
      </c>
      <c r="AC237" s="290">
        <f t="shared" si="25"/>
        <v>0</v>
      </c>
      <c r="AD237" s="290">
        <f t="shared" si="26"/>
        <v>135</v>
      </c>
      <c r="AE237" s="290">
        <f t="shared" si="27"/>
        <v>135</v>
      </c>
    </row>
    <row r="238" spans="1:31" x14ac:dyDescent="0.25">
      <c r="A238" s="280"/>
      <c r="B238" s="331">
        <f>Crop!B274</f>
        <v>41865</v>
      </c>
      <c r="C238" s="332">
        <f t="shared" si="28"/>
        <v>270</v>
      </c>
      <c r="D238" s="332">
        <f t="shared" si="29"/>
        <v>0</v>
      </c>
      <c r="E238" s="332">
        <f t="shared" si="30"/>
        <v>135</v>
      </c>
      <c r="F238" s="332">
        <f t="shared" si="31"/>
        <v>135</v>
      </c>
      <c r="G238" s="241"/>
      <c r="H238" s="241"/>
      <c r="I238" s="241"/>
      <c r="J238" s="241"/>
      <c r="K238" s="289"/>
      <c r="L238" s="289"/>
      <c r="M238" s="241"/>
      <c r="N238" s="241"/>
      <c r="O238" s="241"/>
      <c r="P238" s="241"/>
      <c r="Q238" s="241"/>
      <c r="R238" s="241"/>
      <c r="S238" s="241"/>
      <c r="T238" s="241"/>
      <c r="U238" s="241"/>
      <c r="V238" s="241"/>
      <c r="W238" s="241"/>
      <c r="X238" s="241"/>
      <c r="Y238" s="241"/>
      <c r="Z238" s="241"/>
      <c r="AA238" s="241"/>
      <c r="AB238" s="290">
        <f t="shared" si="24"/>
        <v>270</v>
      </c>
      <c r="AC238" s="290">
        <f t="shared" si="25"/>
        <v>0</v>
      </c>
      <c r="AD238" s="290">
        <f t="shared" si="26"/>
        <v>135</v>
      </c>
      <c r="AE238" s="290">
        <f t="shared" si="27"/>
        <v>135</v>
      </c>
    </row>
    <row r="239" spans="1:31" x14ac:dyDescent="0.25">
      <c r="A239" s="280"/>
      <c r="B239" s="331">
        <f>Crop!B275</f>
        <v>41866</v>
      </c>
      <c r="C239" s="332">
        <f t="shared" si="28"/>
        <v>270</v>
      </c>
      <c r="D239" s="332">
        <f t="shared" si="29"/>
        <v>0</v>
      </c>
      <c r="E239" s="332">
        <f t="shared" si="30"/>
        <v>135</v>
      </c>
      <c r="F239" s="332">
        <f t="shared" si="31"/>
        <v>135</v>
      </c>
      <c r="G239" s="241"/>
      <c r="H239" s="241"/>
      <c r="I239" s="241"/>
      <c r="J239" s="241"/>
      <c r="K239" s="289"/>
      <c r="L239" s="289"/>
      <c r="M239" s="241"/>
      <c r="N239" s="241"/>
      <c r="O239" s="241"/>
      <c r="P239" s="241"/>
      <c r="Q239" s="241"/>
      <c r="R239" s="241"/>
      <c r="S239" s="241"/>
      <c r="T239" s="241"/>
      <c r="U239" s="241"/>
      <c r="V239" s="241"/>
      <c r="W239" s="241"/>
      <c r="X239" s="241"/>
      <c r="Y239" s="241"/>
      <c r="Z239" s="241"/>
      <c r="AA239" s="241"/>
      <c r="AB239" s="290">
        <f t="shared" si="24"/>
        <v>270</v>
      </c>
      <c r="AC239" s="290">
        <f t="shared" si="25"/>
        <v>0</v>
      </c>
      <c r="AD239" s="290">
        <f t="shared" si="26"/>
        <v>135</v>
      </c>
      <c r="AE239" s="290">
        <f t="shared" si="27"/>
        <v>135</v>
      </c>
    </row>
    <row r="240" spans="1:31" x14ac:dyDescent="0.25">
      <c r="A240" s="280"/>
      <c r="B240" s="331">
        <f>Crop!B276</f>
        <v>41867</v>
      </c>
      <c r="C240" s="332">
        <f t="shared" si="28"/>
        <v>270</v>
      </c>
      <c r="D240" s="332">
        <f t="shared" si="29"/>
        <v>0</v>
      </c>
      <c r="E240" s="332">
        <f t="shared" si="30"/>
        <v>135</v>
      </c>
      <c r="F240" s="332">
        <f t="shared" si="31"/>
        <v>135</v>
      </c>
      <c r="G240" s="241"/>
      <c r="H240" s="241"/>
      <c r="I240" s="241"/>
      <c r="J240" s="241"/>
      <c r="K240" s="289"/>
      <c r="L240" s="289"/>
      <c r="M240" s="241"/>
      <c r="N240" s="241"/>
      <c r="O240" s="241"/>
      <c r="P240" s="241"/>
      <c r="Q240" s="241"/>
      <c r="R240" s="241"/>
      <c r="S240" s="241"/>
      <c r="T240" s="241"/>
      <c r="U240" s="241"/>
      <c r="V240" s="241"/>
      <c r="W240" s="241"/>
      <c r="X240" s="241"/>
      <c r="Y240" s="241"/>
      <c r="Z240" s="241"/>
      <c r="AA240" s="241"/>
      <c r="AB240" s="290">
        <f t="shared" si="24"/>
        <v>270</v>
      </c>
      <c r="AC240" s="290">
        <f t="shared" si="25"/>
        <v>0</v>
      </c>
      <c r="AD240" s="290">
        <f t="shared" si="26"/>
        <v>135</v>
      </c>
      <c r="AE240" s="290">
        <f t="shared" si="27"/>
        <v>135</v>
      </c>
    </row>
    <row r="241" spans="1:31" x14ac:dyDescent="0.25">
      <c r="A241" s="280"/>
      <c r="B241" s="331">
        <f>Crop!B277</f>
        <v>41868</v>
      </c>
      <c r="C241" s="332">
        <f t="shared" si="28"/>
        <v>270</v>
      </c>
      <c r="D241" s="332">
        <f t="shared" si="29"/>
        <v>0</v>
      </c>
      <c r="E241" s="332">
        <f t="shared" si="30"/>
        <v>135</v>
      </c>
      <c r="F241" s="332">
        <f t="shared" si="31"/>
        <v>135</v>
      </c>
      <c r="G241" s="241"/>
      <c r="H241" s="241"/>
      <c r="I241" s="241"/>
      <c r="J241" s="241"/>
      <c r="K241" s="289"/>
      <c r="L241" s="289"/>
      <c r="M241" s="241"/>
      <c r="N241" s="241"/>
      <c r="O241" s="241"/>
      <c r="P241" s="241"/>
      <c r="Q241" s="241"/>
      <c r="R241" s="241"/>
      <c r="S241" s="241"/>
      <c r="T241" s="241"/>
      <c r="U241" s="241"/>
      <c r="V241" s="241"/>
      <c r="W241" s="241"/>
      <c r="X241" s="241"/>
      <c r="Y241" s="241"/>
      <c r="Z241" s="241"/>
      <c r="AA241" s="241"/>
      <c r="AB241" s="290">
        <f t="shared" si="24"/>
        <v>270</v>
      </c>
      <c r="AC241" s="290">
        <f t="shared" si="25"/>
        <v>0</v>
      </c>
      <c r="AD241" s="290">
        <f t="shared" si="26"/>
        <v>135</v>
      </c>
      <c r="AE241" s="290">
        <f t="shared" si="27"/>
        <v>135</v>
      </c>
    </row>
    <row r="242" spans="1:31" x14ac:dyDescent="0.25">
      <c r="A242" s="280"/>
      <c r="B242" s="331">
        <f>Crop!B278</f>
        <v>41869</v>
      </c>
      <c r="C242" s="332">
        <f t="shared" si="28"/>
        <v>270</v>
      </c>
      <c r="D242" s="332">
        <f t="shared" si="29"/>
        <v>0</v>
      </c>
      <c r="E242" s="332">
        <f t="shared" si="30"/>
        <v>135</v>
      </c>
      <c r="F242" s="332">
        <f t="shared" si="31"/>
        <v>135</v>
      </c>
      <c r="G242" s="241"/>
      <c r="H242" s="241"/>
      <c r="I242" s="241"/>
      <c r="J242" s="241"/>
      <c r="K242" s="289"/>
      <c r="L242" s="289"/>
      <c r="M242" s="241"/>
      <c r="N242" s="241"/>
      <c r="O242" s="241"/>
      <c r="P242" s="241"/>
      <c r="Q242" s="241"/>
      <c r="R242" s="241"/>
      <c r="S242" s="241"/>
      <c r="T242" s="241"/>
      <c r="U242" s="241"/>
      <c r="V242" s="241"/>
      <c r="W242" s="241"/>
      <c r="X242" s="241"/>
      <c r="Y242" s="241"/>
      <c r="Z242" s="241"/>
      <c r="AA242" s="241"/>
      <c r="AB242" s="290">
        <f t="shared" si="24"/>
        <v>270</v>
      </c>
      <c r="AC242" s="290">
        <f t="shared" si="25"/>
        <v>0</v>
      </c>
      <c r="AD242" s="290">
        <f t="shared" si="26"/>
        <v>135</v>
      </c>
      <c r="AE242" s="290">
        <f t="shared" si="27"/>
        <v>135</v>
      </c>
    </row>
    <row r="243" spans="1:31" x14ac:dyDescent="0.25">
      <c r="A243" s="280"/>
      <c r="B243" s="331">
        <f>Crop!B279</f>
        <v>41870</v>
      </c>
      <c r="C243" s="332">
        <f t="shared" si="28"/>
        <v>270</v>
      </c>
      <c r="D243" s="332">
        <f t="shared" si="29"/>
        <v>0</v>
      </c>
      <c r="E243" s="332">
        <f t="shared" si="30"/>
        <v>135</v>
      </c>
      <c r="F243" s="332">
        <f t="shared" si="31"/>
        <v>135</v>
      </c>
      <c r="G243" s="241"/>
      <c r="H243" s="241"/>
      <c r="I243" s="241"/>
      <c r="J243" s="241"/>
      <c r="K243" s="289"/>
      <c r="L243" s="289"/>
      <c r="M243" s="241"/>
      <c r="N243" s="241"/>
      <c r="O243" s="241"/>
      <c r="P243" s="241"/>
      <c r="Q243" s="241"/>
      <c r="R243" s="241"/>
      <c r="S243" s="241"/>
      <c r="T243" s="241"/>
      <c r="U243" s="241"/>
      <c r="V243" s="241"/>
      <c r="W243" s="241"/>
      <c r="X243" s="241"/>
      <c r="Y243" s="241"/>
      <c r="Z243" s="241"/>
      <c r="AA243" s="241"/>
      <c r="AB243" s="290">
        <f t="shared" si="24"/>
        <v>270</v>
      </c>
      <c r="AC243" s="290">
        <f t="shared" si="25"/>
        <v>0</v>
      </c>
      <c r="AD243" s="290">
        <f t="shared" si="26"/>
        <v>135</v>
      </c>
      <c r="AE243" s="290">
        <f t="shared" si="27"/>
        <v>135</v>
      </c>
    </row>
    <row r="244" spans="1:31" x14ac:dyDescent="0.25">
      <c r="A244" s="280"/>
      <c r="B244" s="331">
        <f>Crop!B280</f>
        <v>41871</v>
      </c>
      <c r="C244" s="332">
        <f t="shared" si="28"/>
        <v>270</v>
      </c>
      <c r="D244" s="332">
        <f t="shared" si="29"/>
        <v>0</v>
      </c>
      <c r="E244" s="332">
        <f t="shared" si="30"/>
        <v>135</v>
      </c>
      <c r="F244" s="332">
        <f t="shared" si="31"/>
        <v>135</v>
      </c>
      <c r="G244" s="241"/>
      <c r="H244" s="241"/>
      <c r="I244" s="241"/>
      <c r="J244" s="241"/>
      <c r="K244" s="289"/>
      <c r="L244" s="289"/>
      <c r="M244" s="241"/>
      <c r="N244" s="241"/>
      <c r="O244" s="241"/>
      <c r="P244" s="241"/>
      <c r="Q244" s="241"/>
      <c r="R244" s="241"/>
      <c r="S244" s="241"/>
      <c r="T244" s="241"/>
      <c r="U244" s="241"/>
      <c r="V244" s="241"/>
      <c r="W244" s="241"/>
      <c r="X244" s="241"/>
      <c r="Y244" s="241"/>
      <c r="Z244" s="241"/>
      <c r="AA244" s="241"/>
      <c r="AB244" s="290">
        <f t="shared" si="24"/>
        <v>270</v>
      </c>
      <c r="AC244" s="290">
        <f t="shared" si="25"/>
        <v>0</v>
      </c>
      <c r="AD244" s="290">
        <f t="shared" si="26"/>
        <v>135</v>
      </c>
      <c r="AE244" s="290">
        <f t="shared" si="27"/>
        <v>135</v>
      </c>
    </row>
    <row r="245" spans="1:31" x14ac:dyDescent="0.25">
      <c r="A245" s="280"/>
      <c r="B245" s="331">
        <f>Crop!B281</f>
        <v>41872</v>
      </c>
      <c r="C245" s="332">
        <f t="shared" si="28"/>
        <v>270</v>
      </c>
      <c r="D245" s="332">
        <f t="shared" si="29"/>
        <v>0</v>
      </c>
      <c r="E245" s="332">
        <f t="shared" si="30"/>
        <v>135</v>
      </c>
      <c r="F245" s="332">
        <f t="shared" si="31"/>
        <v>135</v>
      </c>
      <c r="G245" s="241"/>
      <c r="H245" s="241"/>
      <c r="I245" s="241"/>
      <c r="J245" s="241"/>
      <c r="K245" s="289"/>
      <c r="L245" s="289"/>
      <c r="M245" s="241"/>
      <c r="N245" s="241"/>
      <c r="O245" s="241"/>
      <c r="P245" s="241"/>
      <c r="Q245" s="241"/>
      <c r="R245" s="241"/>
      <c r="S245" s="241"/>
      <c r="T245" s="241"/>
      <c r="U245" s="241"/>
      <c r="V245" s="241"/>
      <c r="W245" s="241"/>
      <c r="X245" s="241"/>
      <c r="Y245" s="241"/>
      <c r="Z245" s="241"/>
      <c r="AA245" s="241"/>
      <c r="AB245" s="290">
        <f t="shared" si="24"/>
        <v>270</v>
      </c>
      <c r="AC245" s="290">
        <f t="shared" si="25"/>
        <v>0</v>
      </c>
      <c r="AD245" s="290">
        <f t="shared" si="26"/>
        <v>135</v>
      </c>
      <c r="AE245" s="290">
        <f t="shared" si="27"/>
        <v>135</v>
      </c>
    </row>
    <row r="246" spans="1:31" x14ac:dyDescent="0.25">
      <c r="A246" s="280"/>
      <c r="B246" s="331">
        <f>Crop!B282</f>
        <v>41873</v>
      </c>
      <c r="C246" s="332">
        <f t="shared" si="28"/>
        <v>270</v>
      </c>
      <c r="D246" s="332">
        <f t="shared" si="29"/>
        <v>0</v>
      </c>
      <c r="E246" s="332">
        <f t="shared" si="30"/>
        <v>135</v>
      </c>
      <c r="F246" s="332">
        <f t="shared" si="31"/>
        <v>135</v>
      </c>
      <c r="G246" s="241"/>
      <c r="H246" s="241"/>
      <c r="I246" s="241"/>
      <c r="J246" s="241"/>
      <c r="K246" s="289"/>
      <c r="L246" s="289"/>
      <c r="M246" s="241"/>
      <c r="N246" s="241"/>
      <c r="O246" s="241"/>
      <c r="P246" s="241"/>
      <c r="Q246" s="241"/>
      <c r="R246" s="241"/>
      <c r="S246" s="241"/>
      <c r="T246" s="241"/>
      <c r="U246" s="241"/>
      <c r="V246" s="241"/>
      <c r="W246" s="241"/>
      <c r="X246" s="241"/>
      <c r="Y246" s="241"/>
      <c r="Z246" s="241"/>
      <c r="AA246" s="241"/>
      <c r="AB246" s="290">
        <f t="shared" si="24"/>
        <v>270</v>
      </c>
      <c r="AC246" s="290">
        <f t="shared" si="25"/>
        <v>0</v>
      </c>
      <c r="AD246" s="290">
        <f t="shared" si="26"/>
        <v>135</v>
      </c>
      <c r="AE246" s="290">
        <f t="shared" si="27"/>
        <v>135</v>
      </c>
    </row>
    <row r="247" spans="1:31" x14ac:dyDescent="0.25">
      <c r="A247" s="280"/>
      <c r="B247" s="331">
        <f>Crop!B283</f>
        <v>41874</v>
      </c>
      <c r="C247" s="332">
        <f t="shared" si="28"/>
        <v>270</v>
      </c>
      <c r="D247" s="332">
        <f t="shared" si="29"/>
        <v>0</v>
      </c>
      <c r="E247" s="332">
        <f t="shared" si="30"/>
        <v>135</v>
      </c>
      <c r="F247" s="332">
        <f t="shared" si="31"/>
        <v>135</v>
      </c>
      <c r="G247" s="241"/>
      <c r="H247" s="241"/>
      <c r="I247" s="241"/>
      <c r="J247" s="241"/>
      <c r="K247" s="289"/>
      <c r="L247" s="289"/>
      <c r="M247" s="241"/>
      <c r="N247" s="241"/>
      <c r="O247" s="241"/>
      <c r="P247" s="241"/>
      <c r="Q247" s="241"/>
      <c r="R247" s="241"/>
      <c r="S247" s="241"/>
      <c r="T247" s="241"/>
      <c r="U247" s="241"/>
      <c r="V247" s="241"/>
      <c r="W247" s="241"/>
      <c r="X247" s="241"/>
      <c r="Y247" s="241"/>
      <c r="Z247" s="241"/>
      <c r="AA247" s="241"/>
      <c r="AB247" s="290">
        <f t="shared" si="24"/>
        <v>270</v>
      </c>
      <c r="AC247" s="290">
        <f t="shared" si="25"/>
        <v>0</v>
      </c>
      <c r="AD247" s="290">
        <f t="shared" si="26"/>
        <v>135</v>
      </c>
      <c r="AE247" s="290">
        <f t="shared" si="27"/>
        <v>135</v>
      </c>
    </row>
    <row r="248" spans="1:31" x14ac:dyDescent="0.25">
      <c r="A248" s="280"/>
      <c r="B248" s="331">
        <f>Crop!B284</f>
        <v>41875</v>
      </c>
      <c r="C248" s="332">
        <f t="shared" si="28"/>
        <v>270</v>
      </c>
      <c r="D248" s="332">
        <f t="shared" si="29"/>
        <v>0</v>
      </c>
      <c r="E248" s="332">
        <f t="shared" si="30"/>
        <v>135</v>
      </c>
      <c r="F248" s="332">
        <f t="shared" si="31"/>
        <v>135</v>
      </c>
      <c r="G248" s="241"/>
      <c r="H248" s="241"/>
      <c r="I248" s="241"/>
      <c r="J248" s="241"/>
      <c r="K248" s="289"/>
      <c r="L248" s="289"/>
      <c r="M248" s="241"/>
      <c r="N248" s="241"/>
      <c r="O248" s="241"/>
      <c r="P248" s="241"/>
      <c r="Q248" s="241"/>
      <c r="R248" s="241"/>
      <c r="S248" s="241"/>
      <c r="T248" s="241"/>
      <c r="U248" s="241"/>
      <c r="V248" s="241"/>
      <c r="W248" s="241"/>
      <c r="X248" s="241"/>
      <c r="Y248" s="241"/>
      <c r="Z248" s="241"/>
      <c r="AA248" s="241"/>
      <c r="AB248" s="290">
        <f t="shared" si="24"/>
        <v>270</v>
      </c>
      <c r="AC248" s="290">
        <f t="shared" si="25"/>
        <v>0</v>
      </c>
      <c r="AD248" s="290">
        <f t="shared" si="26"/>
        <v>135</v>
      </c>
      <c r="AE248" s="290">
        <f t="shared" si="27"/>
        <v>135</v>
      </c>
    </row>
    <row r="249" spans="1:31" x14ac:dyDescent="0.25">
      <c r="A249" s="280"/>
      <c r="B249" s="331">
        <f>Crop!B285</f>
        <v>41876</v>
      </c>
      <c r="C249" s="332">
        <f t="shared" si="28"/>
        <v>270</v>
      </c>
      <c r="D249" s="332">
        <f t="shared" si="29"/>
        <v>0</v>
      </c>
      <c r="E249" s="332">
        <f t="shared" si="30"/>
        <v>135</v>
      </c>
      <c r="F249" s="332">
        <f t="shared" si="31"/>
        <v>135</v>
      </c>
      <c r="G249" s="241"/>
      <c r="H249" s="241"/>
      <c r="I249" s="241"/>
      <c r="J249" s="241"/>
      <c r="K249" s="289"/>
      <c r="L249" s="289"/>
      <c r="M249" s="241"/>
      <c r="N249" s="241"/>
      <c r="O249" s="241"/>
      <c r="P249" s="241"/>
      <c r="Q249" s="241"/>
      <c r="R249" s="241"/>
      <c r="S249" s="241"/>
      <c r="T249" s="241"/>
      <c r="U249" s="241"/>
      <c r="V249" s="241"/>
      <c r="W249" s="241"/>
      <c r="X249" s="241"/>
      <c r="Y249" s="241"/>
      <c r="Z249" s="241"/>
      <c r="AA249" s="241"/>
      <c r="AB249" s="290">
        <f t="shared" si="24"/>
        <v>270</v>
      </c>
      <c r="AC249" s="290">
        <f t="shared" si="25"/>
        <v>0</v>
      </c>
      <c r="AD249" s="290">
        <f t="shared" si="26"/>
        <v>135</v>
      </c>
      <c r="AE249" s="290">
        <f t="shared" si="27"/>
        <v>135</v>
      </c>
    </row>
    <row r="250" spans="1:31" x14ac:dyDescent="0.25">
      <c r="A250" s="280"/>
      <c r="B250" s="331">
        <f>Crop!B286</f>
        <v>41877</v>
      </c>
      <c r="C250" s="332">
        <f t="shared" si="28"/>
        <v>270</v>
      </c>
      <c r="D250" s="332">
        <f t="shared" si="29"/>
        <v>0</v>
      </c>
      <c r="E250" s="332">
        <f t="shared" si="30"/>
        <v>135</v>
      </c>
      <c r="F250" s="332">
        <f t="shared" si="31"/>
        <v>135</v>
      </c>
      <c r="G250" s="241"/>
      <c r="H250" s="241"/>
      <c r="I250" s="241"/>
      <c r="J250" s="241"/>
      <c r="K250" s="289"/>
      <c r="L250" s="289"/>
      <c r="M250" s="241"/>
      <c r="N250" s="241"/>
      <c r="O250" s="241"/>
      <c r="P250" s="241"/>
      <c r="Q250" s="241"/>
      <c r="R250" s="241"/>
      <c r="S250" s="241"/>
      <c r="T250" s="241"/>
      <c r="U250" s="241"/>
      <c r="V250" s="241"/>
      <c r="W250" s="241"/>
      <c r="X250" s="241"/>
      <c r="Y250" s="241"/>
      <c r="Z250" s="241"/>
      <c r="AA250" s="241"/>
      <c r="AB250" s="290">
        <f t="shared" si="24"/>
        <v>270</v>
      </c>
      <c r="AC250" s="290">
        <f t="shared" si="25"/>
        <v>0</v>
      </c>
      <c r="AD250" s="290">
        <f t="shared" si="26"/>
        <v>135</v>
      </c>
      <c r="AE250" s="290">
        <f t="shared" si="27"/>
        <v>135</v>
      </c>
    </row>
    <row r="251" spans="1:31" x14ac:dyDescent="0.25">
      <c r="A251" s="280"/>
      <c r="B251" s="331">
        <f>Crop!B287</f>
        <v>41878</v>
      </c>
      <c r="C251" s="332">
        <f t="shared" si="28"/>
        <v>270</v>
      </c>
      <c r="D251" s="332">
        <f t="shared" si="29"/>
        <v>0</v>
      </c>
      <c r="E251" s="332">
        <f t="shared" si="30"/>
        <v>135</v>
      </c>
      <c r="F251" s="332">
        <f t="shared" si="31"/>
        <v>135</v>
      </c>
      <c r="G251" s="241"/>
      <c r="H251" s="241"/>
      <c r="I251" s="241"/>
      <c r="J251" s="241"/>
      <c r="K251" s="289"/>
      <c r="L251" s="289"/>
      <c r="M251" s="241"/>
      <c r="N251" s="241"/>
      <c r="O251" s="241"/>
      <c r="P251" s="241"/>
      <c r="Q251" s="241"/>
      <c r="R251" s="241"/>
      <c r="S251" s="241"/>
      <c r="T251" s="241"/>
      <c r="U251" s="241"/>
      <c r="V251" s="241"/>
      <c r="W251" s="241"/>
      <c r="X251" s="241"/>
      <c r="Y251" s="241"/>
      <c r="Z251" s="241"/>
      <c r="AA251" s="241"/>
      <c r="AB251" s="290">
        <f t="shared" si="24"/>
        <v>270</v>
      </c>
      <c r="AC251" s="290">
        <f t="shared" si="25"/>
        <v>0</v>
      </c>
      <c r="AD251" s="290">
        <f t="shared" si="26"/>
        <v>135</v>
      </c>
      <c r="AE251" s="290">
        <f t="shared" si="27"/>
        <v>135</v>
      </c>
    </row>
    <row r="252" spans="1:31" x14ac:dyDescent="0.25">
      <c r="A252" s="280"/>
      <c r="B252" s="331">
        <f>Crop!B288</f>
        <v>41879</v>
      </c>
      <c r="C252" s="332">
        <f t="shared" si="28"/>
        <v>270</v>
      </c>
      <c r="D252" s="332">
        <f t="shared" si="29"/>
        <v>0</v>
      </c>
      <c r="E252" s="332">
        <f t="shared" si="30"/>
        <v>135</v>
      </c>
      <c r="F252" s="332">
        <f t="shared" si="31"/>
        <v>135</v>
      </c>
      <c r="G252" s="241"/>
      <c r="H252" s="241"/>
      <c r="I252" s="241"/>
      <c r="J252" s="241"/>
      <c r="K252" s="289"/>
      <c r="L252" s="289"/>
      <c r="M252" s="241"/>
      <c r="N252" s="241"/>
      <c r="O252" s="241"/>
      <c r="P252" s="241"/>
      <c r="Q252" s="241"/>
      <c r="R252" s="241"/>
      <c r="S252" s="241"/>
      <c r="T252" s="241"/>
      <c r="U252" s="241"/>
      <c r="V252" s="241"/>
      <c r="W252" s="241"/>
      <c r="X252" s="241"/>
      <c r="Y252" s="241"/>
      <c r="Z252" s="241"/>
      <c r="AA252" s="241"/>
      <c r="AB252" s="290">
        <f t="shared" si="24"/>
        <v>270</v>
      </c>
      <c r="AC252" s="290">
        <f t="shared" si="25"/>
        <v>0</v>
      </c>
      <c r="AD252" s="290">
        <f t="shared" si="26"/>
        <v>135</v>
      </c>
      <c r="AE252" s="290">
        <f t="shared" si="27"/>
        <v>135</v>
      </c>
    </row>
    <row r="253" spans="1:31" x14ac:dyDescent="0.25">
      <c r="A253" s="280"/>
      <c r="B253" s="331">
        <f>Crop!B289</f>
        <v>41880</v>
      </c>
      <c r="C253" s="332">
        <f t="shared" si="28"/>
        <v>270</v>
      </c>
      <c r="D253" s="332">
        <f t="shared" si="29"/>
        <v>0</v>
      </c>
      <c r="E253" s="332">
        <f t="shared" si="30"/>
        <v>135</v>
      </c>
      <c r="F253" s="332">
        <f t="shared" si="31"/>
        <v>135</v>
      </c>
      <c r="G253" s="241"/>
      <c r="H253" s="241"/>
      <c r="I253" s="241"/>
      <c r="J253" s="241"/>
      <c r="K253" s="289"/>
      <c r="L253" s="289"/>
      <c r="M253" s="241"/>
      <c r="N253" s="241"/>
      <c r="O253" s="241"/>
      <c r="P253" s="241"/>
      <c r="Q253" s="241"/>
      <c r="R253" s="241"/>
      <c r="S253" s="241"/>
      <c r="T253" s="241"/>
      <c r="U253" s="241"/>
      <c r="V253" s="241"/>
      <c r="W253" s="241"/>
      <c r="X253" s="241"/>
      <c r="Y253" s="241"/>
      <c r="Z253" s="241"/>
      <c r="AA253" s="241"/>
      <c r="AB253" s="290">
        <f t="shared" si="24"/>
        <v>270</v>
      </c>
      <c r="AC253" s="290">
        <f t="shared" si="25"/>
        <v>0</v>
      </c>
      <c r="AD253" s="290">
        <f t="shared" si="26"/>
        <v>135</v>
      </c>
      <c r="AE253" s="290">
        <f t="shared" si="27"/>
        <v>135</v>
      </c>
    </row>
    <row r="254" spans="1:31" x14ac:dyDescent="0.25">
      <c r="A254" s="280"/>
      <c r="B254" s="331">
        <f>Crop!B290</f>
        <v>41881</v>
      </c>
      <c r="C254" s="332">
        <f t="shared" si="28"/>
        <v>270</v>
      </c>
      <c r="D254" s="332">
        <f t="shared" si="29"/>
        <v>0</v>
      </c>
      <c r="E254" s="332">
        <f t="shared" si="30"/>
        <v>135</v>
      </c>
      <c r="F254" s="332">
        <f t="shared" si="31"/>
        <v>135</v>
      </c>
      <c r="G254" s="241"/>
      <c r="H254" s="241"/>
      <c r="I254" s="241"/>
      <c r="J254" s="241"/>
      <c r="K254" s="289"/>
      <c r="L254" s="289"/>
      <c r="M254" s="241"/>
      <c r="N254" s="241"/>
      <c r="O254" s="241"/>
      <c r="P254" s="241"/>
      <c r="Q254" s="241"/>
      <c r="R254" s="241"/>
      <c r="S254" s="241"/>
      <c r="T254" s="241"/>
      <c r="U254" s="241"/>
      <c r="V254" s="241"/>
      <c r="W254" s="241"/>
      <c r="X254" s="241"/>
      <c r="Y254" s="241"/>
      <c r="Z254" s="241"/>
      <c r="AA254" s="241"/>
      <c r="AB254" s="290">
        <f t="shared" si="24"/>
        <v>270</v>
      </c>
      <c r="AC254" s="290">
        <f t="shared" si="25"/>
        <v>0</v>
      </c>
      <c r="AD254" s="290">
        <f t="shared" si="26"/>
        <v>135</v>
      </c>
      <c r="AE254" s="290">
        <f t="shared" si="27"/>
        <v>135</v>
      </c>
    </row>
    <row r="255" spans="1:31" x14ac:dyDescent="0.25">
      <c r="A255" s="280"/>
      <c r="B255" s="331">
        <f>Crop!B291</f>
        <v>41882</v>
      </c>
      <c r="C255" s="332">
        <f t="shared" si="28"/>
        <v>270</v>
      </c>
      <c r="D255" s="332">
        <f t="shared" si="29"/>
        <v>0</v>
      </c>
      <c r="E255" s="332">
        <f t="shared" si="30"/>
        <v>135</v>
      </c>
      <c r="F255" s="332">
        <f t="shared" si="31"/>
        <v>135</v>
      </c>
      <c r="G255" s="241"/>
      <c r="H255" s="241"/>
      <c r="I255" s="241"/>
      <c r="J255" s="241"/>
      <c r="K255" s="289"/>
      <c r="L255" s="289"/>
      <c r="M255" s="241"/>
      <c r="N255" s="241"/>
      <c r="O255" s="241"/>
      <c r="P255" s="241"/>
      <c r="Q255" s="241"/>
      <c r="R255" s="241"/>
      <c r="S255" s="241"/>
      <c r="T255" s="241"/>
      <c r="U255" s="241"/>
      <c r="V255" s="241"/>
      <c r="W255" s="241"/>
      <c r="X255" s="241"/>
      <c r="Y255" s="241"/>
      <c r="Z255" s="241"/>
      <c r="AA255" s="241"/>
      <c r="AB255" s="290">
        <f t="shared" si="24"/>
        <v>270</v>
      </c>
      <c r="AC255" s="290">
        <f t="shared" si="25"/>
        <v>0</v>
      </c>
      <c r="AD255" s="290">
        <f t="shared" si="26"/>
        <v>135</v>
      </c>
      <c r="AE255" s="290">
        <f t="shared" si="27"/>
        <v>135</v>
      </c>
    </row>
    <row r="256" spans="1:31" x14ac:dyDescent="0.25">
      <c r="A256" s="280"/>
      <c r="B256" s="331">
        <f>Crop!B292</f>
        <v>41883</v>
      </c>
      <c r="C256" s="332">
        <f t="shared" si="28"/>
        <v>270</v>
      </c>
      <c r="D256" s="332">
        <f t="shared" si="29"/>
        <v>0</v>
      </c>
      <c r="E256" s="332">
        <f t="shared" si="30"/>
        <v>135</v>
      </c>
      <c r="F256" s="332">
        <f t="shared" si="31"/>
        <v>135</v>
      </c>
      <c r="G256" s="241"/>
      <c r="H256" s="241"/>
      <c r="I256" s="241"/>
      <c r="J256" s="241"/>
      <c r="K256" s="289"/>
      <c r="L256" s="289"/>
      <c r="M256" s="241"/>
      <c r="N256" s="241"/>
      <c r="O256" s="241"/>
      <c r="P256" s="241"/>
      <c r="Q256" s="241"/>
      <c r="R256" s="241"/>
      <c r="S256" s="241"/>
      <c r="T256" s="241"/>
      <c r="U256" s="241"/>
      <c r="V256" s="241"/>
      <c r="W256" s="241"/>
      <c r="X256" s="241"/>
      <c r="Y256" s="241"/>
      <c r="Z256" s="241"/>
      <c r="AA256" s="241"/>
      <c r="AB256" s="290">
        <f t="shared" si="24"/>
        <v>270</v>
      </c>
      <c r="AC256" s="290">
        <f t="shared" si="25"/>
        <v>0</v>
      </c>
      <c r="AD256" s="290">
        <f t="shared" si="26"/>
        <v>135</v>
      </c>
      <c r="AE256" s="290">
        <f t="shared" si="27"/>
        <v>135</v>
      </c>
    </row>
    <row r="257" spans="1:31" x14ac:dyDescent="0.25">
      <c r="A257" s="280"/>
      <c r="B257" s="331">
        <f>Crop!B293</f>
        <v>41884</v>
      </c>
      <c r="C257" s="332">
        <f t="shared" si="28"/>
        <v>270</v>
      </c>
      <c r="D257" s="332">
        <f t="shared" si="29"/>
        <v>0</v>
      </c>
      <c r="E257" s="332">
        <f t="shared" si="30"/>
        <v>135</v>
      </c>
      <c r="F257" s="332">
        <f t="shared" si="31"/>
        <v>135</v>
      </c>
      <c r="G257" s="241"/>
      <c r="H257" s="241"/>
      <c r="I257" s="241"/>
      <c r="J257" s="241"/>
      <c r="K257" s="289"/>
      <c r="L257" s="289"/>
      <c r="M257" s="241"/>
      <c r="N257" s="241"/>
      <c r="O257" s="241"/>
      <c r="P257" s="241"/>
      <c r="Q257" s="241"/>
      <c r="R257" s="241"/>
      <c r="S257" s="241"/>
      <c r="T257" s="241"/>
      <c r="U257" s="241"/>
      <c r="V257" s="241"/>
      <c r="W257" s="241"/>
      <c r="X257" s="241"/>
      <c r="Y257" s="241"/>
      <c r="Z257" s="241"/>
      <c r="AA257" s="241"/>
      <c r="AB257" s="290">
        <f t="shared" si="24"/>
        <v>270</v>
      </c>
      <c r="AC257" s="290">
        <f t="shared" si="25"/>
        <v>0</v>
      </c>
      <c r="AD257" s="290">
        <f t="shared" si="26"/>
        <v>135</v>
      </c>
      <c r="AE257" s="290">
        <f t="shared" si="27"/>
        <v>135</v>
      </c>
    </row>
    <row r="258" spans="1:31" x14ac:dyDescent="0.25">
      <c r="A258" s="280"/>
      <c r="B258" s="331">
        <f>Crop!B294</f>
        <v>41885</v>
      </c>
      <c r="C258" s="332">
        <f t="shared" si="28"/>
        <v>270</v>
      </c>
      <c r="D258" s="332">
        <f t="shared" si="29"/>
        <v>0</v>
      </c>
      <c r="E258" s="332">
        <f t="shared" si="30"/>
        <v>135</v>
      </c>
      <c r="F258" s="332">
        <f t="shared" si="31"/>
        <v>135</v>
      </c>
      <c r="G258" s="241"/>
      <c r="H258" s="241"/>
      <c r="I258" s="241"/>
      <c r="J258" s="241"/>
      <c r="K258" s="289"/>
      <c r="L258" s="289"/>
      <c r="M258" s="241"/>
      <c r="N258" s="241"/>
      <c r="O258" s="241"/>
      <c r="P258" s="241"/>
      <c r="Q258" s="241"/>
      <c r="R258" s="241"/>
      <c r="S258" s="241"/>
      <c r="T258" s="241"/>
      <c r="U258" s="241"/>
      <c r="V258" s="241"/>
      <c r="W258" s="241"/>
      <c r="X258" s="241"/>
      <c r="Y258" s="241"/>
      <c r="Z258" s="241"/>
      <c r="AA258" s="241"/>
      <c r="AB258" s="290">
        <f t="shared" si="24"/>
        <v>270</v>
      </c>
      <c r="AC258" s="290">
        <f t="shared" si="25"/>
        <v>0</v>
      </c>
      <c r="AD258" s="290">
        <f t="shared" si="26"/>
        <v>135</v>
      </c>
      <c r="AE258" s="290">
        <f t="shared" si="27"/>
        <v>135</v>
      </c>
    </row>
    <row r="259" spans="1:31" x14ac:dyDescent="0.25">
      <c r="A259" s="280"/>
      <c r="B259" s="331">
        <f>Crop!B295</f>
        <v>41886</v>
      </c>
      <c r="C259" s="332">
        <f t="shared" si="28"/>
        <v>270</v>
      </c>
      <c r="D259" s="332">
        <f t="shared" si="29"/>
        <v>0</v>
      </c>
      <c r="E259" s="332">
        <f t="shared" si="30"/>
        <v>135</v>
      </c>
      <c r="F259" s="332">
        <f t="shared" si="31"/>
        <v>135</v>
      </c>
      <c r="G259" s="241"/>
      <c r="H259" s="241"/>
      <c r="I259" s="241"/>
      <c r="J259" s="241"/>
      <c r="K259" s="289"/>
      <c r="L259" s="289"/>
      <c r="M259" s="241"/>
      <c r="N259" s="241"/>
      <c r="O259" s="241"/>
      <c r="P259" s="241"/>
      <c r="Q259" s="241"/>
      <c r="R259" s="241"/>
      <c r="S259" s="241"/>
      <c r="T259" s="241"/>
      <c r="U259" s="241"/>
      <c r="V259" s="241"/>
      <c r="W259" s="241"/>
      <c r="X259" s="241"/>
      <c r="Y259" s="241"/>
      <c r="Z259" s="241"/>
      <c r="AA259" s="241"/>
      <c r="AB259" s="290">
        <f t="shared" si="24"/>
        <v>270</v>
      </c>
      <c r="AC259" s="290">
        <f t="shared" si="25"/>
        <v>0</v>
      </c>
      <c r="AD259" s="290">
        <f t="shared" si="26"/>
        <v>135</v>
      </c>
      <c r="AE259" s="290">
        <f t="shared" si="27"/>
        <v>135</v>
      </c>
    </row>
    <row r="260" spans="1:31" x14ac:dyDescent="0.25">
      <c r="A260" s="280"/>
      <c r="B260" s="331">
        <f>Crop!B296</f>
        <v>41887</v>
      </c>
      <c r="C260" s="332">
        <f t="shared" si="28"/>
        <v>270</v>
      </c>
      <c r="D260" s="332">
        <f t="shared" si="29"/>
        <v>0</v>
      </c>
      <c r="E260" s="332">
        <f t="shared" si="30"/>
        <v>135</v>
      </c>
      <c r="F260" s="332">
        <f t="shared" si="31"/>
        <v>135</v>
      </c>
      <c r="G260" s="241"/>
      <c r="H260" s="241"/>
      <c r="I260" s="241"/>
      <c r="J260" s="241"/>
      <c r="K260" s="289"/>
      <c r="L260" s="289"/>
      <c r="M260" s="241"/>
      <c r="N260" s="241"/>
      <c r="O260" s="241"/>
      <c r="P260" s="241"/>
      <c r="Q260" s="241"/>
      <c r="R260" s="241"/>
      <c r="S260" s="241"/>
      <c r="T260" s="241"/>
      <c r="U260" s="241"/>
      <c r="V260" s="241"/>
      <c r="W260" s="241"/>
      <c r="X260" s="241"/>
      <c r="Y260" s="241"/>
      <c r="Z260" s="241"/>
      <c r="AA260" s="241"/>
      <c r="AB260" s="290">
        <f t="shared" si="24"/>
        <v>270</v>
      </c>
      <c r="AC260" s="290">
        <f t="shared" si="25"/>
        <v>0</v>
      </c>
      <c r="AD260" s="290">
        <f t="shared" si="26"/>
        <v>135</v>
      </c>
      <c r="AE260" s="290">
        <f t="shared" si="27"/>
        <v>135</v>
      </c>
    </row>
    <row r="261" spans="1:31" x14ac:dyDescent="0.25">
      <c r="A261" s="280"/>
      <c r="B261" s="331">
        <f>Crop!B297</f>
        <v>41888</v>
      </c>
      <c r="C261" s="332">
        <f t="shared" si="28"/>
        <v>270</v>
      </c>
      <c r="D261" s="332">
        <f t="shared" si="29"/>
        <v>0</v>
      </c>
      <c r="E261" s="332">
        <f t="shared" si="30"/>
        <v>135</v>
      </c>
      <c r="F261" s="332">
        <f t="shared" si="31"/>
        <v>135</v>
      </c>
      <c r="G261" s="241"/>
      <c r="H261" s="241"/>
      <c r="I261" s="241"/>
      <c r="J261" s="241"/>
      <c r="K261" s="289"/>
      <c r="L261" s="289"/>
      <c r="M261" s="241"/>
      <c r="N261" s="241"/>
      <c r="O261" s="241"/>
      <c r="P261" s="241"/>
      <c r="Q261" s="241"/>
      <c r="R261" s="241"/>
      <c r="S261" s="241"/>
      <c r="T261" s="241"/>
      <c r="U261" s="241"/>
      <c r="V261" s="241"/>
      <c r="W261" s="241"/>
      <c r="X261" s="241"/>
      <c r="Y261" s="241"/>
      <c r="Z261" s="241"/>
      <c r="AA261" s="241"/>
      <c r="AB261" s="290">
        <f t="shared" si="24"/>
        <v>270</v>
      </c>
      <c r="AC261" s="290">
        <f t="shared" si="25"/>
        <v>0</v>
      </c>
      <c r="AD261" s="290">
        <f t="shared" si="26"/>
        <v>135</v>
      </c>
      <c r="AE261" s="290">
        <f t="shared" si="27"/>
        <v>135</v>
      </c>
    </row>
    <row r="262" spans="1:31" x14ac:dyDescent="0.25">
      <c r="A262" s="280"/>
      <c r="B262" s="331">
        <f>Crop!B298</f>
        <v>41889</v>
      </c>
      <c r="C262" s="332">
        <f t="shared" si="28"/>
        <v>270</v>
      </c>
      <c r="D262" s="332">
        <f t="shared" si="29"/>
        <v>0</v>
      </c>
      <c r="E262" s="332">
        <f t="shared" si="30"/>
        <v>135</v>
      </c>
      <c r="F262" s="332">
        <f t="shared" si="31"/>
        <v>135</v>
      </c>
      <c r="G262" s="241"/>
      <c r="H262" s="241"/>
      <c r="I262" s="241"/>
      <c r="J262" s="241"/>
      <c r="K262" s="289"/>
      <c r="L262" s="289"/>
      <c r="M262" s="241"/>
      <c r="N262" s="241"/>
      <c r="O262" s="241"/>
      <c r="P262" s="241"/>
      <c r="Q262" s="241"/>
      <c r="R262" s="241"/>
      <c r="S262" s="241"/>
      <c r="T262" s="241"/>
      <c r="U262" s="241"/>
      <c r="V262" s="241"/>
      <c r="W262" s="241"/>
      <c r="X262" s="241"/>
      <c r="Y262" s="241"/>
      <c r="Z262" s="241"/>
      <c r="AA262" s="241"/>
      <c r="AB262" s="290">
        <f t="shared" si="24"/>
        <v>270</v>
      </c>
      <c r="AC262" s="290">
        <f t="shared" si="25"/>
        <v>0</v>
      </c>
      <c r="AD262" s="290">
        <f t="shared" si="26"/>
        <v>135</v>
      </c>
      <c r="AE262" s="290">
        <f t="shared" si="27"/>
        <v>135</v>
      </c>
    </row>
    <row r="263" spans="1:31" x14ac:dyDescent="0.25">
      <c r="A263" s="280"/>
      <c r="B263" s="331">
        <f>Crop!B299</f>
        <v>41890</v>
      </c>
      <c r="C263" s="332">
        <f t="shared" si="28"/>
        <v>270</v>
      </c>
      <c r="D263" s="332">
        <f t="shared" si="29"/>
        <v>0</v>
      </c>
      <c r="E263" s="332">
        <f t="shared" si="30"/>
        <v>135</v>
      </c>
      <c r="F263" s="332">
        <f t="shared" si="31"/>
        <v>135</v>
      </c>
      <c r="G263" s="241"/>
      <c r="H263" s="241"/>
      <c r="I263" s="241"/>
      <c r="J263" s="241"/>
      <c r="K263" s="289"/>
      <c r="L263" s="289"/>
      <c r="M263" s="241"/>
      <c r="N263" s="241"/>
      <c r="O263" s="241"/>
      <c r="P263" s="241"/>
      <c r="Q263" s="241"/>
      <c r="R263" s="241"/>
      <c r="S263" s="241"/>
      <c r="T263" s="241"/>
      <c r="U263" s="241"/>
      <c r="V263" s="241"/>
      <c r="W263" s="241"/>
      <c r="X263" s="241"/>
      <c r="Y263" s="241"/>
      <c r="Z263" s="241"/>
      <c r="AA263" s="241"/>
      <c r="AB263" s="290">
        <f t="shared" si="24"/>
        <v>270</v>
      </c>
      <c r="AC263" s="290">
        <f t="shared" si="25"/>
        <v>0</v>
      </c>
      <c r="AD263" s="290">
        <f t="shared" si="26"/>
        <v>135</v>
      </c>
      <c r="AE263" s="290">
        <f t="shared" si="27"/>
        <v>135</v>
      </c>
    </row>
    <row r="264" spans="1:31" x14ac:dyDescent="0.25">
      <c r="A264" s="280"/>
      <c r="B264" s="331">
        <f>Crop!B300</f>
        <v>41891</v>
      </c>
      <c r="C264" s="332">
        <f t="shared" si="28"/>
        <v>270</v>
      </c>
      <c r="D264" s="332">
        <f t="shared" si="29"/>
        <v>0</v>
      </c>
      <c r="E264" s="332">
        <f t="shared" si="30"/>
        <v>135</v>
      </c>
      <c r="F264" s="332">
        <f t="shared" si="31"/>
        <v>135</v>
      </c>
      <c r="G264" s="241"/>
      <c r="H264" s="241"/>
      <c r="I264" s="241"/>
      <c r="J264" s="241"/>
      <c r="K264" s="289"/>
      <c r="L264" s="289"/>
      <c r="M264" s="241"/>
      <c r="N264" s="241"/>
      <c r="O264" s="241"/>
      <c r="P264" s="241"/>
      <c r="Q264" s="241"/>
      <c r="R264" s="241"/>
      <c r="S264" s="241"/>
      <c r="T264" s="241"/>
      <c r="U264" s="241"/>
      <c r="V264" s="241"/>
      <c r="W264" s="241"/>
      <c r="X264" s="241"/>
      <c r="Y264" s="241"/>
      <c r="Z264" s="241"/>
      <c r="AA264" s="241"/>
      <c r="AB264" s="290">
        <f t="shared" si="24"/>
        <v>270</v>
      </c>
      <c r="AC264" s="290">
        <f t="shared" si="25"/>
        <v>0</v>
      </c>
      <c r="AD264" s="290">
        <f t="shared" si="26"/>
        <v>135</v>
      </c>
      <c r="AE264" s="290">
        <f t="shared" si="27"/>
        <v>135</v>
      </c>
    </row>
    <row r="265" spans="1:31" x14ac:dyDescent="0.25">
      <c r="A265" s="280"/>
      <c r="B265" s="331">
        <f>Crop!B301</f>
        <v>41892</v>
      </c>
      <c r="C265" s="332">
        <f t="shared" si="28"/>
        <v>270</v>
      </c>
      <c r="D265" s="332">
        <f t="shared" si="29"/>
        <v>0</v>
      </c>
      <c r="E265" s="332">
        <f t="shared" si="30"/>
        <v>135</v>
      </c>
      <c r="F265" s="332">
        <f t="shared" si="31"/>
        <v>135</v>
      </c>
      <c r="G265" s="241"/>
      <c r="H265" s="241"/>
      <c r="I265" s="241"/>
      <c r="J265" s="241"/>
      <c r="K265" s="289"/>
      <c r="L265" s="289"/>
      <c r="M265" s="241"/>
      <c r="N265" s="241"/>
      <c r="O265" s="241"/>
      <c r="P265" s="241"/>
      <c r="Q265" s="241"/>
      <c r="R265" s="241"/>
      <c r="S265" s="241"/>
      <c r="T265" s="241"/>
      <c r="U265" s="241"/>
      <c r="V265" s="241"/>
      <c r="W265" s="241"/>
      <c r="X265" s="241"/>
      <c r="Y265" s="241"/>
      <c r="Z265" s="241"/>
      <c r="AA265" s="241"/>
      <c r="AB265" s="290">
        <f t="shared" si="24"/>
        <v>270</v>
      </c>
      <c r="AC265" s="290">
        <f t="shared" si="25"/>
        <v>0</v>
      </c>
      <c r="AD265" s="290">
        <f t="shared" si="26"/>
        <v>135</v>
      </c>
      <c r="AE265" s="290">
        <f t="shared" si="27"/>
        <v>135</v>
      </c>
    </row>
    <row r="266" spans="1:31" x14ac:dyDescent="0.25">
      <c r="A266" s="280"/>
      <c r="B266" s="331">
        <f>Crop!B302</f>
        <v>41893</v>
      </c>
      <c r="C266" s="332">
        <f t="shared" si="28"/>
        <v>270</v>
      </c>
      <c r="D266" s="332">
        <f t="shared" si="29"/>
        <v>0</v>
      </c>
      <c r="E266" s="332">
        <f t="shared" si="30"/>
        <v>135</v>
      </c>
      <c r="F266" s="332">
        <f t="shared" si="31"/>
        <v>135</v>
      </c>
      <c r="G266" s="241"/>
      <c r="H266" s="241"/>
      <c r="I266" s="241"/>
      <c r="J266" s="241"/>
      <c r="K266" s="289"/>
      <c r="L266" s="289"/>
      <c r="M266" s="241"/>
      <c r="N266" s="241"/>
      <c r="O266" s="241"/>
      <c r="P266" s="241"/>
      <c r="Q266" s="241"/>
      <c r="R266" s="241"/>
      <c r="S266" s="241"/>
      <c r="T266" s="241"/>
      <c r="U266" s="241"/>
      <c r="V266" s="241"/>
      <c r="W266" s="241"/>
      <c r="X266" s="241"/>
      <c r="Y266" s="241"/>
      <c r="Z266" s="241"/>
      <c r="AA266" s="241"/>
      <c r="AB266" s="290">
        <f t="shared" si="24"/>
        <v>270</v>
      </c>
      <c r="AC266" s="290">
        <f t="shared" si="25"/>
        <v>0</v>
      </c>
      <c r="AD266" s="290">
        <f t="shared" si="26"/>
        <v>135</v>
      </c>
      <c r="AE266" s="290">
        <f t="shared" si="27"/>
        <v>135</v>
      </c>
    </row>
    <row r="267" spans="1:31" x14ac:dyDescent="0.25">
      <c r="A267" s="280"/>
      <c r="B267" s="331">
        <f>Crop!B303</f>
        <v>41894</v>
      </c>
      <c r="C267" s="332">
        <f t="shared" si="28"/>
        <v>270</v>
      </c>
      <c r="D267" s="332">
        <f t="shared" si="29"/>
        <v>0</v>
      </c>
      <c r="E267" s="332">
        <f t="shared" si="30"/>
        <v>135</v>
      </c>
      <c r="F267" s="332">
        <f t="shared" si="31"/>
        <v>135</v>
      </c>
      <c r="G267" s="241"/>
      <c r="H267" s="241"/>
      <c r="I267" s="241"/>
      <c r="J267" s="241"/>
      <c r="K267" s="289"/>
      <c r="L267" s="289"/>
      <c r="M267" s="241"/>
      <c r="N267" s="241"/>
      <c r="O267" s="241"/>
      <c r="P267" s="241"/>
      <c r="Q267" s="241"/>
      <c r="R267" s="241"/>
      <c r="S267" s="241"/>
      <c r="T267" s="241"/>
      <c r="U267" s="241"/>
      <c r="V267" s="241"/>
      <c r="W267" s="241"/>
      <c r="X267" s="241"/>
      <c r="Y267" s="241"/>
      <c r="Z267" s="241"/>
      <c r="AA267" s="241"/>
      <c r="AB267" s="290">
        <f t="shared" si="24"/>
        <v>270</v>
      </c>
      <c r="AC267" s="290">
        <f t="shared" si="25"/>
        <v>0</v>
      </c>
      <c r="AD267" s="290">
        <f t="shared" si="26"/>
        <v>135</v>
      </c>
      <c r="AE267" s="290">
        <f t="shared" si="27"/>
        <v>135</v>
      </c>
    </row>
    <row r="268" spans="1:31" x14ac:dyDescent="0.25">
      <c r="A268" s="280"/>
      <c r="B268" s="331">
        <f>Crop!B304</f>
        <v>41895</v>
      </c>
      <c r="C268" s="332">
        <f t="shared" si="28"/>
        <v>270</v>
      </c>
      <c r="D268" s="332">
        <f t="shared" si="29"/>
        <v>0</v>
      </c>
      <c r="E268" s="332">
        <f t="shared" si="30"/>
        <v>135</v>
      </c>
      <c r="F268" s="332">
        <f t="shared" si="31"/>
        <v>135</v>
      </c>
      <c r="G268" s="241"/>
      <c r="H268" s="241"/>
      <c r="I268" s="241"/>
      <c r="J268" s="241"/>
      <c r="K268" s="289"/>
      <c r="L268" s="289"/>
      <c r="M268" s="241"/>
      <c r="N268" s="241"/>
      <c r="O268" s="241"/>
      <c r="P268" s="241"/>
      <c r="Q268" s="241"/>
      <c r="R268" s="241"/>
      <c r="S268" s="241"/>
      <c r="T268" s="241"/>
      <c r="U268" s="241"/>
      <c r="V268" s="241"/>
      <c r="W268" s="241"/>
      <c r="X268" s="241"/>
      <c r="Y268" s="241"/>
      <c r="Z268" s="241"/>
      <c r="AA268" s="241"/>
      <c r="AB268" s="290">
        <f t="shared" si="24"/>
        <v>270</v>
      </c>
      <c r="AC268" s="290">
        <f t="shared" si="25"/>
        <v>0</v>
      </c>
      <c r="AD268" s="290">
        <f t="shared" si="26"/>
        <v>135</v>
      </c>
      <c r="AE268" s="290">
        <f t="shared" si="27"/>
        <v>135</v>
      </c>
    </row>
    <row r="269" spans="1:31" x14ac:dyDescent="0.25">
      <c r="A269" s="280"/>
      <c r="B269" s="331">
        <f>Crop!B305</f>
        <v>41896</v>
      </c>
      <c r="C269" s="332">
        <f t="shared" si="28"/>
        <v>270</v>
      </c>
      <c r="D269" s="332">
        <f t="shared" si="29"/>
        <v>0</v>
      </c>
      <c r="E269" s="332">
        <f t="shared" si="30"/>
        <v>135</v>
      </c>
      <c r="F269" s="332">
        <f t="shared" si="31"/>
        <v>135</v>
      </c>
      <c r="G269" s="241"/>
      <c r="H269" s="241"/>
      <c r="I269" s="241"/>
      <c r="J269" s="241"/>
      <c r="K269" s="289"/>
      <c r="L269" s="289"/>
      <c r="M269" s="241"/>
      <c r="N269" s="241"/>
      <c r="O269" s="241"/>
      <c r="P269" s="241"/>
      <c r="Q269" s="241"/>
      <c r="R269" s="241"/>
      <c r="S269" s="241"/>
      <c r="T269" s="241"/>
      <c r="U269" s="241"/>
      <c r="V269" s="241"/>
      <c r="W269" s="241"/>
      <c r="X269" s="241"/>
      <c r="Y269" s="241"/>
      <c r="Z269" s="241"/>
      <c r="AA269" s="241"/>
      <c r="AB269" s="290">
        <f t="shared" ref="AB269:AB332" si="32">IF(C269="",#N/A,C269)</f>
        <v>270</v>
      </c>
      <c r="AC269" s="290">
        <f t="shared" ref="AC269:AC332" si="33">IF(D269="",#N/A,D269)</f>
        <v>0</v>
      </c>
      <c r="AD269" s="290">
        <f t="shared" ref="AD269:AD332" si="34">IF(E269="",#N/A,E269)</f>
        <v>135</v>
      </c>
      <c r="AE269" s="290">
        <f t="shared" ref="AE269:AE332" si="35">IF(F269="",#N/A,F269)</f>
        <v>135</v>
      </c>
    </row>
    <row r="270" spans="1:31" x14ac:dyDescent="0.25">
      <c r="A270" s="280"/>
      <c r="B270" s="331">
        <f>Crop!B306</f>
        <v>41897</v>
      </c>
      <c r="C270" s="332">
        <f t="shared" ref="C270:C333" si="36">G$8</f>
        <v>270</v>
      </c>
      <c r="D270" s="332">
        <f t="shared" ref="D270:D333" si="37">IF(B270=B$6,AC$6,IF(B270&gt;B$10,"",IF(B270&gt;=B$9,D269+AD$9,IF(B270&gt;B$8,D269+AD$8,IF(B270&gt;B$7,D269+AD$7,IF(B270&gt;B$6,AC$6,""))))))</f>
        <v>0</v>
      </c>
      <c r="E270" s="332">
        <f t="shared" ref="E270:E333" si="38">IF($B270&lt;B$6,150*F$8,IF($B270=$B$6,L$6,IF($B270&gt;$B$10,150*F$8,IF($B270&gt;=$B$9,E269+AB$9,IF($B270&gt;$B$8,E269+AB$8,IF($B270&gt;$B$7,E269+AB$7,IF($B270&gt;$B$6,L$6,"")))))))</f>
        <v>135</v>
      </c>
      <c r="F270" s="332">
        <f t="shared" si="31"/>
        <v>135</v>
      </c>
      <c r="G270" s="241"/>
      <c r="H270" s="241"/>
      <c r="I270" s="241"/>
      <c r="J270" s="241"/>
      <c r="K270" s="289"/>
      <c r="L270" s="289"/>
      <c r="M270" s="241"/>
      <c r="N270" s="241"/>
      <c r="O270" s="241"/>
      <c r="P270" s="241"/>
      <c r="Q270" s="241"/>
      <c r="R270" s="241"/>
      <c r="S270" s="241"/>
      <c r="T270" s="241"/>
      <c r="U270" s="241"/>
      <c r="V270" s="241"/>
      <c r="W270" s="241"/>
      <c r="X270" s="241"/>
      <c r="Y270" s="241"/>
      <c r="Z270" s="241"/>
      <c r="AA270" s="241"/>
      <c r="AB270" s="290">
        <f t="shared" si="32"/>
        <v>270</v>
      </c>
      <c r="AC270" s="290">
        <f t="shared" si="33"/>
        <v>0</v>
      </c>
      <c r="AD270" s="290">
        <f t="shared" si="34"/>
        <v>135</v>
      </c>
      <c r="AE270" s="290">
        <f t="shared" si="35"/>
        <v>135</v>
      </c>
    </row>
    <row r="271" spans="1:31" x14ac:dyDescent="0.25">
      <c r="A271" s="280"/>
      <c r="B271" s="331">
        <f>Crop!B307</f>
        <v>41898</v>
      </c>
      <c r="C271" s="332">
        <f t="shared" si="36"/>
        <v>270</v>
      </c>
      <c r="D271" s="332">
        <f t="shared" si="37"/>
        <v>0</v>
      </c>
      <c r="E271" s="332">
        <f t="shared" si="38"/>
        <v>135</v>
      </c>
      <c r="F271" s="332">
        <f t="shared" ref="F271:F334" si="39">IF(C271="","",C271-E271)</f>
        <v>135</v>
      </c>
      <c r="G271" s="241"/>
      <c r="H271" s="241"/>
      <c r="I271" s="241"/>
      <c r="J271" s="241"/>
      <c r="K271" s="289"/>
      <c r="L271" s="289"/>
      <c r="M271" s="241"/>
      <c r="N271" s="241"/>
      <c r="O271" s="241"/>
      <c r="P271" s="241"/>
      <c r="Q271" s="241"/>
      <c r="R271" s="241"/>
      <c r="S271" s="241"/>
      <c r="T271" s="241"/>
      <c r="U271" s="241"/>
      <c r="V271" s="241"/>
      <c r="W271" s="241"/>
      <c r="X271" s="241"/>
      <c r="Y271" s="241"/>
      <c r="Z271" s="241"/>
      <c r="AA271" s="241"/>
      <c r="AB271" s="290">
        <f t="shared" si="32"/>
        <v>270</v>
      </c>
      <c r="AC271" s="290">
        <f t="shared" si="33"/>
        <v>0</v>
      </c>
      <c r="AD271" s="290">
        <f t="shared" si="34"/>
        <v>135</v>
      </c>
      <c r="AE271" s="290">
        <f t="shared" si="35"/>
        <v>135</v>
      </c>
    </row>
    <row r="272" spans="1:31" x14ac:dyDescent="0.25">
      <c r="A272" s="280"/>
      <c r="B272" s="331">
        <f>Crop!B308</f>
        <v>41899</v>
      </c>
      <c r="C272" s="332">
        <f t="shared" si="36"/>
        <v>270</v>
      </c>
      <c r="D272" s="332">
        <f t="shared" si="37"/>
        <v>0</v>
      </c>
      <c r="E272" s="332">
        <f t="shared" si="38"/>
        <v>135</v>
      </c>
      <c r="F272" s="332">
        <f t="shared" si="39"/>
        <v>135</v>
      </c>
      <c r="G272" s="241"/>
      <c r="H272" s="241"/>
      <c r="I272" s="241"/>
      <c r="J272" s="241"/>
      <c r="K272" s="289"/>
      <c r="L272" s="289"/>
      <c r="M272" s="241"/>
      <c r="N272" s="241"/>
      <c r="O272" s="241"/>
      <c r="P272" s="241"/>
      <c r="Q272" s="241"/>
      <c r="R272" s="241"/>
      <c r="S272" s="241"/>
      <c r="T272" s="241"/>
      <c r="U272" s="241"/>
      <c r="V272" s="241"/>
      <c r="W272" s="241"/>
      <c r="X272" s="241"/>
      <c r="Y272" s="241"/>
      <c r="Z272" s="241"/>
      <c r="AA272" s="241"/>
      <c r="AB272" s="290">
        <f t="shared" si="32"/>
        <v>270</v>
      </c>
      <c r="AC272" s="290">
        <f t="shared" si="33"/>
        <v>0</v>
      </c>
      <c r="AD272" s="290">
        <f t="shared" si="34"/>
        <v>135</v>
      </c>
      <c r="AE272" s="290">
        <f t="shared" si="35"/>
        <v>135</v>
      </c>
    </row>
    <row r="273" spans="1:31" x14ac:dyDescent="0.25">
      <c r="A273" s="280"/>
      <c r="B273" s="331">
        <f>Crop!B309</f>
        <v>41900</v>
      </c>
      <c r="C273" s="332">
        <f t="shared" si="36"/>
        <v>270</v>
      </c>
      <c r="D273" s="332">
        <f t="shared" si="37"/>
        <v>0</v>
      </c>
      <c r="E273" s="332">
        <f t="shared" si="38"/>
        <v>135</v>
      </c>
      <c r="F273" s="332">
        <f t="shared" si="39"/>
        <v>135</v>
      </c>
      <c r="G273" s="241"/>
      <c r="H273" s="241"/>
      <c r="I273" s="241"/>
      <c r="J273" s="241"/>
      <c r="K273" s="289"/>
      <c r="L273" s="289"/>
      <c r="M273" s="241"/>
      <c r="N273" s="241"/>
      <c r="O273" s="241"/>
      <c r="P273" s="241"/>
      <c r="Q273" s="241"/>
      <c r="R273" s="241"/>
      <c r="S273" s="241"/>
      <c r="T273" s="241"/>
      <c r="U273" s="241"/>
      <c r="V273" s="241"/>
      <c r="W273" s="241"/>
      <c r="X273" s="241"/>
      <c r="Y273" s="241"/>
      <c r="Z273" s="241"/>
      <c r="AA273" s="241"/>
      <c r="AB273" s="290">
        <f t="shared" si="32"/>
        <v>270</v>
      </c>
      <c r="AC273" s="290">
        <f t="shared" si="33"/>
        <v>0</v>
      </c>
      <c r="AD273" s="290">
        <f t="shared" si="34"/>
        <v>135</v>
      </c>
      <c r="AE273" s="290">
        <f t="shared" si="35"/>
        <v>135</v>
      </c>
    </row>
    <row r="274" spans="1:31" x14ac:dyDescent="0.25">
      <c r="A274" s="280"/>
      <c r="B274" s="331">
        <f>Crop!B310</f>
        <v>41901</v>
      </c>
      <c r="C274" s="332">
        <f t="shared" si="36"/>
        <v>270</v>
      </c>
      <c r="D274" s="332">
        <f t="shared" si="37"/>
        <v>0</v>
      </c>
      <c r="E274" s="332">
        <f t="shared" si="38"/>
        <v>135</v>
      </c>
      <c r="F274" s="332">
        <f t="shared" si="39"/>
        <v>135</v>
      </c>
      <c r="G274" s="241"/>
      <c r="H274" s="241"/>
      <c r="I274" s="241"/>
      <c r="J274" s="241"/>
      <c r="K274" s="289"/>
      <c r="L274" s="289"/>
      <c r="M274" s="241"/>
      <c r="N274" s="241"/>
      <c r="O274" s="241"/>
      <c r="P274" s="241"/>
      <c r="Q274" s="241"/>
      <c r="R274" s="241"/>
      <c r="S274" s="241"/>
      <c r="T274" s="241"/>
      <c r="U274" s="241"/>
      <c r="V274" s="241"/>
      <c r="W274" s="241"/>
      <c r="X274" s="241"/>
      <c r="Y274" s="241"/>
      <c r="Z274" s="241"/>
      <c r="AA274" s="241"/>
      <c r="AB274" s="290">
        <f t="shared" si="32"/>
        <v>270</v>
      </c>
      <c r="AC274" s="290">
        <f t="shared" si="33"/>
        <v>0</v>
      </c>
      <c r="AD274" s="290">
        <f t="shared" si="34"/>
        <v>135</v>
      </c>
      <c r="AE274" s="290">
        <f t="shared" si="35"/>
        <v>135</v>
      </c>
    </row>
    <row r="275" spans="1:31" x14ac:dyDescent="0.25">
      <c r="A275" s="280"/>
      <c r="B275" s="331">
        <f>Crop!B311</f>
        <v>41902</v>
      </c>
      <c r="C275" s="332">
        <f t="shared" si="36"/>
        <v>270</v>
      </c>
      <c r="D275" s="332">
        <f t="shared" si="37"/>
        <v>0</v>
      </c>
      <c r="E275" s="332">
        <f t="shared" si="38"/>
        <v>135</v>
      </c>
      <c r="F275" s="332">
        <f t="shared" si="39"/>
        <v>135</v>
      </c>
      <c r="G275" s="241"/>
      <c r="H275" s="241"/>
      <c r="I275" s="241"/>
      <c r="J275" s="241"/>
      <c r="K275" s="289"/>
      <c r="L275" s="289"/>
      <c r="M275" s="241"/>
      <c r="N275" s="241"/>
      <c r="O275" s="241"/>
      <c r="P275" s="241"/>
      <c r="Q275" s="241"/>
      <c r="R275" s="241"/>
      <c r="S275" s="241"/>
      <c r="T275" s="241"/>
      <c r="U275" s="241"/>
      <c r="V275" s="241"/>
      <c r="W275" s="241"/>
      <c r="X275" s="241"/>
      <c r="Y275" s="241"/>
      <c r="Z275" s="241"/>
      <c r="AA275" s="241"/>
      <c r="AB275" s="290">
        <f t="shared" si="32"/>
        <v>270</v>
      </c>
      <c r="AC275" s="290">
        <f t="shared" si="33"/>
        <v>0</v>
      </c>
      <c r="AD275" s="290">
        <f t="shared" si="34"/>
        <v>135</v>
      </c>
      <c r="AE275" s="290">
        <f t="shared" si="35"/>
        <v>135</v>
      </c>
    </row>
    <row r="276" spans="1:31" x14ac:dyDescent="0.25">
      <c r="A276" s="280"/>
      <c r="B276" s="331">
        <f>Crop!B312</f>
        <v>41903</v>
      </c>
      <c r="C276" s="332">
        <f t="shared" si="36"/>
        <v>270</v>
      </c>
      <c r="D276" s="332">
        <f t="shared" si="37"/>
        <v>0</v>
      </c>
      <c r="E276" s="332">
        <f t="shared" si="38"/>
        <v>135</v>
      </c>
      <c r="F276" s="332">
        <f t="shared" si="39"/>
        <v>135</v>
      </c>
      <c r="G276" s="241"/>
      <c r="H276" s="241"/>
      <c r="I276" s="241"/>
      <c r="J276" s="241"/>
      <c r="K276" s="289"/>
      <c r="L276" s="289"/>
      <c r="M276" s="241"/>
      <c r="N276" s="241"/>
      <c r="O276" s="241"/>
      <c r="P276" s="241"/>
      <c r="Q276" s="241"/>
      <c r="R276" s="241"/>
      <c r="S276" s="241"/>
      <c r="T276" s="241"/>
      <c r="U276" s="241"/>
      <c r="V276" s="241"/>
      <c r="W276" s="241"/>
      <c r="X276" s="241"/>
      <c r="Y276" s="241"/>
      <c r="Z276" s="241"/>
      <c r="AA276" s="241"/>
      <c r="AB276" s="290">
        <f t="shared" si="32"/>
        <v>270</v>
      </c>
      <c r="AC276" s="290">
        <f t="shared" si="33"/>
        <v>0</v>
      </c>
      <c r="AD276" s="290">
        <f t="shared" si="34"/>
        <v>135</v>
      </c>
      <c r="AE276" s="290">
        <f t="shared" si="35"/>
        <v>135</v>
      </c>
    </row>
    <row r="277" spans="1:31" x14ac:dyDescent="0.25">
      <c r="A277" s="280"/>
      <c r="B277" s="331">
        <f>Crop!B313</f>
        <v>41904</v>
      </c>
      <c r="C277" s="332">
        <f t="shared" si="36"/>
        <v>270</v>
      </c>
      <c r="D277" s="332">
        <f t="shared" si="37"/>
        <v>0</v>
      </c>
      <c r="E277" s="332">
        <f t="shared" si="38"/>
        <v>135</v>
      </c>
      <c r="F277" s="332">
        <f t="shared" si="39"/>
        <v>135</v>
      </c>
      <c r="G277" s="241"/>
      <c r="H277" s="241"/>
      <c r="I277" s="241"/>
      <c r="J277" s="241"/>
      <c r="K277" s="289"/>
      <c r="L277" s="289"/>
      <c r="M277" s="241"/>
      <c r="N277" s="241"/>
      <c r="O277" s="241"/>
      <c r="P277" s="241"/>
      <c r="Q277" s="241"/>
      <c r="R277" s="241"/>
      <c r="S277" s="241"/>
      <c r="T277" s="241"/>
      <c r="U277" s="241"/>
      <c r="V277" s="241"/>
      <c r="W277" s="241"/>
      <c r="X277" s="241"/>
      <c r="Y277" s="241"/>
      <c r="Z277" s="241"/>
      <c r="AA277" s="241"/>
      <c r="AB277" s="290">
        <f t="shared" si="32"/>
        <v>270</v>
      </c>
      <c r="AC277" s="290">
        <f t="shared" si="33"/>
        <v>0</v>
      </c>
      <c r="AD277" s="290">
        <f t="shared" si="34"/>
        <v>135</v>
      </c>
      <c r="AE277" s="290">
        <f t="shared" si="35"/>
        <v>135</v>
      </c>
    </row>
    <row r="278" spans="1:31" x14ac:dyDescent="0.25">
      <c r="A278" s="280"/>
      <c r="B278" s="331">
        <f>Crop!B314</f>
        <v>41905</v>
      </c>
      <c r="C278" s="332">
        <f t="shared" si="36"/>
        <v>270</v>
      </c>
      <c r="D278" s="332">
        <f t="shared" si="37"/>
        <v>0</v>
      </c>
      <c r="E278" s="332">
        <f t="shared" si="38"/>
        <v>135</v>
      </c>
      <c r="F278" s="332">
        <f t="shared" si="39"/>
        <v>135</v>
      </c>
      <c r="G278" s="241"/>
      <c r="H278" s="241"/>
      <c r="I278" s="241"/>
      <c r="J278" s="241"/>
      <c r="K278" s="289"/>
      <c r="L278" s="289"/>
      <c r="M278" s="241"/>
      <c r="N278" s="241"/>
      <c r="O278" s="241"/>
      <c r="P278" s="241"/>
      <c r="Q278" s="241"/>
      <c r="R278" s="241"/>
      <c r="S278" s="241"/>
      <c r="T278" s="241"/>
      <c r="U278" s="241"/>
      <c r="V278" s="241"/>
      <c r="W278" s="241"/>
      <c r="X278" s="241"/>
      <c r="Y278" s="241"/>
      <c r="Z278" s="241"/>
      <c r="AA278" s="241"/>
      <c r="AB278" s="290">
        <f t="shared" si="32"/>
        <v>270</v>
      </c>
      <c r="AC278" s="290">
        <f t="shared" si="33"/>
        <v>0</v>
      </c>
      <c r="AD278" s="290">
        <f t="shared" si="34"/>
        <v>135</v>
      </c>
      <c r="AE278" s="290">
        <f t="shared" si="35"/>
        <v>135</v>
      </c>
    </row>
    <row r="279" spans="1:31" x14ac:dyDescent="0.25">
      <c r="A279" s="280"/>
      <c r="B279" s="331">
        <f>Crop!B315</f>
        <v>41906</v>
      </c>
      <c r="C279" s="332">
        <f t="shared" si="36"/>
        <v>270</v>
      </c>
      <c r="D279" s="332">
        <f t="shared" si="37"/>
        <v>0</v>
      </c>
      <c r="E279" s="332">
        <f t="shared" si="38"/>
        <v>135</v>
      </c>
      <c r="F279" s="332">
        <f t="shared" si="39"/>
        <v>135</v>
      </c>
      <c r="G279" s="241"/>
      <c r="H279" s="241"/>
      <c r="I279" s="241"/>
      <c r="J279" s="241"/>
      <c r="K279" s="289"/>
      <c r="L279" s="289"/>
      <c r="M279" s="241"/>
      <c r="N279" s="241"/>
      <c r="O279" s="241"/>
      <c r="P279" s="241"/>
      <c r="Q279" s="241"/>
      <c r="R279" s="241"/>
      <c r="S279" s="241"/>
      <c r="T279" s="241"/>
      <c r="U279" s="241"/>
      <c r="V279" s="241"/>
      <c r="W279" s="241"/>
      <c r="X279" s="241"/>
      <c r="Y279" s="241"/>
      <c r="Z279" s="241"/>
      <c r="AA279" s="241"/>
      <c r="AB279" s="290">
        <f t="shared" si="32"/>
        <v>270</v>
      </c>
      <c r="AC279" s="290">
        <f t="shared" si="33"/>
        <v>0</v>
      </c>
      <c r="AD279" s="290">
        <f t="shared" si="34"/>
        <v>135</v>
      </c>
      <c r="AE279" s="290">
        <f t="shared" si="35"/>
        <v>135</v>
      </c>
    </row>
    <row r="280" spans="1:31" x14ac:dyDescent="0.25">
      <c r="A280" s="280"/>
      <c r="B280" s="331">
        <f>Crop!B316</f>
        <v>41907</v>
      </c>
      <c r="C280" s="332">
        <f t="shared" si="36"/>
        <v>270</v>
      </c>
      <c r="D280" s="332">
        <f t="shared" si="37"/>
        <v>0</v>
      </c>
      <c r="E280" s="332">
        <f t="shared" si="38"/>
        <v>135</v>
      </c>
      <c r="F280" s="332">
        <f t="shared" si="39"/>
        <v>135</v>
      </c>
      <c r="G280" s="241"/>
      <c r="H280" s="241"/>
      <c r="I280" s="241"/>
      <c r="J280" s="241"/>
      <c r="K280" s="289"/>
      <c r="L280" s="289"/>
      <c r="M280" s="241"/>
      <c r="N280" s="241"/>
      <c r="O280" s="241"/>
      <c r="P280" s="241"/>
      <c r="Q280" s="241"/>
      <c r="R280" s="241"/>
      <c r="S280" s="241"/>
      <c r="T280" s="241"/>
      <c r="U280" s="241"/>
      <c r="V280" s="241"/>
      <c r="W280" s="241"/>
      <c r="X280" s="241"/>
      <c r="Y280" s="241"/>
      <c r="Z280" s="241"/>
      <c r="AA280" s="241"/>
      <c r="AB280" s="290">
        <f t="shared" si="32"/>
        <v>270</v>
      </c>
      <c r="AC280" s="290">
        <f t="shared" si="33"/>
        <v>0</v>
      </c>
      <c r="AD280" s="290">
        <f t="shared" si="34"/>
        <v>135</v>
      </c>
      <c r="AE280" s="290">
        <f t="shared" si="35"/>
        <v>135</v>
      </c>
    </row>
    <row r="281" spans="1:31" x14ac:dyDescent="0.25">
      <c r="A281" s="280"/>
      <c r="B281" s="331">
        <f>Crop!B317</f>
        <v>41908</v>
      </c>
      <c r="C281" s="332">
        <f t="shared" si="36"/>
        <v>270</v>
      </c>
      <c r="D281" s="332">
        <f t="shared" si="37"/>
        <v>0</v>
      </c>
      <c r="E281" s="332">
        <f t="shared" si="38"/>
        <v>135</v>
      </c>
      <c r="F281" s="332">
        <f t="shared" si="39"/>
        <v>135</v>
      </c>
      <c r="G281" s="241"/>
      <c r="H281" s="241"/>
      <c r="I281" s="241"/>
      <c r="J281" s="241"/>
      <c r="K281" s="289"/>
      <c r="L281" s="289"/>
      <c r="M281" s="241"/>
      <c r="N281" s="241"/>
      <c r="O281" s="241"/>
      <c r="P281" s="241"/>
      <c r="Q281" s="241"/>
      <c r="R281" s="241"/>
      <c r="S281" s="241"/>
      <c r="T281" s="241"/>
      <c r="U281" s="241"/>
      <c r="V281" s="241"/>
      <c r="W281" s="241"/>
      <c r="X281" s="241"/>
      <c r="Y281" s="241"/>
      <c r="Z281" s="241"/>
      <c r="AA281" s="241"/>
      <c r="AB281" s="290">
        <f t="shared" si="32"/>
        <v>270</v>
      </c>
      <c r="AC281" s="290">
        <f t="shared" si="33"/>
        <v>0</v>
      </c>
      <c r="AD281" s="290">
        <f t="shared" si="34"/>
        <v>135</v>
      </c>
      <c r="AE281" s="290">
        <f t="shared" si="35"/>
        <v>135</v>
      </c>
    </row>
    <row r="282" spans="1:31" x14ac:dyDescent="0.25">
      <c r="A282" s="280"/>
      <c r="B282" s="331">
        <f>Crop!B318</f>
        <v>41909</v>
      </c>
      <c r="C282" s="332">
        <f t="shared" si="36"/>
        <v>270</v>
      </c>
      <c r="D282" s="332">
        <f t="shared" si="37"/>
        <v>0</v>
      </c>
      <c r="E282" s="332">
        <f t="shared" si="38"/>
        <v>135</v>
      </c>
      <c r="F282" s="332">
        <f t="shared" si="39"/>
        <v>135</v>
      </c>
      <c r="G282" s="241"/>
      <c r="H282" s="241"/>
      <c r="I282" s="241"/>
      <c r="J282" s="241"/>
      <c r="K282" s="289"/>
      <c r="L282" s="289"/>
      <c r="M282" s="241"/>
      <c r="N282" s="241"/>
      <c r="O282" s="241"/>
      <c r="P282" s="241"/>
      <c r="Q282" s="241"/>
      <c r="R282" s="241"/>
      <c r="S282" s="241"/>
      <c r="T282" s="241"/>
      <c r="U282" s="241"/>
      <c r="V282" s="241"/>
      <c r="W282" s="241"/>
      <c r="X282" s="241"/>
      <c r="Y282" s="241"/>
      <c r="Z282" s="241"/>
      <c r="AA282" s="241"/>
      <c r="AB282" s="290">
        <f t="shared" si="32"/>
        <v>270</v>
      </c>
      <c r="AC282" s="290">
        <f t="shared" si="33"/>
        <v>0</v>
      </c>
      <c r="AD282" s="290">
        <f t="shared" si="34"/>
        <v>135</v>
      </c>
      <c r="AE282" s="290">
        <f t="shared" si="35"/>
        <v>135</v>
      </c>
    </row>
    <row r="283" spans="1:31" x14ac:dyDescent="0.25">
      <c r="A283" s="280"/>
      <c r="B283" s="331">
        <f>Crop!B319</f>
        <v>41910</v>
      </c>
      <c r="C283" s="332">
        <f t="shared" si="36"/>
        <v>270</v>
      </c>
      <c r="D283" s="332">
        <f t="shared" si="37"/>
        <v>0</v>
      </c>
      <c r="E283" s="332">
        <f t="shared" si="38"/>
        <v>135</v>
      </c>
      <c r="F283" s="332">
        <f t="shared" si="39"/>
        <v>135</v>
      </c>
      <c r="G283" s="241"/>
      <c r="H283" s="241"/>
      <c r="I283" s="241"/>
      <c r="J283" s="241"/>
      <c r="K283" s="289"/>
      <c r="L283" s="289"/>
      <c r="M283" s="241"/>
      <c r="N283" s="241"/>
      <c r="O283" s="241"/>
      <c r="P283" s="241"/>
      <c r="Q283" s="241"/>
      <c r="R283" s="241"/>
      <c r="S283" s="241"/>
      <c r="T283" s="241"/>
      <c r="U283" s="241"/>
      <c r="V283" s="241"/>
      <c r="W283" s="241"/>
      <c r="X283" s="241"/>
      <c r="Y283" s="241"/>
      <c r="Z283" s="241"/>
      <c r="AA283" s="241"/>
      <c r="AB283" s="290">
        <f t="shared" si="32"/>
        <v>270</v>
      </c>
      <c r="AC283" s="290">
        <f t="shared" si="33"/>
        <v>0</v>
      </c>
      <c r="AD283" s="290">
        <f t="shared" si="34"/>
        <v>135</v>
      </c>
      <c r="AE283" s="290">
        <f t="shared" si="35"/>
        <v>135</v>
      </c>
    </row>
    <row r="284" spans="1:31" x14ac:dyDescent="0.25">
      <c r="A284" s="280"/>
      <c r="B284" s="331">
        <f>Crop!B320</f>
        <v>41911</v>
      </c>
      <c r="C284" s="332">
        <f t="shared" si="36"/>
        <v>270</v>
      </c>
      <c r="D284" s="332">
        <f t="shared" si="37"/>
        <v>0</v>
      </c>
      <c r="E284" s="332">
        <f t="shared" si="38"/>
        <v>135</v>
      </c>
      <c r="F284" s="332">
        <f t="shared" si="39"/>
        <v>135</v>
      </c>
      <c r="G284" s="241"/>
      <c r="H284" s="241"/>
      <c r="I284" s="241"/>
      <c r="J284" s="241"/>
      <c r="K284" s="289"/>
      <c r="L284" s="289"/>
      <c r="M284" s="241"/>
      <c r="N284" s="241"/>
      <c r="O284" s="241"/>
      <c r="P284" s="241"/>
      <c r="Q284" s="241"/>
      <c r="R284" s="241"/>
      <c r="S284" s="241"/>
      <c r="T284" s="241"/>
      <c r="U284" s="241"/>
      <c r="V284" s="241"/>
      <c r="W284" s="241"/>
      <c r="X284" s="241"/>
      <c r="Y284" s="241"/>
      <c r="Z284" s="241"/>
      <c r="AA284" s="241"/>
      <c r="AB284" s="290">
        <f t="shared" si="32"/>
        <v>270</v>
      </c>
      <c r="AC284" s="290">
        <f t="shared" si="33"/>
        <v>0</v>
      </c>
      <c r="AD284" s="290">
        <f t="shared" si="34"/>
        <v>135</v>
      </c>
      <c r="AE284" s="290">
        <f t="shared" si="35"/>
        <v>135</v>
      </c>
    </row>
    <row r="285" spans="1:31" x14ac:dyDescent="0.25">
      <c r="A285" s="280"/>
      <c r="B285" s="331">
        <f>Crop!B321</f>
        <v>41912</v>
      </c>
      <c r="C285" s="332">
        <f t="shared" si="36"/>
        <v>270</v>
      </c>
      <c r="D285" s="332">
        <f t="shared" si="37"/>
        <v>0</v>
      </c>
      <c r="E285" s="332">
        <f t="shared" si="38"/>
        <v>135</v>
      </c>
      <c r="F285" s="332">
        <f t="shared" si="39"/>
        <v>135</v>
      </c>
      <c r="G285" s="241"/>
      <c r="H285" s="241"/>
      <c r="I285" s="241"/>
      <c r="J285" s="241"/>
      <c r="K285" s="289"/>
      <c r="L285" s="289"/>
      <c r="M285" s="241"/>
      <c r="N285" s="241"/>
      <c r="O285" s="241"/>
      <c r="P285" s="241"/>
      <c r="Q285" s="241"/>
      <c r="R285" s="241"/>
      <c r="S285" s="241"/>
      <c r="T285" s="241"/>
      <c r="U285" s="241"/>
      <c r="V285" s="241"/>
      <c r="W285" s="241"/>
      <c r="X285" s="241"/>
      <c r="Y285" s="241"/>
      <c r="Z285" s="241"/>
      <c r="AA285" s="241"/>
      <c r="AB285" s="290">
        <f t="shared" si="32"/>
        <v>270</v>
      </c>
      <c r="AC285" s="290">
        <f t="shared" si="33"/>
        <v>0</v>
      </c>
      <c r="AD285" s="290">
        <f t="shared" si="34"/>
        <v>135</v>
      </c>
      <c r="AE285" s="290">
        <f t="shared" si="35"/>
        <v>135</v>
      </c>
    </row>
    <row r="286" spans="1:31" x14ac:dyDescent="0.25">
      <c r="A286" s="280"/>
      <c r="B286" s="331">
        <f>Crop!B322</f>
        <v>41913</v>
      </c>
      <c r="C286" s="332">
        <f t="shared" si="36"/>
        <v>270</v>
      </c>
      <c r="D286" s="332">
        <f t="shared" si="37"/>
        <v>0</v>
      </c>
      <c r="E286" s="332">
        <f t="shared" si="38"/>
        <v>135</v>
      </c>
      <c r="F286" s="332">
        <f t="shared" si="39"/>
        <v>135</v>
      </c>
      <c r="G286" s="241"/>
      <c r="H286" s="241"/>
      <c r="I286" s="241"/>
      <c r="J286" s="241"/>
      <c r="K286" s="289"/>
      <c r="L286" s="289"/>
      <c r="M286" s="241"/>
      <c r="N286" s="241"/>
      <c r="O286" s="241"/>
      <c r="P286" s="241"/>
      <c r="Q286" s="241"/>
      <c r="R286" s="241"/>
      <c r="S286" s="241"/>
      <c r="T286" s="241"/>
      <c r="U286" s="241"/>
      <c r="V286" s="241"/>
      <c r="W286" s="241"/>
      <c r="X286" s="241"/>
      <c r="Y286" s="241"/>
      <c r="Z286" s="241"/>
      <c r="AA286" s="241"/>
      <c r="AB286" s="290">
        <f t="shared" si="32"/>
        <v>270</v>
      </c>
      <c r="AC286" s="290">
        <f t="shared" si="33"/>
        <v>0</v>
      </c>
      <c r="AD286" s="290">
        <f t="shared" si="34"/>
        <v>135</v>
      </c>
      <c r="AE286" s="290">
        <f t="shared" si="35"/>
        <v>135</v>
      </c>
    </row>
    <row r="287" spans="1:31" x14ac:dyDescent="0.25">
      <c r="A287" s="280"/>
      <c r="B287" s="331">
        <f>Crop!B323</f>
        <v>41914</v>
      </c>
      <c r="C287" s="332">
        <f t="shared" si="36"/>
        <v>270</v>
      </c>
      <c r="D287" s="332">
        <f t="shared" si="37"/>
        <v>0</v>
      </c>
      <c r="E287" s="332">
        <f t="shared" si="38"/>
        <v>135</v>
      </c>
      <c r="F287" s="332">
        <f t="shared" si="39"/>
        <v>135</v>
      </c>
      <c r="G287" s="241"/>
      <c r="H287" s="241"/>
      <c r="I287" s="241"/>
      <c r="J287" s="241"/>
      <c r="K287" s="289"/>
      <c r="L287" s="289"/>
      <c r="M287" s="241"/>
      <c r="N287" s="241"/>
      <c r="O287" s="241"/>
      <c r="P287" s="241"/>
      <c r="Q287" s="241"/>
      <c r="R287" s="241"/>
      <c r="S287" s="241"/>
      <c r="T287" s="241"/>
      <c r="U287" s="241"/>
      <c r="V287" s="241"/>
      <c r="W287" s="241"/>
      <c r="X287" s="241"/>
      <c r="Y287" s="241"/>
      <c r="Z287" s="241"/>
      <c r="AA287" s="241"/>
      <c r="AB287" s="290">
        <f t="shared" si="32"/>
        <v>270</v>
      </c>
      <c r="AC287" s="290">
        <f t="shared" si="33"/>
        <v>0</v>
      </c>
      <c r="AD287" s="290">
        <f t="shared" si="34"/>
        <v>135</v>
      </c>
      <c r="AE287" s="290">
        <f t="shared" si="35"/>
        <v>135</v>
      </c>
    </row>
    <row r="288" spans="1:31" x14ac:dyDescent="0.25">
      <c r="A288" s="280"/>
      <c r="B288" s="331">
        <f>Crop!B324</f>
        <v>41915</v>
      </c>
      <c r="C288" s="332">
        <f t="shared" si="36"/>
        <v>270</v>
      </c>
      <c r="D288" s="332">
        <f t="shared" si="37"/>
        <v>0</v>
      </c>
      <c r="E288" s="332">
        <f t="shared" si="38"/>
        <v>135</v>
      </c>
      <c r="F288" s="332">
        <f t="shared" si="39"/>
        <v>135</v>
      </c>
      <c r="G288" s="241"/>
      <c r="H288" s="241"/>
      <c r="I288" s="241"/>
      <c r="J288" s="241"/>
      <c r="K288" s="289"/>
      <c r="L288" s="289"/>
      <c r="M288" s="241"/>
      <c r="N288" s="241"/>
      <c r="O288" s="241"/>
      <c r="P288" s="241"/>
      <c r="Q288" s="241"/>
      <c r="R288" s="241"/>
      <c r="S288" s="241"/>
      <c r="T288" s="241"/>
      <c r="U288" s="241"/>
      <c r="V288" s="241"/>
      <c r="W288" s="241"/>
      <c r="X288" s="241"/>
      <c r="Y288" s="241"/>
      <c r="Z288" s="241"/>
      <c r="AA288" s="241"/>
      <c r="AB288" s="290">
        <f t="shared" si="32"/>
        <v>270</v>
      </c>
      <c r="AC288" s="290">
        <f t="shared" si="33"/>
        <v>0</v>
      </c>
      <c r="AD288" s="290">
        <f t="shared" si="34"/>
        <v>135</v>
      </c>
      <c r="AE288" s="290">
        <f t="shared" si="35"/>
        <v>135</v>
      </c>
    </row>
    <row r="289" spans="1:31" x14ac:dyDescent="0.25">
      <c r="A289" s="280"/>
      <c r="B289" s="331">
        <f>Crop!B325</f>
        <v>41916</v>
      </c>
      <c r="C289" s="332">
        <f t="shared" si="36"/>
        <v>270</v>
      </c>
      <c r="D289" s="332">
        <f t="shared" si="37"/>
        <v>0</v>
      </c>
      <c r="E289" s="332">
        <f t="shared" si="38"/>
        <v>135</v>
      </c>
      <c r="F289" s="332">
        <f t="shared" si="39"/>
        <v>135</v>
      </c>
      <c r="G289" s="241"/>
      <c r="H289" s="241"/>
      <c r="I289" s="241"/>
      <c r="J289" s="241"/>
      <c r="K289" s="289"/>
      <c r="L289" s="289"/>
      <c r="M289" s="241"/>
      <c r="N289" s="241"/>
      <c r="O289" s="241"/>
      <c r="P289" s="241"/>
      <c r="Q289" s="241"/>
      <c r="R289" s="241"/>
      <c r="S289" s="241"/>
      <c r="T289" s="241"/>
      <c r="U289" s="241"/>
      <c r="V289" s="241"/>
      <c r="W289" s="241"/>
      <c r="X289" s="241"/>
      <c r="Y289" s="241"/>
      <c r="Z289" s="241"/>
      <c r="AA289" s="241"/>
      <c r="AB289" s="290">
        <f t="shared" si="32"/>
        <v>270</v>
      </c>
      <c r="AC289" s="290">
        <f t="shared" si="33"/>
        <v>0</v>
      </c>
      <c r="AD289" s="290">
        <f t="shared" si="34"/>
        <v>135</v>
      </c>
      <c r="AE289" s="290">
        <f t="shared" si="35"/>
        <v>135</v>
      </c>
    </row>
    <row r="290" spans="1:31" x14ac:dyDescent="0.25">
      <c r="A290" s="280"/>
      <c r="B290" s="331">
        <f>Crop!B326</f>
        <v>41917</v>
      </c>
      <c r="C290" s="332">
        <f t="shared" si="36"/>
        <v>270</v>
      </c>
      <c r="D290" s="332">
        <f t="shared" si="37"/>
        <v>0</v>
      </c>
      <c r="E290" s="332">
        <f t="shared" si="38"/>
        <v>135</v>
      </c>
      <c r="F290" s="332">
        <f t="shared" si="39"/>
        <v>135</v>
      </c>
      <c r="G290" s="241"/>
      <c r="H290" s="241"/>
      <c r="I290" s="241"/>
      <c r="J290" s="241"/>
      <c r="K290" s="289"/>
      <c r="L290" s="289"/>
      <c r="M290" s="241"/>
      <c r="N290" s="241"/>
      <c r="O290" s="241"/>
      <c r="P290" s="241"/>
      <c r="Q290" s="241"/>
      <c r="R290" s="241"/>
      <c r="S290" s="241"/>
      <c r="T290" s="241"/>
      <c r="U290" s="241"/>
      <c r="V290" s="241"/>
      <c r="W290" s="241"/>
      <c r="X290" s="241"/>
      <c r="Y290" s="241"/>
      <c r="Z290" s="241"/>
      <c r="AA290" s="241"/>
      <c r="AB290" s="290">
        <f t="shared" si="32"/>
        <v>270</v>
      </c>
      <c r="AC290" s="290">
        <f t="shared" si="33"/>
        <v>0</v>
      </c>
      <c r="AD290" s="290">
        <f t="shared" si="34"/>
        <v>135</v>
      </c>
      <c r="AE290" s="290">
        <f t="shared" si="35"/>
        <v>135</v>
      </c>
    </row>
    <row r="291" spans="1:31" x14ac:dyDescent="0.25">
      <c r="A291" s="280"/>
      <c r="B291" s="331">
        <f>Crop!B327</f>
        <v>41918</v>
      </c>
      <c r="C291" s="332">
        <f t="shared" si="36"/>
        <v>270</v>
      </c>
      <c r="D291" s="332">
        <f t="shared" si="37"/>
        <v>0</v>
      </c>
      <c r="E291" s="332">
        <f t="shared" si="38"/>
        <v>135</v>
      </c>
      <c r="F291" s="332">
        <f t="shared" si="39"/>
        <v>135</v>
      </c>
      <c r="G291" s="241"/>
      <c r="H291" s="241"/>
      <c r="I291" s="241"/>
      <c r="J291" s="241"/>
      <c r="K291" s="289"/>
      <c r="L291" s="289"/>
      <c r="M291" s="241"/>
      <c r="N291" s="241"/>
      <c r="O291" s="241"/>
      <c r="P291" s="241"/>
      <c r="Q291" s="241"/>
      <c r="R291" s="241"/>
      <c r="S291" s="241"/>
      <c r="T291" s="241"/>
      <c r="U291" s="241"/>
      <c r="V291" s="241"/>
      <c r="W291" s="241"/>
      <c r="X291" s="241"/>
      <c r="Y291" s="241"/>
      <c r="Z291" s="241"/>
      <c r="AA291" s="241"/>
      <c r="AB291" s="290">
        <f t="shared" si="32"/>
        <v>270</v>
      </c>
      <c r="AC291" s="290">
        <f t="shared" si="33"/>
        <v>0</v>
      </c>
      <c r="AD291" s="290">
        <f t="shared" si="34"/>
        <v>135</v>
      </c>
      <c r="AE291" s="290">
        <f t="shared" si="35"/>
        <v>135</v>
      </c>
    </row>
    <row r="292" spans="1:31" x14ac:dyDescent="0.25">
      <c r="A292" s="280"/>
      <c r="B292" s="331">
        <f>Crop!B328</f>
        <v>41919</v>
      </c>
      <c r="C292" s="332">
        <f t="shared" si="36"/>
        <v>270</v>
      </c>
      <c r="D292" s="332">
        <f t="shared" si="37"/>
        <v>0</v>
      </c>
      <c r="E292" s="332">
        <f t="shared" si="38"/>
        <v>135</v>
      </c>
      <c r="F292" s="332">
        <f t="shared" si="39"/>
        <v>135</v>
      </c>
      <c r="G292" s="241"/>
      <c r="H292" s="241"/>
      <c r="I292" s="241"/>
      <c r="J292" s="241"/>
      <c r="K292" s="289"/>
      <c r="L292" s="289"/>
      <c r="M292" s="241"/>
      <c r="N292" s="241"/>
      <c r="O292" s="241"/>
      <c r="P292" s="241"/>
      <c r="Q292" s="241"/>
      <c r="R292" s="241"/>
      <c r="S292" s="241"/>
      <c r="T292" s="241"/>
      <c r="U292" s="241"/>
      <c r="V292" s="241"/>
      <c r="W292" s="241"/>
      <c r="X292" s="241"/>
      <c r="Y292" s="241"/>
      <c r="Z292" s="241"/>
      <c r="AA292" s="241"/>
      <c r="AB292" s="290">
        <f t="shared" si="32"/>
        <v>270</v>
      </c>
      <c r="AC292" s="290">
        <f t="shared" si="33"/>
        <v>0</v>
      </c>
      <c r="AD292" s="290">
        <f t="shared" si="34"/>
        <v>135</v>
      </c>
      <c r="AE292" s="290">
        <f t="shared" si="35"/>
        <v>135</v>
      </c>
    </row>
    <row r="293" spans="1:31" x14ac:dyDescent="0.25">
      <c r="A293" s="280"/>
      <c r="B293" s="331">
        <f>Crop!B329</f>
        <v>41920</v>
      </c>
      <c r="C293" s="332">
        <f t="shared" si="36"/>
        <v>270</v>
      </c>
      <c r="D293" s="332">
        <f t="shared" si="37"/>
        <v>0</v>
      </c>
      <c r="E293" s="332">
        <f t="shared" si="38"/>
        <v>135</v>
      </c>
      <c r="F293" s="332">
        <f t="shared" si="39"/>
        <v>135</v>
      </c>
      <c r="G293" s="241"/>
      <c r="H293" s="241"/>
      <c r="I293" s="241"/>
      <c r="J293" s="241"/>
      <c r="K293" s="289"/>
      <c r="L293" s="289"/>
      <c r="M293" s="241"/>
      <c r="N293" s="241"/>
      <c r="O293" s="241"/>
      <c r="P293" s="241"/>
      <c r="Q293" s="241"/>
      <c r="R293" s="241"/>
      <c r="S293" s="241"/>
      <c r="T293" s="241"/>
      <c r="U293" s="241"/>
      <c r="V293" s="241"/>
      <c r="W293" s="241"/>
      <c r="X293" s="241"/>
      <c r="Y293" s="241"/>
      <c r="Z293" s="241"/>
      <c r="AA293" s="241"/>
      <c r="AB293" s="290">
        <f t="shared" si="32"/>
        <v>270</v>
      </c>
      <c r="AC293" s="290">
        <f t="shared" si="33"/>
        <v>0</v>
      </c>
      <c r="AD293" s="290">
        <f t="shared" si="34"/>
        <v>135</v>
      </c>
      <c r="AE293" s="290">
        <f t="shared" si="35"/>
        <v>135</v>
      </c>
    </row>
    <row r="294" spans="1:31" x14ac:dyDescent="0.25">
      <c r="A294" s="280"/>
      <c r="B294" s="331">
        <f>Crop!B330</f>
        <v>41921</v>
      </c>
      <c r="C294" s="332">
        <f t="shared" si="36"/>
        <v>270</v>
      </c>
      <c r="D294" s="332">
        <f t="shared" si="37"/>
        <v>0</v>
      </c>
      <c r="E294" s="332">
        <f t="shared" si="38"/>
        <v>135</v>
      </c>
      <c r="F294" s="332">
        <f t="shared" si="39"/>
        <v>135</v>
      </c>
      <c r="G294" s="241"/>
      <c r="H294" s="241"/>
      <c r="I294" s="241"/>
      <c r="J294" s="241"/>
      <c r="K294" s="289"/>
      <c r="L294" s="289"/>
      <c r="M294" s="241"/>
      <c r="N294" s="241"/>
      <c r="O294" s="241"/>
      <c r="P294" s="241"/>
      <c r="Q294" s="241"/>
      <c r="R294" s="241"/>
      <c r="S294" s="241"/>
      <c r="T294" s="241"/>
      <c r="U294" s="241"/>
      <c r="V294" s="241"/>
      <c r="W294" s="241"/>
      <c r="X294" s="241"/>
      <c r="Y294" s="241"/>
      <c r="Z294" s="241"/>
      <c r="AA294" s="241"/>
      <c r="AB294" s="290">
        <f t="shared" si="32"/>
        <v>270</v>
      </c>
      <c r="AC294" s="290">
        <f t="shared" si="33"/>
        <v>0</v>
      </c>
      <c r="AD294" s="290">
        <f t="shared" si="34"/>
        <v>135</v>
      </c>
      <c r="AE294" s="290">
        <f t="shared" si="35"/>
        <v>135</v>
      </c>
    </row>
    <row r="295" spans="1:31" x14ac:dyDescent="0.25">
      <c r="A295" s="280"/>
      <c r="B295" s="331">
        <f>Crop!B331</f>
        <v>41922</v>
      </c>
      <c r="C295" s="332">
        <f t="shared" si="36"/>
        <v>270</v>
      </c>
      <c r="D295" s="332">
        <f t="shared" si="37"/>
        <v>0</v>
      </c>
      <c r="E295" s="332">
        <f t="shared" si="38"/>
        <v>135</v>
      </c>
      <c r="F295" s="332">
        <f t="shared" si="39"/>
        <v>135</v>
      </c>
      <c r="G295" s="241"/>
      <c r="H295" s="241"/>
      <c r="I295" s="241"/>
      <c r="J295" s="241"/>
      <c r="K295" s="289"/>
      <c r="L295" s="289"/>
      <c r="M295" s="241"/>
      <c r="N295" s="241"/>
      <c r="O295" s="241"/>
      <c r="P295" s="241"/>
      <c r="Q295" s="241"/>
      <c r="R295" s="241"/>
      <c r="S295" s="241"/>
      <c r="T295" s="241"/>
      <c r="U295" s="241"/>
      <c r="V295" s="241"/>
      <c r="W295" s="241"/>
      <c r="X295" s="241"/>
      <c r="Y295" s="241"/>
      <c r="Z295" s="241"/>
      <c r="AA295" s="241"/>
      <c r="AB295" s="290">
        <f t="shared" si="32"/>
        <v>270</v>
      </c>
      <c r="AC295" s="290">
        <f t="shared" si="33"/>
        <v>0</v>
      </c>
      <c r="AD295" s="290">
        <f t="shared" si="34"/>
        <v>135</v>
      </c>
      <c r="AE295" s="290">
        <f t="shared" si="35"/>
        <v>135</v>
      </c>
    </row>
    <row r="296" spans="1:31" x14ac:dyDescent="0.25">
      <c r="A296" s="280"/>
      <c r="B296" s="331">
        <f>Crop!B332</f>
        <v>41923</v>
      </c>
      <c r="C296" s="332">
        <f t="shared" si="36"/>
        <v>270</v>
      </c>
      <c r="D296" s="332">
        <f t="shared" si="37"/>
        <v>0</v>
      </c>
      <c r="E296" s="332">
        <f t="shared" si="38"/>
        <v>135</v>
      </c>
      <c r="F296" s="332">
        <f t="shared" si="39"/>
        <v>135</v>
      </c>
      <c r="G296" s="241"/>
      <c r="H296" s="241"/>
      <c r="I296" s="241"/>
      <c r="J296" s="241"/>
      <c r="K296" s="289"/>
      <c r="L296" s="289"/>
      <c r="M296" s="241"/>
      <c r="N296" s="241"/>
      <c r="O296" s="241"/>
      <c r="P296" s="241"/>
      <c r="Q296" s="241"/>
      <c r="R296" s="241"/>
      <c r="S296" s="241"/>
      <c r="T296" s="241"/>
      <c r="U296" s="241"/>
      <c r="V296" s="241"/>
      <c r="W296" s="241"/>
      <c r="X296" s="241"/>
      <c r="Y296" s="241"/>
      <c r="Z296" s="241"/>
      <c r="AA296" s="241"/>
      <c r="AB296" s="290">
        <f t="shared" si="32"/>
        <v>270</v>
      </c>
      <c r="AC296" s="290">
        <f t="shared" si="33"/>
        <v>0</v>
      </c>
      <c r="AD296" s="290">
        <f t="shared" si="34"/>
        <v>135</v>
      </c>
      <c r="AE296" s="290">
        <f t="shared" si="35"/>
        <v>135</v>
      </c>
    </row>
    <row r="297" spans="1:31" x14ac:dyDescent="0.25">
      <c r="A297" s="280"/>
      <c r="B297" s="331">
        <f>Crop!B333</f>
        <v>41924</v>
      </c>
      <c r="C297" s="332">
        <f t="shared" si="36"/>
        <v>270</v>
      </c>
      <c r="D297" s="332">
        <f t="shared" si="37"/>
        <v>0</v>
      </c>
      <c r="E297" s="332">
        <f t="shared" si="38"/>
        <v>135</v>
      </c>
      <c r="F297" s="332">
        <f t="shared" si="39"/>
        <v>135</v>
      </c>
      <c r="G297" s="241"/>
      <c r="H297" s="241"/>
      <c r="I297" s="241"/>
      <c r="J297" s="241"/>
      <c r="K297" s="289"/>
      <c r="L297" s="289"/>
      <c r="M297" s="241"/>
      <c r="N297" s="241"/>
      <c r="O297" s="241"/>
      <c r="P297" s="241"/>
      <c r="Q297" s="241"/>
      <c r="R297" s="241"/>
      <c r="S297" s="241"/>
      <c r="T297" s="241"/>
      <c r="U297" s="241"/>
      <c r="V297" s="241"/>
      <c r="W297" s="241"/>
      <c r="X297" s="241"/>
      <c r="Y297" s="241"/>
      <c r="Z297" s="241"/>
      <c r="AA297" s="241"/>
      <c r="AB297" s="290">
        <f t="shared" si="32"/>
        <v>270</v>
      </c>
      <c r="AC297" s="290">
        <f t="shared" si="33"/>
        <v>0</v>
      </c>
      <c r="AD297" s="290">
        <f t="shared" si="34"/>
        <v>135</v>
      </c>
      <c r="AE297" s="290">
        <f t="shared" si="35"/>
        <v>135</v>
      </c>
    </row>
    <row r="298" spans="1:31" x14ac:dyDescent="0.25">
      <c r="A298" s="280"/>
      <c r="B298" s="331">
        <f>Crop!B334</f>
        <v>41925</v>
      </c>
      <c r="C298" s="332">
        <f t="shared" si="36"/>
        <v>270</v>
      </c>
      <c r="D298" s="332">
        <f t="shared" si="37"/>
        <v>0</v>
      </c>
      <c r="E298" s="332">
        <f t="shared" si="38"/>
        <v>135</v>
      </c>
      <c r="F298" s="332">
        <f t="shared" si="39"/>
        <v>135</v>
      </c>
      <c r="G298" s="241"/>
      <c r="H298" s="241"/>
      <c r="I298" s="241"/>
      <c r="J298" s="241"/>
      <c r="K298" s="289"/>
      <c r="L298" s="289"/>
      <c r="M298" s="241"/>
      <c r="N298" s="241"/>
      <c r="O298" s="241"/>
      <c r="P298" s="241"/>
      <c r="Q298" s="241"/>
      <c r="R298" s="241"/>
      <c r="S298" s="241"/>
      <c r="T298" s="241"/>
      <c r="U298" s="241"/>
      <c r="V298" s="241"/>
      <c r="W298" s="241"/>
      <c r="X298" s="241"/>
      <c r="Y298" s="241"/>
      <c r="Z298" s="241"/>
      <c r="AA298" s="241"/>
      <c r="AB298" s="290">
        <f t="shared" si="32"/>
        <v>270</v>
      </c>
      <c r="AC298" s="290">
        <f t="shared" si="33"/>
        <v>0</v>
      </c>
      <c r="AD298" s="290">
        <f t="shared" si="34"/>
        <v>135</v>
      </c>
      <c r="AE298" s="290">
        <f t="shared" si="35"/>
        <v>135</v>
      </c>
    </row>
    <row r="299" spans="1:31" x14ac:dyDescent="0.25">
      <c r="A299" s="280"/>
      <c r="B299" s="331">
        <f>Crop!B335</f>
        <v>41926</v>
      </c>
      <c r="C299" s="332">
        <f t="shared" si="36"/>
        <v>270</v>
      </c>
      <c r="D299" s="332">
        <f t="shared" si="37"/>
        <v>0</v>
      </c>
      <c r="E299" s="332">
        <f t="shared" si="38"/>
        <v>135</v>
      </c>
      <c r="F299" s="332">
        <f t="shared" si="39"/>
        <v>135</v>
      </c>
      <c r="G299" s="241"/>
      <c r="H299" s="241"/>
      <c r="I299" s="241"/>
      <c r="J299" s="241"/>
      <c r="K299" s="289"/>
      <c r="L299" s="289"/>
      <c r="M299" s="241"/>
      <c r="N299" s="241"/>
      <c r="O299" s="241"/>
      <c r="P299" s="241"/>
      <c r="Q299" s="241"/>
      <c r="R299" s="241"/>
      <c r="S299" s="241"/>
      <c r="T299" s="241"/>
      <c r="U299" s="241"/>
      <c r="V299" s="241"/>
      <c r="W299" s="241"/>
      <c r="X299" s="241"/>
      <c r="Y299" s="241"/>
      <c r="Z299" s="241"/>
      <c r="AA299" s="241"/>
      <c r="AB299" s="290">
        <f t="shared" si="32"/>
        <v>270</v>
      </c>
      <c r="AC299" s="290">
        <f t="shared" si="33"/>
        <v>0</v>
      </c>
      <c r="AD299" s="290">
        <f t="shared" si="34"/>
        <v>135</v>
      </c>
      <c r="AE299" s="290">
        <f t="shared" si="35"/>
        <v>135</v>
      </c>
    </row>
    <row r="300" spans="1:31" x14ac:dyDescent="0.25">
      <c r="A300" s="280"/>
      <c r="B300" s="331">
        <f>Crop!B336</f>
        <v>41927</v>
      </c>
      <c r="C300" s="332">
        <f t="shared" si="36"/>
        <v>270</v>
      </c>
      <c r="D300" s="332">
        <f t="shared" si="37"/>
        <v>0</v>
      </c>
      <c r="E300" s="332">
        <f t="shared" si="38"/>
        <v>135</v>
      </c>
      <c r="F300" s="332">
        <f t="shared" si="39"/>
        <v>135</v>
      </c>
      <c r="G300" s="241"/>
      <c r="H300" s="241"/>
      <c r="I300" s="241"/>
      <c r="J300" s="241"/>
      <c r="K300" s="289"/>
      <c r="L300" s="289"/>
      <c r="M300" s="241"/>
      <c r="N300" s="241"/>
      <c r="O300" s="241"/>
      <c r="P300" s="241"/>
      <c r="Q300" s="241"/>
      <c r="R300" s="241"/>
      <c r="S300" s="241"/>
      <c r="T300" s="241"/>
      <c r="U300" s="241"/>
      <c r="V300" s="241"/>
      <c r="W300" s="241"/>
      <c r="X300" s="241"/>
      <c r="Y300" s="241"/>
      <c r="Z300" s="241"/>
      <c r="AA300" s="241"/>
      <c r="AB300" s="290">
        <f t="shared" si="32"/>
        <v>270</v>
      </c>
      <c r="AC300" s="290">
        <f t="shared" si="33"/>
        <v>0</v>
      </c>
      <c r="AD300" s="290">
        <f t="shared" si="34"/>
        <v>135</v>
      </c>
      <c r="AE300" s="290">
        <f t="shared" si="35"/>
        <v>135</v>
      </c>
    </row>
    <row r="301" spans="1:31" x14ac:dyDescent="0.25">
      <c r="A301" s="280"/>
      <c r="B301" s="331">
        <f>Crop!B337</f>
        <v>41928</v>
      </c>
      <c r="C301" s="332">
        <f t="shared" si="36"/>
        <v>270</v>
      </c>
      <c r="D301" s="332" t="str">
        <f t="shared" si="37"/>
        <v/>
      </c>
      <c r="E301" s="332">
        <f t="shared" si="38"/>
        <v>27</v>
      </c>
      <c r="F301" s="332">
        <f t="shared" si="39"/>
        <v>243</v>
      </c>
      <c r="G301" s="241"/>
      <c r="H301" s="241"/>
      <c r="I301" s="241"/>
      <c r="J301" s="241"/>
      <c r="K301" s="289"/>
      <c r="L301" s="289"/>
      <c r="M301" s="241"/>
      <c r="N301" s="241"/>
      <c r="O301" s="241"/>
      <c r="P301" s="241"/>
      <c r="Q301" s="241"/>
      <c r="R301" s="241"/>
      <c r="S301" s="241"/>
      <c r="T301" s="241"/>
      <c r="U301" s="241"/>
      <c r="V301" s="241"/>
      <c r="W301" s="241"/>
      <c r="X301" s="241"/>
      <c r="Y301" s="241"/>
      <c r="Z301" s="241"/>
      <c r="AA301" s="241"/>
      <c r="AB301" s="290">
        <f t="shared" si="32"/>
        <v>270</v>
      </c>
      <c r="AC301" s="290" t="e">
        <f t="shared" si="33"/>
        <v>#N/A</v>
      </c>
      <c r="AD301" s="290">
        <f t="shared" si="34"/>
        <v>27</v>
      </c>
      <c r="AE301" s="290">
        <f t="shared" si="35"/>
        <v>243</v>
      </c>
    </row>
    <row r="302" spans="1:31" x14ac:dyDescent="0.25">
      <c r="A302" s="280"/>
      <c r="B302" s="331">
        <f>Crop!B338</f>
        <v>41929</v>
      </c>
      <c r="C302" s="332">
        <f t="shared" si="36"/>
        <v>270</v>
      </c>
      <c r="D302" s="332" t="str">
        <f t="shared" si="37"/>
        <v/>
      </c>
      <c r="E302" s="332">
        <f t="shared" si="38"/>
        <v>27</v>
      </c>
      <c r="F302" s="332">
        <f t="shared" si="39"/>
        <v>243</v>
      </c>
      <c r="G302" s="241"/>
      <c r="H302" s="241"/>
      <c r="I302" s="241"/>
      <c r="J302" s="241"/>
      <c r="K302" s="289"/>
      <c r="L302" s="289"/>
      <c r="M302" s="241"/>
      <c r="N302" s="241"/>
      <c r="O302" s="241"/>
      <c r="P302" s="241"/>
      <c r="Q302" s="241"/>
      <c r="R302" s="241"/>
      <c r="S302" s="241"/>
      <c r="T302" s="241"/>
      <c r="U302" s="241"/>
      <c r="V302" s="241"/>
      <c r="W302" s="241"/>
      <c r="X302" s="241"/>
      <c r="Y302" s="241"/>
      <c r="Z302" s="241"/>
      <c r="AA302" s="241"/>
      <c r="AB302" s="290">
        <f t="shared" si="32"/>
        <v>270</v>
      </c>
      <c r="AC302" s="290" t="e">
        <f t="shared" si="33"/>
        <v>#N/A</v>
      </c>
      <c r="AD302" s="290">
        <f t="shared" si="34"/>
        <v>27</v>
      </c>
      <c r="AE302" s="290">
        <f t="shared" si="35"/>
        <v>243</v>
      </c>
    </row>
    <row r="303" spans="1:31" x14ac:dyDescent="0.25">
      <c r="A303" s="280"/>
      <c r="B303" s="331">
        <f>Crop!B339</f>
        <v>41930</v>
      </c>
      <c r="C303" s="332">
        <f t="shared" si="36"/>
        <v>270</v>
      </c>
      <c r="D303" s="332" t="str">
        <f t="shared" si="37"/>
        <v/>
      </c>
      <c r="E303" s="332">
        <f t="shared" si="38"/>
        <v>27</v>
      </c>
      <c r="F303" s="332">
        <f t="shared" si="39"/>
        <v>243</v>
      </c>
      <c r="G303" s="241"/>
      <c r="H303" s="241"/>
      <c r="I303" s="241"/>
      <c r="J303" s="241"/>
      <c r="K303" s="289"/>
      <c r="L303" s="289"/>
      <c r="M303" s="241"/>
      <c r="N303" s="241"/>
      <c r="O303" s="241"/>
      <c r="P303" s="241"/>
      <c r="Q303" s="241"/>
      <c r="R303" s="241"/>
      <c r="S303" s="241"/>
      <c r="T303" s="241"/>
      <c r="U303" s="241"/>
      <c r="V303" s="241"/>
      <c r="W303" s="241"/>
      <c r="X303" s="241"/>
      <c r="Y303" s="241"/>
      <c r="Z303" s="241"/>
      <c r="AA303" s="241"/>
      <c r="AB303" s="290">
        <f t="shared" si="32"/>
        <v>270</v>
      </c>
      <c r="AC303" s="290" t="e">
        <f t="shared" si="33"/>
        <v>#N/A</v>
      </c>
      <c r="AD303" s="290">
        <f t="shared" si="34"/>
        <v>27</v>
      </c>
      <c r="AE303" s="290">
        <f t="shared" si="35"/>
        <v>243</v>
      </c>
    </row>
    <row r="304" spans="1:31" x14ac:dyDescent="0.25">
      <c r="A304" s="280"/>
      <c r="B304" s="331">
        <f>Crop!B340</f>
        <v>41931</v>
      </c>
      <c r="C304" s="332">
        <f t="shared" si="36"/>
        <v>270</v>
      </c>
      <c r="D304" s="332" t="str">
        <f t="shared" si="37"/>
        <v/>
      </c>
      <c r="E304" s="332">
        <f t="shared" si="38"/>
        <v>27</v>
      </c>
      <c r="F304" s="332">
        <f t="shared" si="39"/>
        <v>243</v>
      </c>
      <c r="G304" s="241"/>
      <c r="H304" s="241"/>
      <c r="I304" s="241"/>
      <c r="J304" s="241"/>
      <c r="K304" s="289"/>
      <c r="L304" s="289"/>
      <c r="M304" s="241"/>
      <c r="N304" s="241"/>
      <c r="O304" s="241"/>
      <c r="P304" s="241"/>
      <c r="Q304" s="241"/>
      <c r="R304" s="241"/>
      <c r="S304" s="241"/>
      <c r="T304" s="241"/>
      <c r="U304" s="241"/>
      <c r="V304" s="241"/>
      <c r="W304" s="241"/>
      <c r="X304" s="241"/>
      <c r="Y304" s="241"/>
      <c r="Z304" s="241"/>
      <c r="AA304" s="241"/>
      <c r="AB304" s="290">
        <f t="shared" si="32"/>
        <v>270</v>
      </c>
      <c r="AC304" s="290" t="e">
        <f t="shared" si="33"/>
        <v>#N/A</v>
      </c>
      <c r="AD304" s="290">
        <f t="shared" si="34"/>
        <v>27</v>
      </c>
      <c r="AE304" s="290">
        <f t="shared" si="35"/>
        <v>243</v>
      </c>
    </row>
    <row r="305" spans="1:31" x14ac:dyDescent="0.25">
      <c r="A305" s="280"/>
      <c r="B305" s="331">
        <f>Crop!B341</f>
        <v>41932</v>
      </c>
      <c r="C305" s="332">
        <f t="shared" si="36"/>
        <v>270</v>
      </c>
      <c r="D305" s="332" t="str">
        <f t="shared" si="37"/>
        <v/>
      </c>
      <c r="E305" s="332">
        <f t="shared" si="38"/>
        <v>27</v>
      </c>
      <c r="F305" s="332">
        <f t="shared" si="39"/>
        <v>243</v>
      </c>
      <c r="G305" s="241"/>
      <c r="H305" s="241"/>
      <c r="I305" s="241"/>
      <c r="J305" s="241"/>
      <c r="K305" s="289"/>
      <c r="L305" s="289"/>
      <c r="M305" s="241"/>
      <c r="N305" s="241"/>
      <c r="O305" s="241"/>
      <c r="P305" s="241"/>
      <c r="Q305" s="241"/>
      <c r="R305" s="241"/>
      <c r="S305" s="241"/>
      <c r="T305" s="241"/>
      <c r="U305" s="241"/>
      <c r="V305" s="241"/>
      <c r="W305" s="241"/>
      <c r="X305" s="241"/>
      <c r="Y305" s="241"/>
      <c r="Z305" s="241"/>
      <c r="AA305" s="241"/>
      <c r="AB305" s="290">
        <f t="shared" si="32"/>
        <v>270</v>
      </c>
      <c r="AC305" s="290" t="e">
        <f t="shared" si="33"/>
        <v>#N/A</v>
      </c>
      <c r="AD305" s="290">
        <f t="shared" si="34"/>
        <v>27</v>
      </c>
      <c r="AE305" s="290">
        <f t="shared" si="35"/>
        <v>243</v>
      </c>
    </row>
    <row r="306" spans="1:31" x14ac:dyDescent="0.25">
      <c r="A306" s="280"/>
      <c r="B306" s="331">
        <f>Crop!B342</f>
        <v>41933</v>
      </c>
      <c r="C306" s="332">
        <f t="shared" si="36"/>
        <v>270</v>
      </c>
      <c r="D306" s="332" t="str">
        <f t="shared" si="37"/>
        <v/>
      </c>
      <c r="E306" s="332">
        <f t="shared" si="38"/>
        <v>27</v>
      </c>
      <c r="F306" s="332">
        <f t="shared" si="39"/>
        <v>243</v>
      </c>
      <c r="G306" s="241"/>
      <c r="H306" s="241"/>
      <c r="I306" s="241"/>
      <c r="J306" s="241"/>
      <c r="K306" s="289"/>
      <c r="L306" s="289"/>
      <c r="M306" s="241"/>
      <c r="N306" s="241"/>
      <c r="O306" s="241"/>
      <c r="P306" s="241"/>
      <c r="Q306" s="241"/>
      <c r="R306" s="241"/>
      <c r="S306" s="241"/>
      <c r="T306" s="241"/>
      <c r="U306" s="241"/>
      <c r="V306" s="241"/>
      <c r="W306" s="241"/>
      <c r="X306" s="241"/>
      <c r="Y306" s="241"/>
      <c r="Z306" s="241"/>
      <c r="AA306" s="241"/>
      <c r="AB306" s="290">
        <f t="shared" si="32"/>
        <v>270</v>
      </c>
      <c r="AC306" s="290" t="e">
        <f t="shared" si="33"/>
        <v>#N/A</v>
      </c>
      <c r="AD306" s="290">
        <f t="shared" si="34"/>
        <v>27</v>
      </c>
      <c r="AE306" s="290">
        <f t="shared" si="35"/>
        <v>243</v>
      </c>
    </row>
    <row r="307" spans="1:31" x14ac:dyDescent="0.25">
      <c r="A307" s="280"/>
      <c r="B307" s="331">
        <f>Crop!B343</f>
        <v>41934</v>
      </c>
      <c r="C307" s="332">
        <f t="shared" si="36"/>
        <v>270</v>
      </c>
      <c r="D307" s="332" t="str">
        <f t="shared" si="37"/>
        <v/>
      </c>
      <c r="E307" s="332">
        <f t="shared" si="38"/>
        <v>27</v>
      </c>
      <c r="F307" s="332">
        <f t="shared" si="39"/>
        <v>243</v>
      </c>
      <c r="G307" s="241"/>
      <c r="H307" s="241"/>
      <c r="I307" s="241"/>
      <c r="J307" s="241"/>
      <c r="K307" s="289"/>
      <c r="L307" s="289"/>
      <c r="M307" s="241"/>
      <c r="N307" s="241"/>
      <c r="O307" s="241"/>
      <c r="P307" s="241"/>
      <c r="Q307" s="241"/>
      <c r="R307" s="241"/>
      <c r="S307" s="241"/>
      <c r="T307" s="241"/>
      <c r="U307" s="241"/>
      <c r="V307" s="241"/>
      <c r="W307" s="241"/>
      <c r="X307" s="241"/>
      <c r="Y307" s="241"/>
      <c r="Z307" s="241"/>
      <c r="AA307" s="241"/>
      <c r="AB307" s="290">
        <f t="shared" si="32"/>
        <v>270</v>
      </c>
      <c r="AC307" s="290" t="e">
        <f t="shared" si="33"/>
        <v>#N/A</v>
      </c>
      <c r="AD307" s="290">
        <f t="shared" si="34"/>
        <v>27</v>
      </c>
      <c r="AE307" s="290">
        <f t="shared" si="35"/>
        <v>243</v>
      </c>
    </row>
    <row r="308" spans="1:31" x14ac:dyDescent="0.25">
      <c r="A308" s="280"/>
      <c r="B308" s="331">
        <f>Crop!B344</f>
        <v>41935</v>
      </c>
      <c r="C308" s="332">
        <f t="shared" si="36"/>
        <v>270</v>
      </c>
      <c r="D308" s="332" t="str">
        <f t="shared" si="37"/>
        <v/>
      </c>
      <c r="E308" s="332">
        <f t="shared" si="38"/>
        <v>27</v>
      </c>
      <c r="F308" s="332">
        <f t="shared" si="39"/>
        <v>243</v>
      </c>
      <c r="G308" s="241"/>
      <c r="H308" s="241"/>
      <c r="I308" s="241"/>
      <c r="J308" s="241"/>
      <c r="K308" s="289"/>
      <c r="L308" s="289"/>
      <c r="M308" s="241"/>
      <c r="N308" s="241"/>
      <c r="O308" s="241"/>
      <c r="P308" s="241"/>
      <c r="Q308" s="241"/>
      <c r="R308" s="241"/>
      <c r="S308" s="241"/>
      <c r="T308" s="241"/>
      <c r="U308" s="241"/>
      <c r="V308" s="241"/>
      <c r="W308" s="241"/>
      <c r="X308" s="241"/>
      <c r="Y308" s="241"/>
      <c r="Z308" s="241"/>
      <c r="AA308" s="241"/>
      <c r="AB308" s="290">
        <f t="shared" si="32"/>
        <v>270</v>
      </c>
      <c r="AC308" s="290" t="e">
        <f t="shared" si="33"/>
        <v>#N/A</v>
      </c>
      <c r="AD308" s="290">
        <f t="shared" si="34"/>
        <v>27</v>
      </c>
      <c r="AE308" s="290">
        <f t="shared" si="35"/>
        <v>243</v>
      </c>
    </row>
    <row r="309" spans="1:31" x14ac:dyDescent="0.25">
      <c r="A309" s="280"/>
      <c r="B309" s="331">
        <f>Crop!B345</f>
        <v>41936</v>
      </c>
      <c r="C309" s="332">
        <f t="shared" si="36"/>
        <v>270</v>
      </c>
      <c r="D309" s="332" t="str">
        <f t="shared" si="37"/>
        <v/>
      </c>
      <c r="E309" s="332">
        <f t="shared" si="38"/>
        <v>27</v>
      </c>
      <c r="F309" s="332">
        <f t="shared" si="39"/>
        <v>243</v>
      </c>
      <c r="G309" s="241"/>
      <c r="H309" s="241"/>
      <c r="I309" s="241"/>
      <c r="J309" s="241"/>
      <c r="K309" s="289"/>
      <c r="L309" s="289"/>
      <c r="M309" s="241"/>
      <c r="N309" s="241"/>
      <c r="O309" s="241"/>
      <c r="P309" s="241"/>
      <c r="Q309" s="241"/>
      <c r="R309" s="241"/>
      <c r="S309" s="241"/>
      <c r="T309" s="241"/>
      <c r="U309" s="241"/>
      <c r="V309" s="241"/>
      <c r="W309" s="241"/>
      <c r="X309" s="241"/>
      <c r="Y309" s="241"/>
      <c r="Z309" s="241"/>
      <c r="AA309" s="241"/>
      <c r="AB309" s="290">
        <f t="shared" si="32"/>
        <v>270</v>
      </c>
      <c r="AC309" s="290" t="e">
        <f t="shared" si="33"/>
        <v>#N/A</v>
      </c>
      <c r="AD309" s="290">
        <f t="shared" si="34"/>
        <v>27</v>
      </c>
      <c r="AE309" s="290">
        <f t="shared" si="35"/>
        <v>243</v>
      </c>
    </row>
    <row r="310" spans="1:31" x14ac:dyDescent="0.25">
      <c r="A310" s="280"/>
      <c r="B310" s="331">
        <f>Crop!B346</f>
        <v>41937</v>
      </c>
      <c r="C310" s="332">
        <f t="shared" si="36"/>
        <v>270</v>
      </c>
      <c r="D310" s="332" t="str">
        <f t="shared" si="37"/>
        <v/>
      </c>
      <c r="E310" s="332">
        <f t="shared" si="38"/>
        <v>27</v>
      </c>
      <c r="F310" s="332">
        <f t="shared" si="39"/>
        <v>243</v>
      </c>
      <c r="G310" s="241"/>
      <c r="H310" s="241"/>
      <c r="I310" s="241"/>
      <c r="J310" s="241"/>
      <c r="K310" s="289"/>
      <c r="L310" s="289"/>
      <c r="M310" s="241"/>
      <c r="N310" s="241"/>
      <c r="O310" s="241"/>
      <c r="P310" s="241"/>
      <c r="Q310" s="241"/>
      <c r="R310" s="241"/>
      <c r="S310" s="241"/>
      <c r="T310" s="241"/>
      <c r="U310" s="241"/>
      <c r="V310" s="241"/>
      <c r="W310" s="241"/>
      <c r="X310" s="241"/>
      <c r="Y310" s="241"/>
      <c r="Z310" s="241"/>
      <c r="AA310" s="241"/>
      <c r="AB310" s="290">
        <f t="shared" si="32"/>
        <v>270</v>
      </c>
      <c r="AC310" s="290" t="e">
        <f t="shared" si="33"/>
        <v>#N/A</v>
      </c>
      <c r="AD310" s="290">
        <f t="shared" si="34"/>
        <v>27</v>
      </c>
      <c r="AE310" s="290">
        <f t="shared" si="35"/>
        <v>243</v>
      </c>
    </row>
    <row r="311" spans="1:31" x14ac:dyDescent="0.25">
      <c r="A311" s="280"/>
      <c r="B311" s="331">
        <f>Crop!B347</f>
        <v>41938</v>
      </c>
      <c r="C311" s="332">
        <f t="shared" si="36"/>
        <v>270</v>
      </c>
      <c r="D311" s="332" t="str">
        <f t="shared" si="37"/>
        <v/>
      </c>
      <c r="E311" s="332">
        <f t="shared" si="38"/>
        <v>27</v>
      </c>
      <c r="F311" s="332">
        <f t="shared" si="39"/>
        <v>243</v>
      </c>
      <c r="G311" s="241"/>
      <c r="H311" s="241"/>
      <c r="I311" s="241"/>
      <c r="J311" s="241"/>
      <c r="K311" s="289"/>
      <c r="L311" s="289"/>
      <c r="M311" s="241"/>
      <c r="N311" s="241"/>
      <c r="O311" s="241"/>
      <c r="P311" s="241"/>
      <c r="Q311" s="241"/>
      <c r="R311" s="241"/>
      <c r="S311" s="241"/>
      <c r="T311" s="241"/>
      <c r="U311" s="241"/>
      <c r="V311" s="241"/>
      <c r="W311" s="241"/>
      <c r="X311" s="241"/>
      <c r="Y311" s="241"/>
      <c r="Z311" s="241"/>
      <c r="AA311" s="241"/>
      <c r="AB311" s="290">
        <f t="shared" si="32"/>
        <v>270</v>
      </c>
      <c r="AC311" s="290" t="e">
        <f t="shared" si="33"/>
        <v>#N/A</v>
      </c>
      <c r="AD311" s="290">
        <f t="shared" si="34"/>
        <v>27</v>
      </c>
      <c r="AE311" s="290">
        <f t="shared" si="35"/>
        <v>243</v>
      </c>
    </row>
    <row r="312" spans="1:31" x14ac:dyDescent="0.25">
      <c r="A312" s="280"/>
      <c r="B312" s="331">
        <f>Crop!B348</f>
        <v>41939</v>
      </c>
      <c r="C312" s="332">
        <f t="shared" si="36"/>
        <v>270</v>
      </c>
      <c r="D312" s="332" t="str">
        <f t="shared" si="37"/>
        <v/>
      </c>
      <c r="E312" s="332">
        <f t="shared" si="38"/>
        <v>27</v>
      </c>
      <c r="F312" s="332">
        <f t="shared" si="39"/>
        <v>243</v>
      </c>
      <c r="G312" s="241"/>
      <c r="H312" s="241"/>
      <c r="I312" s="241"/>
      <c r="J312" s="241"/>
      <c r="K312" s="289"/>
      <c r="L312" s="289"/>
      <c r="M312" s="241"/>
      <c r="N312" s="241"/>
      <c r="O312" s="241"/>
      <c r="P312" s="241"/>
      <c r="Q312" s="241"/>
      <c r="R312" s="241"/>
      <c r="S312" s="241"/>
      <c r="T312" s="241"/>
      <c r="U312" s="241"/>
      <c r="V312" s="241"/>
      <c r="W312" s="241"/>
      <c r="X312" s="241"/>
      <c r="Y312" s="241"/>
      <c r="Z312" s="241"/>
      <c r="AA312" s="241"/>
      <c r="AB312" s="290">
        <f t="shared" si="32"/>
        <v>270</v>
      </c>
      <c r="AC312" s="290" t="e">
        <f t="shared" si="33"/>
        <v>#N/A</v>
      </c>
      <c r="AD312" s="290">
        <f t="shared" si="34"/>
        <v>27</v>
      </c>
      <c r="AE312" s="290">
        <f t="shared" si="35"/>
        <v>243</v>
      </c>
    </row>
    <row r="313" spans="1:31" x14ac:dyDescent="0.25">
      <c r="A313" s="280"/>
      <c r="B313" s="331">
        <f>Crop!B349</f>
        <v>41940</v>
      </c>
      <c r="C313" s="332">
        <f t="shared" si="36"/>
        <v>270</v>
      </c>
      <c r="D313" s="332" t="str">
        <f t="shared" si="37"/>
        <v/>
      </c>
      <c r="E313" s="332">
        <f t="shared" si="38"/>
        <v>27</v>
      </c>
      <c r="F313" s="332">
        <f t="shared" si="39"/>
        <v>243</v>
      </c>
      <c r="G313" s="241"/>
      <c r="H313" s="241"/>
      <c r="I313" s="241"/>
      <c r="J313" s="241"/>
      <c r="K313" s="289"/>
      <c r="L313" s="289"/>
      <c r="M313" s="241"/>
      <c r="N313" s="241"/>
      <c r="O313" s="241"/>
      <c r="P313" s="241"/>
      <c r="Q313" s="241"/>
      <c r="R313" s="241"/>
      <c r="S313" s="241"/>
      <c r="T313" s="241"/>
      <c r="U313" s="241"/>
      <c r="V313" s="241"/>
      <c r="W313" s="241"/>
      <c r="X313" s="241"/>
      <c r="Y313" s="241"/>
      <c r="Z313" s="241"/>
      <c r="AA313" s="241"/>
      <c r="AB313" s="290">
        <f t="shared" si="32"/>
        <v>270</v>
      </c>
      <c r="AC313" s="290" t="e">
        <f t="shared" si="33"/>
        <v>#N/A</v>
      </c>
      <c r="AD313" s="290">
        <f t="shared" si="34"/>
        <v>27</v>
      </c>
      <c r="AE313" s="290">
        <f t="shared" si="35"/>
        <v>243</v>
      </c>
    </row>
    <row r="314" spans="1:31" x14ac:dyDescent="0.25">
      <c r="A314" s="280"/>
      <c r="B314" s="331">
        <f>Crop!B350</f>
        <v>41941</v>
      </c>
      <c r="C314" s="332">
        <f t="shared" si="36"/>
        <v>270</v>
      </c>
      <c r="D314" s="332" t="str">
        <f t="shared" si="37"/>
        <v/>
      </c>
      <c r="E314" s="332">
        <f t="shared" si="38"/>
        <v>27</v>
      </c>
      <c r="F314" s="332">
        <f t="shared" si="39"/>
        <v>243</v>
      </c>
      <c r="G314" s="241"/>
      <c r="H314" s="241"/>
      <c r="I314" s="241"/>
      <c r="J314" s="241"/>
      <c r="K314" s="289"/>
      <c r="L314" s="289"/>
      <c r="M314" s="241"/>
      <c r="N314" s="241"/>
      <c r="O314" s="241"/>
      <c r="P314" s="241"/>
      <c r="Q314" s="241"/>
      <c r="R314" s="241"/>
      <c r="S314" s="241"/>
      <c r="T314" s="241"/>
      <c r="U314" s="241"/>
      <c r="V314" s="241"/>
      <c r="W314" s="241"/>
      <c r="X314" s="241"/>
      <c r="Y314" s="241"/>
      <c r="Z314" s="241"/>
      <c r="AA314" s="241"/>
      <c r="AB314" s="290">
        <f t="shared" si="32"/>
        <v>270</v>
      </c>
      <c r="AC314" s="290" t="e">
        <f t="shared" si="33"/>
        <v>#N/A</v>
      </c>
      <c r="AD314" s="290">
        <f t="shared" si="34"/>
        <v>27</v>
      </c>
      <c r="AE314" s="290">
        <f t="shared" si="35"/>
        <v>243</v>
      </c>
    </row>
    <row r="315" spans="1:31" x14ac:dyDescent="0.25">
      <c r="A315" s="280"/>
      <c r="B315" s="331">
        <f>Crop!B351</f>
        <v>41942</v>
      </c>
      <c r="C315" s="332">
        <f t="shared" si="36"/>
        <v>270</v>
      </c>
      <c r="D315" s="332" t="str">
        <f t="shared" si="37"/>
        <v/>
      </c>
      <c r="E315" s="332">
        <f t="shared" si="38"/>
        <v>27</v>
      </c>
      <c r="F315" s="332">
        <f t="shared" si="39"/>
        <v>243</v>
      </c>
      <c r="G315" s="241"/>
      <c r="H315" s="241"/>
      <c r="I315" s="241"/>
      <c r="J315" s="241"/>
      <c r="K315" s="289"/>
      <c r="L315" s="289"/>
      <c r="M315" s="241"/>
      <c r="N315" s="241"/>
      <c r="O315" s="241"/>
      <c r="P315" s="241"/>
      <c r="Q315" s="241"/>
      <c r="R315" s="241"/>
      <c r="S315" s="241"/>
      <c r="T315" s="241"/>
      <c r="U315" s="241"/>
      <c r="V315" s="241"/>
      <c r="W315" s="241"/>
      <c r="X315" s="241"/>
      <c r="Y315" s="241"/>
      <c r="Z315" s="241"/>
      <c r="AA315" s="241"/>
      <c r="AB315" s="290">
        <f t="shared" si="32"/>
        <v>270</v>
      </c>
      <c r="AC315" s="290" t="e">
        <f t="shared" si="33"/>
        <v>#N/A</v>
      </c>
      <c r="AD315" s="290">
        <f t="shared" si="34"/>
        <v>27</v>
      </c>
      <c r="AE315" s="290">
        <f t="shared" si="35"/>
        <v>243</v>
      </c>
    </row>
    <row r="316" spans="1:31" x14ac:dyDescent="0.25">
      <c r="A316" s="280"/>
      <c r="B316" s="331">
        <f>Crop!B352</f>
        <v>41943</v>
      </c>
      <c r="C316" s="332">
        <f t="shared" si="36"/>
        <v>270</v>
      </c>
      <c r="D316" s="332" t="str">
        <f t="shared" si="37"/>
        <v/>
      </c>
      <c r="E316" s="332">
        <f t="shared" si="38"/>
        <v>27</v>
      </c>
      <c r="F316" s="332">
        <f t="shared" si="39"/>
        <v>243</v>
      </c>
      <c r="G316" s="241"/>
      <c r="H316" s="241"/>
      <c r="I316" s="241"/>
      <c r="J316" s="241"/>
      <c r="K316" s="289"/>
      <c r="L316" s="289"/>
      <c r="M316" s="241"/>
      <c r="N316" s="241"/>
      <c r="O316" s="241"/>
      <c r="P316" s="241"/>
      <c r="Q316" s="241"/>
      <c r="R316" s="241"/>
      <c r="S316" s="241"/>
      <c r="T316" s="241"/>
      <c r="U316" s="241"/>
      <c r="V316" s="241"/>
      <c r="W316" s="241"/>
      <c r="X316" s="241"/>
      <c r="Y316" s="241"/>
      <c r="Z316" s="241"/>
      <c r="AA316" s="241"/>
      <c r="AB316" s="290">
        <f t="shared" si="32"/>
        <v>270</v>
      </c>
      <c r="AC316" s="290" t="e">
        <f t="shared" si="33"/>
        <v>#N/A</v>
      </c>
      <c r="AD316" s="290">
        <f t="shared" si="34"/>
        <v>27</v>
      </c>
      <c r="AE316" s="290">
        <f t="shared" si="35"/>
        <v>243</v>
      </c>
    </row>
    <row r="317" spans="1:31" x14ac:dyDescent="0.25">
      <c r="A317" s="280"/>
      <c r="B317" s="331">
        <f>Crop!B353</f>
        <v>41944</v>
      </c>
      <c r="C317" s="332">
        <f t="shared" si="36"/>
        <v>270</v>
      </c>
      <c r="D317" s="332" t="str">
        <f t="shared" si="37"/>
        <v/>
      </c>
      <c r="E317" s="332">
        <f t="shared" si="38"/>
        <v>27</v>
      </c>
      <c r="F317" s="332">
        <f t="shared" si="39"/>
        <v>243</v>
      </c>
      <c r="G317" s="241"/>
      <c r="H317" s="241"/>
      <c r="I317" s="241"/>
      <c r="J317" s="241"/>
      <c r="K317" s="289"/>
      <c r="L317" s="289"/>
      <c r="M317" s="241"/>
      <c r="N317" s="241"/>
      <c r="O317" s="241"/>
      <c r="P317" s="241"/>
      <c r="Q317" s="241"/>
      <c r="R317" s="241"/>
      <c r="S317" s="241"/>
      <c r="T317" s="241"/>
      <c r="U317" s="241"/>
      <c r="V317" s="241"/>
      <c r="W317" s="241"/>
      <c r="X317" s="241"/>
      <c r="Y317" s="241"/>
      <c r="Z317" s="241"/>
      <c r="AA317" s="241"/>
      <c r="AB317" s="290">
        <f t="shared" si="32"/>
        <v>270</v>
      </c>
      <c r="AC317" s="290" t="e">
        <f t="shared" si="33"/>
        <v>#N/A</v>
      </c>
      <c r="AD317" s="290">
        <f t="shared" si="34"/>
        <v>27</v>
      </c>
      <c r="AE317" s="290">
        <f t="shared" si="35"/>
        <v>243</v>
      </c>
    </row>
    <row r="318" spans="1:31" x14ac:dyDescent="0.25">
      <c r="A318" s="280"/>
      <c r="B318" s="331">
        <f>Crop!B354</f>
        <v>41945</v>
      </c>
      <c r="C318" s="332">
        <f t="shared" si="36"/>
        <v>270</v>
      </c>
      <c r="D318" s="332" t="str">
        <f t="shared" si="37"/>
        <v/>
      </c>
      <c r="E318" s="332">
        <f t="shared" si="38"/>
        <v>27</v>
      </c>
      <c r="F318" s="332">
        <f t="shared" si="39"/>
        <v>243</v>
      </c>
      <c r="G318" s="241"/>
      <c r="H318" s="241"/>
      <c r="I318" s="241"/>
      <c r="J318" s="241"/>
      <c r="K318" s="289"/>
      <c r="L318" s="289"/>
      <c r="M318" s="241"/>
      <c r="N318" s="241"/>
      <c r="O318" s="241"/>
      <c r="P318" s="241"/>
      <c r="Q318" s="241"/>
      <c r="R318" s="241"/>
      <c r="S318" s="241"/>
      <c r="T318" s="241"/>
      <c r="U318" s="241"/>
      <c r="V318" s="241"/>
      <c r="W318" s="241"/>
      <c r="X318" s="241"/>
      <c r="Y318" s="241"/>
      <c r="Z318" s="241"/>
      <c r="AA318" s="241"/>
      <c r="AB318" s="290">
        <f t="shared" si="32"/>
        <v>270</v>
      </c>
      <c r="AC318" s="290" t="e">
        <f t="shared" si="33"/>
        <v>#N/A</v>
      </c>
      <c r="AD318" s="290">
        <f t="shared" si="34"/>
        <v>27</v>
      </c>
      <c r="AE318" s="290">
        <f t="shared" si="35"/>
        <v>243</v>
      </c>
    </row>
    <row r="319" spans="1:31" x14ac:dyDescent="0.25">
      <c r="A319" s="280"/>
      <c r="B319" s="331">
        <f>Crop!B355</f>
        <v>41946</v>
      </c>
      <c r="C319" s="332">
        <f t="shared" si="36"/>
        <v>270</v>
      </c>
      <c r="D319" s="332" t="str">
        <f t="shared" si="37"/>
        <v/>
      </c>
      <c r="E319" s="332">
        <f t="shared" si="38"/>
        <v>27</v>
      </c>
      <c r="F319" s="332">
        <f t="shared" si="39"/>
        <v>243</v>
      </c>
      <c r="G319" s="241"/>
      <c r="H319" s="241"/>
      <c r="I319" s="241"/>
      <c r="J319" s="241"/>
      <c r="K319" s="289"/>
      <c r="L319" s="289"/>
      <c r="M319" s="241"/>
      <c r="N319" s="241"/>
      <c r="O319" s="241"/>
      <c r="P319" s="241"/>
      <c r="Q319" s="241"/>
      <c r="R319" s="241"/>
      <c r="S319" s="241"/>
      <c r="T319" s="241"/>
      <c r="U319" s="241"/>
      <c r="V319" s="241"/>
      <c r="W319" s="241"/>
      <c r="X319" s="241"/>
      <c r="Y319" s="241"/>
      <c r="Z319" s="241"/>
      <c r="AA319" s="241"/>
      <c r="AB319" s="290">
        <f t="shared" si="32"/>
        <v>270</v>
      </c>
      <c r="AC319" s="290" t="e">
        <f t="shared" si="33"/>
        <v>#N/A</v>
      </c>
      <c r="AD319" s="290">
        <f t="shared" si="34"/>
        <v>27</v>
      </c>
      <c r="AE319" s="290">
        <f t="shared" si="35"/>
        <v>243</v>
      </c>
    </row>
    <row r="320" spans="1:31" x14ac:dyDescent="0.25">
      <c r="A320" s="280"/>
      <c r="B320" s="331">
        <f>Crop!B356</f>
        <v>41947</v>
      </c>
      <c r="C320" s="332">
        <f t="shared" si="36"/>
        <v>270</v>
      </c>
      <c r="D320" s="332" t="str">
        <f t="shared" si="37"/>
        <v/>
      </c>
      <c r="E320" s="332">
        <f t="shared" si="38"/>
        <v>27</v>
      </c>
      <c r="F320" s="332">
        <f t="shared" si="39"/>
        <v>243</v>
      </c>
      <c r="G320" s="241"/>
      <c r="H320" s="241"/>
      <c r="I320" s="241"/>
      <c r="J320" s="241"/>
      <c r="K320" s="289"/>
      <c r="L320" s="289"/>
      <c r="M320" s="241"/>
      <c r="N320" s="241"/>
      <c r="O320" s="241"/>
      <c r="P320" s="241"/>
      <c r="Q320" s="241"/>
      <c r="R320" s="241"/>
      <c r="S320" s="241"/>
      <c r="T320" s="241"/>
      <c r="U320" s="241"/>
      <c r="V320" s="241"/>
      <c r="W320" s="241"/>
      <c r="X320" s="241"/>
      <c r="Y320" s="241"/>
      <c r="Z320" s="241"/>
      <c r="AA320" s="241"/>
      <c r="AB320" s="290">
        <f t="shared" si="32"/>
        <v>270</v>
      </c>
      <c r="AC320" s="290" t="e">
        <f t="shared" si="33"/>
        <v>#N/A</v>
      </c>
      <c r="AD320" s="290">
        <f t="shared" si="34"/>
        <v>27</v>
      </c>
      <c r="AE320" s="290">
        <f t="shared" si="35"/>
        <v>243</v>
      </c>
    </row>
    <row r="321" spans="1:31" x14ac:dyDescent="0.25">
      <c r="A321" s="280"/>
      <c r="B321" s="331">
        <f>Crop!B357</f>
        <v>41948</v>
      </c>
      <c r="C321" s="332">
        <f t="shared" si="36"/>
        <v>270</v>
      </c>
      <c r="D321" s="332" t="str">
        <f t="shared" si="37"/>
        <v/>
      </c>
      <c r="E321" s="332">
        <f t="shared" si="38"/>
        <v>27</v>
      </c>
      <c r="F321" s="332">
        <f t="shared" si="39"/>
        <v>243</v>
      </c>
      <c r="G321" s="241"/>
      <c r="H321" s="241"/>
      <c r="I321" s="241"/>
      <c r="J321" s="241"/>
      <c r="K321" s="289"/>
      <c r="L321" s="289"/>
      <c r="M321" s="241"/>
      <c r="N321" s="241"/>
      <c r="O321" s="241"/>
      <c r="P321" s="241"/>
      <c r="Q321" s="241"/>
      <c r="R321" s="241"/>
      <c r="S321" s="241"/>
      <c r="T321" s="241"/>
      <c r="U321" s="241"/>
      <c r="V321" s="241"/>
      <c r="W321" s="241"/>
      <c r="X321" s="241"/>
      <c r="Y321" s="241"/>
      <c r="Z321" s="241"/>
      <c r="AA321" s="241"/>
      <c r="AB321" s="290">
        <f t="shared" si="32"/>
        <v>270</v>
      </c>
      <c r="AC321" s="290" t="e">
        <f t="shared" si="33"/>
        <v>#N/A</v>
      </c>
      <c r="AD321" s="290">
        <f t="shared" si="34"/>
        <v>27</v>
      </c>
      <c r="AE321" s="290">
        <f t="shared" si="35"/>
        <v>243</v>
      </c>
    </row>
    <row r="322" spans="1:31" x14ac:dyDescent="0.25">
      <c r="A322" s="280"/>
      <c r="B322" s="331">
        <f>Crop!B358</f>
        <v>41949</v>
      </c>
      <c r="C322" s="332">
        <f t="shared" si="36"/>
        <v>270</v>
      </c>
      <c r="D322" s="332" t="str">
        <f t="shared" si="37"/>
        <v/>
      </c>
      <c r="E322" s="332">
        <f t="shared" si="38"/>
        <v>27</v>
      </c>
      <c r="F322" s="332">
        <f t="shared" si="39"/>
        <v>243</v>
      </c>
      <c r="G322" s="241"/>
      <c r="H322" s="241"/>
      <c r="I322" s="241"/>
      <c r="J322" s="241"/>
      <c r="K322" s="289"/>
      <c r="L322" s="289"/>
      <c r="M322" s="241"/>
      <c r="N322" s="241"/>
      <c r="O322" s="241"/>
      <c r="P322" s="241"/>
      <c r="Q322" s="241"/>
      <c r="R322" s="241"/>
      <c r="S322" s="241"/>
      <c r="T322" s="241"/>
      <c r="U322" s="241"/>
      <c r="V322" s="241"/>
      <c r="W322" s="241"/>
      <c r="X322" s="241"/>
      <c r="Y322" s="241"/>
      <c r="Z322" s="241"/>
      <c r="AA322" s="241"/>
      <c r="AB322" s="290">
        <f t="shared" si="32"/>
        <v>270</v>
      </c>
      <c r="AC322" s="290" t="e">
        <f t="shared" si="33"/>
        <v>#N/A</v>
      </c>
      <c r="AD322" s="290">
        <f t="shared" si="34"/>
        <v>27</v>
      </c>
      <c r="AE322" s="290">
        <f t="shared" si="35"/>
        <v>243</v>
      </c>
    </row>
    <row r="323" spans="1:31" x14ac:dyDescent="0.25">
      <c r="A323" s="280"/>
      <c r="B323" s="331">
        <f>Crop!B359</f>
        <v>41950</v>
      </c>
      <c r="C323" s="332">
        <f t="shared" si="36"/>
        <v>270</v>
      </c>
      <c r="D323" s="332" t="str">
        <f t="shared" si="37"/>
        <v/>
      </c>
      <c r="E323" s="332">
        <f t="shared" si="38"/>
        <v>27</v>
      </c>
      <c r="F323" s="332">
        <f t="shared" si="39"/>
        <v>243</v>
      </c>
      <c r="G323" s="241"/>
      <c r="H323" s="241"/>
      <c r="I323" s="241"/>
      <c r="J323" s="241"/>
      <c r="K323" s="289"/>
      <c r="L323" s="289"/>
      <c r="M323" s="241"/>
      <c r="N323" s="241"/>
      <c r="O323" s="241"/>
      <c r="P323" s="241"/>
      <c r="Q323" s="241"/>
      <c r="R323" s="241"/>
      <c r="S323" s="241"/>
      <c r="T323" s="241"/>
      <c r="U323" s="241"/>
      <c r="V323" s="241"/>
      <c r="W323" s="241"/>
      <c r="X323" s="241"/>
      <c r="Y323" s="241"/>
      <c r="Z323" s="241"/>
      <c r="AA323" s="241"/>
      <c r="AB323" s="290">
        <f t="shared" si="32"/>
        <v>270</v>
      </c>
      <c r="AC323" s="290" t="e">
        <f t="shared" si="33"/>
        <v>#N/A</v>
      </c>
      <c r="AD323" s="290">
        <f t="shared" si="34"/>
        <v>27</v>
      </c>
      <c r="AE323" s="290">
        <f t="shared" si="35"/>
        <v>243</v>
      </c>
    </row>
    <row r="324" spans="1:31" x14ac:dyDescent="0.25">
      <c r="A324" s="280"/>
      <c r="B324" s="331">
        <f>Crop!B360</f>
        <v>41951</v>
      </c>
      <c r="C324" s="332">
        <f t="shared" si="36"/>
        <v>270</v>
      </c>
      <c r="D324" s="332" t="str">
        <f t="shared" si="37"/>
        <v/>
      </c>
      <c r="E324" s="332">
        <f t="shared" si="38"/>
        <v>27</v>
      </c>
      <c r="F324" s="332">
        <f t="shared" si="39"/>
        <v>243</v>
      </c>
      <c r="G324" s="241"/>
      <c r="H324" s="241"/>
      <c r="I324" s="241"/>
      <c r="J324" s="241"/>
      <c r="K324" s="289"/>
      <c r="L324" s="289"/>
      <c r="M324" s="241"/>
      <c r="N324" s="241"/>
      <c r="O324" s="241"/>
      <c r="P324" s="241"/>
      <c r="Q324" s="241"/>
      <c r="R324" s="241"/>
      <c r="S324" s="241"/>
      <c r="T324" s="241"/>
      <c r="U324" s="241"/>
      <c r="V324" s="241"/>
      <c r="W324" s="241"/>
      <c r="X324" s="241"/>
      <c r="Y324" s="241"/>
      <c r="Z324" s="241"/>
      <c r="AA324" s="241"/>
      <c r="AB324" s="290">
        <f t="shared" si="32"/>
        <v>270</v>
      </c>
      <c r="AC324" s="290" t="e">
        <f t="shared" si="33"/>
        <v>#N/A</v>
      </c>
      <c r="AD324" s="290">
        <f t="shared" si="34"/>
        <v>27</v>
      </c>
      <c r="AE324" s="290">
        <f t="shared" si="35"/>
        <v>243</v>
      </c>
    </row>
    <row r="325" spans="1:31" x14ac:dyDescent="0.25">
      <c r="A325" s="280"/>
      <c r="B325" s="331">
        <f>Crop!B361</f>
        <v>41952</v>
      </c>
      <c r="C325" s="332">
        <f t="shared" si="36"/>
        <v>270</v>
      </c>
      <c r="D325" s="332" t="str">
        <f t="shared" si="37"/>
        <v/>
      </c>
      <c r="E325" s="332">
        <f t="shared" si="38"/>
        <v>27</v>
      </c>
      <c r="F325" s="332">
        <f t="shared" si="39"/>
        <v>243</v>
      </c>
      <c r="G325" s="241"/>
      <c r="H325" s="241"/>
      <c r="I325" s="241"/>
      <c r="J325" s="241"/>
      <c r="K325" s="289"/>
      <c r="L325" s="289"/>
      <c r="M325" s="241"/>
      <c r="N325" s="241"/>
      <c r="O325" s="241"/>
      <c r="P325" s="241"/>
      <c r="Q325" s="241"/>
      <c r="R325" s="241"/>
      <c r="S325" s="241"/>
      <c r="T325" s="241"/>
      <c r="U325" s="241"/>
      <c r="V325" s="241"/>
      <c r="W325" s="241"/>
      <c r="X325" s="241"/>
      <c r="Y325" s="241"/>
      <c r="Z325" s="241"/>
      <c r="AA325" s="241"/>
      <c r="AB325" s="290">
        <f t="shared" si="32"/>
        <v>270</v>
      </c>
      <c r="AC325" s="290" t="e">
        <f t="shared" si="33"/>
        <v>#N/A</v>
      </c>
      <c r="AD325" s="290">
        <f t="shared" si="34"/>
        <v>27</v>
      </c>
      <c r="AE325" s="290">
        <f t="shared" si="35"/>
        <v>243</v>
      </c>
    </row>
    <row r="326" spans="1:31" x14ac:dyDescent="0.25">
      <c r="A326" s="280"/>
      <c r="B326" s="331">
        <f>Crop!B362</f>
        <v>41953</v>
      </c>
      <c r="C326" s="332">
        <f t="shared" si="36"/>
        <v>270</v>
      </c>
      <c r="D326" s="332" t="str">
        <f t="shared" si="37"/>
        <v/>
      </c>
      <c r="E326" s="332">
        <f t="shared" si="38"/>
        <v>27</v>
      </c>
      <c r="F326" s="332">
        <f t="shared" si="39"/>
        <v>243</v>
      </c>
      <c r="G326" s="241"/>
      <c r="H326" s="241"/>
      <c r="I326" s="241"/>
      <c r="J326" s="241"/>
      <c r="K326" s="289"/>
      <c r="L326" s="289"/>
      <c r="M326" s="241"/>
      <c r="N326" s="241"/>
      <c r="O326" s="241"/>
      <c r="P326" s="241"/>
      <c r="Q326" s="241"/>
      <c r="R326" s="241"/>
      <c r="S326" s="241"/>
      <c r="T326" s="241"/>
      <c r="U326" s="241"/>
      <c r="V326" s="241"/>
      <c r="W326" s="241"/>
      <c r="X326" s="241"/>
      <c r="Y326" s="241"/>
      <c r="Z326" s="241"/>
      <c r="AA326" s="241"/>
      <c r="AB326" s="290">
        <f t="shared" si="32"/>
        <v>270</v>
      </c>
      <c r="AC326" s="290" t="e">
        <f t="shared" si="33"/>
        <v>#N/A</v>
      </c>
      <c r="AD326" s="290">
        <f t="shared" si="34"/>
        <v>27</v>
      </c>
      <c r="AE326" s="290">
        <f t="shared" si="35"/>
        <v>243</v>
      </c>
    </row>
    <row r="327" spans="1:31" x14ac:dyDescent="0.25">
      <c r="A327" s="280"/>
      <c r="B327" s="331">
        <f>Crop!B363</f>
        <v>41954</v>
      </c>
      <c r="C327" s="332">
        <f t="shared" si="36"/>
        <v>270</v>
      </c>
      <c r="D327" s="332" t="str">
        <f t="shared" si="37"/>
        <v/>
      </c>
      <c r="E327" s="332">
        <f t="shared" si="38"/>
        <v>27</v>
      </c>
      <c r="F327" s="332">
        <f t="shared" si="39"/>
        <v>243</v>
      </c>
      <c r="G327" s="241"/>
      <c r="H327" s="241"/>
      <c r="I327" s="241"/>
      <c r="J327" s="241"/>
      <c r="K327" s="289"/>
      <c r="L327" s="289"/>
      <c r="M327" s="241"/>
      <c r="N327" s="241"/>
      <c r="O327" s="241"/>
      <c r="P327" s="241"/>
      <c r="Q327" s="241"/>
      <c r="R327" s="241"/>
      <c r="S327" s="241"/>
      <c r="T327" s="241"/>
      <c r="U327" s="241"/>
      <c r="V327" s="241"/>
      <c r="W327" s="241"/>
      <c r="X327" s="241"/>
      <c r="Y327" s="241"/>
      <c r="Z327" s="241"/>
      <c r="AA327" s="241"/>
      <c r="AB327" s="290">
        <f t="shared" si="32"/>
        <v>270</v>
      </c>
      <c r="AC327" s="290" t="e">
        <f t="shared" si="33"/>
        <v>#N/A</v>
      </c>
      <c r="AD327" s="290">
        <f t="shared" si="34"/>
        <v>27</v>
      </c>
      <c r="AE327" s="290">
        <f t="shared" si="35"/>
        <v>243</v>
      </c>
    </row>
    <row r="328" spans="1:31" x14ac:dyDescent="0.25">
      <c r="A328" s="280"/>
      <c r="B328" s="331">
        <f>Crop!B364</f>
        <v>41955</v>
      </c>
      <c r="C328" s="332">
        <f t="shared" si="36"/>
        <v>270</v>
      </c>
      <c r="D328" s="332" t="str">
        <f t="shared" si="37"/>
        <v/>
      </c>
      <c r="E328" s="332">
        <f t="shared" si="38"/>
        <v>27</v>
      </c>
      <c r="F328" s="332">
        <f t="shared" si="39"/>
        <v>243</v>
      </c>
      <c r="G328" s="241"/>
      <c r="H328" s="241"/>
      <c r="I328" s="241"/>
      <c r="J328" s="241"/>
      <c r="K328" s="289"/>
      <c r="L328" s="289"/>
      <c r="M328" s="241"/>
      <c r="N328" s="241"/>
      <c r="O328" s="241"/>
      <c r="P328" s="241"/>
      <c r="Q328" s="241"/>
      <c r="R328" s="241"/>
      <c r="S328" s="241"/>
      <c r="T328" s="241"/>
      <c r="U328" s="241"/>
      <c r="V328" s="241"/>
      <c r="W328" s="241"/>
      <c r="X328" s="241"/>
      <c r="Y328" s="241"/>
      <c r="Z328" s="241"/>
      <c r="AA328" s="241"/>
      <c r="AB328" s="290">
        <f t="shared" si="32"/>
        <v>270</v>
      </c>
      <c r="AC328" s="290" t="e">
        <f t="shared" si="33"/>
        <v>#N/A</v>
      </c>
      <c r="AD328" s="290">
        <f t="shared" si="34"/>
        <v>27</v>
      </c>
      <c r="AE328" s="290">
        <f t="shared" si="35"/>
        <v>243</v>
      </c>
    </row>
    <row r="329" spans="1:31" x14ac:dyDescent="0.25">
      <c r="A329" s="280"/>
      <c r="B329" s="331">
        <f>Crop!B365</f>
        <v>41956</v>
      </c>
      <c r="C329" s="332">
        <f t="shared" si="36"/>
        <v>270</v>
      </c>
      <c r="D329" s="332" t="str">
        <f t="shared" si="37"/>
        <v/>
      </c>
      <c r="E329" s="332">
        <f t="shared" si="38"/>
        <v>27</v>
      </c>
      <c r="F329" s="332">
        <f t="shared" si="39"/>
        <v>243</v>
      </c>
      <c r="G329" s="241"/>
      <c r="H329" s="241"/>
      <c r="I329" s="241"/>
      <c r="J329" s="241"/>
      <c r="K329" s="289"/>
      <c r="L329" s="289"/>
      <c r="M329" s="241"/>
      <c r="N329" s="241"/>
      <c r="O329" s="241"/>
      <c r="P329" s="241"/>
      <c r="Q329" s="241"/>
      <c r="R329" s="241"/>
      <c r="S329" s="241"/>
      <c r="T329" s="241"/>
      <c r="U329" s="241"/>
      <c r="V329" s="241"/>
      <c r="W329" s="241"/>
      <c r="X329" s="241"/>
      <c r="Y329" s="241"/>
      <c r="Z329" s="241"/>
      <c r="AA329" s="241"/>
      <c r="AB329" s="290">
        <f t="shared" si="32"/>
        <v>270</v>
      </c>
      <c r="AC329" s="290" t="e">
        <f t="shared" si="33"/>
        <v>#N/A</v>
      </c>
      <c r="AD329" s="290">
        <f t="shared" si="34"/>
        <v>27</v>
      </c>
      <c r="AE329" s="290">
        <f t="shared" si="35"/>
        <v>243</v>
      </c>
    </row>
    <row r="330" spans="1:31" x14ac:dyDescent="0.25">
      <c r="A330" s="280"/>
      <c r="B330" s="331">
        <f>Crop!B366</f>
        <v>41957</v>
      </c>
      <c r="C330" s="332">
        <f t="shared" si="36"/>
        <v>270</v>
      </c>
      <c r="D330" s="332" t="str">
        <f t="shared" si="37"/>
        <v/>
      </c>
      <c r="E330" s="332">
        <f t="shared" si="38"/>
        <v>27</v>
      </c>
      <c r="F330" s="332">
        <f t="shared" si="39"/>
        <v>243</v>
      </c>
      <c r="G330" s="241"/>
      <c r="H330" s="241"/>
      <c r="I330" s="241"/>
      <c r="J330" s="241"/>
      <c r="K330" s="289"/>
      <c r="L330" s="289"/>
      <c r="M330" s="241"/>
      <c r="N330" s="241"/>
      <c r="O330" s="241"/>
      <c r="P330" s="241"/>
      <c r="Q330" s="241"/>
      <c r="R330" s="241"/>
      <c r="S330" s="241"/>
      <c r="T330" s="241"/>
      <c r="U330" s="241"/>
      <c r="V330" s="241"/>
      <c r="W330" s="241"/>
      <c r="X330" s="241"/>
      <c r="Y330" s="241"/>
      <c r="Z330" s="241"/>
      <c r="AA330" s="241"/>
      <c r="AB330" s="290">
        <f t="shared" si="32"/>
        <v>270</v>
      </c>
      <c r="AC330" s="290" t="e">
        <f t="shared" si="33"/>
        <v>#N/A</v>
      </c>
      <c r="AD330" s="290">
        <f t="shared" si="34"/>
        <v>27</v>
      </c>
      <c r="AE330" s="290">
        <f t="shared" si="35"/>
        <v>243</v>
      </c>
    </row>
    <row r="331" spans="1:31" x14ac:dyDescent="0.25">
      <c r="A331" s="280"/>
      <c r="B331" s="331">
        <f>Crop!B367</f>
        <v>41958</v>
      </c>
      <c r="C331" s="332">
        <f t="shared" si="36"/>
        <v>270</v>
      </c>
      <c r="D331" s="332" t="str">
        <f t="shared" si="37"/>
        <v/>
      </c>
      <c r="E331" s="332">
        <f t="shared" si="38"/>
        <v>27</v>
      </c>
      <c r="F331" s="332">
        <f t="shared" si="39"/>
        <v>243</v>
      </c>
      <c r="G331" s="241"/>
      <c r="H331" s="241"/>
      <c r="I331" s="241"/>
      <c r="J331" s="241"/>
      <c r="K331" s="289"/>
      <c r="L331" s="289"/>
      <c r="M331" s="241"/>
      <c r="N331" s="241"/>
      <c r="O331" s="241"/>
      <c r="P331" s="241"/>
      <c r="Q331" s="241"/>
      <c r="R331" s="241"/>
      <c r="S331" s="241"/>
      <c r="T331" s="241"/>
      <c r="U331" s="241"/>
      <c r="V331" s="241"/>
      <c r="W331" s="241"/>
      <c r="X331" s="241"/>
      <c r="Y331" s="241"/>
      <c r="Z331" s="241"/>
      <c r="AA331" s="241"/>
      <c r="AB331" s="290">
        <f t="shared" si="32"/>
        <v>270</v>
      </c>
      <c r="AC331" s="290" t="e">
        <f t="shared" si="33"/>
        <v>#N/A</v>
      </c>
      <c r="AD331" s="290">
        <f t="shared" si="34"/>
        <v>27</v>
      </c>
      <c r="AE331" s="290">
        <f t="shared" si="35"/>
        <v>243</v>
      </c>
    </row>
    <row r="332" spans="1:31" x14ac:dyDescent="0.25">
      <c r="A332" s="280"/>
      <c r="B332" s="331">
        <f>Crop!B368</f>
        <v>41959</v>
      </c>
      <c r="C332" s="332">
        <f t="shared" si="36"/>
        <v>270</v>
      </c>
      <c r="D332" s="332" t="str">
        <f t="shared" si="37"/>
        <v/>
      </c>
      <c r="E332" s="332">
        <f t="shared" si="38"/>
        <v>27</v>
      </c>
      <c r="F332" s="332">
        <f t="shared" si="39"/>
        <v>243</v>
      </c>
      <c r="G332" s="241"/>
      <c r="H332" s="241"/>
      <c r="I332" s="241"/>
      <c r="J332" s="241"/>
      <c r="K332" s="289"/>
      <c r="L332" s="289"/>
      <c r="M332" s="241"/>
      <c r="N332" s="241"/>
      <c r="O332" s="241"/>
      <c r="P332" s="241"/>
      <c r="Q332" s="241"/>
      <c r="R332" s="241"/>
      <c r="S332" s="241"/>
      <c r="T332" s="241"/>
      <c r="U332" s="241"/>
      <c r="V332" s="241"/>
      <c r="W332" s="241"/>
      <c r="X332" s="241"/>
      <c r="Y332" s="241"/>
      <c r="Z332" s="241"/>
      <c r="AA332" s="241"/>
      <c r="AB332" s="290">
        <f t="shared" si="32"/>
        <v>270</v>
      </c>
      <c r="AC332" s="290" t="e">
        <f t="shared" si="33"/>
        <v>#N/A</v>
      </c>
      <c r="AD332" s="290">
        <f t="shared" si="34"/>
        <v>27</v>
      </c>
      <c r="AE332" s="290">
        <f t="shared" si="35"/>
        <v>243</v>
      </c>
    </row>
    <row r="333" spans="1:31" x14ac:dyDescent="0.25">
      <c r="A333" s="280"/>
      <c r="B333" s="331">
        <f>Crop!B369</f>
        <v>41960</v>
      </c>
      <c r="C333" s="332">
        <f t="shared" si="36"/>
        <v>270</v>
      </c>
      <c r="D333" s="332" t="str">
        <f t="shared" si="37"/>
        <v/>
      </c>
      <c r="E333" s="332">
        <f t="shared" si="38"/>
        <v>27</v>
      </c>
      <c r="F333" s="332">
        <f t="shared" si="39"/>
        <v>243</v>
      </c>
      <c r="G333" s="241"/>
      <c r="H333" s="241"/>
      <c r="I333" s="241"/>
      <c r="J333" s="241"/>
      <c r="K333" s="289"/>
      <c r="L333" s="289"/>
      <c r="M333" s="241"/>
      <c r="N333" s="241"/>
      <c r="O333" s="241"/>
      <c r="P333" s="241"/>
      <c r="Q333" s="241"/>
      <c r="R333" s="241"/>
      <c r="S333" s="241"/>
      <c r="T333" s="241"/>
      <c r="U333" s="241"/>
      <c r="V333" s="241"/>
      <c r="W333" s="241"/>
      <c r="X333" s="241"/>
      <c r="Y333" s="241"/>
      <c r="Z333" s="241"/>
      <c r="AA333" s="241"/>
      <c r="AB333" s="290">
        <f t="shared" ref="AB333:AB396" si="40">IF(C333="",#N/A,C333)</f>
        <v>270</v>
      </c>
      <c r="AC333" s="290" t="e">
        <f t="shared" ref="AC333:AC396" si="41">IF(D333="",#N/A,D333)</f>
        <v>#N/A</v>
      </c>
      <c r="AD333" s="290">
        <f t="shared" ref="AD333:AD396" si="42">IF(E333="",#N/A,E333)</f>
        <v>27</v>
      </c>
      <c r="AE333" s="290">
        <f t="shared" ref="AE333:AE396" si="43">IF(F333="",#N/A,F333)</f>
        <v>243</v>
      </c>
    </row>
    <row r="334" spans="1:31" x14ac:dyDescent="0.25">
      <c r="A334" s="280"/>
      <c r="B334" s="331">
        <f>Crop!B370</f>
        <v>41961</v>
      </c>
      <c r="C334" s="332">
        <f t="shared" ref="C334:C397" si="44">G$8</f>
        <v>270</v>
      </c>
      <c r="D334" s="332" t="str">
        <f t="shared" ref="D334:D397" si="45">IF(B334=B$6,AC$6,IF(B334&gt;B$10,"",IF(B334&gt;=B$9,D333+AD$9,IF(B334&gt;B$8,D333+AD$8,IF(B334&gt;B$7,D333+AD$7,IF(B334&gt;B$6,AC$6,""))))))</f>
        <v/>
      </c>
      <c r="E334" s="332">
        <f t="shared" ref="E334:E397" si="46">IF($B334&lt;B$6,150*F$8,IF($B334=$B$6,L$6,IF($B334&gt;$B$10,150*F$8,IF($B334&gt;=$B$9,E333+AB$9,IF($B334&gt;$B$8,E333+AB$8,IF($B334&gt;$B$7,E333+AB$7,IF($B334&gt;$B$6,L$6,"")))))))</f>
        <v>27</v>
      </c>
      <c r="F334" s="332">
        <f t="shared" si="39"/>
        <v>243</v>
      </c>
      <c r="G334" s="241"/>
      <c r="H334" s="241"/>
      <c r="I334" s="241"/>
      <c r="J334" s="241"/>
      <c r="K334" s="289"/>
      <c r="L334" s="289"/>
      <c r="M334" s="241"/>
      <c r="N334" s="241"/>
      <c r="O334" s="241"/>
      <c r="P334" s="241"/>
      <c r="Q334" s="241"/>
      <c r="R334" s="241"/>
      <c r="S334" s="241"/>
      <c r="T334" s="241"/>
      <c r="U334" s="241"/>
      <c r="V334" s="241"/>
      <c r="W334" s="241"/>
      <c r="X334" s="241"/>
      <c r="Y334" s="241"/>
      <c r="Z334" s="241"/>
      <c r="AA334" s="241"/>
      <c r="AB334" s="290">
        <f t="shared" si="40"/>
        <v>270</v>
      </c>
      <c r="AC334" s="290" t="e">
        <f t="shared" si="41"/>
        <v>#N/A</v>
      </c>
      <c r="AD334" s="290">
        <f t="shared" si="42"/>
        <v>27</v>
      </c>
      <c r="AE334" s="290">
        <f t="shared" si="43"/>
        <v>243</v>
      </c>
    </row>
    <row r="335" spans="1:31" x14ac:dyDescent="0.25">
      <c r="A335" s="280"/>
      <c r="B335" s="331">
        <f>Crop!B371</f>
        <v>41962</v>
      </c>
      <c r="C335" s="332">
        <f t="shared" si="44"/>
        <v>270</v>
      </c>
      <c r="D335" s="332" t="str">
        <f t="shared" si="45"/>
        <v/>
      </c>
      <c r="E335" s="332">
        <f t="shared" si="46"/>
        <v>27</v>
      </c>
      <c r="F335" s="332">
        <f t="shared" ref="F335:F398" si="47">IF(C335="","",C335-E335)</f>
        <v>243</v>
      </c>
      <c r="G335" s="241"/>
      <c r="H335" s="241"/>
      <c r="I335" s="241"/>
      <c r="J335" s="241"/>
      <c r="K335" s="289"/>
      <c r="L335" s="289"/>
      <c r="M335" s="241"/>
      <c r="N335" s="241"/>
      <c r="O335" s="241"/>
      <c r="P335" s="241"/>
      <c r="Q335" s="241"/>
      <c r="R335" s="241"/>
      <c r="S335" s="241"/>
      <c r="T335" s="241"/>
      <c r="U335" s="241"/>
      <c r="V335" s="241"/>
      <c r="W335" s="241"/>
      <c r="X335" s="241"/>
      <c r="Y335" s="241"/>
      <c r="Z335" s="241"/>
      <c r="AA335" s="241"/>
      <c r="AB335" s="290">
        <f t="shared" si="40"/>
        <v>270</v>
      </c>
      <c r="AC335" s="290" t="e">
        <f t="shared" si="41"/>
        <v>#N/A</v>
      </c>
      <c r="AD335" s="290">
        <f t="shared" si="42"/>
        <v>27</v>
      </c>
      <c r="AE335" s="290">
        <f t="shared" si="43"/>
        <v>243</v>
      </c>
    </row>
    <row r="336" spans="1:31" x14ac:dyDescent="0.25">
      <c r="A336" s="280"/>
      <c r="B336" s="331">
        <f>Crop!B372</f>
        <v>41963</v>
      </c>
      <c r="C336" s="332">
        <f t="shared" si="44"/>
        <v>270</v>
      </c>
      <c r="D336" s="332" t="str">
        <f t="shared" si="45"/>
        <v/>
      </c>
      <c r="E336" s="332">
        <f t="shared" si="46"/>
        <v>27</v>
      </c>
      <c r="F336" s="332">
        <f t="shared" si="47"/>
        <v>243</v>
      </c>
      <c r="G336" s="241"/>
      <c r="H336" s="241"/>
      <c r="I336" s="241"/>
      <c r="J336" s="241"/>
      <c r="K336" s="289"/>
      <c r="L336" s="289"/>
      <c r="M336" s="241"/>
      <c r="N336" s="241"/>
      <c r="O336" s="241"/>
      <c r="P336" s="241"/>
      <c r="Q336" s="241"/>
      <c r="R336" s="241"/>
      <c r="S336" s="241"/>
      <c r="T336" s="241"/>
      <c r="U336" s="241"/>
      <c r="V336" s="241"/>
      <c r="W336" s="241"/>
      <c r="X336" s="241"/>
      <c r="Y336" s="241"/>
      <c r="Z336" s="241"/>
      <c r="AA336" s="241"/>
      <c r="AB336" s="290">
        <f t="shared" si="40"/>
        <v>270</v>
      </c>
      <c r="AC336" s="290" t="e">
        <f t="shared" si="41"/>
        <v>#N/A</v>
      </c>
      <c r="AD336" s="290">
        <f t="shared" si="42"/>
        <v>27</v>
      </c>
      <c r="AE336" s="290">
        <f t="shared" si="43"/>
        <v>243</v>
      </c>
    </row>
    <row r="337" spans="1:31" x14ac:dyDescent="0.25">
      <c r="A337" s="280"/>
      <c r="B337" s="331">
        <f>Crop!B373</f>
        <v>41964</v>
      </c>
      <c r="C337" s="332">
        <f t="shared" si="44"/>
        <v>270</v>
      </c>
      <c r="D337" s="332" t="str">
        <f t="shared" si="45"/>
        <v/>
      </c>
      <c r="E337" s="332">
        <f t="shared" si="46"/>
        <v>27</v>
      </c>
      <c r="F337" s="332">
        <f t="shared" si="47"/>
        <v>243</v>
      </c>
      <c r="G337" s="241"/>
      <c r="H337" s="241"/>
      <c r="I337" s="241"/>
      <c r="J337" s="241"/>
      <c r="K337" s="289"/>
      <c r="L337" s="289"/>
      <c r="M337" s="241"/>
      <c r="N337" s="241"/>
      <c r="O337" s="241"/>
      <c r="P337" s="241"/>
      <c r="Q337" s="241"/>
      <c r="R337" s="241"/>
      <c r="S337" s="241"/>
      <c r="T337" s="241"/>
      <c r="U337" s="241"/>
      <c r="V337" s="241"/>
      <c r="W337" s="241"/>
      <c r="X337" s="241"/>
      <c r="Y337" s="241"/>
      <c r="Z337" s="241"/>
      <c r="AA337" s="241"/>
      <c r="AB337" s="290">
        <f t="shared" si="40"/>
        <v>270</v>
      </c>
      <c r="AC337" s="290" t="e">
        <f t="shared" si="41"/>
        <v>#N/A</v>
      </c>
      <c r="AD337" s="290">
        <f t="shared" si="42"/>
        <v>27</v>
      </c>
      <c r="AE337" s="290">
        <f t="shared" si="43"/>
        <v>243</v>
      </c>
    </row>
    <row r="338" spans="1:31" x14ac:dyDescent="0.25">
      <c r="A338" s="280"/>
      <c r="B338" s="331">
        <f>Crop!B374</f>
        <v>41965</v>
      </c>
      <c r="C338" s="332">
        <f t="shared" si="44"/>
        <v>270</v>
      </c>
      <c r="D338" s="332" t="str">
        <f t="shared" si="45"/>
        <v/>
      </c>
      <c r="E338" s="332">
        <f t="shared" si="46"/>
        <v>27</v>
      </c>
      <c r="F338" s="332">
        <f t="shared" si="47"/>
        <v>243</v>
      </c>
      <c r="G338" s="241"/>
      <c r="H338" s="241"/>
      <c r="I338" s="241"/>
      <c r="J338" s="241"/>
      <c r="K338" s="289"/>
      <c r="L338" s="289"/>
      <c r="M338" s="241"/>
      <c r="N338" s="241"/>
      <c r="O338" s="241"/>
      <c r="P338" s="241"/>
      <c r="Q338" s="241"/>
      <c r="R338" s="241"/>
      <c r="S338" s="241"/>
      <c r="T338" s="241"/>
      <c r="U338" s="241"/>
      <c r="V338" s="241"/>
      <c r="W338" s="241"/>
      <c r="X338" s="241"/>
      <c r="Y338" s="241"/>
      <c r="Z338" s="241"/>
      <c r="AA338" s="241"/>
      <c r="AB338" s="290">
        <f t="shared" si="40"/>
        <v>270</v>
      </c>
      <c r="AC338" s="290" t="e">
        <f t="shared" si="41"/>
        <v>#N/A</v>
      </c>
      <c r="AD338" s="290">
        <f t="shared" si="42"/>
        <v>27</v>
      </c>
      <c r="AE338" s="290">
        <f t="shared" si="43"/>
        <v>243</v>
      </c>
    </row>
    <row r="339" spans="1:31" x14ac:dyDescent="0.25">
      <c r="A339" s="280"/>
      <c r="B339" s="331">
        <f>Crop!B375</f>
        <v>41966</v>
      </c>
      <c r="C339" s="332">
        <f t="shared" si="44"/>
        <v>270</v>
      </c>
      <c r="D339" s="332" t="str">
        <f t="shared" si="45"/>
        <v/>
      </c>
      <c r="E339" s="332">
        <f t="shared" si="46"/>
        <v>27</v>
      </c>
      <c r="F339" s="332">
        <f t="shared" si="47"/>
        <v>243</v>
      </c>
      <c r="G339" s="241"/>
      <c r="H339" s="241"/>
      <c r="I339" s="241"/>
      <c r="J339" s="241"/>
      <c r="K339" s="289"/>
      <c r="L339" s="289"/>
      <c r="M339" s="241"/>
      <c r="N339" s="241"/>
      <c r="O339" s="241"/>
      <c r="P339" s="241"/>
      <c r="Q339" s="241"/>
      <c r="R339" s="241"/>
      <c r="S339" s="241"/>
      <c r="T339" s="241"/>
      <c r="U339" s="241"/>
      <c r="V339" s="241"/>
      <c r="W339" s="241"/>
      <c r="X339" s="241"/>
      <c r="Y339" s="241"/>
      <c r="Z339" s="241"/>
      <c r="AA339" s="241"/>
      <c r="AB339" s="290">
        <f t="shared" si="40"/>
        <v>270</v>
      </c>
      <c r="AC339" s="290" t="e">
        <f t="shared" si="41"/>
        <v>#N/A</v>
      </c>
      <c r="AD339" s="290">
        <f t="shared" si="42"/>
        <v>27</v>
      </c>
      <c r="AE339" s="290">
        <f t="shared" si="43"/>
        <v>243</v>
      </c>
    </row>
    <row r="340" spans="1:31" x14ac:dyDescent="0.25">
      <c r="A340" s="280"/>
      <c r="B340" s="331">
        <f>Crop!B376</f>
        <v>41967</v>
      </c>
      <c r="C340" s="332">
        <f t="shared" si="44"/>
        <v>270</v>
      </c>
      <c r="D340" s="332" t="str">
        <f t="shared" si="45"/>
        <v/>
      </c>
      <c r="E340" s="332">
        <f t="shared" si="46"/>
        <v>27</v>
      </c>
      <c r="F340" s="332">
        <f t="shared" si="47"/>
        <v>243</v>
      </c>
      <c r="G340" s="241"/>
      <c r="H340" s="241"/>
      <c r="I340" s="241"/>
      <c r="J340" s="241"/>
      <c r="K340" s="289"/>
      <c r="L340" s="289"/>
      <c r="M340" s="241"/>
      <c r="N340" s="241"/>
      <c r="O340" s="241"/>
      <c r="P340" s="241"/>
      <c r="Q340" s="241"/>
      <c r="R340" s="241"/>
      <c r="S340" s="241"/>
      <c r="T340" s="241"/>
      <c r="U340" s="241"/>
      <c r="V340" s="241"/>
      <c r="W340" s="241"/>
      <c r="X340" s="241"/>
      <c r="Y340" s="241"/>
      <c r="Z340" s="241"/>
      <c r="AA340" s="241"/>
      <c r="AB340" s="290">
        <f t="shared" si="40"/>
        <v>270</v>
      </c>
      <c r="AC340" s="290" t="e">
        <f t="shared" si="41"/>
        <v>#N/A</v>
      </c>
      <c r="AD340" s="290">
        <f t="shared" si="42"/>
        <v>27</v>
      </c>
      <c r="AE340" s="290">
        <f t="shared" si="43"/>
        <v>243</v>
      </c>
    </row>
    <row r="341" spans="1:31" x14ac:dyDescent="0.25">
      <c r="A341" s="280"/>
      <c r="B341" s="331">
        <f>Crop!B377</f>
        <v>41968</v>
      </c>
      <c r="C341" s="332">
        <f t="shared" si="44"/>
        <v>270</v>
      </c>
      <c r="D341" s="332" t="str">
        <f t="shared" si="45"/>
        <v/>
      </c>
      <c r="E341" s="332">
        <f t="shared" si="46"/>
        <v>27</v>
      </c>
      <c r="F341" s="332">
        <f t="shared" si="47"/>
        <v>243</v>
      </c>
      <c r="G341" s="241"/>
      <c r="H341" s="241"/>
      <c r="I341" s="241"/>
      <c r="J341" s="241"/>
      <c r="K341" s="289"/>
      <c r="L341" s="289"/>
      <c r="M341" s="241"/>
      <c r="N341" s="241"/>
      <c r="O341" s="241"/>
      <c r="P341" s="241"/>
      <c r="Q341" s="241"/>
      <c r="R341" s="241"/>
      <c r="S341" s="241"/>
      <c r="T341" s="241"/>
      <c r="U341" s="241"/>
      <c r="V341" s="241"/>
      <c r="W341" s="241"/>
      <c r="X341" s="241"/>
      <c r="Y341" s="241"/>
      <c r="Z341" s="241"/>
      <c r="AA341" s="241"/>
      <c r="AB341" s="290">
        <f t="shared" si="40"/>
        <v>270</v>
      </c>
      <c r="AC341" s="290" t="e">
        <f t="shared" si="41"/>
        <v>#N/A</v>
      </c>
      <c r="AD341" s="290">
        <f t="shared" si="42"/>
        <v>27</v>
      </c>
      <c r="AE341" s="290">
        <f t="shared" si="43"/>
        <v>243</v>
      </c>
    </row>
    <row r="342" spans="1:31" x14ac:dyDescent="0.25">
      <c r="A342" s="280"/>
      <c r="B342" s="331">
        <f>Crop!B378</f>
        <v>41969</v>
      </c>
      <c r="C342" s="332">
        <f t="shared" si="44"/>
        <v>270</v>
      </c>
      <c r="D342" s="332" t="str">
        <f t="shared" si="45"/>
        <v/>
      </c>
      <c r="E342" s="332">
        <f t="shared" si="46"/>
        <v>27</v>
      </c>
      <c r="F342" s="332">
        <f t="shared" si="47"/>
        <v>243</v>
      </c>
      <c r="G342" s="241"/>
      <c r="H342" s="241"/>
      <c r="I342" s="241"/>
      <c r="J342" s="241"/>
      <c r="K342" s="289"/>
      <c r="L342" s="289"/>
      <c r="M342" s="241"/>
      <c r="N342" s="241"/>
      <c r="O342" s="241"/>
      <c r="P342" s="241"/>
      <c r="Q342" s="241"/>
      <c r="R342" s="241"/>
      <c r="S342" s="241"/>
      <c r="T342" s="241"/>
      <c r="U342" s="241"/>
      <c r="V342" s="241"/>
      <c r="W342" s="241"/>
      <c r="X342" s="241"/>
      <c r="Y342" s="241"/>
      <c r="Z342" s="241"/>
      <c r="AA342" s="241"/>
      <c r="AB342" s="290">
        <f t="shared" si="40"/>
        <v>270</v>
      </c>
      <c r="AC342" s="290" t="e">
        <f t="shared" si="41"/>
        <v>#N/A</v>
      </c>
      <c r="AD342" s="290">
        <f t="shared" si="42"/>
        <v>27</v>
      </c>
      <c r="AE342" s="290">
        <f t="shared" si="43"/>
        <v>243</v>
      </c>
    </row>
    <row r="343" spans="1:31" x14ac:dyDescent="0.25">
      <c r="A343" s="280"/>
      <c r="B343" s="331">
        <f>Crop!B379</f>
        <v>41970</v>
      </c>
      <c r="C343" s="332">
        <f t="shared" si="44"/>
        <v>270</v>
      </c>
      <c r="D343" s="332" t="str">
        <f t="shared" si="45"/>
        <v/>
      </c>
      <c r="E343" s="332">
        <f t="shared" si="46"/>
        <v>27</v>
      </c>
      <c r="F343" s="332">
        <f t="shared" si="47"/>
        <v>243</v>
      </c>
      <c r="G343" s="241"/>
      <c r="H343" s="241"/>
      <c r="I343" s="241"/>
      <c r="J343" s="241"/>
      <c r="K343" s="289"/>
      <c r="L343" s="289"/>
      <c r="M343" s="241"/>
      <c r="N343" s="241"/>
      <c r="O343" s="241"/>
      <c r="P343" s="241"/>
      <c r="Q343" s="241"/>
      <c r="R343" s="241"/>
      <c r="S343" s="241"/>
      <c r="T343" s="241"/>
      <c r="U343" s="241"/>
      <c r="V343" s="241"/>
      <c r="W343" s="241"/>
      <c r="X343" s="241"/>
      <c r="Y343" s="241"/>
      <c r="Z343" s="241"/>
      <c r="AA343" s="241"/>
      <c r="AB343" s="290">
        <f t="shared" si="40"/>
        <v>270</v>
      </c>
      <c r="AC343" s="290" t="e">
        <f t="shared" si="41"/>
        <v>#N/A</v>
      </c>
      <c r="AD343" s="290">
        <f t="shared" si="42"/>
        <v>27</v>
      </c>
      <c r="AE343" s="290">
        <f t="shared" si="43"/>
        <v>243</v>
      </c>
    </row>
    <row r="344" spans="1:31" x14ac:dyDescent="0.25">
      <c r="A344" s="280"/>
      <c r="B344" s="331">
        <f>Crop!B380</f>
        <v>41971</v>
      </c>
      <c r="C344" s="332">
        <f t="shared" si="44"/>
        <v>270</v>
      </c>
      <c r="D344" s="332" t="str">
        <f t="shared" si="45"/>
        <v/>
      </c>
      <c r="E344" s="332">
        <f t="shared" si="46"/>
        <v>27</v>
      </c>
      <c r="F344" s="332">
        <f t="shared" si="47"/>
        <v>243</v>
      </c>
      <c r="G344" s="241"/>
      <c r="H344" s="241"/>
      <c r="I344" s="241"/>
      <c r="J344" s="241"/>
      <c r="K344" s="289"/>
      <c r="L344" s="289"/>
      <c r="M344" s="241"/>
      <c r="N344" s="241"/>
      <c r="O344" s="241"/>
      <c r="P344" s="241"/>
      <c r="Q344" s="241"/>
      <c r="R344" s="241"/>
      <c r="S344" s="241"/>
      <c r="T344" s="241"/>
      <c r="U344" s="241"/>
      <c r="V344" s="241"/>
      <c r="W344" s="241"/>
      <c r="X344" s="241"/>
      <c r="Y344" s="241"/>
      <c r="Z344" s="241"/>
      <c r="AA344" s="241"/>
      <c r="AB344" s="290">
        <f t="shared" si="40"/>
        <v>270</v>
      </c>
      <c r="AC344" s="290" t="e">
        <f t="shared" si="41"/>
        <v>#N/A</v>
      </c>
      <c r="AD344" s="290">
        <f t="shared" si="42"/>
        <v>27</v>
      </c>
      <c r="AE344" s="290">
        <f t="shared" si="43"/>
        <v>243</v>
      </c>
    </row>
    <row r="345" spans="1:31" x14ac:dyDescent="0.25">
      <c r="A345" s="280"/>
      <c r="B345" s="331">
        <f>Crop!B381</f>
        <v>41972</v>
      </c>
      <c r="C345" s="332">
        <f t="shared" si="44"/>
        <v>270</v>
      </c>
      <c r="D345" s="332" t="str">
        <f t="shared" si="45"/>
        <v/>
      </c>
      <c r="E345" s="332">
        <f t="shared" si="46"/>
        <v>27</v>
      </c>
      <c r="F345" s="332">
        <f t="shared" si="47"/>
        <v>243</v>
      </c>
      <c r="G345" s="241"/>
      <c r="H345" s="241"/>
      <c r="I345" s="241"/>
      <c r="J345" s="241"/>
      <c r="K345" s="289"/>
      <c r="L345" s="289"/>
      <c r="M345" s="241"/>
      <c r="N345" s="241"/>
      <c r="O345" s="241"/>
      <c r="P345" s="241"/>
      <c r="Q345" s="241"/>
      <c r="R345" s="241"/>
      <c r="S345" s="241"/>
      <c r="T345" s="241"/>
      <c r="U345" s="241"/>
      <c r="V345" s="241"/>
      <c r="W345" s="241"/>
      <c r="X345" s="241"/>
      <c r="Y345" s="241"/>
      <c r="Z345" s="241"/>
      <c r="AA345" s="241"/>
      <c r="AB345" s="290">
        <f t="shared" si="40"/>
        <v>270</v>
      </c>
      <c r="AC345" s="290" t="e">
        <f t="shared" si="41"/>
        <v>#N/A</v>
      </c>
      <c r="AD345" s="290">
        <f t="shared" si="42"/>
        <v>27</v>
      </c>
      <c r="AE345" s="290">
        <f t="shared" si="43"/>
        <v>243</v>
      </c>
    </row>
    <row r="346" spans="1:31" x14ac:dyDescent="0.25">
      <c r="A346" s="280"/>
      <c r="B346" s="331">
        <f>Crop!B382</f>
        <v>41973</v>
      </c>
      <c r="C346" s="332">
        <f t="shared" si="44"/>
        <v>270</v>
      </c>
      <c r="D346" s="332" t="str">
        <f t="shared" si="45"/>
        <v/>
      </c>
      <c r="E346" s="332">
        <f t="shared" si="46"/>
        <v>27</v>
      </c>
      <c r="F346" s="332">
        <f t="shared" si="47"/>
        <v>243</v>
      </c>
      <c r="G346" s="241"/>
      <c r="H346" s="241"/>
      <c r="I346" s="241"/>
      <c r="J346" s="241"/>
      <c r="K346" s="289"/>
      <c r="L346" s="289"/>
      <c r="M346" s="241"/>
      <c r="N346" s="241"/>
      <c r="O346" s="241"/>
      <c r="P346" s="241"/>
      <c r="Q346" s="241"/>
      <c r="R346" s="241"/>
      <c r="S346" s="241"/>
      <c r="T346" s="241"/>
      <c r="U346" s="241"/>
      <c r="V346" s="241"/>
      <c r="W346" s="241"/>
      <c r="X346" s="241"/>
      <c r="Y346" s="241"/>
      <c r="Z346" s="241"/>
      <c r="AA346" s="241"/>
      <c r="AB346" s="290">
        <f t="shared" si="40"/>
        <v>270</v>
      </c>
      <c r="AC346" s="290" t="e">
        <f t="shared" si="41"/>
        <v>#N/A</v>
      </c>
      <c r="AD346" s="290">
        <f t="shared" si="42"/>
        <v>27</v>
      </c>
      <c r="AE346" s="290">
        <f t="shared" si="43"/>
        <v>243</v>
      </c>
    </row>
    <row r="347" spans="1:31" x14ac:dyDescent="0.25">
      <c r="A347" s="280"/>
      <c r="B347" s="331">
        <f>Crop!B383</f>
        <v>41974</v>
      </c>
      <c r="C347" s="332">
        <f t="shared" si="44"/>
        <v>270</v>
      </c>
      <c r="D347" s="332" t="str">
        <f t="shared" si="45"/>
        <v/>
      </c>
      <c r="E347" s="332">
        <f t="shared" si="46"/>
        <v>27</v>
      </c>
      <c r="F347" s="332">
        <f t="shared" si="47"/>
        <v>243</v>
      </c>
      <c r="G347" s="241"/>
      <c r="H347" s="241"/>
      <c r="I347" s="241"/>
      <c r="J347" s="241"/>
      <c r="K347" s="289"/>
      <c r="L347" s="289"/>
      <c r="M347" s="241"/>
      <c r="N347" s="241"/>
      <c r="O347" s="241"/>
      <c r="P347" s="241"/>
      <c r="Q347" s="241"/>
      <c r="R347" s="241"/>
      <c r="S347" s="241"/>
      <c r="T347" s="241"/>
      <c r="U347" s="241"/>
      <c r="V347" s="241"/>
      <c r="W347" s="241"/>
      <c r="X347" s="241"/>
      <c r="Y347" s="241"/>
      <c r="Z347" s="241"/>
      <c r="AA347" s="241"/>
      <c r="AB347" s="290">
        <f t="shared" si="40"/>
        <v>270</v>
      </c>
      <c r="AC347" s="290" t="e">
        <f t="shared" si="41"/>
        <v>#N/A</v>
      </c>
      <c r="AD347" s="290">
        <f t="shared" si="42"/>
        <v>27</v>
      </c>
      <c r="AE347" s="290">
        <f t="shared" si="43"/>
        <v>243</v>
      </c>
    </row>
    <row r="348" spans="1:31" x14ac:dyDescent="0.25">
      <c r="A348" s="280"/>
      <c r="B348" s="331">
        <f>Crop!B384</f>
        <v>41975</v>
      </c>
      <c r="C348" s="332">
        <f t="shared" si="44"/>
        <v>270</v>
      </c>
      <c r="D348" s="332" t="str">
        <f t="shared" si="45"/>
        <v/>
      </c>
      <c r="E348" s="332">
        <f t="shared" si="46"/>
        <v>27</v>
      </c>
      <c r="F348" s="332">
        <f t="shared" si="47"/>
        <v>243</v>
      </c>
      <c r="G348" s="241"/>
      <c r="H348" s="241"/>
      <c r="I348" s="241"/>
      <c r="J348" s="241"/>
      <c r="K348" s="289"/>
      <c r="L348" s="289"/>
      <c r="M348" s="241"/>
      <c r="N348" s="241"/>
      <c r="O348" s="241"/>
      <c r="P348" s="241"/>
      <c r="Q348" s="241"/>
      <c r="R348" s="241"/>
      <c r="S348" s="241"/>
      <c r="T348" s="241"/>
      <c r="U348" s="241"/>
      <c r="V348" s="241"/>
      <c r="W348" s="241"/>
      <c r="X348" s="241"/>
      <c r="Y348" s="241"/>
      <c r="Z348" s="241"/>
      <c r="AA348" s="241"/>
      <c r="AB348" s="290">
        <f t="shared" si="40"/>
        <v>270</v>
      </c>
      <c r="AC348" s="290" t="e">
        <f t="shared" si="41"/>
        <v>#N/A</v>
      </c>
      <c r="AD348" s="290">
        <f t="shared" si="42"/>
        <v>27</v>
      </c>
      <c r="AE348" s="290">
        <f t="shared" si="43"/>
        <v>243</v>
      </c>
    </row>
    <row r="349" spans="1:31" x14ac:dyDescent="0.25">
      <c r="A349" s="280"/>
      <c r="B349" s="331">
        <f>Crop!B385</f>
        <v>41976</v>
      </c>
      <c r="C349" s="332">
        <f t="shared" si="44"/>
        <v>270</v>
      </c>
      <c r="D349" s="332" t="str">
        <f t="shared" si="45"/>
        <v/>
      </c>
      <c r="E349" s="332">
        <f t="shared" si="46"/>
        <v>27</v>
      </c>
      <c r="F349" s="332">
        <f t="shared" si="47"/>
        <v>243</v>
      </c>
      <c r="G349" s="241"/>
      <c r="H349" s="241"/>
      <c r="I349" s="241"/>
      <c r="J349" s="241"/>
      <c r="K349" s="289"/>
      <c r="L349" s="289"/>
      <c r="M349" s="241"/>
      <c r="N349" s="241"/>
      <c r="O349" s="241"/>
      <c r="P349" s="241"/>
      <c r="Q349" s="241"/>
      <c r="R349" s="241"/>
      <c r="S349" s="241"/>
      <c r="T349" s="241"/>
      <c r="U349" s="241"/>
      <c r="V349" s="241"/>
      <c r="W349" s="241"/>
      <c r="X349" s="241"/>
      <c r="Y349" s="241"/>
      <c r="Z349" s="241"/>
      <c r="AA349" s="241"/>
      <c r="AB349" s="290">
        <f t="shared" si="40"/>
        <v>270</v>
      </c>
      <c r="AC349" s="290" t="e">
        <f t="shared" si="41"/>
        <v>#N/A</v>
      </c>
      <c r="AD349" s="290">
        <f t="shared" si="42"/>
        <v>27</v>
      </c>
      <c r="AE349" s="290">
        <f t="shared" si="43"/>
        <v>243</v>
      </c>
    </row>
    <row r="350" spans="1:31" x14ac:dyDescent="0.25">
      <c r="A350" s="280"/>
      <c r="B350" s="331">
        <f>Crop!B386</f>
        <v>41977</v>
      </c>
      <c r="C350" s="332">
        <f t="shared" si="44"/>
        <v>270</v>
      </c>
      <c r="D350" s="332" t="str">
        <f t="shared" si="45"/>
        <v/>
      </c>
      <c r="E350" s="332">
        <f t="shared" si="46"/>
        <v>27</v>
      </c>
      <c r="F350" s="332">
        <f t="shared" si="47"/>
        <v>243</v>
      </c>
      <c r="G350" s="241"/>
      <c r="H350" s="241"/>
      <c r="I350" s="241"/>
      <c r="J350" s="241"/>
      <c r="K350" s="289"/>
      <c r="L350" s="289"/>
      <c r="M350" s="241"/>
      <c r="N350" s="241"/>
      <c r="O350" s="241"/>
      <c r="P350" s="241"/>
      <c r="Q350" s="241"/>
      <c r="R350" s="241"/>
      <c r="S350" s="241"/>
      <c r="T350" s="241"/>
      <c r="U350" s="241"/>
      <c r="V350" s="241"/>
      <c r="W350" s="241"/>
      <c r="X350" s="241"/>
      <c r="Y350" s="241"/>
      <c r="Z350" s="241"/>
      <c r="AA350" s="241"/>
      <c r="AB350" s="290">
        <f t="shared" si="40"/>
        <v>270</v>
      </c>
      <c r="AC350" s="290" t="e">
        <f t="shared" si="41"/>
        <v>#N/A</v>
      </c>
      <c r="AD350" s="290">
        <f t="shared" si="42"/>
        <v>27</v>
      </c>
      <c r="AE350" s="290">
        <f t="shared" si="43"/>
        <v>243</v>
      </c>
    </row>
    <row r="351" spans="1:31" x14ac:dyDescent="0.25">
      <c r="A351" s="280"/>
      <c r="B351" s="331">
        <f>Crop!B387</f>
        <v>41978</v>
      </c>
      <c r="C351" s="332">
        <f t="shared" si="44"/>
        <v>270</v>
      </c>
      <c r="D351" s="332" t="str">
        <f t="shared" si="45"/>
        <v/>
      </c>
      <c r="E351" s="332">
        <f t="shared" si="46"/>
        <v>27</v>
      </c>
      <c r="F351" s="332">
        <f t="shared" si="47"/>
        <v>243</v>
      </c>
      <c r="G351" s="241"/>
      <c r="H351" s="241"/>
      <c r="I351" s="241"/>
      <c r="J351" s="241"/>
      <c r="K351" s="289"/>
      <c r="L351" s="289"/>
      <c r="M351" s="241"/>
      <c r="N351" s="241"/>
      <c r="O351" s="241"/>
      <c r="P351" s="241"/>
      <c r="Q351" s="241"/>
      <c r="R351" s="241"/>
      <c r="S351" s="241"/>
      <c r="T351" s="241"/>
      <c r="U351" s="241"/>
      <c r="V351" s="241"/>
      <c r="W351" s="241"/>
      <c r="X351" s="241"/>
      <c r="Y351" s="241"/>
      <c r="Z351" s="241"/>
      <c r="AA351" s="241"/>
      <c r="AB351" s="290">
        <f t="shared" si="40"/>
        <v>270</v>
      </c>
      <c r="AC351" s="290" t="e">
        <f t="shared" si="41"/>
        <v>#N/A</v>
      </c>
      <c r="AD351" s="290">
        <f t="shared" si="42"/>
        <v>27</v>
      </c>
      <c r="AE351" s="290">
        <f t="shared" si="43"/>
        <v>243</v>
      </c>
    </row>
    <row r="352" spans="1:31" x14ac:dyDescent="0.25">
      <c r="A352" s="280"/>
      <c r="B352" s="331">
        <f>Crop!B388</f>
        <v>41979</v>
      </c>
      <c r="C352" s="332">
        <f t="shared" si="44"/>
        <v>270</v>
      </c>
      <c r="D352" s="332" t="str">
        <f t="shared" si="45"/>
        <v/>
      </c>
      <c r="E352" s="332">
        <f t="shared" si="46"/>
        <v>27</v>
      </c>
      <c r="F352" s="332">
        <f t="shared" si="47"/>
        <v>243</v>
      </c>
      <c r="G352" s="241"/>
      <c r="H352" s="241"/>
      <c r="I352" s="241"/>
      <c r="J352" s="241"/>
      <c r="K352" s="289"/>
      <c r="L352" s="289"/>
      <c r="M352" s="241"/>
      <c r="N352" s="241"/>
      <c r="O352" s="241"/>
      <c r="P352" s="241"/>
      <c r="Q352" s="241"/>
      <c r="R352" s="241"/>
      <c r="S352" s="241"/>
      <c r="T352" s="241"/>
      <c r="U352" s="241"/>
      <c r="V352" s="241"/>
      <c r="W352" s="241"/>
      <c r="X352" s="241"/>
      <c r="Y352" s="241"/>
      <c r="Z352" s="241"/>
      <c r="AA352" s="241"/>
      <c r="AB352" s="290">
        <f t="shared" si="40"/>
        <v>270</v>
      </c>
      <c r="AC352" s="290" t="e">
        <f t="shared" si="41"/>
        <v>#N/A</v>
      </c>
      <c r="AD352" s="290">
        <f t="shared" si="42"/>
        <v>27</v>
      </c>
      <c r="AE352" s="290">
        <f t="shared" si="43"/>
        <v>243</v>
      </c>
    </row>
    <row r="353" spans="1:31" x14ac:dyDescent="0.25">
      <c r="A353" s="280"/>
      <c r="B353" s="331">
        <f>Crop!B389</f>
        <v>41980</v>
      </c>
      <c r="C353" s="332">
        <f t="shared" si="44"/>
        <v>270</v>
      </c>
      <c r="D353" s="332" t="str">
        <f t="shared" si="45"/>
        <v/>
      </c>
      <c r="E353" s="332">
        <f t="shared" si="46"/>
        <v>27</v>
      </c>
      <c r="F353" s="332">
        <f t="shared" si="47"/>
        <v>243</v>
      </c>
      <c r="G353" s="241"/>
      <c r="H353" s="241"/>
      <c r="I353" s="241"/>
      <c r="J353" s="241"/>
      <c r="K353" s="289"/>
      <c r="L353" s="289"/>
      <c r="M353" s="241"/>
      <c r="N353" s="241"/>
      <c r="O353" s="241"/>
      <c r="P353" s="241"/>
      <c r="Q353" s="241"/>
      <c r="R353" s="241"/>
      <c r="S353" s="241"/>
      <c r="T353" s="241"/>
      <c r="U353" s="241"/>
      <c r="V353" s="241"/>
      <c r="W353" s="241"/>
      <c r="X353" s="241"/>
      <c r="Y353" s="241"/>
      <c r="Z353" s="241"/>
      <c r="AA353" s="241"/>
      <c r="AB353" s="290">
        <f t="shared" si="40"/>
        <v>270</v>
      </c>
      <c r="AC353" s="290" t="e">
        <f t="shared" si="41"/>
        <v>#N/A</v>
      </c>
      <c r="AD353" s="290">
        <f t="shared" si="42"/>
        <v>27</v>
      </c>
      <c r="AE353" s="290">
        <f t="shared" si="43"/>
        <v>243</v>
      </c>
    </row>
    <row r="354" spans="1:31" x14ac:dyDescent="0.25">
      <c r="A354" s="280"/>
      <c r="B354" s="331">
        <f>Crop!B390</f>
        <v>41981</v>
      </c>
      <c r="C354" s="332">
        <f t="shared" si="44"/>
        <v>270</v>
      </c>
      <c r="D354" s="332" t="str">
        <f t="shared" si="45"/>
        <v/>
      </c>
      <c r="E354" s="332">
        <f t="shared" si="46"/>
        <v>27</v>
      </c>
      <c r="F354" s="332">
        <f t="shared" si="47"/>
        <v>243</v>
      </c>
      <c r="G354" s="241"/>
      <c r="H354" s="241"/>
      <c r="I354" s="241"/>
      <c r="J354" s="241"/>
      <c r="K354" s="289"/>
      <c r="L354" s="289"/>
      <c r="M354" s="241"/>
      <c r="N354" s="241"/>
      <c r="O354" s="241"/>
      <c r="P354" s="241"/>
      <c r="Q354" s="241"/>
      <c r="R354" s="241"/>
      <c r="S354" s="241"/>
      <c r="T354" s="241"/>
      <c r="U354" s="241"/>
      <c r="V354" s="241"/>
      <c r="W354" s="241"/>
      <c r="X354" s="241"/>
      <c r="Y354" s="241"/>
      <c r="Z354" s="241"/>
      <c r="AA354" s="241"/>
      <c r="AB354" s="290">
        <f t="shared" si="40"/>
        <v>270</v>
      </c>
      <c r="AC354" s="290" t="e">
        <f t="shared" si="41"/>
        <v>#N/A</v>
      </c>
      <c r="AD354" s="290">
        <f t="shared" si="42"/>
        <v>27</v>
      </c>
      <c r="AE354" s="290">
        <f t="shared" si="43"/>
        <v>243</v>
      </c>
    </row>
    <row r="355" spans="1:31" x14ac:dyDescent="0.25">
      <c r="A355" s="280"/>
      <c r="B355" s="331">
        <f>Crop!B391</f>
        <v>41982</v>
      </c>
      <c r="C355" s="332">
        <f t="shared" si="44"/>
        <v>270</v>
      </c>
      <c r="D355" s="332" t="str">
        <f t="shared" si="45"/>
        <v/>
      </c>
      <c r="E355" s="332">
        <f t="shared" si="46"/>
        <v>27</v>
      </c>
      <c r="F355" s="332">
        <f t="shared" si="47"/>
        <v>243</v>
      </c>
      <c r="G355" s="241"/>
      <c r="H355" s="241"/>
      <c r="I355" s="241"/>
      <c r="J355" s="241"/>
      <c r="K355" s="289"/>
      <c r="L355" s="289"/>
      <c r="M355" s="241"/>
      <c r="N355" s="241"/>
      <c r="O355" s="241"/>
      <c r="P355" s="241"/>
      <c r="Q355" s="241"/>
      <c r="R355" s="241"/>
      <c r="S355" s="241"/>
      <c r="T355" s="241"/>
      <c r="U355" s="241"/>
      <c r="V355" s="241"/>
      <c r="W355" s="241"/>
      <c r="X355" s="241"/>
      <c r="Y355" s="241"/>
      <c r="Z355" s="241"/>
      <c r="AA355" s="241"/>
      <c r="AB355" s="290">
        <f t="shared" si="40"/>
        <v>270</v>
      </c>
      <c r="AC355" s="290" t="e">
        <f t="shared" si="41"/>
        <v>#N/A</v>
      </c>
      <c r="AD355" s="290">
        <f t="shared" si="42"/>
        <v>27</v>
      </c>
      <c r="AE355" s="290">
        <f t="shared" si="43"/>
        <v>243</v>
      </c>
    </row>
    <row r="356" spans="1:31" x14ac:dyDescent="0.25">
      <c r="A356" s="280"/>
      <c r="B356" s="331">
        <f>Crop!B392</f>
        <v>41983</v>
      </c>
      <c r="C356" s="332">
        <f t="shared" si="44"/>
        <v>270</v>
      </c>
      <c r="D356" s="332" t="str">
        <f t="shared" si="45"/>
        <v/>
      </c>
      <c r="E356" s="332">
        <f t="shared" si="46"/>
        <v>27</v>
      </c>
      <c r="F356" s="332">
        <f t="shared" si="47"/>
        <v>243</v>
      </c>
      <c r="G356" s="241"/>
      <c r="H356" s="241"/>
      <c r="I356" s="241"/>
      <c r="J356" s="241"/>
      <c r="K356" s="289"/>
      <c r="L356" s="289"/>
      <c r="M356" s="241"/>
      <c r="N356" s="241"/>
      <c r="O356" s="241"/>
      <c r="P356" s="241"/>
      <c r="Q356" s="241"/>
      <c r="R356" s="241"/>
      <c r="S356" s="241"/>
      <c r="T356" s="241"/>
      <c r="U356" s="241"/>
      <c r="V356" s="241"/>
      <c r="W356" s="241"/>
      <c r="X356" s="241"/>
      <c r="Y356" s="241"/>
      <c r="Z356" s="241"/>
      <c r="AA356" s="241"/>
      <c r="AB356" s="290">
        <f t="shared" si="40"/>
        <v>270</v>
      </c>
      <c r="AC356" s="290" t="e">
        <f t="shared" si="41"/>
        <v>#N/A</v>
      </c>
      <c r="AD356" s="290">
        <f t="shared" si="42"/>
        <v>27</v>
      </c>
      <c r="AE356" s="290">
        <f t="shared" si="43"/>
        <v>243</v>
      </c>
    </row>
    <row r="357" spans="1:31" x14ac:dyDescent="0.25">
      <c r="A357" s="280"/>
      <c r="B357" s="331">
        <f>Crop!B393</f>
        <v>41984</v>
      </c>
      <c r="C357" s="332">
        <f t="shared" si="44"/>
        <v>270</v>
      </c>
      <c r="D357" s="332" t="str">
        <f t="shared" si="45"/>
        <v/>
      </c>
      <c r="E357" s="332">
        <f t="shared" si="46"/>
        <v>27</v>
      </c>
      <c r="F357" s="332">
        <f t="shared" si="47"/>
        <v>243</v>
      </c>
      <c r="G357" s="241"/>
      <c r="H357" s="241"/>
      <c r="I357" s="241"/>
      <c r="J357" s="241"/>
      <c r="K357" s="289"/>
      <c r="L357" s="289"/>
      <c r="M357" s="241"/>
      <c r="N357" s="241"/>
      <c r="O357" s="241"/>
      <c r="P357" s="241"/>
      <c r="Q357" s="241"/>
      <c r="R357" s="241"/>
      <c r="S357" s="241"/>
      <c r="T357" s="241"/>
      <c r="U357" s="241"/>
      <c r="V357" s="241"/>
      <c r="W357" s="241"/>
      <c r="X357" s="241"/>
      <c r="Y357" s="241"/>
      <c r="Z357" s="241"/>
      <c r="AA357" s="241"/>
      <c r="AB357" s="290">
        <f t="shared" si="40"/>
        <v>270</v>
      </c>
      <c r="AC357" s="290" t="e">
        <f t="shared" si="41"/>
        <v>#N/A</v>
      </c>
      <c r="AD357" s="290">
        <f t="shared" si="42"/>
        <v>27</v>
      </c>
      <c r="AE357" s="290">
        <f t="shared" si="43"/>
        <v>243</v>
      </c>
    </row>
    <row r="358" spans="1:31" x14ac:dyDescent="0.25">
      <c r="A358" s="280"/>
      <c r="B358" s="331">
        <f>Crop!B394</f>
        <v>41985</v>
      </c>
      <c r="C358" s="332">
        <f t="shared" si="44"/>
        <v>270</v>
      </c>
      <c r="D358" s="332" t="str">
        <f t="shared" si="45"/>
        <v/>
      </c>
      <c r="E358" s="332">
        <f t="shared" si="46"/>
        <v>27</v>
      </c>
      <c r="F358" s="332">
        <f t="shared" si="47"/>
        <v>243</v>
      </c>
      <c r="G358" s="241"/>
      <c r="H358" s="241"/>
      <c r="I358" s="241"/>
      <c r="J358" s="241"/>
      <c r="K358" s="289"/>
      <c r="L358" s="289"/>
      <c r="M358" s="241"/>
      <c r="N358" s="241"/>
      <c r="O358" s="241"/>
      <c r="P358" s="241"/>
      <c r="Q358" s="241"/>
      <c r="R358" s="241"/>
      <c r="S358" s="241"/>
      <c r="T358" s="241"/>
      <c r="U358" s="241"/>
      <c r="V358" s="241"/>
      <c r="W358" s="241"/>
      <c r="X358" s="241"/>
      <c r="Y358" s="241"/>
      <c r="Z358" s="241"/>
      <c r="AA358" s="241"/>
      <c r="AB358" s="290">
        <f t="shared" si="40"/>
        <v>270</v>
      </c>
      <c r="AC358" s="290" t="e">
        <f t="shared" si="41"/>
        <v>#N/A</v>
      </c>
      <c r="AD358" s="290">
        <f t="shared" si="42"/>
        <v>27</v>
      </c>
      <c r="AE358" s="290">
        <f t="shared" si="43"/>
        <v>243</v>
      </c>
    </row>
    <row r="359" spans="1:31" x14ac:dyDescent="0.25">
      <c r="A359" s="280"/>
      <c r="B359" s="331">
        <f>Crop!B395</f>
        <v>41986</v>
      </c>
      <c r="C359" s="332">
        <f t="shared" si="44"/>
        <v>270</v>
      </c>
      <c r="D359" s="332" t="str">
        <f t="shared" si="45"/>
        <v/>
      </c>
      <c r="E359" s="332">
        <f t="shared" si="46"/>
        <v>27</v>
      </c>
      <c r="F359" s="332">
        <f t="shared" si="47"/>
        <v>243</v>
      </c>
      <c r="G359" s="241"/>
      <c r="H359" s="241"/>
      <c r="I359" s="241"/>
      <c r="J359" s="241"/>
      <c r="K359" s="289"/>
      <c r="L359" s="289"/>
      <c r="M359" s="241"/>
      <c r="N359" s="241"/>
      <c r="O359" s="241"/>
      <c r="P359" s="241"/>
      <c r="Q359" s="241"/>
      <c r="R359" s="241"/>
      <c r="S359" s="241"/>
      <c r="T359" s="241"/>
      <c r="U359" s="241"/>
      <c r="V359" s="241"/>
      <c r="W359" s="241"/>
      <c r="X359" s="241"/>
      <c r="Y359" s="241"/>
      <c r="Z359" s="241"/>
      <c r="AA359" s="241"/>
      <c r="AB359" s="290">
        <f t="shared" si="40"/>
        <v>270</v>
      </c>
      <c r="AC359" s="290" t="e">
        <f t="shared" si="41"/>
        <v>#N/A</v>
      </c>
      <c r="AD359" s="290">
        <f t="shared" si="42"/>
        <v>27</v>
      </c>
      <c r="AE359" s="290">
        <f t="shared" si="43"/>
        <v>243</v>
      </c>
    </row>
    <row r="360" spans="1:31" x14ac:dyDescent="0.25">
      <c r="A360" s="280"/>
      <c r="B360" s="331">
        <f>Crop!B396</f>
        <v>41987</v>
      </c>
      <c r="C360" s="332">
        <f t="shared" si="44"/>
        <v>270</v>
      </c>
      <c r="D360" s="332" t="str">
        <f t="shared" si="45"/>
        <v/>
      </c>
      <c r="E360" s="332">
        <f t="shared" si="46"/>
        <v>27</v>
      </c>
      <c r="F360" s="332">
        <f t="shared" si="47"/>
        <v>243</v>
      </c>
      <c r="G360" s="241"/>
      <c r="H360" s="241"/>
      <c r="I360" s="241"/>
      <c r="J360" s="241"/>
      <c r="K360" s="289"/>
      <c r="L360" s="289"/>
      <c r="M360" s="241"/>
      <c r="N360" s="241"/>
      <c r="O360" s="241"/>
      <c r="P360" s="241"/>
      <c r="Q360" s="241"/>
      <c r="R360" s="241"/>
      <c r="S360" s="241"/>
      <c r="T360" s="241"/>
      <c r="U360" s="241"/>
      <c r="V360" s="241"/>
      <c r="W360" s="241"/>
      <c r="X360" s="241"/>
      <c r="Y360" s="241"/>
      <c r="Z360" s="241"/>
      <c r="AA360" s="241"/>
      <c r="AB360" s="290">
        <f t="shared" si="40"/>
        <v>270</v>
      </c>
      <c r="AC360" s="290" t="e">
        <f t="shared" si="41"/>
        <v>#N/A</v>
      </c>
      <c r="AD360" s="290">
        <f t="shared" si="42"/>
        <v>27</v>
      </c>
      <c r="AE360" s="290">
        <f t="shared" si="43"/>
        <v>243</v>
      </c>
    </row>
    <row r="361" spans="1:31" x14ac:dyDescent="0.25">
      <c r="A361" s="280"/>
      <c r="B361" s="331">
        <f>Crop!B397</f>
        <v>41988</v>
      </c>
      <c r="C361" s="332">
        <f t="shared" si="44"/>
        <v>270</v>
      </c>
      <c r="D361" s="332" t="str">
        <f t="shared" si="45"/>
        <v/>
      </c>
      <c r="E361" s="332">
        <f t="shared" si="46"/>
        <v>27</v>
      </c>
      <c r="F361" s="332">
        <f t="shared" si="47"/>
        <v>243</v>
      </c>
      <c r="G361" s="241"/>
      <c r="H361" s="241"/>
      <c r="I361" s="241"/>
      <c r="J361" s="241"/>
      <c r="K361" s="289"/>
      <c r="L361" s="289"/>
      <c r="M361" s="241"/>
      <c r="N361" s="241"/>
      <c r="O361" s="241"/>
      <c r="P361" s="241"/>
      <c r="Q361" s="241"/>
      <c r="R361" s="241"/>
      <c r="S361" s="241"/>
      <c r="T361" s="241"/>
      <c r="U361" s="241"/>
      <c r="V361" s="241"/>
      <c r="W361" s="241"/>
      <c r="X361" s="241"/>
      <c r="Y361" s="241"/>
      <c r="Z361" s="241"/>
      <c r="AA361" s="241"/>
      <c r="AB361" s="290">
        <f t="shared" si="40"/>
        <v>270</v>
      </c>
      <c r="AC361" s="290" t="e">
        <f t="shared" si="41"/>
        <v>#N/A</v>
      </c>
      <c r="AD361" s="290">
        <f t="shared" si="42"/>
        <v>27</v>
      </c>
      <c r="AE361" s="290">
        <f t="shared" si="43"/>
        <v>243</v>
      </c>
    </row>
    <row r="362" spans="1:31" x14ac:dyDescent="0.25">
      <c r="A362" s="280"/>
      <c r="B362" s="331">
        <f>Crop!B398</f>
        <v>41989</v>
      </c>
      <c r="C362" s="332">
        <f t="shared" si="44"/>
        <v>270</v>
      </c>
      <c r="D362" s="332" t="str">
        <f t="shared" si="45"/>
        <v/>
      </c>
      <c r="E362" s="332">
        <f t="shared" si="46"/>
        <v>27</v>
      </c>
      <c r="F362" s="332">
        <f t="shared" si="47"/>
        <v>243</v>
      </c>
      <c r="G362" s="241"/>
      <c r="H362" s="241"/>
      <c r="I362" s="241"/>
      <c r="J362" s="241"/>
      <c r="K362" s="289"/>
      <c r="L362" s="289"/>
      <c r="M362" s="241"/>
      <c r="N362" s="241"/>
      <c r="O362" s="241"/>
      <c r="P362" s="241"/>
      <c r="Q362" s="241"/>
      <c r="R362" s="241"/>
      <c r="S362" s="241"/>
      <c r="T362" s="241"/>
      <c r="U362" s="241"/>
      <c r="V362" s="241"/>
      <c r="W362" s="241"/>
      <c r="X362" s="241"/>
      <c r="Y362" s="241"/>
      <c r="Z362" s="241"/>
      <c r="AA362" s="241"/>
      <c r="AB362" s="290">
        <f t="shared" si="40"/>
        <v>270</v>
      </c>
      <c r="AC362" s="290" t="e">
        <f t="shared" si="41"/>
        <v>#N/A</v>
      </c>
      <c r="AD362" s="290">
        <f t="shared" si="42"/>
        <v>27</v>
      </c>
      <c r="AE362" s="290">
        <f t="shared" si="43"/>
        <v>243</v>
      </c>
    </row>
    <row r="363" spans="1:31" x14ac:dyDescent="0.25">
      <c r="A363" s="280"/>
      <c r="B363" s="331">
        <f>Crop!B399</f>
        <v>41990</v>
      </c>
      <c r="C363" s="332">
        <f t="shared" si="44"/>
        <v>270</v>
      </c>
      <c r="D363" s="332" t="str">
        <f t="shared" si="45"/>
        <v/>
      </c>
      <c r="E363" s="332">
        <f t="shared" si="46"/>
        <v>27</v>
      </c>
      <c r="F363" s="332">
        <f t="shared" si="47"/>
        <v>243</v>
      </c>
      <c r="G363" s="241"/>
      <c r="H363" s="241"/>
      <c r="I363" s="241"/>
      <c r="J363" s="241"/>
      <c r="K363" s="289"/>
      <c r="L363" s="289"/>
      <c r="M363" s="241"/>
      <c r="N363" s="241"/>
      <c r="O363" s="241"/>
      <c r="P363" s="241"/>
      <c r="Q363" s="241"/>
      <c r="R363" s="241"/>
      <c r="S363" s="241"/>
      <c r="T363" s="241"/>
      <c r="U363" s="241"/>
      <c r="V363" s="241"/>
      <c r="W363" s="241"/>
      <c r="X363" s="241"/>
      <c r="Y363" s="241"/>
      <c r="Z363" s="241"/>
      <c r="AA363" s="241"/>
      <c r="AB363" s="290">
        <f t="shared" si="40"/>
        <v>270</v>
      </c>
      <c r="AC363" s="290" t="e">
        <f t="shared" si="41"/>
        <v>#N/A</v>
      </c>
      <c r="AD363" s="290">
        <f t="shared" si="42"/>
        <v>27</v>
      </c>
      <c r="AE363" s="290">
        <f t="shared" si="43"/>
        <v>243</v>
      </c>
    </row>
    <row r="364" spans="1:31" x14ac:dyDescent="0.25">
      <c r="A364" s="280"/>
      <c r="B364" s="331">
        <f>Crop!B400</f>
        <v>41991</v>
      </c>
      <c r="C364" s="332">
        <f t="shared" si="44"/>
        <v>270</v>
      </c>
      <c r="D364" s="332" t="str">
        <f t="shared" si="45"/>
        <v/>
      </c>
      <c r="E364" s="332">
        <f t="shared" si="46"/>
        <v>27</v>
      </c>
      <c r="F364" s="332">
        <f t="shared" si="47"/>
        <v>243</v>
      </c>
      <c r="G364" s="241"/>
      <c r="H364" s="241"/>
      <c r="I364" s="241"/>
      <c r="J364" s="241"/>
      <c r="K364" s="289"/>
      <c r="L364" s="289"/>
      <c r="M364" s="241"/>
      <c r="N364" s="241"/>
      <c r="O364" s="241"/>
      <c r="P364" s="241"/>
      <c r="Q364" s="241"/>
      <c r="R364" s="241"/>
      <c r="S364" s="241"/>
      <c r="T364" s="241"/>
      <c r="U364" s="241"/>
      <c r="V364" s="241"/>
      <c r="W364" s="241"/>
      <c r="X364" s="241"/>
      <c r="Y364" s="241"/>
      <c r="Z364" s="241"/>
      <c r="AA364" s="241"/>
      <c r="AB364" s="290">
        <f t="shared" si="40"/>
        <v>270</v>
      </c>
      <c r="AC364" s="290" t="e">
        <f t="shared" si="41"/>
        <v>#N/A</v>
      </c>
      <c r="AD364" s="290">
        <f t="shared" si="42"/>
        <v>27</v>
      </c>
      <c r="AE364" s="290">
        <f t="shared" si="43"/>
        <v>243</v>
      </c>
    </row>
    <row r="365" spans="1:31" x14ac:dyDescent="0.25">
      <c r="A365" s="280"/>
      <c r="B365" s="331">
        <f>Crop!B401</f>
        <v>41992</v>
      </c>
      <c r="C365" s="332">
        <f t="shared" si="44"/>
        <v>270</v>
      </c>
      <c r="D365" s="332" t="str">
        <f t="shared" si="45"/>
        <v/>
      </c>
      <c r="E365" s="332">
        <f t="shared" si="46"/>
        <v>27</v>
      </c>
      <c r="F365" s="332">
        <f t="shared" si="47"/>
        <v>243</v>
      </c>
      <c r="G365" s="241"/>
      <c r="H365" s="241"/>
      <c r="I365" s="241"/>
      <c r="J365" s="241"/>
      <c r="K365" s="289"/>
      <c r="L365" s="289"/>
      <c r="M365" s="241"/>
      <c r="N365" s="241"/>
      <c r="O365" s="241"/>
      <c r="P365" s="241"/>
      <c r="Q365" s="241"/>
      <c r="R365" s="241"/>
      <c r="S365" s="241"/>
      <c r="T365" s="241"/>
      <c r="U365" s="241"/>
      <c r="V365" s="241"/>
      <c r="W365" s="241"/>
      <c r="X365" s="241"/>
      <c r="Y365" s="241"/>
      <c r="Z365" s="241"/>
      <c r="AA365" s="241"/>
      <c r="AB365" s="290">
        <f t="shared" si="40"/>
        <v>270</v>
      </c>
      <c r="AC365" s="290" t="e">
        <f t="shared" si="41"/>
        <v>#N/A</v>
      </c>
      <c r="AD365" s="290">
        <f t="shared" si="42"/>
        <v>27</v>
      </c>
      <c r="AE365" s="290">
        <f t="shared" si="43"/>
        <v>243</v>
      </c>
    </row>
    <row r="366" spans="1:31" x14ac:dyDescent="0.25">
      <c r="A366" s="280"/>
      <c r="B366" s="331">
        <f>Crop!B402</f>
        <v>41993</v>
      </c>
      <c r="C366" s="332">
        <f t="shared" si="44"/>
        <v>270</v>
      </c>
      <c r="D366" s="332" t="str">
        <f t="shared" si="45"/>
        <v/>
      </c>
      <c r="E366" s="332">
        <f t="shared" si="46"/>
        <v>27</v>
      </c>
      <c r="F366" s="332">
        <f t="shared" si="47"/>
        <v>243</v>
      </c>
      <c r="G366" s="241"/>
      <c r="H366" s="241"/>
      <c r="I366" s="241"/>
      <c r="J366" s="241"/>
      <c r="K366" s="289"/>
      <c r="L366" s="289"/>
      <c r="M366" s="241"/>
      <c r="N366" s="241"/>
      <c r="O366" s="241"/>
      <c r="P366" s="241"/>
      <c r="Q366" s="241"/>
      <c r="R366" s="241"/>
      <c r="S366" s="241"/>
      <c r="T366" s="241"/>
      <c r="U366" s="241"/>
      <c r="V366" s="241"/>
      <c r="W366" s="241"/>
      <c r="X366" s="241"/>
      <c r="Y366" s="241"/>
      <c r="Z366" s="241"/>
      <c r="AA366" s="241"/>
      <c r="AB366" s="290">
        <f t="shared" si="40"/>
        <v>270</v>
      </c>
      <c r="AC366" s="290" t="e">
        <f t="shared" si="41"/>
        <v>#N/A</v>
      </c>
      <c r="AD366" s="290">
        <f t="shared" si="42"/>
        <v>27</v>
      </c>
      <c r="AE366" s="290">
        <f t="shared" si="43"/>
        <v>243</v>
      </c>
    </row>
    <row r="367" spans="1:31" x14ac:dyDescent="0.25">
      <c r="A367" s="280"/>
      <c r="B367" s="331">
        <f>Crop!B403</f>
        <v>41994</v>
      </c>
      <c r="C367" s="332">
        <f t="shared" si="44"/>
        <v>270</v>
      </c>
      <c r="D367" s="332" t="str">
        <f t="shared" si="45"/>
        <v/>
      </c>
      <c r="E367" s="332">
        <f t="shared" si="46"/>
        <v>27</v>
      </c>
      <c r="F367" s="332">
        <f t="shared" si="47"/>
        <v>243</v>
      </c>
      <c r="G367" s="241"/>
      <c r="H367" s="241"/>
      <c r="I367" s="241"/>
      <c r="J367" s="241"/>
      <c r="K367" s="289"/>
      <c r="L367" s="289"/>
      <c r="M367" s="241"/>
      <c r="N367" s="241"/>
      <c r="O367" s="241"/>
      <c r="P367" s="241"/>
      <c r="Q367" s="241"/>
      <c r="R367" s="241"/>
      <c r="S367" s="241"/>
      <c r="T367" s="241"/>
      <c r="U367" s="241"/>
      <c r="V367" s="241"/>
      <c r="W367" s="241"/>
      <c r="X367" s="241"/>
      <c r="Y367" s="241"/>
      <c r="Z367" s="241"/>
      <c r="AA367" s="241"/>
      <c r="AB367" s="290">
        <f t="shared" si="40"/>
        <v>270</v>
      </c>
      <c r="AC367" s="290" t="e">
        <f t="shared" si="41"/>
        <v>#N/A</v>
      </c>
      <c r="AD367" s="290">
        <f t="shared" si="42"/>
        <v>27</v>
      </c>
      <c r="AE367" s="290">
        <f t="shared" si="43"/>
        <v>243</v>
      </c>
    </row>
    <row r="368" spans="1:31" x14ac:dyDescent="0.25">
      <c r="A368" s="280"/>
      <c r="B368" s="331">
        <f>Crop!B404</f>
        <v>41995</v>
      </c>
      <c r="C368" s="332">
        <f t="shared" si="44"/>
        <v>270</v>
      </c>
      <c r="D368" s="332" t="str">
        <f t="shared" si="45"/>
        <v/>
      </c>
      <c r="E368" s="332">
        <f t="shared" si="46"/>
        <v>27</v>
      </c>
      <c r="F368" s="332">
        <f t="shared" si="47"/>
        <v>243</v>
      </c>
      <c r="G368" s="241"/>
      <c r="H368" s="241"/>
      <c r="I368" s="241"/>
      <c r="J368" s="241"/>
      <c r="K368" s="289"/>
      <c r="L368" s="289"/>
      <c r="M368" s="241"/>
      <c r="N368" s="241"/>
      <c r="O368" s="241"/>
      <c r="P368" s="241"/>
      <c r="Q368" s="241"/>
      <c r="R368" s="241"/>
      <c r="S368" s="241"/>
      <c r="T368" s="241"/>
      <c r="U368" s="241"/>
      <c r="V368" s="241"/>
      <c r="W368" s="241"/>
      <c r="X368" s="241"/>
      <c r="Y368" s="241"/>
      <c r="Z368" s="241"/>
      <c r="AA368" s="241"/>
      <c r="AB368" s="290">
        <f t="shared" si="40"/>
        <v>270</v>
      </c>
      <c r="AC368" s="290" t="e">
        <f t="shared" si="41"/>
        <v>#N/A</v>
      </c>
      <c r="AD368" s="290">
        <f t="shared" si="42"/>
        <v>27</v>
      </c>
      <c r="AE368" s="290">
        <f t="shared" si="43"/>
        <v>243</v>
      </c>
    </row>
    <row r="369" spans="1:31" x14ac:dyDescent="0.25">
      <c r="A369" s="280"/>
      <c r="B369" s="331">
        <f>Crop!B405</f>
        <v>41996</v>
      </c>
      <c r="C369" s="332">
        <f t="shared" si="44"/>
        <v>270</v>
      </c>
      <c r="D369" s="332" t="str">
        <f t="shared" si="45"/>
        <v/>
      </c>
      <c r="E369" s="332">
        <f t="shared" si="46"/>
        <v>27</v>
      </c>
      <c r="F369" s="332">
        <f t="shared" si="47"/>
        <v>243</v>
      </c>
      <c r="G369" s="241"/>
      <c r="H369" s="241"/>
      <c r="I369" s="241"/>
      <c r="J369" s="241"/>
      <c r="K369" s="289"/>
      <c r="L369" s="289"/>
      <c r="M369" s="241"/>
      <c r="N369" s="241"/>
      <c r="O369" s="241"/>
      <c r="P369" s="241"/>
      <c r="Q369" s="241"/>
      <c r="R369" s="241"/>
      <c r="S369" s="241"/>
      <c r="T369" s="241"/>
      <c r="U369" s="241"/>
      <c r="V369" s="241"/>
      <c r="W369" s="241"/>
      <c r="X369" s="241"/>
      <c r="Y369" s="241"/>
      <c r="Z369" s="241"/>
      <c r="AA369" s="241"/>
      <c r="AB369" s="290">
        <f t="shared" si="40"/>
        <v>270</v>
      </c>
      <c r="AC369" s="290" t="e">
        <f t="shared" si="41"/>
        <v>#N/A</v>
      </c>
      <c r="AD369" s="290">
        <f t="shared" si="42"/>
        <v>27</v>
      </c>
      <c r="AE369" s="290">
        <f t="shared" si="43"/>
        <v>243</v>
      </c>
    </row>
    <row r="370" spans="1:31" x14ac:dyDescent="0.25">
      <c r="A370" s="280"/>
      <c r="B370" s="331">
        <f>Crop!B406</f>
        <v>41997</v>
      </c>
      <c r="C370" s="332">
        <f t="shared" si="44"/>
        <v>270</v>
      </c>
      <c r="D370" s="332" t="str">
        <f t="shared" si="45"/>
        <v/>
      </c>
      <c r="E370" s="332">
        <f t="shared" si="46"/>
        <v>27</v>
      </c>
      <c r="F370" s="332">
        <f t="shared" si="47"/>
        <v>243</v>
      </c>
      <c r="G370" s="241"/>
      <c r="H370" s="241"/>
      <c r="I370" s="241"/>
      <c r="J370" s="241"/>
      <c r="K370" s="289"/>
      <c r="L370" s="289"/>
      <c r="M370" s="241"/>
      <c r="N370" s="241"/>
      <c r="O370" s="241"/>
      <c r="P370" s="241"/>
      <c r="Q370" s="241"/>
      <c r="R370" s="241"/>
      <c r="S370" s="241"/>
      <c r="T370" s="241"/>
      <c r="U370" s="241"/>
      <c r="V370" s="241"/>
      <c r="W370" s="241"/>
      <c r="X370" s="241"/>
      <c r="Y370" s="241"/>
      <c r="Z370" s="241"/>
      <c r="AA370" s="241"/>
      <c r="AB370" s="290">
        <f t="shared" si="40"/>
        <v>270</v>
      </c>
      <c r="AC370" s="290" t="e">
        <f t="shared" si="41"/>
        <v>#N/A</v>
      </c>
      <c r="AD370" s="290">
        <f t="shared" si="42"/>
        <v>27</v>
      </c>
      <c r="AE370" s="290">
        <f t="shared" si="43"/>
        <v>243</v>
      </c>
    </row>
    <row r="371" spans="1:31" x14ac:dyDescent="0.25">
      <c r="A371" s="280"/>
      <c r="B371" s="331">
        <f>Crop!B407</f>
        <v>41998</v>
      </c>
      <c r="C371" s="332">
        <f t="shared" si="44"/>
        <v>270</v>
      </c>
      <c r="D371" s="332" t="str">
        <f t="shared" si="45"/>
        <v/>
      </c>
      <c r="E371" s="332">
        <f t="shared" si="46"/>
        <v>27</v>
      </c>
      <c r="F371" s="332">
        <f t="shared" si="47"/>
        <v>243</v>
      </c>
      <c r="G371" s="241"/>
      <c r="H371" s="241"/>
      <c r="I371" s="241"/>
      <c r="J371" s="241"/>
      <c r="K371" s="289"/>
      <c r="L371" s="289"/>
      <c r="M371" s="241"/>
      <c r="N371" s="241"/>
      <c r="O371" s="241"/>
      <c r="P371" s="241"/>
      <c r="Q371" s="241"/>
      <c r="R371" s="241"/>
      <c r="S371" s="241"/>
      <c r="T371" s="241"/>
      <c r="U371" s="241"/>
      <c r="V371" s="241"/>
      <c r="W371" s="241"/>
      <c r="X371" s="241"/>
      <c r="Y371" s="241"/>
      <c r="Z371" s="241"/>
      <c r="AA371" s="241"/>
      <c r="AB371" s="290">
        <f t="shared" si="40"/>
        <v>270</v>
      </c>
      <c r="AC371" s="290" t="e">
        <f t="shared" si="41"/>
        <v>#N/A</v>
      </c>
      <c r="AD371" s="290">
        <f t="shared" si="42"/>
        <v>27</v>
      </c>
      <c r="AE371" s="290">
        <f t="shared" si="43"/>
        <v>243</v>
      </c>
    </row>
    <row r="372" spans="1:31" x14ac:dyDescent="0.25">
      <c r="A372" s="280"/>
      <c r="B372" s="331">
        <f>Crop!B408</f>
        <v>41999</v>
      </c>
      <c r="C372" s="332">
        <f t="shared" si="44"/>
        <v>270</v>
      </c>
      <c r="D372" s="332" t="str">
        <f t="shared" si="45"/>
        <v/>
      </c>
      <c r="E372" s="332">
        <f t="shared" si="46"/>
        <v>27</v>
      </c>
      <c r="F372" s="332">
        <f t="shared" si="47"/>
        <v>243</v>
      </c>
      <c r="G372" s="241"/>
      <c r="H372" s="241"/>
      <c r="I372" s="241"/>
      <c r="J372" s="241"/>
      <c r="K372" s="289"/>
      <c r="L372" s="289"/>
      <c r="M372" s="241"/>
      <c r="N372" s="241"/>
      <c r="O372" s="241"/>
      <c r="P372" s="241"/>
      <c r="Q372" s="241"/>
      <c r="R372" s="241"/>
      <c r="S372" s="241"/>
      <c r="T372" s="241"/>
      <c r="U372" s="241"/>
      <c r="V372" s="241"/>
      <c r="W372" s="241"/>
      <c r="X372" s="241"/>
      <c r="Y372" s="241"/>
      <c r="Z372" s="241"/>
      <c r="AA372" s="241"/>
      <c r="AB372" s="290">
        <f t="shared" si="40"/>
        <v>270</v>
      </c>
      <c r="AC372" s="290" t="e">
        <f t="shared" si="41"/>
        <v>#N/A</v>
      </c>
      <c r="AD372" s="290">
        <f t="shared" si="42"/>
        <v>27</v>
      </c>
      <c r="AE372" s="290">
        <f t="shared" si="43"/>
        <v>243</v>
      </c>
    </row>
    <row r="373" spans="1:31" x14ac:dyDescent="0.25">
      <c r="A373" s="280"/>
      <c r="B373" s="331">
        <f>Crop!B409</f>
        <v>42000</v>
      </c>
      <c r="C373" s="332">
        <f t="shared" si="44"/>
        <v>270</v>
      </c>
      <c r="D373" s="332" t="str">
        <f t="shared" si="45"/>
        <v/>
      </c>
      <c r="E373" s="332">
        <f t="shared" si="46"/>
        <v>27</v>
      </c>
      <c r="F373" s="332">
        <f t="shared" si="47"/>
        <v>243</v>
      </c>
      <c r="G373" s="241"/>
      <c r="H373" s="241"/>
      <c r="I373" s="241"/>
      <c r="J373" s="241"/>
      <c r="K373" s="289"/>
      <c r="L373" s="289"/>
      <c r="M373" s="241"/>
      <c r="N373" s="241"/>
      <c r="O373" s="241"/>
      <c r="P373" s="241"/>
      <c r="Q373" s="241"/>
      <c r="R373" s="241"/>
      <c r="S373" s="241"/>
      <c r="T373" s="241"/>
      <c r="U373" s="241"/>
      <c r="V373" s="241"/>
      <c r="W373" s="241"/>
      <c r="X373" s="241"/>
      <c r="Y373" s="241"/>
      <c r="Z373" s="241"/>
      <c r="AA373" s="241"/>
      <c r="AB373" s="290">
        <f t="shared" si="40"/>
        <v>270</v>
      </c>
      <c r="AC373" s="290" t="e">
        <f t="shared" si="41"/>
        <v>#N/A</v>
      </c>
      <c r="AD373" s="290">
        <f t="shared" si="42"/>
        <v>27</v>
      </c>
      <c r="AE373" s="290">
        <f t="shared" si="43"/>
        <v>243</v>
      </c>
    </row>
    <row r="374" spans="1:31" x14ac:dyDescent="0.25">
      <c r="A374" s="280"/>
      <c r="B374" s="331">
        <f>Crop!B410</f>
        <v>42001</v>
      </c>
      <c r="C374" s="332">
        <f t="shared" si="44"/>
        <v>270</v>
      </c>
      <c r="D374" s="332" t="str">
        <f t="shared" si="45"/>
        <v/>
      </c>
      <c r="E374" s="332">
        <f t="shared" si="46"/>
        <v>27</v>
      </c>
      <c r="F374" s="332">
        <f t="shared" si="47"/>
        <v>243</v>
      </c>
      <c r="G374" s="241"/>
      <c r="H374" s="241"/>
      <c r="I374" s="241"/>
      <c r="J374" s="241"/>
      <c r="K374" s="289"/>
      <c r="L374" s="289"/>
      <c r="M374" s="241"/>
      <c r="N374" s="241"/>
      <c r="O374" s="241"/>
      <c r="P374" s="241"/>
      <c r="Q374" s="241"/>
      <c r="R374" s="241"/>
      <c r="S374" s="241"/>
      <c r="T374" s="241"/>
      <c r="U374" s="241"/>
      <c r="V374" s="241"/>
      <c r="W374" s="241"/>
      <c r="X374" s="241"/>
      <c r="Y374" s="241"/>
      <c r="Z374" s="241"/>
      <c r="AA374" s="241"/>
      <c r="AB374" s="290">
        <f t="shared" si="40"/>
        <v>270</v>
      </c>
      <c r="AC374" s="290" t="e">
        <f t="shared" si="41"/>
        <v>#N/A</v>
      </c>
      <c r="AD374" s="290">
        <f t="shared" si="42"/>
        <v>27</v>
      </c>
      <c r="AE374" s="290">
        <f t="shared" si="43"/>
        <v>243</v>
      </c>
    </row>
    <row r="375" spans="1:31" x14ac:dyDescent="0.25">
      <c r="A375" s="280"/>
      <c r="B375" s="331">
        <f>Crop!B411</f>
        <v>42002</v>
      </c>
      <c r="C375" s="332">
        <f t="shared" si="44"/>
        <v>270</v>
      </c>
      <c r="D375" s="332" t="str">
        <f t="shared" si="45"/>
        <v/>
      </c>
      <c r="E375" s="332">
        <f t="shared" si="46"/>
        <v>27</v>
      </c>
      <c r="F375" s="332">
        <f t="shared" si="47"/>
        <v>243</v>
      </c>
      <c r="G375" s="241"/>
      <c r="H375" s="241"/>
      <c r="I375" s="241"/>
      <c r="J375" s="241"/>
      <c r="K375" s="289"/>
      <c r="L375" s="289"/>
      <c r="M375" s="241"/>
      <c r="N375" s="241"/>
      <c r="O375" s="241"/>
      <c r="P375" s="241"/>
      <c r="Q375" s="241"/>
      <c r="R375" s="241"/>
      <c r="S375" s="241"/>
      <c r="T375" s="241"/>
      <c r="U375" s="241"/>
      <c r="V375" s="241"/>
      <c r="W375" s="241"/>
      <c r="X375" s="241"/>
      <c r="Y375" s="241"/>
      <c r="Z375" s="241"/>
      <c r="AA375" s="241"/>
      <c r="AB375" s="290">
        <f t="shared" si="40"/>
        <v>270</v>
      </c>
      <c r="AC375" s="290" t="e">
        <f t="shared" si="41"/>
        <v>#N/A</v>
      </c>
      <c r="AD375" s="290">
        <f t="shared" si="42"/>
        <v>27</v>
      </c>
      <c r="AE375" s="290">
        <f t="shared" si="43"/>
        <v>243</v>
      </c>
    </row>
    <row r="376" spans="1:31" x14ac:dyDescent="0.25">
      <c r="A376" s="280"/>
      <c r="B376" s="331">
        <f>Crop!B412</f>
        <v>42003</v>
      </c>
      <c r="C376" s="332">
        <f t="shared" si="44"/>
        <v>270</v>
      </c>
      <c r="D376" s="332" t="str">
        <f t="shared" si="45"/>
        <v/>
      </c>
      <c r="E376" s="332">
        <f t="shared" si="46"/>
        <v>27</v>
      </c>
      <c r="F376" s="332">
        <f t="shared" si="47"/>
        <v>243</v>
      </c>
      <c r="G376" s="241"/>
      <c r="H376" s="241"/>
      <c r="I376" s="241"/>
      <c r="J376" s="241"/>
      <c r="K376" s="289"/>
      <c r="L376" s="289"/>
      <c r="M376" s="241"/>
      <c r="N376" s="241"/>
      <c r="O376" s="241"/>
      <c r="P376" s="241"/>
      <c r="Q376" s="241"/>
      <c r="R376" s="241"/>
      <c r="S376" s="241"/>
      <c r="T376" s="241"/>
      <c r="U376" s="241"/>
      <c r="V376" s="241"/>
      <c r="W376" s="241"/>
      <c r="X376" s="241"/>
      <c r="Y376" s="241"/>
      <c r="Z376" s="241"/>
      <c r="AA376" s="241"/>
      <c r="AB376" s="290">
        <f t="shared" si="40"/>
        <v>270</v>
      </c>
      <c r="AC376" s="290" t="e">
        <f t="shared" si="41"/>
        <v>#N/A</v>
      </c>
      <c r="AD376" s="290">
        <f t="shared" si="42"/>
        <v>27</v>
      </c>
      <c r="AE376" s="290">
        <f t="shared" si="43"/>
        <v>243</v>
      </c>
    </row>
    <row r="377" spans="1:31" x14ac:dyDescent="0.25">
      <c r="A377" s="280"/>
      <c r="B377" s="331">
        <f>Crop!B413</f>
        <v>42004</v>
      </c>
      <c r="C377" s="332">
        <f t="shared" si="44"/>
        <v>270</v>
      </c>
      <c r="D377" s="332" t="str">
        <f t="shared" si="45"/>
        <v/>
      </c>
      <c r="E377" s="332">
        <f t="shared" si="46"/>
        <v>27</v>
      </c>
      <c r="F377" s="332">
        <f t="shared" si="47"/>
        <v>243</v>
      </c>
      <c r="G377" s="241"/>
      <c r="H377" s="241"/>
      <c r="I377" s="241"/>
      <c r="J377" s="241"/>
      <c r="K377" s="289"/>
      <c r="L377" s="289"/>
      <c r="M377" s="241"/>
      <c r="N377" s="241"/>
      <c r="O377" s="241"/>
      <c r="P377" s="241"/>
      <c r="Q377" s="241"/>
      <c r="R377" s="241"/>
      <c r="S377" s="241"/>
      <c r="T377" s="241"/>
      <c r="U377" s="241"/>
      <c r="V377" s="241"/>
      <c r="W377" s="241"/>
      <c r="X377" s="241"/>
      <c r="Y377" s="241"/>
      <c r="Z377" s="241"/>
      <c r="AA377" s="241"/>
      <c r="AB377" s="290">
        <f t="shared" si="40"/>
        <v>270</v>
      </c>
      <c r="AC377" s="290" t="e">
        <f t="shared" si="41"/>
        <v>#N/A</v>
      </c>
      <c r="AD377" s="290">
        <f t="shared" si="42"/>
        <v>27</v>
      </c>
      <c r="AE377" s="290">
        <f t="shared" si="43"/>
        <v>243</v>
      </c>
    </row>
    <row r="378" spans="1:31" x14ac:dyDescent="0.25">
      <c r="A378" s="280"/>
      <c r="B378" s="331">
        <f>Crop!B414</f>
        <v>42005</v>
      </c>
      <c r="C378" s="332">
        <f t="shared" si="44"/>
        <v>270</v>
      </c>
      <c r="D378" s="332" t="str">
        <f t="shared" si="45"/>
        <v/>
      </c>
      <c r="E378" s="332">
        <f t="shared" si="46"/>
        <v>27</v>
      </c>
      <c r="F378" s="332">
        <f t="shared" si="47"/>
        <v>243</v>
      </c>
      <c r="G378" s="241"/>
      <c r="H378" s="241"/>
      <c r="I378" s="241"/>
      <c r="J378" s="241"/>
      <c r="K378" s="289"/>
      <c r="L378" s="289"/>
      <c r="M378" s="241"/>
      <c r="N378" s="241"/>
      <c r="O378" s="241"/>
      <c r="P378" s="241"/>
      <c r="Q378" s="241"/>
      <c r="R378" s="241"/>
      <c r="S378" s="241"/>
      <c r="T378" s="241"/>
      <c r="U378" s="241"/>
      <c r="V378" s="241"/>
      <c r="W378" s="241"/>
      <c r="X378" s="241"/>
      <c r="Y378" s="241"/>
      <c r="Z378" s="241"/>
      <c r="AA378" s="241"/>
      <c r="AB378" s="290">
        <f t="shared" si="40"/>
        <v>270</v>
      </c>
      <c r="AC378" s="290" t="e">
        <f t="shared" si="41"/>
        <v>#N/A</v>
      </c>
      <c r="AD378" s="290">
        <f t="shared" si="42"/>
        <v>27</v>
      </c>
      <c r="AE378" s="290">
        <f t="shared" si="43"/>
        <v>243</v>
      </c>
    </row>
    <row r="379" spans="1:31" x14ac:dyDescent="0.25">
      <c r="A379" s="280"/>
      <c r="B379" s="331">
        <f>Crop!B415</f>
        <v>42006</v>
      </c>
      <c r="C379" s="332">
        <f t="shared" si="44"/>
        <v>270</v>
      </c>
      <c r="D379" s="332" t="str">
        <f t="shared" si="45"/>
        <v/>
      </c>
      <c r="E379" s="332">
        <f t="shared" si="46"/>
        <v>27</v>
      </c>
      <c r="F379" s="332">
        <f t="shared" si="47"/>
        <v>243</v>
      </c>
      <c r="G379" s="241"/>
      <c r="H379" s="241"/>
      <c r="I379" s="241"/>
      <c r="J379" s="241"/>
      <c r="K379" s="289"/>
      <c r="L379" s="289"/>
      <c r="M379" s="241"/>
      <c r="N379" s="241"/>
      <c r="O379" s="241"/>
      <c r="P379" s="241"/>
      <c r="Q379" s="241"/>
      <c r="R379" s="241"/>
      <c r="S379" s="241"/>
      <c r="T379" s="241"/>
      <c r="U379" s="241"/>
      <c r="V379" s="241"/>
      <c r="W379" s="241"/>
      <c r="X379" s="241"/>
      <c r="Y379" s="241"/>
      <c r="Z379" s="241"/>
      <c r="AA379" s="241"/>
      <c r="AB379" s="290">
        <f t="shared" si="40"/>
        <v>270</v>
      </c>
      <c r="AC379" s="290" t="e">
        <f t="shared" si="41"/>
        <v>#N/A</v>
      </c>
      <c r="AD379" s="290">
        <f t="shared" si="42"/>
        <v>27</v>
      </c>
      <c r="AE379" s="290">
        <f t="shared" si="43"/>
        <v>243</v>
      </c>
    </row>
    <row r="380" spans="1:31" x14ac:dyDescent="0.25">
      <c r="A380" s="280"/>
      <c r="B380" s="331">
        <f>Crop!B416</f>
        <v>42007</v>
      </c>
      <c r="C380" s="332">
        <f t="shared" si="44"/>
        <v>270</v>
      </c>
      <c r="D380" s="332" t="str">
        <f t="shared" si="45"/>
        <v/>
      </c>
      <c r="E380" s="332">
        <f t="shared" si="46"/>
        <v>27</v>
      </c>
      <c r="F380" s="332">
        <f t="shared" si="47"/>
        <v>243</v>
      </c>
      <c r="G380" s="241"/>
      <c r="H380" s="241"/>
      <c r="I380" s="241"/>
      <c r="J380" s="241"/>
      <c r="K380" s="289"/>
      <c r="L380" s="289"/>
      <c r="M380" s="241"/>
      <c r="N380" s="241"/>
      <c r="O380" s="241"/>
      <c r="P380" s="241"/>
      <c r="Q380" s="241"/>
      <c r="R380" s="241"/>
      <c r="S380" s="241"/>
      <c r="T380" s="241"/>
      <c r="U380" s="241"/>
      <c r="V380" s="241"/>
      <c r="W380" s="241"/>
      <c r="X380" s="241"/>
      <c r="Y380" s="241"/>
      <c r="Z380" s="241"/>
      <c r="AA380" s="241"/>
      <c r="AB380" s="290">
        <f t="shared" si="40"/>
        <v>270</v>
      </c>
      <c r="AC380" s="290" t="e">
        <f t="shared" si="41"/>
        <v>#N/A</v>
      </c>
      <c r="AD380" s="290">
        <f t="shared" si="42"/>
        <v>27</v>
      </c>
      <c r="AE380" s="290">
        <f t="shared" si="43"/>
        <v>243</v>
      </c>
    </row>
    <row r="381" spans="1:31" x14ac:dyDescent="0.25">
      <c r="A381" s="280"/>
      <c r="B381" s="331">
        <f>Crop!B417</f>
        <v>42008</v>
      </c>
      <c r="C381" s="332">
        <f t="shared" si="44"/>
        <v>270</v>
      </c>
      <c r="D381" s="332" t="str">
        <f t="shared" si="45"/>
        <v/>
      </c>
      <c r="E381" s="332">
        <f t="shared" si="46"/>
        <v>27</v>
      </c>
      <c r="F381" s="332">
        <f t="shared" si="47"/>
        <v>243</v>
      </c>
      <c r="G381" s="241"/>
      <c r="H381" s="241"/>
      <c r="I381" s="241"/>
      <c r="J381" s="241"/>
      <c r="K381" s="289"/>
      <c r="L381" s="289"/>
      <c r="M381" s="241"/>
      <c r="N381" s="241"/>
      <c r="O381" s="241"/>
      <c r="P381" s="241"/>
      <c r="Q381" s="241"/>
      <c r="R381" s="241"/>
      <c r="S381" s="241"/>
      <c r="T381" s="241"/>
      <c r="U381" s="241"/>
      <c r="V381" s="241"/>
      <c r="W381" s="241"/>
      <c r="X381" s="241"/>
      <c r="Y381" s="241"/>
      <c r="Z381" s="241"/>
      <c r="AA381" s="241"/>
      <c r="AB381" s="290">
        <f t="shared" si="40"/>
        <v>270</v>
      </c>
      <c r="AC381" s="290" t="e">
        <f t="shared" si="41"/>
        <v>#N/A</v>
      </c>
      <c r="AD381" s="290">
        <f t="shared" si="42"/>
        <v>27</v>
      </c>
      <c r="AE381" s="290">
        <f t="shared" si="43"/>
        <v>243</v>
      </c>
    </row>
    <row r="382" spans="1:31" x14ac:dyDescent="0.25">
      <c r="A382" s="280"/>
      <c r="B382" s="331">
        <f>Crop!B418</f>
        <v>42009</v>
      </c>
      <c r="C382" s="332">
        <f t="shared" si="44"/>
        <v>270</v>
      </c>
      <c r="D382" s="332" t="str">
        <f t="shared" si="45"/>
        <v/>
      </c>
      <c r="E382" s="332">
        <f t="shared" si="46"/>
        <v>27</v>
      </c>
      <c r="F382" s="332">
        <f t="shared" si="47"/>
        <v>243</v>
      </c>
      <c r="G382" s="241"/>
      <c r="H382" s="241"/>
      <c r="I382" s="241"/>
      <c r="J382" s="241"/>
      <c r="K382" s="289"/>
      <c r="L382" s="289"/>
      <c r="M382" s="241"/>
      <c r="N382" s="241"/>
      <c r="O382" s="241"/>
      <c r="P382" s="241"/>
      <c r="Q382" s="241"/>
      <c r="R382" s="241"/>
      <c r="S382" s="241"/>
      <c r="T382" s="241"/>
      <c r="U382" s="241"/>
      <c r="V382" s="241"/>
      <c r="W382" s="241"/>
      <c r="X382" s="241"/>
      <c r="Y382" s="241"/>
      <c r="Z382" s="241"/>
      <c r="AA382" s="241"/>
      <c r="AB382" s="290">
        <f t="shared" si="40"/>
        <v>270</v>
      </c>
      <c r="AC382" s="290" t="e">
        <f t="shared" si="41"/>
        <v>#N/A</v>
      </c>
      <c r="AD382" s="290">
        <f t="shared" si="42"/>
        <v>27</v>
      </c>
      <c r="AE382" s="290">
        <f t="shared" si="43"/>
        <v>243</v>
      </c>
    </row>
    <row r="383" spans="1:31" x14ac:dyDescent="0.25">
      <c r="A383" s="280"/>
      <c r="B383" s="331">
        <f>Crop!B419</f>
        <v>42010</v>
      </c>
      <c r="C383" s="332">
        <f t="shared" si="44"/>
        <v>270</v>
      </c>
      <c r="D383" s="332" t="str">
        <f t="shared" si="45"/>
        <v/>
      </c>
      <c r="E383" s="332">
        <f t="shared" si="46"/>
        <v>27</v>
      </c>
      <c r="F383" s="332">
        <f t="shared" si="47"/>
        <v>243</v>
      </c>
      <c r="G383" s="241"/>
      <c r="H383" s="241"/>
      <c r="I383" s="241"/>
      <c r="J383" s="241"/>
      <c r="K383" s="289"/>
      <c r="L383" s="289"/>
      <c r="M383" s="241"/>
      <c r="N383" s="241"/>
      <c r="O383" s="241"/>
      <c r="P383" s="241"/>
      <c r="Q383" s="241"/>
      <c r="R383" s="241"/>
      <c r="S383" s="241"/>
      <c r="T383" s="241"/>
      <c r="U383" s="241"/>
      <c r="V383" s="241"/>
      <c r="W383" s="241"/>
      <c r="X383" s="241"/>
      <c r="Y383" s="241"/>
      <c r="Z383" s="241"/>
      <c r="AA383" s="241"/>
      <c r="AB383" s="290">
        <f t="shared" si="40"/>
        <v>270</v>
      </c>
      <c r="AC383" s="290" t="e">
        <f t="shared" si="41"/>
        <v>#N/A</v>
      </c>
      <c r="AD383" s="290">
        <f t="shared" si="42"/>
        <v>27</v>
      </c>
      <c r="AE383" s="290">
        <f t="shared" si="43"/>
        <v>243</v>
      </c>
    </row>
    <row r="384" spans="1:31" x14ac:dyDescent="0.25">
      <c r="A384" s="280"/>
      <c r="B384" s="331">
        <f>Crop!B420</f>
        <v>42011</v>
      </c>
      <c r="C384" s="332">
        <f t="shared" si="44"/>
        <v>270</v>
      </c>
      <c r="D384" s="332" t="str">
        <f t="shared" si="45"/>
        <v/>
      </c>
      <c r="E384" s="332">
        <f t="shared" si="46"/>
        <v>27</v>
      </c>
      <c r="F384" s="332">
        <f t="shared" si="47"/>
        <v>243</v>
      </c>
      <c r="G384" s="241"/>
      <c r="H384" s="241"/>
      <c r="I384" s="241"/>
      <c r="J384" s="241"/>
      <c r="K384" s="289"/>
      <c r="L384" s="289"/>
      <c r="M384" s="241"/>
      <c r="N384" s="241"/>
      <c r="O384" s="241"/>
      <c r="P384" s="241"/>
      <c r="Q384" s="241"/>
      <c r="R384" s="241"/>
      <c r="S384" s="241"/>
      <c r="T384" s="241"/>
      <c r="U384" s="241"/>
      <c r="V384" s="241"/>
      <c r="W384" s="241"/>
      <c r="X384" s="241"/>
      <c r="Y384" s="241"/>
      <c r="Z384" s="241"/>
      <c r="AA384" s="241"/>
      <c r="AB384" s="290">
        <f t="shared" si="40"/>
        <v>270</v>
      </c>
      <c r="AC384" s="290" t="e">
        <f t="shared" si="41"/>
        <v>#N/A</v>
      </c>
      <c r="AD384" s="290">
        <f t="shared" si="42"/>
        <v>27</v>
      </c>
      <c r="AE384" s="290">
        <f t="shared" si="43"/>
        <v>243</v>
      </c>
    </row>
    <row r="385" spans="1:31" x14ac:dyDescent="0.25">
      <c r="A385" s="280"/>
      <c r="B385" s="331">
        <f>Crop!B421</f>
        <v>42012</v>
      </c>
      <c r="C385" s="332">
        <f t="shared" si="44"/>
        <v>270</v>
      </c>
      <c r="D385" s="332" t="str">
        <f t="shared" si="45"/>
        <v/>
      </c>
      <c r="E385" s="332">
        <f t="shared" si="46"/>
        <v>27</v>
      </c>
      <c r="F385" s="332">
        <f t="shared" si="47"/>
        <v>243</v>
      </c>
      <c r="G385" s="241"/>
      <c r="H385" s="241"/>
      <c r="I385" s="241"/>
      <c r="J385" s="241"/>
      <c r="K385" s="289"/>
      <c r="L385" s="289"/>
      <c r="M385" s="241"/>
      <c r="N385" s="241"/>
      <c r="O385" s="241"/>
      <c r="P385" s="241"/>
      <c r="Q385" s="241"/>
      <c r="R385" s="241"/>
      <c r="S385" s="241"/>
      <c r="T385" s="241"/>
      <c r="U385" s="241"/>
      <c r="V385" s="241"/>
      <c r="W385" s="241"/>
      <c r="X385" s="241"/>
      <c r="Y385" s="241"/>
      <c r="Z385" s="241"/>
      <c r="AA385" s="241"/>
      <c r="AB385" s="290">
        <f t="shared" si="40"/>
        <v>270</v>
      </c>
      <c r="AC385" s="290" t="e">
        <f t="shared" si="41"/>
        <v>#N/A</v>
      </c>
      <c r="AD385" s="290">
        <f t="shared" si="42"/>
        <v>27</v>
      </c>
      <c r="AE385" s="290">
        <f t="shared" si="43"/>
        <v>243</v>
      </c>
    </row>
    <row r="386" spans="1:31" x14ac:dyDescent="0.25">
      <c r="A386" s="280"/>
      <c r="B386" s="331">
        <f>Crop!B422</f>
        <v>42013</v>
      </c>
      <c r="C386" s="332">
        <f t="shared" si="44"/>
        <v>270</v>
      </c>
      <c r="D386" s="332" t="str">
        <f t="shared" si="45"/>
        <v/>
      </c>
      <c r="E386" s="332">
        <f t="shared" si="46"/>
        <v>27</v>
      </c>
      <c r="F386" s="332">
        <f t="shared" si="47"/>
        <v>243</v>
      </c>
      <c r="G386" s="241"/>
      <c r="H386" s="241"/>
      <c r="I386" s="241"/>
      <c r="J386" s="241"/>
      <c r="K386" s="289"/>
      <c r="L386" s="289"/>
      <c r="M386" s="241"/>
      <c r="N386" s="241"/>
      <c r="O386" s="241"/>
      <c r="P386" s="241"/>
      <c r="Q386" s="241"/>
      <c r="R386" s="241"/>
      <c r="S386" s="241"/>
      <c r="T386" s="241"/>
      <c r="U386" s="241"/>
      <c r="V386" s="241"/>
      <c r="W386" s="241"/>
      <c r="X386" s="241"/>
      <c r="Y386" s="241"/>
      <c r="Z386" s="241"/>
      <c r="AA386" s="241"/>
      <c r="AB386" s="290">
        <f t="shared" si="40"/>
        <v>270</v>
      </c>
      <c r="AC386" s="290" t="e">
        <f t="shared" si="41"/>
        <v>#N/A</v>
      </c>
      <c r="AD386" s="290">
        <f t="shared" si="42"/>
        <v>27</v>
      </c>
      <c r="AE386" s="290">
        <f t="shared" si="43"/>
        <v>243</v>
      </c>
    </row>
    <row r="387" spans="1:31" x14ac:dyDescent="0.25">
      <c r="A387" s="280"/>
      <c r="B387" s="331">
        <f>Crop!B423</f>
        <v>42014</v>
      </c>
      <c r="C387" s="332">
        <f t="shared" si="44"/>
        <v>270</v>
      </c>
      <c r="D387" s="332" t="str">
        <f t="shared" si="45"/>
        <v/>
      </c>
      <c r="E387" s="332">
        <f t="shared" si="46"/>
        <v>27</v>
      </c>
      <c r="F387" s="332">
        <f t="shared" si="47"/>
        <v>243</v>
      </c>
      <c r="G387" s="241"/>
      <c r="H387" s="241"/>
      <c r="I387" s="241"/>
      <c r="J387" s="241"/>
      <c r="K387" s="289"/>
      <c r="L387" s="289"/>
      <c r="M387" s="241"/>
      <c r="N387" s="241"/>
      <c r="O387" s="241"/>
      <c r="P387" s="241"/>
      <c r="Q387" s="241"/>
      <c r="R387" s="241"/>
      <c r="S387" s="241"/>
      <c r="T387" s="241"/>
      <c r="U387" s="241"/>
      <c r="V387" s="241"/>
      <c r="W387" s="241"/>
      <c r="X387" s="241"/>
      <c r="Y387" s="241"/>
      <c r="Z387" s="241"/>
      <c r="AA387" s="241"/>
      <c r="AB387" s="290">
        <f t="shared" si="40"/>
        <v>270</v>
      </c>
      <c r="AC387" s="290" t="e">
        <f t="shared" si="41"/>
        <v>#N/A</v>
      </c>
      <c r="AD387" s="290">
        <f t="shared" si="42"/>
        <v>27</v>
      </c>
      <c r="AE387" s="290">
        <f t="shared" si="43"/>
        <v>243</v>
      </c>
    </row>
    <row r="388" spans="1:31" x14ac:dyDescent="0.25">
      <c r="A388" s="280"/>
      <c r="B388" s="331">
        <f>Crop!B424</f>
        <v>42015</v>
      </c>
      <c r="C388" s="332">
        <f t="shared" si="44"/>
        <v>270</v>
      </c>
      <c r="D388" s="332" t="str">
        <f t="shared" si="45"/>
        <v/>
      </c>
      <c r="E388" s="332">
        <f t="shared" si="46"/>
        <v>27</v>
      </c>
      <c r="F388" s="332">
        <f t="shared" si="47"/>
        <v>243</v>
      </c>
      <c r="G388" s="241"/>
      <c r="H388" s="241"/>
      <c r="I388" s="241"/>
      <c r="J388" s="241"/>
      <c r="K388" s="289"/>
      <c r="L388" s="289"/>
      <c r="M388" s="241"/>
      <c r="N388" s="241"/>
      <c r="O388" s="241"/>
      <c r="P388" s="241"/>
      <c r="Q388" s="241"/>
      <c r="R388" s="241"/>
      <c r="S388" s="241"/>
      <c r="T388" s="241"/>
      <c r="U388" s="241"/>
      <c r="V388" s="241"/>
      <c r="W388" s="241"/>
      <c r="X388" s="241"/>
      <c r="Y388" s="241"/>
      <c r="Z388" s="241"/>
      <c r="AA388" s="241"/>
      <c r="AB388" s="290">
        <f t="shared" si="40"/>
        <v>270</v>
      </c>
      <c r="AC388" s="290" t="e">
        <f t="shared" si="41"/>
        <v>#N/A</v>
      </c>
      <c r="AD388" s="290">
        <f t="shared" si="42"/>
        <v>27</v>
      </c>
      <c r="AE388" s="290">
        <f t="shared" si="43"/>
        <v>243</v>
      </c>
    </row>
    <row r="389" spans="1:31" x14ac:dyDescent="0.25">
      <c r="A389" s="280"/>
      <c r="B389" s="331">
        <f>Crop!B425</f>
        <v>42016</v>
      </c>
      <c r="C389" s="332">
        <f t="shared" si="44"/>
        <v>270</v>
      </c>
      <c r="D389" s="332" t="str">
        <f t="shared" si="45"/>
        <v/>
      </c>
      <c r="E389" s="332">
        <f t="shared" si="46"/>
        <v>27</v>
      </c>
      <c r="F389" s="332">
        <f t="shared" si="47"/>
        <v>243</v>
      </c>
      <c r="G389" s="241"/>
      <c r="H389" s="241"/>
      <c r="I389" s="241"/>
      <c r="J389" s="241"/>
      <c r="K389" s="289"/>
      <c r="L389" s="289"/>
      <c r="M389" s="241"/>
      <c r="N389" s="241"/>
      <c r="O389" s="241"/>
      <c r="P389" s="241"/>
      <c r="Q389" s="241"/>
      <c r="R389" s="241"/>
      <c r="S389" s="241"/>
      <c r="T389" s="241"/>
      <c r="U389" s="241"/>
      <c r="V389" s="241"/>
      <c r="W389" s="241"/>
      <c r="X389" s="241"/>
      <c r="Y389" s="241"/>
      <c r="Z389" s="241"/>
      <c r="AA389" s="241"/>
      <c r="AB389" s="290">
        <f t="shared" si="40"/>
        <v>270</v>
      </c>
      <c r="AC389" s="290" t="e">
        <f t="shared" si="41"/>
        <v>#N/A</v>
      </c>
      <c r="AD389" s="290">
        <f t="shared" si="42"/>
        <v>27</v>
      </c>
      <c r="AE389" s="290">
        <f t="shared" si="43"/>
        <v>243</v>
      </c>
    </row>
    <row r="390" spans="1:31" x14ac:dyDescent="0.25">
      <c r="A390" s="280"/>
      <c r="B390" s="331">
        <f>Crop!B426</f>
        <v>42017</v>
      </c>
      <c r="C390" s="332">
        <f t="shared" si="44"/>
        <v>270</v>
      </c>
      <c r="D390" s="332" t="str">
        <f t="shared" si="45"/>
        <v/>
      </c>
      <c r="E390" s="332">
        <f t="shared" si="46"/>
        <v>27</v>
      </c>
      <c r="F390" s="332">
        <f t="shared" si="47"/>
        <v>243</v>
      </c>
      <c r="G390" s="241"/>
      <c r="H390" s="241"/>
      <c r="I390" s="241"/>
      <c r="J390" s="241"/>
      <c r="K390" s="289"/>
      <c r="L390" s="289"/>
      <c r="M390" s="241"/>
      <c r="N390" s="241"/>
      <c r="O390" s="241"/>
      <c r="P390" s="241"/>
      <c r="Q390" s="241"/>
      <c r="R390" s="241"/>
      <c r="S390" s="241"/>
      <c r="T390" s="241"/>
      <c r="U390" s="241"/>
      <c r="V390" s="241"/>
      <c r="W390" s="241"/>
      <c r="X390" s="241"/>
      <c r="Y390" s="241"/>
      <c r="Z390" s="241"/>
      <c r="AA390" s="241"/>
      <c r="AB390" s="290">
        <f t="shared" si="40"/>
        <v>270</v>
      </c>
      <c r="AC390" s="290" t="e">
        <f t="shared" si="41"/>
        <v>#N/A</v>
      </c>
      <c r="AD390" s="290">
        <f t="shared" si="42"/>
        <v>27</v>
      </c>
      <c r="AE390" s="290">
        <f t="shared" si="43"/>
        <v>243</v>
      </c>
    </row>
    <row r="391" spans="1:31" x14ac:dyDescent="0.25">
      <c r="A391" s="280"/>
      <c r="B391" s="331">
        <f>Crop!B427</f>
        <v>42018</v>
      </c>
      <c r="C391" s="332">
        <f t="shared" si="44"/>
        <v>270</v>
      </c>
      <c r="D391" s="332" t="str">
        <f t="shared" si="45"/>
        <v/>
      </c>
      <c r="E391" s="332">
        <f t="shared" si="46"/>
        <v>27</v>
      </c>
      <c r="F391" s="332">
        <f t="shared" si="47"/>
        <v>243</v>
      </c>
      <c r="G391" s="241"/>
      <c r="H391" s="241"/>
      <c r="I391" s="241"/>
      <c r="J391" s="241"/>
      <c r="K391" s="289"/>
      <c r="L391" s="289"/>
      <c r="M391" s="241"/>
      <c r="N391" s="241"/>
      <c r="O391" s="241"/>
      <c r="P391" s="241"/>
      <c r="Q391" s="241"/>
      <c r="R391" s="241"/>
      <c r="S391" s="241"/>
      <c r="T391" s="241"/>
      <c r="U391" s="241"/>
      <c r="V391" s="241"/>
      <c r="W391" s="241"/>
      <c r="X391" s="241"/>
      <c r="Y391" s="241"/>
      <c r="Z391" s="241"/>
      <c r="AA391" s="241"/>
      <c r="AB391" s="290">
        <f t="shared" si="40"/>
        <v>270</v>
      </c>
      <c r="AC391" s="290" t="e">
        <f t="shared" si="41"/>
        <v>#N/A</v>
      </c>
      <c r="AD391" s="290">
        <f t="shared" si="42"/>
        <v>27</v>
      </c>
      <c r="AE391" s="290">
        <f t="shared" si="43"/>
        <v>243</v>
      </c>
    </row>
    <row r="392" spans="1:31" x14ac:dyDescent="0.25">
      <c r="A392" s="280"/>
      <c r="B392" s="331">
        <f>Crop!B428</f>
        <v>42019</v>
      </c>
      <c r="C392" s="332">
        <f t="shared" si="44"/>
        <v>270</v>
      </c>
      <c r="D392" s="332" t="str">
        <f t="shared" si="45"/>
        <v/>
      </c>
      <c r="E392" s="332">
        <f t="shared" si="46"/>
        <v>27</v>
      </c>
      <c r="F392" s="332">
        <f t="shared" si="47"/>
        <v>243</v>
      </c>
      <c r="G392" s="241"/>
      <c r="H392" s="241"/>
      <c r="I392" s="241"/>
      <c r="J392" s="241"/>
      <c r="K392" s="289"/>
      <c r="L392" s="289"/>
      <c r="M392" s="241"/>
      <c r="N392" s="241"/>
      <c r="O392" s="241"/>
      <c r="P392" s="241"/>
      <c r="Q392" s="241"/>
      <c r="R392" s="241"/>
      <c r="S392" s="241"/>
      <c r="T392" s="241"/>
      <c r="U392" s="241"/>
      <c r="V392" s="241"/>
      <c r="W392" s="241"/>
      <c r="X392" s="241"/>
      <c r="Y392" s="241"/>
      <c r="Z392" s="241"/>
      <c r="AA392" s="241"/>
      <c r="AB392" s="290">
        <f t="shared" si="40"/>
        <v>270</v>
      </c>
      <c r="AC392" s="290" t="e">
        <f t="shared" si="41"/>
        <v>#N/A</v>
      </c>
      <c r="AD392" s="290">
        <f t="shared" si="42"/>
        <v>27</v>
      </c>
      <c r="AE392" s="290">
        <f t="shared" si="43"/>
        <v>243</v>
      </c>
    </row>
    <row r="393" spans="1:31" x14ac:dyDescent="0.25">
      <c r="A393" s="280"/>
      <c r="B393" s="331">
        <f>Crop!B429</f>
        <v>42020</v>
      </c>
      <c r="C393" s="332">
        <f t="shared" si="44"/>
        <v>270</v>
      </c>
      <c r="D393" s="332" t="str">
        <f t="shared" si="45"/>
        <v/>
      </c>
      <c r="E393" s="332">
        <f t="shared" si="46"/>
        <v>27</v>
      </c>
      <c r="F393" s="332">
        <f t="shared" si="47"/>
        <v>243</v>
      </c>
      <c r="G393" s="241"/>
      <c r="H393" s="241"/>
      <c r="I393" s="241"/>
      <c r="J393" s="241"/>
      <c r="K393" s="289"/>
      <c r="L393" s="289"/>
      <c r="M393" s="241"/>
      <c r="N393" s="241"/>
      <c r="O393" s="241"/>
      <c r="P393" s="241"/>
      <c r="Q393" s="241"/>
      <c r="R393" s="241"/>
      <c r="S393" s="241"/>
      <c r="T393" s="241"/>
      <c r="U393" s="241"/>
      <c r="V393" s="241"/>
      <c r="W393" s="241"/>
      <c r="X393" s="241"/>
      <c r="Y393" s="241"/>
      <c r="Z393" s="241"/>
      <c r="AA393" s="241"/>
      <c r="AB393" s="290">
        <f t="shared" si="40"/>
        <v>270</v>
      </c>
      <c r="AC393" s="290" t="e">
        <f t="shared" si="41"/>
        <v>#N/A</v>
      </c>
      <c r="AD393" s="290">
        <f t="shared" si="42"/>
        <v>27</v>
      </c>
      <c r="AE393" s="290">
        <f t="shared" si="43"/>
        <v>243</v>
      </c>
    </row>
    <row r="394" spans="1:31" x14ac:dyDescent="0.25">
      <c r="A394" s="280"/>
      <c r="B394" s="331">
        <f>Crop!B430</f>
        <v>42021</v>
      </c>
      <c r="C394" s="332">
        <f t="shared" si="44"/>
        <v>270</v>
      </c>
      <c r="D394" s="332" t="str">
        <f t="shared" si="45"/>
        <v/>
      </c>
      <c r="E394" s="332">
        <f t="shared" si="46"/>
        <v>27</v>
      </c>
      <c r="F394" s="332">
        <f t="shared" si="47"/>
        <v>243</v>
      </c>
      <c r="G394" s="241"/>
      <c r="H394" s="241"/>
      <c r="I394" s="241"/>
      <c r="J394" s="241"/>
      <c r="K394" s="289"/>
      <c r="L394" s="289"/>
      <c r="M394" s="241"/>
      <c r="N394" s="241"/>
      <c r="O394" s="241"/>
      <c r="P394" s="241"/>
      <c r="Q394" s="241"/>
      <c r="R394" s="241"/>
      <c r="S394" s="241"/>
      <c r="T394" s="241"/>
      <c r="U394" s="241"/>
      <c r="V394" s="241"/>
      <c r="W394" s="241"/>
      <c r="X394" s="241"/>
      <c r="Y394" s="241"/>
      <c r="Z394" s="241"/>
      <c r="AA394" s="241"/>
      <c r="AB394" s="290">
        <f t="shared" si="40"/>
        <v>270</v>
      </c>
      <c r="AC394" s="290" t="e">
        <f t="shared" si="41"/>
        <v>#N/A</v>
      </c>
      <c r="AD394" s="290">
        <f t="shared" si="42"/>
        <v>27</v>
      </c>
      <c r="AE394" s="290">
        <f t="shared" si="43"/>
        <v>243</v>
      </c>
    </row>
    <row r="395" spans="1:31" x14ac:dyDescent="0.25">
      <c r="A395" s="280"/>
      <c r="B395" s="331">
        <f>Crop!B431</f>
        <v>42022</v>
      </c>
      <c r="C395" s="332">
        <f t="shared" si="44"/>
        <v>270</v>
      </c>
      <c r="D395" s="332" t="str">
        <f t="shared" si="45"/>
        <v/>
      </c>
      <c r="E395" s="332">
        <f t="shared" si="46"/>
        <v>27</v>
      </c>
      <c r="F395" s="332">
        <f t="shared" si="47"/>
        <v>243</v>
      </c>
      <c r="G395" s="241"/>
      <c r="H395" s="241"/>
      <c r="I395" s="241"/>
      <c r="J395" s="241"/>
      <c r="K395" s="289"/>
      <c r="L395" s="289"/>
      <c r="M395" s="241"/>
      <c r="N395" s="241"/>
      <c r="O395" s="241"/>
      <c r="P395" s="241"/>
      <c r="Q395" s="241"/>
      <c r="R395" s="241"/>
      <c r="S395" s="241"/>
      <c r="T395" s="241"/>
      <c r="U395" s="241"/>
      <c r="V395" s="241"/>
      <c r="W395" s="241"/>
      <c r="X395" s="241"/>
      <c r="Y395" s="241"/>
      <c r="Z395" s="241"/>
      <c r="AA395" s="241"/>
      <c r="AB395" s="290">
        <f t="shared" si="40"/>
        <v>270</v>
      </c>
      <c r="AC395" s="290" t="e">
        <f t="shared" si="41"/>
        <v>#N/A</v>
      </c>
      <c r="AD395" s="290">
        <f t="shared" si="42"/>
        <v>27</v>
      </c>
      <c r="AE395" s="290">
        <f t="shared" si="43"/>
        <v>243</v>
      </c>
    </row>
    <row r="396" spans="1:31" x14ac:dyDescent="0.25">
      <c r="A396" s="280"/>
      <c r="B396" s="331">
        <f>Crop!B432</f>
        <v>42023</v>
      </c>
      <c r="C396" s="332">
        <f t="shared" si="44"/>
        <v>270</v>
      </c>
      <c r="D396" s="332" t="str">
        <f t="shared" si="45"/>
        <v/>
      </c>
      <c r="E396" s="332">
        <f t="shared" si="46"/>
        <v>27</v>
      </c>
      <c r="F396" s="332">
        <f t="shared" si="47"/>
        <v>243</v>
      </c>
      <c r="G396" s="241"/>
      <c r="H396" s="241"/>
      <c r="I396" s="241"/>
      <c r="J396" s="241"/>
      <c r="K396" s="289"/>
      <c r="L396" s="289"/>
      <c r="M396" s="241"/>
      <c r="N396" s="241"/>
      <c r="O396" s="241"/>
      <c r="P396" s="241"/>
      <c r="Q396" s="241"/>
      <c r="R396" s="241"/>
      <c r="S396" s="241"/>
      <c r="T396" s="241"/>
      <c r="U396" s="241"/>
      <c r="V396" s="241"/>
      <c r="W396" s="241"/>
      <c r="X396" s="241"/>
      <c r="Y396" s="241"/>
      <c r="Z396" s="241"/>
      <c r="AA396" s="241"/>
      <c r="AB396" s="290">
        <f t="shared" si="40"/>
        <v>270</v>
      </c>
      <c r="AC396" s="290" t="e">
        <f t="shared" si="41"/>
        <v>#N/A</v>
      </c>
      <c r="AD396" s="290">
        <f t="shared" si="42"/>
        <v>27</v>
      </c>
      <c r="AE396" s="290">
        <f t="shared" si="43"/>
        <v>243</v>
      </c>
    </row>
    <row r="397" spans="1:31" x14ac:dyDescent="0.25">
      <c r="A397" s="280"/>
      <c r="B397" s="331">
        <f>Crop!B433</f>
        <v>42024</v>
      </c>
      <c r="C397" s="332">
        <f t="shared" si="44"/>
        <v>270</v>
      </c>
      <c r="D397" s="332" t="str">
        <f t="shared" si="45"/>
        <v/>
      </c>
      <c r="E397" s="332">
        <f t="shared" si="46"/>
        <v>27</v>
      </c>
      <c r="F397" s="332">
        <f t="shared" si="47"/>
        <v>243</v>
      </c>
      <c r="G397" s="241"/>
      <c r="H397" s="241"/>
      <c r="I397" s="241"/>
      <c r="J397" s="241"/>
      <c r="K397" s="289"/>
      <c r="L397" s="289"/>
      <c r="M397" s="241"/>
      <c r="N397" s="241"/>
      <c r="O397" s="241"/>
      <c r="P397" s="241"/>
      <c r="Q397" s="241"/>
      <c r="R397" s="241"/>
      <c r="S397" s="241"/>
      <c r="T397" s="241"/>
      <c r="U397" s="241"/>
      <c r="V397" s="241"/>
      <c r="W397" s="241"/>
      <c r="X397" s="241"/>
      <c r="Y397" s="241"/>
      <c r="Z397" s="241"/>
      <c r="AA397" s="241"/>
      <c r="AB397" s="290">
        <f t="shared" ref="AB397:AB460" si="48">IF(C397="",#N/A,C397)</f>
        <v>270</v>
      </c>
      <c r="AC397" s="290" t="e">
        <f t="shared" ref="AC397:AC460" si="49">IF(D397="",#N/A,D397)</f>
        <v>#N/A</v>
      </c>
      <c r="AD397" s="290">
        <f t="shared" ref="AD397:AD460" si="50">IF(E397="",#N/A,E397)</f>
        <v>27</v>
      </c>
      <c r="AE397" s="290">
        <f t="shared" ref="AE397:AE460" si="51">IF(F397="",#N/A,F397)</f>
        <v>243</v>
      </c>
    </row>
    <row r="398" spans="1:31" x14ac:dyDescent="0.25">
      <c r="A398" s="280"/>
      <c r="B398" s="331">
        <f>Crop!B434</f>
        <v>42025</v>
      </c>
      <c r="C398" s="332">
        <f t="shared" ref="C398:C461" si="52">G$8</f>
        <v>270</v>
      </c>
      <c r="D398" s="332" t="str">
        <f t="shared" ref="D398:D461" si="53">IF(B398=B$6,AC$6,IF(B398&gt;B$10,"",IF(B398&gt;=B$9,D397+AD$9,IF(B398&gt;B$8,D397+AD$8,IF(B398&gt;B$7,D397+AD$7,IF(B398&gt;B$6,AC$6,""))))))</f>
        <v/>
      </c>
      <c r="E398" s="332">
        <f t="shared" ref="E398:E461" si="54">IF($B398&lt;B$6,150*F$8,IF($B398=$B$6,L$6,IF($B398&gt;$B$10,150*F$8,IF($B398&gt;=$B$9,E397+AB$9,IF($B398&gt;$B$8,E397+AB$8,IF($B398&gt;$B$7,E397+AB$7,IF($B398&gt;$B$6,L$6,"")))))))</f>
        <v>27</v>
      </c>
      <c r="F398" s="332">
        <f t="shared" si="47"/>
        <v>243</v>
      </c>
      <c r="G398" s="241"/>
      <c r="H398" s="241"/>
      <c r="I398" s="241"/>
      <c r="J398" s="241"/>
      <c r="K398" s="289"/>
      <c r="L398" s="289"/>
      <c r="M398" s="241"/>
      <c r="N398" s="241"/>
      <c r="O398" s="241"/>
      <c r="P398" s="241"/>
      <c r="Q398" s="241"/>
      <c r="R398" s="241"/>
      <c r="S398" s="241"/>
      <c r="T398" s="241"/>
      <c r="U398" s="241"/>
      <c r="V398" s="241"/>
      <c r="W398" s="241"/>
      <c r="X398" s="241"/>
      <c r="Y398" s="241"/>
      <c r="Z398" s="241"/>
      <c r="AA398" s="241"/>
      <c r="AB398" s="290">
        <f t="shared" si="48"/>
        <v>270</v>
      </c>
      <c r="AC398" s="290" t="e">
        <f t="shared" si="49"/>
        <v>#N/A</v>
      </c>
      <c r="AD398" s="290">
        <f t="shared" si="50"/>
        <v>27</v>
      </c>
      <c r="AE398" s="290">
        <f t="shared" si="51"/>
        <v>243</v>
      </c>
    </row>
    <row r="399" spans="1:31" x14ac:dyDescent="0.25">
      <c r="A399" s="280"/>
      <c r="B399" s="331">
        <f>Crop!B435</f>
        <v>42026</v>
      </c>
      <c r="C399" s="332">
        <f t="shared" si="52"/>
        <v>270</v>
      </c>
      <c r="D399" s="332" t="str">
        <f t="shared" si="53"/>
        <v/>
      </c>
      <c r="E399" s="332">
        <f t="shared" si="54"/>
        <v>27</v>
      </c>
      <c r="F399" s="332">
        <f t="shared" ref="F399:F462" si="55">IF(C399="","",C399-E399)</f>
        <v>243</v>
      </c>
      <c r="G399" s="241"/>
      <c r="H399" s="241"/>
      <c r="I399" s="241"/>
      <c r="J399" s="241"/>
      <c r="K399" s="289"/>
      <c r="L399" s="289"/>
      <c r="M399" s="241"/>
      <c r="N399" s="241"/>
      <c r="O399" s="241"/>
      <c r="P399" s="241"/>
      <c r="Q399" s="241"/>
      <c r="R399" s="241"/>
      <c r="S399" s="241"/>
      <c r="T399" s="241"/>
      <c r="U399" s="241"/>
      <c r="V399" s="241"/>
      <c r="W399" s="241"/>
      <c r="X399" s="241"/>
      <c r="Y399" s="241"/>
      <c r="Z399" s="241"/>
      <c r="AA399" s="241"/>
      <c r="AB399" s="290">
        <f t="shared" si="48"/>
        <v>270</v>
      </c>
      <c r="AC399" s="290" t="e">
        <f t="shared" si="49"/>
        <v>#N/A</v>
      </c>
      <c r="AD399" s="290">
        <f t="shared" si="50"/>
        <v>27</v>
      </c>
      <c r="AE399" s="290">
        <f t="shared" si="51"/>
        <v>243</v>
      </c>
    </row>
    <row r="400" spans="1:31" x14ac:dyDescent="0.25">
      <c r="A400" s="280"/>
      <c r="B400" s="331">
        <f>Crop!B436</f>
        <v>42027</v>
      </c>
      <c r="C400" s="332">
        <f t="shared" si="52"/>
        <v>270</v>
      </c>
      <c r="D400" s="332" t="str">
        <f t="shared" si="53"/>
        <v/>
      </c>
      <c r="E400" s="332">
        <f t="shared" si="54"/>
        <v>27</v>
      </c>
      <c r="F400" s="332">
        <f t="shared" si="55"/>
        <v>243</v>
      </c>
      <c r="G400" s="241"/>
      <c r="H400" s="241"/>
      <c r="I400" s="241"/>
      <c r="J400" s="241"/>
      <c r="K400" s="289"/>
      <c r="L400" s="289"/>
      <c r="M400" s="241"/>
      <c r="N400" s="241"/>
      <c r="O400" s="241"/>
      <c r="P400" s="241"/>
      <c r="Q400" s="241"/>
      <c r="R400" s="241"/>
      <c r="S400" s="241"/>
      <c r="T400" s="241"/>
      <c r="U400" s="241"/>
      <c r="V400" s="241"/>
      <c r="W400" s="241"/>
      <c r="X400" s="241"/>
      <c r="Y400" s="241"/>
      <c r="Z400" s="241"/>
      <c r="AA400" s="241"/>
      <c r="AB400" s="290">
        <f t="shared" si="48"/>
        <v>270</v>
      </c>
      <c r="AC400" s="290" t="e">
        <f t="shared" si="49"/>
        <v>#N/A</v>
      </c>
      <c r="AD400" s="290">
        <f t="shared" si="50"/>
        <v>27</v>
      </c>
      <c r="AE400" s="290">
        <f t="shared" si="51"/>
        <v>243</v>
      </c>
    </row>
    <row r="401" spans="1:31" x14ac:dyDescent="0.25">
      <c r="A401" s="280"/>
      <c r="B401" s="331">
        <f>Crop!B437</f>
        <v>42028</v>
      </c>
      <c r="C401" s="332">
        <f t="shared" si="52"/>
        <v>270</v>
      </c>
      <c r="D401" s="332" t="str">
        <f t="shared" si="53"/>
        <v/>
      </c>
      <c r="E401" s="332">
        <f t="shared" si="54"/>
        <v>27</v>
      </c>
      <c r="F401" s="332">
        <f t="shared" si="55"/>
        <v>243</v>
      </c>
      <c r="G401" s="241"/>
      <c r="H401" s="241"/>
      <c r="I401" s="241"/>
      <c r="J401" s="241"/>
      <c r="K401" s="289"/>
      <c r="L401" s="289"/>
      <c r="M401" s="241"/>
      <c r="N401" s="241"/>
      <c r="O401" s="241"/>
      <c r="P401" s="241"/>
      <c r="Q401" s="241"/>
      <c r="R401" s="241"/>
      <c r="S401" s="241"/>
      <c r="T401" s="241"/>
      <c r="U401" s="241"/>
      <c r="V401" s="241"/>
      <c r="W401" s="241"/>
      <c r="X401" s="241"/>
      <c r="Y401" s="241"/>
      <c r="Z401" s="241"/>
      <c r="AA401" s="241"/>
      <c r="AB401" s="290">
        <f t="shared" si="48"/>
        <v>270</v>
      </c>
      <c r="AC401" s="290" t="e">
        <f t="shared" si="49"/>
        <v>#N/A</v>
      </c>
      <c r="AD401" s="290">
        <f t="shared" si="50"/>
        <v>27</v>
      </c>
      <c r="AE401" s="290">
        <f t="shared" si="51"/>
        <v>243</v>
      </c>
    </row>
    <row r="402" spans="1:31" x14ac:dyDescent="0.25">
      <c r="A402" s="280"/>
      <c r="B402" s="331">
        <f>Crop!B438</f>
        <v>42029</v>
      </c>
      <c r="C402" s="332">
        <f t="shared" si="52"/>
        <v>270</v>
      </c>
      <c r="D402" s="332" t="str">
        <f t="shared" si="53"/>
        <v/>
      </c>
      <c r="E402" s="332">
        <f t="shared" si="54"/>
        <v>27</v>
      </c>
      <c r="F402" s="332">
        <f t="shared" si="55"/>
        <v>243</v>
      </c>
      <c r="G402" s="241"/>
      <c r="H402" s="241"/>
      <c r="I402" s="241"/>
      <c r="J402" s="241"/>
      <c r="K402" s="289"/>
      <c r="L402" s="289"/>
      <c r="M402" s="241"/>
      <c r="N402" s="241"/>
      <c r="O402" s="241"/>
      <c r="P402" s="241"/>
      <c r="Q402" s="241"/>
      <c r="R402" s="241"/>
      <c r="S402" s="241"/>
      <c r="T402" s="241"/>
      <c r="U402" s="241"/>
      <c r="V402" s="241"/>
      <c r="W402" s="241"/>
      <c r="X402" s="241"/>
      <c r="Y402" s="241"/>
      <c r="Z402" s="241"/>
      <c r="AA402" s="241"/>
      <c r="AB402" s="290">
        <f t="shared" si="48"/>
        <v>270</v>
      </c>
      <c r="AC402" s="290" t="e">
        <f t="shared" si="49"/>
        <v>#N/A</v>
      </c>
      <c r="AD402" s="290">
        <f t="shared" si="50"/>
        <v>27</v>
      </c>
      <c r="AE402" s="290">
        <f t="shared" si="51"/>
        <v>243</v>
      </c>
    </row>
    <row r="403" spans="1:31" x14ac:dyDescent="0.25">
      <c r="A403" s="280"/>
      <c r="B403" s="331">
        <f>Crop!B439</f>
        <v>42030</v>
      </c>
      <c r="C403" s="332">
        <f t="shared" si="52"/>
        <v>270</v>
      </c>
      <c r="D403" s="332" t="str">
        <f t="shared" si="53"/>
        <v/>
      </c>
      <c r="E403" s="332">
        <f t="shared" si="54"/>
        <v>27</v>
      </c>
      <c r="F403" s="332">
        <f t="shared" si="55"/>
        <v>243</v>
      </c>
      <c r="G403" s="241"/>
      <c r="H403" s="241"/>
      <c r="I403" s="241"/>
      <c r="J403" s="241"/>
      <c r="K403" s="289"/>
      <c r="L403" s="289"/>
      <c r="M403" s="241"/>
      <c r="N403" s="241"/>
      <c r="O403" s="241"/>
      <c r="P403" s="241"/>
      <c r="Q403" s="241"/>
      <c r="R403" s="241"/>
      <c r="S403" s="241"/>
      <c r="T403" s="241"/>
      <c r="U403" s="241"/>
      <c r="V403" s="241"/>
      <c r="W403" s="241"/>
      <c r="X403" s="241"/>
      <c r="Y403" s="241"/>
      <c r="Z403" s="241"/>
      <c r="AA403" s="241"/>
      <c r="AB403" s="290">
        <f t="shared" si="48"/>
        <v>270</v>
      </c>
      <c r="AC403" s="290" t="e">
        <f t="shared" si="49"/>
        <v>#N/A</v>
      </c>
      <c r="AD403" s="290">
        <f t="shared" si="50"/>
        <v>27</v>
      </c>
      <c r="AE403" s="290">
        <f t="shared" si="51"/>
        <v>243</v>
      </c>
    </row>
    <row r="404" spans="1:31" x14ac:dyDescent="0.25">
      <c r="A404" s="280"/>
      <c r="B404" s="331">
        <f>Crop!B440</f>
        <v>42031</v>
      </c>
      <c r="C404" s="332">
        <f t="shared" si="52"/>
        <v>270</v>
      </c>
      <c r="D404" s="332" t="str">
        <f t="shared" si="53"/>
        <v/>
      </c>
      <c r="E404" s="332">
        <f t="shared" si="54"/>
        <v>27</v>
      </c>
      <c r="F404" s="332">
        <f t="shared" si="55"/>
        <v>243</v>
      </c>
      <c r="G404" s="241"/>
      <c r="H404" s="241"/>
      <c r="I404" s="241"/>
      <c r="J404" s="241"/>
      <c r="K404" s="289"/>
      <c r="L404" s="289"/>
      <c r="M404" s="241"/>
      <c r="N404" s="241"/>
      <c r="O404" s="241"/>
      <c r="P404" s="241"/>
      <c r="Q404" s="241"/>
      <c r="R404" s="241"/>
      <c r="S404" s="241"/>
      <c r="T404" s="241"/>
      <c r="U404" s="241"/>
      <c r="V404" s="241"/>
      <c r="W404" s="241"/>
      <c r="X404" s="241"/>
      <c r="Y404" s="241"/>
      <c r="Z404" s="241"/>
      <c r="AA404" s="241"/>
      <c r="AB404" s="290">
        <f t="shared" si="48"/>
        <v>270</v>
      </c>
      <c r="AC404" s="290" t="e">
        <f t="shared" si="49"/>
        <v>#N/A</v>
      </c>
      <c r="AD404" s="290">
        <f t="shared" si="50"/>
        <v>27</v>
      </c>
      <c r="AE404" s="290">
        <f t="shared" si="51"/>
        <v>243</v>
      </c>
    </row>
    <row r="405" spans="1:31" x14ac:dyDescent="0.25">
      <c r="A405" s="280"/>
      <c r="B405" s="331">
        <f>Crop!B441</f>
        <v>42032</v>
      </c>
      <c r="C405" s="332">
        <f t="shared" si="52"/>
        <v>270</v>
      </c>
      <c r="D405" s="332" t="str">
        <f t="shared" si="53"/>
        <v/>
      </c>
      <c r="E405" s="332">
        <f t="shared" si="54"/>
        <v>27</v>
      </c>
      <c r="F405" s="332">
        <f t="shared" si="55"/>
        <v>243</v>
      </c>
      <c r="G405" s="241"/>
      <c r="H405" s="241"/>
      <c r="I405" s="241"/>
      <c r="J405" s="241"/>
      <c r="K405" s="289"/>
      <c r="L405" s="289"/>
      <c r="M405" s="241"/>
      <c r="N405" s="241"/>
      <c r="O405" s="241"/>
      <c r="P405" s="241"/>
      <c r="Q405" s="241"/>
      <c r="R405" s="241"/>
      <c r="S405" s="241"/>
      <c r="T405" s="241"/>
      <c r="U405" s="241"/>
      <c r="V405" s="241"/>
      <c r="W405" s="241"/>
      <c r="X405" s="241"/>
      <c r="Y405" s="241"/>
      <c r="Z405" s="241"/>
      <c r="AA405" s="241"/>
      <c r="AB405" s="290">
        <f t="shared" si="48"/>
        <v>270</v>
      </c>
      <c r="AC405" s="290" t="e">
        <f t="shared" si="49"/>
        <v>#N/A</v>
      </c>
      <c r="AD405" s="290">
        <f t="shared" si="50"/>
        <v>27</v>
      </c>
      <c r="AE405" s="290">
        <f t="shared" si="51"/>
        <v>243</v>
      </c>
    </row>
    <row r="406" spans="1:31" x14ac:dyDescent="0.25">
      <c r="A406" s="280"/>
      <c r="B406" s="331">
        <f>Crop!B442</f>
        <v>42033</v>
      </c>
      <c r="C406" s="332">
        <f t="shared" si="52"/>
        <v>270</v>
      </c>
      <c r="D406" s="332" t="str">
        <f t="shared" si="53"/>
        <v/>
      </c>
      <c r="E406" s="332">
        <f t="shared" si="54"/>
        <v>27</v>
      </c>
      <c r="F406" s="332">
        <f t="shared" si="55"/>
        <v>243</v>
      </c>
      <c r="G406" s="241"/>
      <c r="H406" s="241"/>
      <c r="I406" s="241"/>
      <c r="J406" s="241"/>
      <c r="K406" s="289"/>
      <c r="L406" s="289"/>
      <c r="M406" s="241"/>
      <c r="N406" s="241"/>
      <c r="O406" s="241"/>
      <c r="P406" s="241"/>
      <c r="Q406" s="241"/>
      <c r="R406" s="241"/>
      <c r="S406" s="241"/>
      <c r="T406" s="241"/>
      <c r="U406" s="241"/>
      <c r="V406" s="241"/>
      <c r="W406" s="241"/>
      <c r="X406" s="241"/>
      <c r="Y406" s="241"/>
      <c r="Z406" s="241"/>
      <c r="AA406" s="241"/>
      <c r="AB406" s="290">
        <f t="shared" si="48"/>
        <v>270</v>
      </c>
      <c r="AC406" s="290" t="e">
        <f t="shared" si="49"/>
        <v>#N/A</v>
      </c>
      <c r="AD406" s="290">
        <f t="shared" si="50"/>
        <v>27</v>
      </c>
      <c r="AE406" s="290">
        <f t="shared" si="51"/>
        <v>243</v>
      </c>
    </row>
    <row r="407" spans="1:31" x14ac:dyDescent="0.25">
      <c r="A407" s="280"/>
      <c r="B407" s="331">
        <f>Crop!B443</f>
        <v>42034</v>
      </c>
      <c r="C407" s="332">
        <f t="shared" si="52"/>
        <v>270</v>
      </c>
      <c r="D407" s="332" t="str">
        <f t="shared" si="53"/>
        <v/>
      </c>
      <c r="E407" s="332">
        <f t="shared" si="54"/>
        <v>27</v>
      </c>
      <c r="F407" s="332">
        <f t="shared" si="55"/>
        <v>243</v>
      </c>
      <c r="G407" s="241"/>
      <c r="H407" s="241"/>
      <c r="I407" s="241"/>
      <c r="J407" s="241"/>
      <c r="K407" s="289"/>
      <c r="L407" s="289"/>
      <c r="M407" s="241"/>
      <c r="N407" s="241"/>
      <c r="O407" s="241"/>
      <c r="P407" s="241"/>
      <c r="Q407" s="241"/>
      <c r="R407" s="241"/>
      <c r="S407" s="241"/>
      <c r="T407" s="241"/>
      <c r="U407" s="241"/>
      <c r="V407" s="241"/>
      <c r="W407" s="241"/>
      <c r="X407" s="241"/>
      <c r="Y407" s="241"/>
      <c r="Z407" s="241"/>
      <c r="AA407" s="241"/>
      <c r="AB407" s="290">
        <f t="shared" si="48"/>
        <v>270</v>
      </c>
      <c r="AC407" s="290" t="e">
        <f t="shared" si="49"/>
        <v>#N/A</v>
      </c>
      <c r="AD407" s="290">
        <f t="shared" si="50"/>
        <v>27</v>
      </c>
      <c r="AE407" s="290">
        <f t="shared" si="51"/>
        <v>243</v>
      </c>
    </row>
    <row r="408" spans="1:31" x14ac:dyDescent="0.25">
      <c r="A408" s="280"/>
      <c r="B408" s="331">
        <f>Crop!B444</f>
        <v>42035</v>
      </c>
      <c r="C408" s="332">
        <f t="shared" si="52"/>
        <v>270</v>
      </c>
      <c r="D408" s="332" t="str">
        <f t="shared" si="53"/>
        <v/>
      </c>
      <c r="E408" s="332">
        <f t="shared" si="54"/>
        <v>27</v>
      </c>
      <c r="F408" s="332">
        <f t="shared" si="55"/>
        <v>243</v>
      </c>
      <c r="G408" s="241"/>
      <c r="H408" s="241"/>
      <c r="I408" s="241"/>
      <c r="J408" s="241"/>
      <c r="K408" s="289"/>
      <c r="L408" s="289"/>
      <c r="M408" s="241"/>
      <c r="N408" s="241"/>
      <c r="O408" s="241"/>
      <c r="P408" s="241"/>
      <c r="Q408" s="241"/>
      <c r="R408" s="241"/>
      <c r="S408" s="241"/>
      <c r="T408" s="241"/>
      <c r="U408" s="241"/>
      <c r="V408" s="241"/>
      <c r="W408" s="241"/>
      <c r="X408" s="241"/>
      <c r="Y408" s="241"/>
      <c r="Z408" s="241"/>
      <c r="AA408" s="241"/>
      <c r="AB408" s="290">
        <f t="shared" si="48"/>
        <v>270</v>
      </c>
      <c r="AC408" s="290" t="e">
        <f t="shared" si="49"/>
        <v>#N/A</v>
      </c>
      <c r="AD408" s="290">
        <f t="shared" si="50"/>
        <v>27</v>
      </c>
      <c r="AE408" s="290">
        <f t="shared" si="51"/>
        <v>243</v>
      </c>
    </row>
    <row r="409" spans="1:31" x14ac:dyDescent="0.25">
      <c r="A409" s="280"/>
      <c r="B409" s="331">
        <f>Crop!B445</f>
        <v>42036</v>
      </c>
      <c r="C409" s="332">
        <f t="shared" si="52"/>
        <v>270</v>
      </c>
      <c r="D409" s="332" t="str">
        <f t="shared" si="53"/>
        <v/>
      </c>
      <c r="E409" s="332">
        <f t="shared" si="54"/>
        <v>27</v>
      </c>
      <c r="F409" s="332">
        <f t="shared" si="55"/>
        <v>243</v>
      </c>
      <c r="G409" s="241"/>
      <c r="H409" s="241"/>
      <c r="I409" s="241"/>
      <c r="J409" s="241"/>
      <c r="K409" s="289"/>
      <c r="L409" s="289"/>
      <c r="M409" s="241"/>
      <c r="N409" s="241"/>
      <c r="O409" s="241"/>
      <c r="P409" s="241"/>
      <c r="Q409" s="241"/>
      <c r="R409" s="241"/>
      <c r="S409" s="241"/>
      <c r="T409" s="241"/>
      <c r="U409" s="241"/>
      <c r="V409" s="241"/>
      <c r="W409" s="241"/>
      <c r="X409" s="241"/>
      <c r="Y409" s="241"/>
      <c r="Z409" s="241"/>
      <c r="AA409" s="241"/>
      <c r="AB409" s="290">
        <f t="shared" si="48"/>
        <v>270</v>
      </c>
      <c r="AC409" s="290" t="e">
        <f t="shared" si="49"/>
        <v>#N/A</v>
      </c>
      <c r="AD409" s="290">
        <f t="shared" si="50"/>
        <v>27</v>
      </c>
      <c r="AE409" s="290">
        <f t="shared" si="51"/>
        <v>243</v>
      </c>
    </row>
    <row r="410" spans="1:31" x14ac:dyDescent="0.25">
      <c r="A410" s="280"/>
      <c r="B410" s="331">
        <f>Crop!B446</f>
        <v>42037</v>
      </c>
      <c r="C410" s="332">
        <f t="shared" si="52"/>
        <v>270</v>
      </c>
      <c r="D410" s="332" t="str">
        <f t="shared" si="53"/>
        <v/>
      </c>
      <c r="E410" s="332">
        <f t="shared" si="54"/>
        <v>27</v>
      </c>
      <c r="F410" s="332">
        <f t="shared" si="55"/>
        <v>243</v>
      </c>
      <c r="G410" s="241"/>
      <c r="H410" s="241"/>
      <c r="I410" s="241"/>
      <c r="J410" s="241"/>
      <c r="K410" s="289"/>
      <c r="L410" s="289"/>
      <c r="M410" s="241"/>
      <c r="N410" s="241"/>
      <c r="O410" s="241"/>
      <c r="P410" s="241"/>
      <c r="Q410" s="241"/>
      <c r="R410" s="241"/>
      <c r="S410" s="241"/>
      <c r="T410" s="241"/>
      <c r="U410" s="241"/>
      <c r="V410" s="241"/>
      <c r="W410" s="241"/>
      <c r="X410" s="241"/>
      <c r="Y410" s="241"/>
      <c r="Z410" s="241"/>
      <c r="AA410" s="241"/>
      <c r="AB410" s="290">
        <f t="shared" si="48"/>
        <v>270</v>
      </c>
      <c r="AC410" s="290" t="e">
        <f t="shared" si="49"/>
        <v>#N/A</v>
      </c>
      <c r="AD410" s="290">
        <f t="shared" si="50"/>
        <v>27</v>
      </c>
      <c r="AE410" s="290">
        <f t="shared" si="51"/>
        <v>243</v>
      </c>
    </row>
    <row r="411" spans="1:31" x14ac:dyDescent="0.25">
      <c r="A411" s="280"/>
      <c r="B411" s="331">
        <f>Crop!B447</f>
        <v>42038</v>
      </c>
      <c r="C411" s="332">
        <f t="shared" si="52"/>
        <v>270</v>
      </c>
      <c r="D411" s="332" t="str">
        <f t="shared" si="53"/>
        <v/>
      </c>
      <c r="E411" s="332">
        <f t="shared" si="54"/>
        <v>27</v>
      </c>
      <c r="F411" s="332">
        <f t="shared" si="55"/>
        <v>243</v>
      </c>
      <c r="G411" s="241"/>
      <c r="H411" s="241"/>
      <c r="I411" s="241"/>
      <c r="J411" s="241"/>
      <c r="K411" s="289"/>
      <c r="L411" s="289"/>
      <c r="M411" s="241"/>
      <c r="N411" s="241"/>
      <c r="O411" s="241"/>
      <c r="P411" s="241"/>
      <c r="Q411" s="241"/>
      <c r="R411" s="241"/>
      <c r="S411" s="241"/>
      <c r="T411" s="241"/>
      <c r="U411" s="241"/>
      <c r="V411" s="241"/>
      <c r="W411" s="241"/>
      <c r="X411" s="241"/>
      <c r="Y411" s="241"/>
      <c r="Z411" s="241"/>
      <c r="AA411" s="241"/>
      <c r="AB411" s="290">
        <f t="shared" si="48"/>
        <v>270</v>
      </c>
      <c r="AC411" s="290" t="e">
        <f t="shared" si="49"/>
        <v>#N/A</v>
      </c>
      <c r="AD411" s="290">
        <f t="shared" si="50"/>
        <v>27</v>
      </c>
      <c r="AE411" s="290">
        <f t="shared" si="51"/>
        <v>243</v>
      </c>
    </row>
    <row r="412" spans="1:31" x14ac:dyDescent="0.25">
      <c r="A412" s="280"/>
      <c r="B412" s="331">
        <f>Crop!B448</f>
        <v>42039</v>
      </c>
      <c r="C412" s="332">
        <f t="shared" si="52"/>
        <v>270</v>
      </c>
      <c r="D412" s="332" t="str">
        <f t="shared" si="53"/>
        <v/>
      </c>
      <c r="E412" s="332">
        <f t="shared" si="54"/>
        <v>27</v>
      </c>
      <c r="F412" s="332">
        <f t="shared" si="55"/>
        <v>243</v>
      </c>
      <c r="G412" s="241"/>
      <c r="H412" s="241"/>
      <c r="I412" s="241"/>
      <c r="J412" s="241"/>
      <c r="K412" s="289"/>
      <c r="L412" s="289"/>
      <c r="M412" s="241"/>
      <c r="N412" s="241"/>
      <c r="O412" s="241"/>
      <c r="P412" s="241"/>
      <c r="Q412" s="241"/>
      <c r="R412" s="241"/>
      <c r="S412" s="241"/>
      <c r="T412" s="241"/>
      <c r="U412" s="241"/>
      <c r="V412" s="241"/>
      <c r="W412" s="241"/>
      <c r="X412" s="241"/>
      <c r="Y412" s="241"/>
      <c r="Z412" s="241"/>
      <c r="AA412" s="241"/>
      <c r="AB412" s="290">
        <f t="shared" si="48"/>
        <v>270</v>
      </c>
      <c r="AC412" s="290" t="e">
        <f t="shared" si="49"/>
        <v>#N/A</v>
      </c>
      <c r="AD412" s="290">
        <f t="shared" si="50"/>
        <v>27</v>
      </c>
      <c r="AE412" s="290">
        <f t="shared" si="51"/>
        <v>243</v>
      </c>
    </row>
    <row r="413" spans="1:31" x14ac:dyDescent="0.25">
      <c r="A413" s="280"/>
      <c r="B413" s="331">
        <f>Crop!B449</f>
        <v>42040</v>
      </c>
      <c r="C413" s="332">
        <f t="shared" si="52"/>
        <v>270</v>
      </c>
      <c r="D413" s="332" t="str">
        <f t="shared" si="53"/>
        <v/>
      </c>
      <c r="E413" s="332">
        <f t="shared" si="54"/>
        <v>27</v>
      </c>
      <c r="F413" s="332">
        <f t="shared" si="55"/>
        <v>243</v>
      </c>
      <c r="G413" s="241"/>
      <c r="H413" s="241"/>
      <c r="I413" s="241"/>
      <c r="J413" s="241"/>
      <c r="K413" s="289"/>
      <c r="L413" s="289"/>
      <c r="M413" s="241"/>
      <c r="N413" s="241"/>
      <c r="O413" s="241"/>
      <c r="P413" s="241"/>
      <c r="Q413" s="241"/>
      <c r="R413" s="241"/>
      <c r="S413" s="241"/>
      <c r="T413" s="241"/>
      <c r="U413" s="241"/>
      <c r="V413" s="241"/>
      <c r="W413" s="241"/>
      <c r="X413" s="241"/>
      <c r="Y413" s="241"/>
      <c r="Z413" s="241"/>
      <c r="AA413" s="241"/>
      <c r="AB413" s="290">
        <f t="shared" si="48"/>
        <v>270</v>
      </c>
      <c r="AC413" s="290" t="e">
        <f t="shared" si="49"/>
        <v>#N/A</v>
      </c>
      <c r="AD413" s="290">
        <f t="shared" si="50"/>
        <v>27</v>
      </c>
      <c r="AE413" s="290">
        <f t="shared" si="51"/>
        <v>243</v>
      </c>
    </row>
    <row r="414" spans="1:31" x14ac:dyDescent="0.25">
      <c r="A414" s="280"/>
      <c r="B414" s="331">
        <f>Crop!B450</f>
        <v>42041</v>
      </c>
      <c r="C414" s="332">
        <f t="shared" si="52"/>
        <v>270</v>
      </c>
      <c r="D414" s="332" t="str">
        <f t="shared" si="53"/>
        <v/>
      </c>
      <c r="E414" s="332">
        <f t="shared" si="54"/>
        <v>27</v>
      </c>
      <c r="F414" s="332">
        <f t="shared" si="55"/>
        <v>243</v>
      </c>
      <c r="G414" s="241"/>
      <c r="H414" s="241"/>
      <c r="I414" s="241"/>
      <c r="J414" s="241"/>
      <c r="K414" s="289"/>
      <c r="L414" s="289"/>
      <c r="M414" s="241"/>
      <c r="N414" s="241"/>
      <c r="O414" s="241"/>
      <c r="P414" s="241"/>
      <c r="Q414" s="241"/>
      <c r="R414" s="241"/>
      <c r="S414" s="241"/>
      <c r="T414" s="241"/>
      <c r="U414" s="241"/>
      <c r="V414" s="241"/>
      <c r="W414" s="241"/>
      <c r="X414" s="241"/>
      <c r="Y414" s="241"/>
      <c r="Z414" s="241"/>
      <c r="AA414" s="241"/>
      <c r="AB414" s="290">
        <f t="shared" si="48"/>
        <v>270</v>
      </c>
      <c r="AC414" s="290" t="e">
        <f t="shared" si="49"/>
        <v>#N/A</v>
      </c>
      <c r="AD414" s="290">
        <f t="shared" si="50"/>
        <v>27</v>
      </c>
      <c r="AE414" s="290">
        <f t="shared" si="51"/>
        <v>243</v>
      </c>
    </row>
    <row r="415" spans="1:31" x14ac:dyDescent="0.25">
      <c r="A415" s="280"/>
      <c r="B415" s="331">
        <f>Crop!B451</f>
        <v>42042</v>
      </c>
      <c r="C415" s="332">
        <f t="shared" si="52"/>
        <v>270</v>
      </c>
      <c r="D415" s="332" t="str">
        <f t="shared" si="53"/>
        <v/>
      </c>
      <c r="E415" s="332">
        <f t="shared" si="54"/>
        <v>27</v>
      </c>
      <c r="F415" s="332">
        <f t="shared" si="55"/>
        <v>243</v>
      </c>
      <c r="G415" s="241"/>
      <c r="H415" s="241"/>
      <c r="I415" s="241"/>
      <c r="J415" s="241"/>
      <c r="K415" s="289"/>
      <c r="L415" s="289"/>
      <c r="M415" s="241"/>
      <c r="N415" s="241"/>
      <c r="O415" s="241"/>
      <c r="P415" s="241"/>
      <c r="Q415" s="241"/>
      <c r="R415" s="241"/>
      <c r="S415" s="241"/>
      <c r="T415" s="241"/>
      <c r="U415" s="241"/>
      <c r="V415" s="241"/>
      <c r="W415" s="241"/>
      <c r="X415" s="241"/>
      <c r="Y415" s="241"/>
      <c r="Z415" s="241"/>
      <c r="AA415" s="241"/>
      <c r="AB415" s="290">
        <f t="shared" si="48"/>
        <v>270</v>
      </c>
      <c r="AC415" s="290" t="e">
        <f t="shared" si="49"/>
        <v>#N/A</v>
      </c>
      <c r="AD415" s="290">
        <f t="shared" si="50"/>
        <v>27</v>
      </c>
      <c r="AE415" s="290">
        <f t="shared" si="51"/>
        <v>243</v>
      </c>
    </row>
    <row r="416" spans="1:31" x14ac:dyDescent="0.25">
      <c r="A416" s="280"/>
      <c r="B416" s="331">
        <f>Crop!B452</f>
        <v>42043</v>
      </c>
      <c r="C416" s="332">
        <f t="shared" si="52"/>
        <v>270</v>
      </c>
      <c r="D416" s="332" t="str">
        <f t="shared" si="53"/>
        <v/>
      </c>
      <c r="E416" s="332">
        <f t="shared" si="54"/>
        <v>27</v>
      </c>
      <c r="F416" s="332">
        <f t="shared" si="55"/>
        <v>243</v>
      </c>
      <c r="G416" s="241"/>
      <c r="H416" s="241"/>
      <c r="I416" s="241"/>
      <c r="J416" s="241"/>
      <c r="K416" s="289"/>
      <c r="L416" s="289"/>
      <c r="M416" s="241"/>
      <c r="N416" s="241"/>
      <c r="O416" s="241"/>
      <c r="P416" s="241"/>
      <c r="Q416" s="241"/>
      <c r="R416" s="241"/>
      <c r="S416" s="241"/>
      <c r="T416" s="241"/>
      <c r="U416" s="241"/>
      <c r="V416" s="241"/>
      <c r="W416" s="241"/>
      <c r="X416" s="241"/>
      <c r="Y416" s="241"/>
      <c r="Z416" s="241"/>
      <c r="AA416" s="241"/>
      <c r="AB416" s="290">
        <f t="shared" si="48"/>
        <v>270</v>
      </c>
      <c r="AC416" s="290" t="e">
        <f t="shared" si="49"/>
        <v>#N/A</v>
      </c>
      <c r="AD416" s="290">
        <f t="shared" si="50"/>
        <v>27</v>
      </c>
      <c r="AE416" s="290">
        <f t="shared" si="51"/>
        <v>243</v>
      </c>
    </row>
    <row r="417" spans="1:31" x14ac:dyDescent="0.25">
      <c r="A417" s="280"/>
      <c r="B417" s="331">
        <f>Crop!B453</f>
        <v>42044</v>
      </c>
      <c r="C417" s="332">
        <f t="shared" si="52"/>
        <v>270</v>
      </c>
      <c r="D417" s="332" t="str">
        <f t="shared" si="53"/>
        <v/>
      </c>
      <c r="E417" s="332">
        <f t="shared" si="54"/>
        <v>27</v>
      </c>
      <c r="F417" s="332">
        <f t="shared" si="55"/>
        <v>243</v>
      </c>
      <c r="G417" s="241"/>
      <c r="H417" s="241"/>
      <c r="I417" s="241"/>
      <c r="J417" s="241"/>
      <c r="K417" s="289"/>
      <c r="L417" s="289"/>
      <c r="M417" s="241"/>
      <c r="N417" s="241"/>
      <c r="O417" s="241"/>
      <c r="P417" s="241"/>
      <c r="Q417" s="241"/>
      <c r="R417" s="241"/>
      <c r="S417" s="241"/>
      <c r="T417" s="241"/>
      <c r="U417" s="241"/>
      <c r="V417" s="241"/>
      <c r="W417" s="241"/>
      <c r="X417" s="241"/>
      <c r="Y417" s="241"/>
      <c r="Z417" s="241"/>
      <c r="AA417" s="241"/>
      <c r="AB417" s="290">
        <f t="shared" si="48"/>
        <v>270</v>
      </c>
      <c r="AC417" s="290" t="e">
        <f t="shared" si="49"/>
        <v>#N/A</v>
      </c>
      <c r="AD417" s="290">
        <f t="shared" si="50"/>
        <v>27</v>
      </c>
      <c r="AE417" s="290">
        <f t="shared" si="51"/>
        <v>243</v>
      </c>
    </row>
    <row r="418" spans="1:31" x14ac:dyDescent="0.25">
      <c r="A418" s="280"/>
      <c r="B418" s="331">
        <f>Crop!B454</f>
        <v>42045</v>
      </c>
      <c r="C418" s="332">
        <f t="shared" si="52"/>
        <v>270</v>
      </c>
      <c r="D418" s="332" t="str">
        <f t="shared" si="53"/>
        <v/>
      </c>
      <c r="E418" s="332">
        <f t="shared" si="54"/>
        <v>27</v>
      </c>
      <c r="F418" s="332">
        <f t="shared" si="55"/>
        <v>243</v>
      </c>
      <c r="G418" s="241"/>
      <c r="H418" s="241"/>
      <c r="I418" s="241"/>
      <c r="J418" s="241"/>
      <c r="K418" s="289"/>
      <c r="L418" s="289"/>
      <c r="M418" s="241"/>
      <c r="N418" s="241"/>
      <c r="O418" s="241"/>
      <c r="P418" s="241"/>
      <c r="Q418" s="241"/>
      <c r="R418" s="241"/>
      <c r="S418" s="241"/>
      <c r="T418" s="241"/>
      <c r="U418" s="241"/>
      <c r="V418" s="241"/>
      <c r="W418" s="241"/>
      <c r="X418" s="241"/>
      <c r="Y418" s="241"/>
      <c r="Z418" s="241"/>
      <c r="AA418" s="241"/>
      <c r="AB418" s="290">
        <f t="shared" si="48"/>
        <v>270</v>
      </c>
      <c r="AC418" s="290" t="e">
        <f t="shared" si="49"/>
        <v>#N/A</v>
      </c>
      <c r="AD418" s="290">
        <f t="shared" si="50"/>
        <v>27</v>
      </c>
      <c r="AE418" s="290">
        <f t="shared" si="51"/>
        <v>243</v>
      </c>
    </row>
    <row r="419" spans="1:31" x14ac:dyDescent="0.25">
      <c r="A419" s="280"/>
      <c r="B419" s="331">
        <f>Crop!B455</f>
        <v>42046</v>
      </c>
      <c r="C419" s="332">
        <f t="shared" si="52"/>
        <v>270</v>
      </c>
      <c r="D419" s="332" t="str">
        <f t="shared" si="53"/>
        <v/>
      </c>
      <c r="E419" s="332">
        <f t="shared" si="54"/>
        <v>27</v>
      </c>
      <c r="F419" s="332">
        <f t="shared" si="55"/>
        <v>243</v>
      </c>
      <c r="G419" s="241"/>
      <c r="H419" s="241"/>
      <c r="I419" s="241"/>
      <c r="J419" s="241"/>
      <c r="K419" s="289"/>
      <c r="L419" s="289"/>
      <c r="M419" s="241"/>
      <c r="N419" s="241"/>
      <c r="O419" s="241"/>
      <c r="P419" s="241"/>
      <c r="Q419" s="241"/>
      <c r="R419" s="241"/>
      <c r="S419" s="241"/>
      <c r="T419" s="241"/>
      <c r="U419" s="241"/>
      <c r="V419" s="241"/>
      <c r="W419" s="241"/>
      <c r="X419" s="241"/>
      <c r="Y419" s="241"/>
      <c r="Z419" s="241"/>
      <c r="AA419" s="241"/>
      <c r="AB419" s="290">
        <f t="shared" si="48"/>
        <v>270</v>
      </c>
      <c r="AC419" s="290" t="e">
        <f t="shared" si="49"/>
        <v>#N/A</v>
      </c>
      <c r="AD419" s="290">
        <f t="shared" si="50"/>
        <v>27</v>
      </c>
      <c r="AE419" s="290">
        <f t="shared" si="51"/>
        <v>243</v>
      </c>
    </row>
    <row r="420" spans="1:31" x14ac:dyDescent="0.25">
      <c r="A420" s="280"/>
      <c r="B420" s="331">
        <f>Crop!B456</f>
        <v>42047</v>
      </c>
      <c r="C420" s="332">
        <f t="shared" si="52"/>
        <v>270</v>
      </c>
      <c r="D420" s="332" t="str">
        <f t="shared" si="53"/>
        <v/>
      </c>
      <c r="E420" s="332">
        <f t="shared" si="54"/>
        <v>27</v>
      </c>
      <c r="F420" s="332">
        <f t="shared" si="55"/>
        <v>243</v>
      </c>
      <c r="G420" s="241"/>
      <c r="H420" s="241"/>
      <c r="I420" s="241"/>
      <c r="J420" s="241"/>
      <c r="K420" s="289"/>
      <c r="L420" s="289"/>
      <c r="M420" s="241"/>
      <c r="N420" s="241"/>
      <c r="O420" s="241"/>
      <c r="P420" s="241"/>
      <c r="Q420" s="241"/>
      <c r="R420" s="241"/>
      <c r="S420" s="241"/>
      <c r="T420" s="241"/>
      <c r="U420" s="241"/>
      <c r="V420" s="241"/>
      <c r="W420" s="241"/>
      <c r="X420" s="241"/>
      <c r="Y420" s="241"/>
      <c r="Z420" s="241"/>
      <c r="AA420" s="241"/>
      <c r="AB420" s="290">
        <f t="shared" si="48"/>
        <v>270</v>
      </c>
      <c r="AC420" s="290" t="e">
        <f t="shared" si="49"/>
        <v>#N/A</v>
      </c>
      <c r="AD420" s="290">
        <f t="shared" si="50"/>
        <v>27</v>
      </c>
      <c r="AE420" s="290">
        <f t="shared" si="51"/>
        <v>243</v>
      </c>
    </row>
    <row r="421" spans="1:31" x14ac:dyDescent="0.25">
      <c r="A421" s="280"/>
      <c r="B421" s="331">
        <f>Crop!B457</f>
        <v>42048</v>
      </c>
      <c r="C421" s="332">
        <f t="shared" si="52"/>
        <v>270</v>
      </c>
      <c r="D421" s="332" t="str">
        <f t="shared" si="53"/>
        <v/>
      </c>
      <c r="E421" s="332">
        <f t="shared" si="54"/>
        <v>27</v>
      </c>
      <c r="F421" s="332">
        <f t="shared" si="55"/>
        <v>243</v>
      </c>
      <c r="G421" s="241"/>
      <c r="H421" s="241"/>
      <c r="I421" s="241"/>
      <c r="J421" s="241"/>
      <c r="K421" s="289"/>
      <c r="L421" s="289"/>
      <c r="M421" s="241"/>
      <c r="N421" s="241"/>
      <c r="O421" s="241"/>
      <c r="P421" s="241"/>
      <c r="Q421" s="241"/>
      <c r="R421" s="241"/>
      <c r="S421" s="241"/>
      <c r="T421" s="241"/>
      <c r="U421" s="241"/>
      <c r="V421" s="241"/>
      <c r="W421" s="241"/>
      <c r="X421" s="241"/>
      <c r="Y421" s="241"/>
      <c r="Z421" s="241"/>
      <c r="AA421" s="241"/>
      <c r="AB421" s="290">
        <f t="shared" si="48"/>
        <v>270</v>
      </c>
      <c r="AC421" s="290" t="e">
        <f t="shared" si="49"/>
        <v>#N/A</v>
      </c>
      <c r="AD421" s="290">
        <f t="shared" si="50"/>
        <v>27</v>
      </c>
      <c r="AE421" s="290">
        <f t="shared" si="51"/>
        <v>243</v>
      </c>
    </row>
    <row r="422" spans="1:31" x14ac:dyDescent="0.25">
      <c r="A422" s="280"/>
      <c r="B422" s="331">
        <f>Crop!B458</f>
        <v>42049</v>
      </c>
      <c r="C422" s="332">
        <f t="shared" si="52"/>
        <v>270</v>
      </c>
      <c r="D422" s="332" t="str">
        <f t="shared" si="53"/>
        <v/>
      </c>
      <c r="E422" s="332">
        <f t="shared" si="54"/>
        <v>27</v>
      </c>
      <c r="F422" s="332">
        <f t="shared" si="55"/>
        <v>243</v>
      </c>
      <c r="G422" s="241"/>
      <c r="H422" s="241"/>
      <c r="I422" s="241"/>
      <c r="J422" s="241"/>
      <c r="K422" s="289"/>
      <c r="L422" s="289"/>
      <c r="M422" s="241"/>
      <c r="N422" s="241"/>
      <c r="O422" s="241"/>
      <c r="P422" s="241"/>
      <c r="Q422" s="241"/>
      <c r="R422" s="241"/>
      <c r="S422" s="241"/>
      <c r="T422" s="241"/>
      <c r="U422" s="241"/>
      <c r="V422" s="241"/>
      <c r="W422" s="241"/>
      <c r="X422" s="241"/>
      <c r="Y422" s="241"/>
      <c r="Z422" s="241"/>
      <c r="AA422" s="241"/>
      <c r="AB422" s="290">
        <f t="shared" si="48"/>
        <v>270</v>
      </c>
      <c r="AC422" s="290" t="e">
        <f t="shared" si="49"/>
        <v>#N/A</v>
      </c>
      <c r="AD422" s="290">
        <f t="shared" si="50"/>
        <v>27</v>
      </c>
      <c r="AE422" s="290">
        <f t="shared" si="51"/>
        <v>243</v>
      </c>
    </row>
    <row r="423" spans="1:31" x14ac:dyDescent="0.25">
      <c r="A423" s="280"/>
      <c r="B423" s="331">
        <f>Crop!B459</f>
        <v>42050</v>
      </c>
      <c r="C423" s="332">
        <f t="shared" si="52"/>
        <v>270</v>
      </c>
      <c r="D423" s="332" t="str">
        <f t="shared" si="53"/>
        <v/>
      </c>
      <c r="E423" s="332">
        <f t="shared" si="54"/>
        <v>27</v>
      </c>
      <c r="F423" s="332">
        <f t="shared" si="55"/>
        <v>243</v>
      </c>
      <c r="G423" s="241"/>
      <c r="H423" s="241"/>
      <c r="I423" s="241"/>
      <c r="J423" s="241"/>
      <c r="K423" s="289"/>
      <c r="L423" s="289"/>
      <c r="M423" s="241"/>
      <c r="N423" s="241"/>
      <c r="O423" s="241"/>
      <c r="P423" s="241"/>
      <c r="Q423" s="241"/>
      <c r="R423" s="241"/>
      <c r="S423" s="241"/>
      <c r="T423" s="241"/>
      <c r="U423" s="241"/>
      <c r="V423" s="241"/>
      <c r="W423" s="241"/>
      <c r="X423" s="241"/>
      <c r="Y423" s="241"/>
      <c r="Z423" s="241"/>
      <c r="AA423" s="241"/>
      <c r="AB423" s="290">
        <f t="shared" si="48"/>
        <v>270</v>
      </c>
      <c r="AC423" s="290" t="e">
        <f t="shared" si="49"/>
        <v>#N/A</v>
      </c>
      <c r="AD423" s="290">
        <f t="shared" si="50"/>
        <v>27</v>
      </c>
      <c r="AE423" s="290">
        <f t="shared" si="51"/>
        <v>243</v>
      </c>
    </row>
    <row r="424" spans="1:31" x14ac:dyDescent="0.25">
      <c r="A424" s="280"/>
      <c r="B424" s="331">
        <f>Crop!B460</f>
        <v>42051</v>
      </c>
      <c r="C424" s="332">
        <f t="shared" si="52"/>
        <v>270</v>
      </c>
      <c r="D424" s="332" t="str">
        <f t="shared" si="53"/>
        <v/>
      </c>
      <c r="E424" s="332">
        <f t="shared" si="54"/>
        <v>27</v>
      </c>
      <c r="F424" s="332">
        <f t="shared" si="55"/>
        <v>243</v>
      </c>
      <c r="G424" s="241"/>
      <c r="H424" s="241"/>
      <c r="I424" s="241"/>
      <c r="J424" s="241"/>
      <c r="K424" s="289"/>
      <c r="L424" s="289"/>
      <c r="M424" s="241"/>
      <c r="N424" s="241"/>
      <c r="O424" s="241"/>
      <c r="P424" s="241"/>
      <c r="Q424" s="241"/>
      <c r="R424" s="241"/>
      <c r="S424" s="241"/>
      <c r="T424" s="241"/>
      <c r="U424" s="241"/>
      <c r="V424" s="241"/>
      <c r="W424" s="241"/>
      <c r="X424" s="241"/>
      <c r="Y424" s="241"/>
      <c r="Z424" s="241"/>
      <c r="AA424" s="241"/>
      <c r="AB424" s="290">
        <f t="shared" si="48"/>
        <v>270</v>
      </c>
      <c r="AC424" s="290" t="e">
        <f t="shared" si="49"/>
        <v>#N/A</v>
      </c>
      <c r="AD424" s="290">
        <f t="shared" si="50"/>
        <v>27</v>
      </c>
      <c r="AE424" s="290">
        <f t="shared" si="51"/>
        <v>243</v>
      </c>
    </row>
    <row r="425" spans="1:31" x14ac:dyDescent="0.25">
      <c r="A425" s="280"/>
      <c r="B425" s="331">
        <f>Crop!B461</f>
        <v>42052</v>
      </c>
      <c r="C425" s="332">
        <f t="shared" si="52"/>
        <v>270</v>
      </c>
      <c r="D425" s="332" t="str">
        <f t="shared" si="53"/>
        <v/>
      </c>
      <c r="E425" s="332">
        <f t="shared" si="54"/>
        <v>27</v>
      </c>
      <c r="F425" s="332">
        <f t="shared" si="55"/>
        <v>243</v>
      </c>
      <c r="G425" s="241"/>
      <c r="H425" s="241"/>
      <c r="I425" s="241"/>
      <c r="J425" s="241"/>
      <c r="K425" s="289"/>
      <c r="L425" s="289"/>
      <c r="M425" s="241"/>
      <c r="N425" s="241"/>
      <c r="O425" s="241"/>
      <c r="P425" s="241"/>
      <c r="Q425" s="241"/>
      <c r="R425" s="241"/>
      <c r="S425" s="241"/>
      <c r="T425" s="241"/>
      <c r="U425" s="241"/>
      <c r="V425" s="241"/>
      <c r="W425" s="241"/>
      <c r="X425" s="241"/>
      <c r="Y425" s="241"/>
      <c r="Z425" s="241"/>
      <c r="AA425" s="241"/>
      <c r="AB425" s="290">
        <f t="shared" si="48"/>
        <v>270</v>
      </c>
      <c r="AC425" s="290" t="e">
        <f t="shared" si="49"/>
        <v>#N/A</v>
      </c>
      <c r="AD425" s="290">
        <f t="shared" si="50"/>
        <v>27</v>
      </c>
      <c r="AE425" s="290">
        <f t="shared" si="51"/>
        <v>243</v>
      </c>
    </row>
    <row r="426" spans="1:31" x14ac:dyDescent="0.25">
      <c r="A426" s="280"/>
      <c r="B426" s="331">
        <f>Crop!B462</f>
        <v>42053</v>
      </c>
      <c r="C426" s="332">
        <f t="shared" si="52"/>
        <v>270</v>
      </c>
      <c r="D426" s="332" t="str">
        <f t="shared" si="53"/>
        <v/>
      </c>
      <c r="E426" s="332">
        <f t="shared" si="54"/>
        <v>27</v>
      </c>
      <c r="F426" s="332">
        <f t="shared" si="55"/>
        <v>243</v>
      </c>
      <c r="G426" s="241"/>
      <c r="H426" s="241"/>
      <c r="I426" s="241"/>
      <c r="J426" s="241"/>
      <c r="K426" s="289"/>
      <c r="L426" s="289"/>
      <c r="M426" s="241"/>
      <c r="N426" s="241"/>
      <c r="O426" s="241"/>
      <c r="P426" s="241"/>
      <c r="Q426" s="241"/>
      <c r="R426" s="241"/>
      <c r="S426" s="241"/>
      <c r="T426" s="241"/>
      <c r="U426" s="241"/>
      <c r="V426" s="241"/>
      <c r="W426" s="241"/>
      <c r="X426" s="241"/>
      <c r="Y426" s="241"/>
      <c r="Z426" s="241"/>
      <c r="AA426" s="241"/>
      <c r="AB426" s="290">
        <f t="shared" si="48"/>
        <v>270</v>
      </c>
      <c r="AC426" s="290" t="e">
        <f t="shared" si="49"/>
        <v>#N/A</v>
      </c>
      <c r="AD426" s="290">
        <f t="shared" si="50"/>
        <v>27</v>
      </c>
      <c r="AE426" s="290">
        <f t="shared" si="51"/>
        <v>243</v>
      </c>
    </row>
    <row r="427" spans="1:31" x14ac:dyDescent="0.25">
      <c r="A427" s="280"/>
      <c r="B427" s="331">
        <f>Crop!B463</f>
        <v>42054</v>
      </c>
      <c r="C427" s="332">
        <f t="shared" si="52"/>
        <v>270</v>
      </c>
      <c r="D427" s="332" t="str">
        <f t="shared" si="53"/>
        <v/>
      </c>
      <c r="E427" s="332">
        <f t="shared" si="54"/>
        <v>27</v>
      </c>
      <c r="F427" s="332">
        <f t="shared" si="55"/>
        <v>243</v>
      </c>
      <c r="G427" s="241"/>
      <c r="H427" s="241"/>
      <c r="I427" s="241"/>
      <c r="J427" s="241"/>
      <c r="K427" s="289"/>
      <c r="L427" s="289"/>
      <c r="M427" s="241"/>
      <c r="N427" s="241"/>
      <c r="O427" s="241"/>
      <c r="P427" s="241"/>
      <c r="Q427" s="241"/>
      <c r="R427" s="241"/>
      <c r="S427" s="241"/>
      <c r="T427" s="241"/>
      <c r="U427" s="241"/>
      <c r="V427" s="241"/>
      <c r="W427" s="241"/>
      <c r="X427" s="241"/>
      <c r="Y427" s="241"/>
      <c r="Z427" s="241"/>
      <c r="AA427" s="241"/>
      <c r="AB427" s="290">
        <f t="shared" si="48"/>
        <v>270</v>
      </c>
      <c r="AC427" s="290" t="e">
        <f t="shared" si="49"/>
        <v>#N/A</v>
      </c>
      <c r="AD427" s="290">
        <f t="shared" si="50"/>
        <v>27</v>
      </c>
      <c r="AE427" s="290">
        <f t="shared" si="51"/>
        <v>243</v>
      </c>
    </row>
    <row r="428" spans="1:31" x14ac:dyDescent="0.25">
      <c r="A428" s="280"/>
      <c r="B428" s="331">
        <f>Crop!B464</f>
        <v>42055</v>
      </c>
      <c r="C428" s="332">
        <f t="shared" si="52"/>
        <v>270</v>
      </c>
      <c r="D428" s="332" t="str">
        <f t="shared" si="53"/>
        <v/>
      </c>
      <c r="E428" s="332">
        <f t="shared" si="54"/>
        <v>27</v>
      </c>
      <c r="F428" s="332">
        <f t="shared" si="55"/>
        <v>243</v>
      </c>
      <c r="G428" s="241"/>
      <c r="H428" s="241"/>
      <c r="I428" s="241"/>
      <c r="J428" s="241"/>
      <c r="K428" s="289"/>
      <c r="L428" s="289"/>
      <c r="M428" s="241"/>
      <c r="N428" s="241"/>
      <c r="O428" s="241"/>
      <c r="P428" s="241"/>
      <c r="Q428" s="241"/>
      <c r="R428" s="241"/>
      <c r="S428" s="241"/>
      <c r="T428" s="241"/>
      <c r="U428" s="241"/>
      <c r="V428" s="241"/>
      <c r="W428" s="241"/>
      <c r="X428" s="241"/>
      <c r="Y428" s="241"/>
      <c r="Z428" s="241"/>
      <c r="AA428" s="241"/>
      <c r="AB428" s="290">
        <f t="shared" si="48"/>
        <v>270</v>
      </c>
      <c r="AC428" s="290" t="e">
        <f t="shared" si="49"/>
        <v>#N/A</v>
      </c>
      <c r="AD428" s="290">
        <f t="shared" si="50"/>
        <v>27</v>
      </c>
      <c r="AE428" s="290">
        <f t="shared" si="51"/>
        <v>243</v>
      </c>
    </row>
    <row r="429" spans="1:31" x14ac:dyDescent="0.25">
      <c r="A429" s="280"/>
      <c r="B429" s="331">
        <f>Crop!B465</f>
        <v>42056</v>
      </c>
      <c r="C429" s="332">
        <f t="shared" si="52"/>
        <v>270</v>
      </c>
      <c r="D429" s="332" t="str">
        <f t="shared" si="53"/>
        <v/>
      </c>
      <c r="E429" s="332">
        <f t="shared" si="54"/>
        <v>27</v>
      </c>
      <c r="F429" s="332">
        <f t="shared" si="55"/>
        <v>243</v>
      </c>
      <c r="G429" s="241"/>
      <c r="H429" s="241"/>
      <c r="I429" s="241"/>
      <c r="J429" s="241"/>
      <c r="K429" s="289"/>
      <c r="L429" s="289"/>
      <c r="M429" s="241"/>
      <c r="N429" s="241"/>
      <c r="O429" s="241"/>
      <c r="P429" s="241"/>
      <c r="Q429" s="241"/>
      <c r="R429" s="241"/>
      <c r="S429" s="241"/>
      <c r="T429" s="241"/>
      <c r="U429" s="241"/>
      <c r="V429" s="241"/>
      <c r="W429" s="241"/>
      <c r="X429" s="241"/>
      <c r="Y429" s="241"/>
      <c r="Z429" s="241"/>
      <c r="AA429" s="241"/>
      <c r="AB429" s="290">
        <f t="shared" si="48"/>
        <v>270</v>
      </c>
      <c r="AC429" s="290" t="e">
        <f t="shared" si="49"/>
        <v>#N/A</v>
      </c>
      <c r="AD429" s="290">
        <f t="shared" si="50"/>
        <v>27</v>
      </c>
      <c r="AE429" s="290">
        <f t="shared" si="51"/>
        <v>243</v>
      </c>
    </row>
    <row r="430" spans="1:31" x14ac:dyDescent="0.25">
      <c r="A430" s="280"/>
      <c r="B430" s="331">
        <f>Crop!B466</f>
        <v>42057</v>
      </c>
      <c r="C430" s="332">
        <f t="shared" si="52"/>
        <v>270</v>
      </c>
      <c r="D430" s="332" t="str">
        <f t="shared" si="53"/>
        <v/>
      </c>
      <c r="E430" s="332">
        <f t="shared" si="54"/>
        <v>27</v>
      </c>
      <c r="F430" s="332">
        <f t="shared" si="55"/>
        <v>243</v>
      </c>
      <c r="G430" s="241"/>
      <c r="H430" s="241"/>
      <c r="I430" s="241"/>
      <c r="J430" s="241"/>
      <c r="K430" s="289"/>
      <c r="L430" s="289"/>
      <c r="M430" s="241"/>
      <c r="N430" s="241"/>
      <c r="O430" s="241"/>
      <c r="P430" s="241"/>
      <c r="Q430" s="241"/>
      <c r="R430" s="241"/>
      <c r="S430" s="241"/>
      <c r="T430" s="241"/>
      <c r="U430" s="241"/>
      <c r="V430" s="241"/>
      <c r="W430" s="241"/>
      <c r="X430" s="241"/>
      <c r="Y430" s="241"/>
      <c r="Z430" s="241"/>
      <c r="AA430" s="241"/>
      <c r="AB430" s="290">
        <f t="shared" si="48"/>
        <v>270</v>
      </c>
      <c r="AC430" s="290" t="e">
        <f t="shared" si="49"/>
        <v>#N/A</v>
      </c>
      <c r="AD430" s="290">
        <f t="shared" si="50"/>
        <v>27</v>
      </c>
      <c r="AE430" s="290">
        <f t="shared" si="51"/>
        <v>243</v>
      </c>
    </row>
    <row r="431" spans="1:31" x14ac:dyDescent="0.25">
      <c r="A431" s="280"/>
      <c r="B431" s="331">
        <f>Crop!B467</f>
        <v>42058</v>
      </c>
      <c r="C431" s="332">
        <f t="shared" si="52"/>
        <v>270</v>
      </c>
      <c r="D431" s="332" t="str">
        <f t="shared" si="53"/>
        <v/>
      </c>
      <c r="E431" s="332">
        <f t="shared" si="54"/>
        <v>27</v>
      </c>
      <c r="F431" s="332">
        <f t="shared" si="55"/>
        <v>243</v>
      </c>
      <c r="G431" s="241"/>
      <c r="H431" s="241"/>
      <c r="I431" s="241"/>
      <c r="J431" s="241"/>
      <c r="K431" s="289"/>
      <c r="L431" s="289"/>
      <c r="M431" s="241"/>
      <c r="N431" s="241"/>
      <c r="O431" s="241"/>
      <c r="P431" s="241"/>
      <c r="Q431" s="241"/>
      <c r="R431" s="241"/>
      <c r="S431" s="241"/>
      <c r="T431" s="241"/>
      <c r="U431" s="241"/>
      <c r="V431" s="241"/>
      <c r="W431" s="241"/>
      <c r="X431" s="241"/>
      <c r="Y431" s="241"/>
      <c r="Z431" s="241"/>
      <c r="AA431" s="241"/>
      <c r="AB431" s="290">
        <f t="shared" si="48"/>
        <v>270</v>
      </c>
      <c r="AC431" s="290" t="e">
        <f t="shared" si="49"/>
        <v>#N/A</v>
      </c>
      <c r="AD431" s="290">
        <f t="shared" si="50"/>
        <v>27</v>
      </c>
      <c r="AE431" s="290">
        <f t="shared" si="51"/>
        <v>243</v>
      </c>
    </row>
    <row r="432" spans="1:31" x14ac:dyDescent="0.25">
      <c r="A432" s="280"/>
      <c r="B432" s="331">
        <f>Crop!B468</f>
        <v>42059</v>
      </c>
      <c r="C432" s="332">
        <f t="shared" si="52"/>
        <v>270</v>
      </c>
      <c r="D432" s="332" t="str">
        <f t="shared" si="53"/>
        <v/>
      </c>
      <c r="E432" s="332">
        <f t="shared" si="54"/>
        <v>27</v>
      </c>
      <c r="F432" s="332">
        <f t="shared" si="55"/>
        <v>243</v>
      </c>
      <c r="G432" s="241"/>
      <c r="H432" s="241"/>
      <c r="I432" s="241"/>
      <c r="J432" s="241"/>
      <c r="K432" s="289"/>
      <c r="L432" s="289"/>
      <c r="M432" s="241"/>
      <c r="N432" s="241"/>
      <c r="O432" s="241"/>
      <c r="P432" s="241"/>
      <c r="Q432" s="241"/>
      <c r="R432" s="241"/>
      <c r="S432" s="241"/>
      <c r="T432" s="241"/>
      <c r="U432" s="241"/>
      <c r="V432" s="241"/>
      <c r="W432" s="241"/>
      <c r="X432" s="241"/>
      <c r="Y432" s="241"/>
      <c r="Z432" s="241"/>
      <c r="AA432" s="241"/>
      <c r="AB432" s="290">
        <f t="shared" si="48"/>
        <v>270</v>
      </c>
      <c r="AC432" s="290" t="e">
        <f t="shared" si="49"/>
        <v>#N/A</v>
      </c>
      <c r="AD432" s="290">
        <f t="shared" si="50"/>
        <v>27</v>
      </c>
      <c r="AE432" s="290">
        <f t="shared" si="51"/>
        <v>243</v>
      </c>
    </row>
    <row r="433" spans="1:31" x14ac:dyDescent="0.25">
      <c r="A433" s="280"/>
      <c r="B433" s="331">
        <f>Crop!B469</f>
        <v>42060</v>
      </c>
      <c r="C433" s="332">
        <f t="shared" si="52"/>
        <v>270</v>
      </c>
      <c r="D433" s="332" t="str">
        <f t="shared" si="53"/>
        <v/>
      </c>
      <c r="E433" s="332">
        <f t="shared" si="54"/>
        <v>27</v>
      </c>
      <c r="F433" s="332">
        <f t="shared" si="55"/>
        <v>243</v>
      </c>
      <c r="G433" s="241"/>
      <c r="H433" s="241"/>
      <c r="I433" s="241"/>
      <c r="J433" s="241"/>
      <c r="K433" s="289"/>
      <c r="L433" s="289"/>
      <c r="M433" s="241"/>
      <c r="N433" s="241"/>
      <c r="O433" s="241"/>
      <c r="P433" s="241"/>
      <c r="Q433" s="241"/>
      <c r="R433" s="241"/>
      <c r="S433" s="241"/>
      <c r="T433" s="241"/>
      <c r="U433" s="241"/>
      <c r="V433" s="241"/>
      <c r="W433" s="241"/>
      <c r="X433" s="241"/>
      <c r="Y433" s="241"/>
      <c r="Z433" s="241"/>
      <c r="AA433" s="241"/>
      <c r="AB433" s="290">
        <f t="shared" si="48"/>
        <v>270</v>
      </c>
      <c r="AC433" s="290" t="e">
        <f t="shared" si="49"/>
        <v>#N/A</v>
      </c>
      <c r="AD433" s="290">
        <f t="shared" si="50"/>
        <v>27</v>
      </c>
      <c r="AE433" s="290">
        <f t="shared" si="51"/>
        <v>243</v>
      </c>
    </row>
    <row r="434" spans="1:31" x14ac:dyDescent="0.25">
      <c r="A434" s="280"/>
      <c r="B434" s="331">
        <f>Crop!B470</f>
        <v>42061</v>
      </c>
      <c r="C434" s="332">
        <f t="shared" si="52"/>
        <v>270</v>
      </c>
      <c r="D434" s="332" t="str">
        <f t="shared" si="53"/>
        <v/>
      </c>
      <c r="E434" s="332">
        <f t="shared" si="54"/>
        <v>27</v>
      </c>
      <c r="F434" s="332">
        <f t="shared" si="55"/>
        <v>243</v>
      </c>
      <c r="G434" s="241"/>
      <c r="H434" s="241"/>
      <c r="I434" s="241"/>
      <c r="J434" s="241"/>
      <c r="K434" s="289"/>
      <c r="L434" s="289"/>
      <c r="M434" s="241"/>
      <c r="N434" s="241"/>
      <c r="O434" s="241"/>
      <c r="P434" s="241"/>
      <c r="Q434" s="241"/>
      <c r="R434" s="241"/>
      <c r="S434" s="241"/>
      <c r="T434" s="241"/>
      <c r="U434" s="241"/>
      <c r="V434" s="241"/>
      <c r="W434" s="241"/>
      <c r="X434" s="241"/>
      <c r="Y434" s="241"/>
      <c r="Z434" s="241"/>
      <c r="AA434" s="241"/>
      <c r="AB434" s="290">
        <f t="shared" si="48"/>
        <v>270</v>
      </c>
      <c r="AC434" s="290" t="e">
        <f t="shared" si="49"/>
        <v>#N/A</v>
      </c>
      <c r="AD434" s="290">
        <f t="shared" si="50"/>
        <v>27</v>
      </c>
      <c r="AE434" s="290">
        <f t="shared" si="51"/>
        <v>243</v>
      </c>
    </row>
    <row r="435" spans="1:31" x14ac:dyDescent="0.25">
      <c r="A435" s="280"/>
      <c r="B435" s="331">
        <f>Crop!B471</f>
        <v>42062</v>
      </c>
      <c r="C435" s="332">
        <f t="shared" si="52"/>
        <v>270</v>
      </c>
      <c r="D435" s="332" t="str">
        <f t="shared" si="53"/>
        <v/>
      </c>
      <c r="E435" s="332">
        <f t="shared" si="54"/>
        <v>27</v>
      </c>
      <c r="F435" s="332">
        <f t="shared" si="55"/>
        <v>243</v>
      </c>
      <c r="G435" s="241"/>
      <c r="H435" s="241"/>
      <c r="I435" s="241"/>
      <c r="J435" s="241"/>
      <c r="K435" s="289"/>
      <c r="L435" s="289"/>
      <c r="M435" s="241"/>
      <c r="N435" s="241"/>
      <c r="O435" s="241"/>
      <c r="P435" s="241"/>
      <c r="Q435" s="241"/>
      <c r="R435" s="241"/>
      <c r="S435" s="241"/>
      <c r="T435" s="241"/>
      <c r="U435" s="241"/>
      <c r="V435" s="241"/>
      <c r="W435" s="241"/>
      <c r="X435" s="241"/>
      <c r="Y435" s="241"/>
      <c r="Z435" s="241"/>
      <c r="AA435" s="241"/>
      <c r="AB435" s="290">
        <f t="shared" si="48"/>
        <v>270</v>
      </c>
      <c r="AC435" s="290" t="e">
        <f t="shared" si="49"/>
        <v>#N/A</v>
      </c>
      <c r="AD435" s="290">
        <f t="shared" si="50"/>
        <v>27</v>
      </c>
      <c r="AE435" s="290">
        <f t="shared" si="51"/>
        <v>243</v>
      </c>
    </row>
    <row r="436" spans="1:31" x14ac:dyDescent="0.25">
      <c r="A436" s="280"/>
      <c r="B436" s="331">
        <f>Crop!B472</f>
        <v>42063</v>
      </c>
      <c r="C436" s="332">
        <f t="shared" si="52"/>
        <v>270</v>
      </c>
      <c r="D436" s="332" t="str">
        <f t="shared" si="53"/>
        <v/>
      </c>
      <c r="E436" s="332">
        <f t="shared" si="54"/>
        <v>27</v>
      </c>
      <c r="F436" s="332">
        <f t="shared" si="55"/>
        <v>243</v>
      </c>
      <c r="G436" s="241"/>
      <c r="H436" s="241"/>
      <c r="I436" s="241"/>
      <c r="J436" s="241"/>
      <c r="K436" s="289"/>
      <c r="L436" s="289"/>
      <c r="M436" s="241"/>
      <c r="N436" s="241"/>
      <c r="O436" s="241"/>
      <c r="P436" s="241"/>
      <c r="Q436" s="241"/>
      <c r="R436" s="241"/>
      <c r="S436" s="241"/>
      <c r="T436" s="241"/>
      <c r="U436" s="241"/>
      <c r="V436" s="241"/>
      <c r="W436" s="241"/>
      <c r="X436" s="241"/>
      <c r="Y436" s="241"/>
      <c r="Z436" s="241"/>
      <c r="AA436" s="241"/>
      <c r="AB436" s="290">
        <f t="shared" si="48"/>
        <v>270</v>
      </c>
      <c r="AC436" s="290" t="e">
        <f t="shared" si="49"/>
        <v>#N/A</v>
      </c>
      <c r="AD436" s="290">
        <f t="shared" si="50"/>
        <v>27</v>
      </c>
      <c r="AE436" s="290">
        <f t="shared" si="51"/>
        <v>243</v>
      </c>
    </row>
    <row r="437" spans="1:31" x14ac:dyDescent="0.25">
      <c r="A437" s="280"/>
      <c r="B437" s="331">
        <f>Crop!B473</f>
        <v>42064</v>
      </c>
      <c r="C437" s="332">
        <f t="shared" si="52"/>
        <v>270</v>
      </c>
      <c r="D437" s="332" t="str">
        <f t="shared" si="53"/>
        <v/>
      </c>
      <c r="E437" s="332">
        <f t="shared" si="54"/>
        <v>27</v>
      </c>
      <c r="F437" s="332">
        <f t="shared" si="55"/>
        <v>243</v>
      </c>
      <c r="G437" s="241"/>
      <c r="H437" s="241"/>
      <c r="I437" s="241"/>
      <c r="J437" s="241"/>
      <c r="K437" s="289"/>
      <c r="L437" s="289"/>
      <c r="M437" s="241"/>
      <c r="N437" s="241"/>
      <c r="O437" s="241"/>
      <c r="P437" s="241"/>
      <c r="Q437" s="241"/>
      <c r="R437" s="241"/>
      <c r="S437" s="241"/>
      <c r="T437" s="241"/>
      <c r="U437" s="241"/>
      <c r="V437" s="241"/>
      <c r="W437" s="241"/>
      <c r="X437" s="241"/>
      <c r="Y437" s="241"/>
      <c r="Z437" s="241"/>
      <c r="AA437" s="241"/>
      <c r="AB437" s="290">
        <f t="shared" si="48"/>
        <v>270</v>
      </c>
      <c r="AC437" s="290" t="e">
        <f t="shared" si="49"/>
        <v>#N/A</v>
      </c>
      <c r="AD437" s="290">
        <f t="shared" si="50"/>
        <v>27</v>
      </c>
      <c r="AE437" s="290">
        <f t="shared" si="51"/>
        <v>243</v>
      </c>
    </row>
    <row r="438" spans="1:31" x14ac:dyDescent="0.25">
      <c r="A438" s="280"/>
      <c r="B438" s="331">
        <f>Crop!B474</f>
        <v>42065</v>
      </c>
      <c r="C438" s="332">
        <f t="shared" si="52"/>
        <v>270</v>
      </c>
      <c r="D438" s="332" t="str">
        <f t="shared" si="53"/>
        <v/>
      </c>
      <c r="E438" s="332">
        <f t="shared" si="54"/>
        <v>27</v>
      </c>
      <c r="F438" s="332">
        <f t="shared" si="55"/>
        <v>243</v>
      </c>
      <c r="G438" s="241"/>
      <c r="H438" s="241"/>
      <c r="I438" s="241"/>
      <c r="J438" s="241"/>
      <c r="K438" s="289"/>
      <c r="L438" s="289"/>
      <c r="M438" s="241"/>
      <c r="N438" s="241"/>
      <c r="O438" s="241"/>
      <c r="P438" s="241"/>
      <c r="Q438" s="241"/>
      <c r="R438" s="241"/>
      <c r="S438" s="241"/>
      <c r="T438" s="241"/>
      <c r="U438" s="241"/>
      <c r="V438" s="241"/>
      <c r="W438" s="241"/>
      <c r="X438" s="241"/>
      <c r="Y438" s="241"/>
      <c r="Z438" s="241"/>
      <c r="AA438" s="241"/>
      <c r="AB438" s="290">
        <f t="shared" si="48"/>
        <v>270</v>
      </c>
      <c r="AC438" s="290" t="e">
        <f t="shared" si="49"/>
        <v>#N/A</v>
      </c>
      <c r="AD438" s="290">
        <f t="shared" si="50"/>
        <v>27</v>
      </c>
      <c r="AE438" s="290">
        <f t="shared" si="51"/>
        <v>243</v>
      </c>
    </row>
    <row r="439" spans="1:31" x14ac:dyDescent="0.25">
      <c r="A439" s="280"/>
      <c r="B439" s="331">
        <f>Crop!B475</f>
        <v>42066</v>
      </c>
      <c r="C439" s="332">
        <f t="shared" si="52"/>
        <v>270</v>
      </c>
      <c r="D439" s="332" t="str">
        <f t="shared" si="53"/>
        <v/>
      </c>
      <c r="E439" s="332">
        <f t="shared" si="54"/>
        <v>27</v>
      </c>
      <c r="F439" s="332">
        <f t="shared" si="55"/>
        <v>243</v>
      </c>
      <c r="G439" s="241"/>
      <c r="H439" s="241"/>
      <c r="I439" s="241"/>
      <c r="J439" s="241"/>
      <c r="K439" s="289"/>
      <c r="L439" s="289"/>
      <c r="M439" s="241"/>
      <c r="N439" s="241"/>
      <c r="O439" s="241"/>
      <c r="P439" s="241"/>
      <c r="Q439" s="241"/>
      <c r="R439" s="241"/>
      <c r="S439" s="241"/>
      <c r="T439" s="241"/>
      <c r="U439" s="241"/>
      <c r="V439" s="241"/>
      <c r="W439" s="241"/>
      <c r="X439" s="241"/>
      <c r="Y439" s="241"/>
      <c r="Z439" s="241"/>
      <c r="AA439" s="241"/>
      <c r="AB439" s="290">
        <f t="shared" si="48"/>
        <v>270</v>
      </c>
      <c r="AC439" s="290" t="e">
        <f t="shared" si="49"/>
        <v>#N/A</v>
      </c>
      <c r="AD439" s="290">
        <f t="shared" si="50"/>
        <v>27</v>
      </c>
      <c r="AE439" s="290">
        <f t="shared" si="51"/>
        <v>243</v>
      </c>
    </row>
    <row r="440" spans="1:31" x14ac:dyDescent="0.25">
      <c r="A440" s="280"/>
      <c r="B440" s="331">
        <f>Crop!B476</f>
        <v>42067</v>
      </c>
      <c r="C440" s="332">
        <f t="shared" si="52"/>
        <v>270</v>
      </c>
      <c r="D440" s="332" t="str">
        <f t="shared" si="53"/>
        <v/>
      </c>
      <c r="E440" s="332">
        <f t="shared" si="54"/>
        <v>27</v>
      </c>
      <c r="F440" s="332">
        <f t="shared" si="55"/>
        <v>243</v>
      </c>
      <c r="G440" s="241"/>
      <c r="H440" s="241"/>
      <c r="I440" s="241"/>
      <c r="J440" s="241"/>
      <c r="K440" s="289"/>
      <c r="L440" s="289"/>
      <c r="M440" s="241"/>
      <c r="N440" s="241"/>
      <c r="O440" s="241"/>
      <c r="P440" s="241"/>
      <c r="Q440" s="241"/>
      <c r="R440" s="241"/>
      <c r="S440" s="241"/>
      <c r="T440" s="241"/>
      <c r="U440" s="241"/>
      <c r="V440" s="241"/>
      <c r="W440" s="241"/>
      <c r="X440" s="241"/>
      <c r="Y440" s="241"/>
      <c r="Z440" s="241"/>
      <c r="AA440" s="241"/>
      <c r="AB440" s="290">
        <f t="shared" si="48"/>
        <v>270</v>
      </c>
      <c r="AC440" s="290" t="e">
        <f t="shared" si="49"/>
        <v>#N/A</v>
      </c>
      <c r="AD440" s="290">
        <f t="shared" si="50"/>
        <v>27</v>
      </c>
      <c r="AE440" s="290">
        <f t="shared" si="51"/>
        <v>243</v>
      </c>
    </row>
    <row r="441" spans="1:31" x14ac:dyDescent="0.25">
      <c r="A441" s="280"/>
      <c r="B441" s="331">
        <f>Crop!B477</f>
        <v>42068</v>
      </c>
      <c r="C441" s="332">
        <f t="shared" si="52"/>
        <v>270</v>
      </c>
      <c r="D441" s="332" t="str">
        <f t="shared" si="53"/>
        <v/>
      </c>
      <c r="E441" s="332">
        <f t="shared" si="54"/>
        <v>27</v>
      </c>
      <c r="F441" s="332">
        <f t="shared" si="55"/>
        <v>243</v>
      </c>
      <c r="G441" s="241"/>
      <c r="H441" s="241"/>
      <c r="I441" s="241"/>
      <c r="J441" s="241"/>
      <c r="K441" s="289"/>
      <c r="L441" s="289"/>
      <c r="M441" s="241"/>
      <c r="N441" s="241"/>
      <c r="O441" s="241"/>
      <c r="P441" s="241"/>
      <c r="Q441" s="241"/>
      <c r="R441" s="241"/>
      <c r="S441" s="241"/>
      <c r="T441" s="241"/>
      <c r="U441" s="241"/>
      <c r="V441" s="241"/>
      <c r="W441" s="241"/>
      <c r="X441" s="241"/>
      <c r="Y441" s="241"/>
      <c r="Z441" s="241"/>
      <c r="AA441" s="241"/>
      <c r="AB441" s="290">
        <f t="shared" si="48"/>
        <v>270</v>
      </c>
      <c r="AC441" s="290" t="e">
        <f t="shared" si="49"/>
        <v>#N/A</v>
      </c>
      <c r="AD441" s="290">
        <f t="shared" si="50"/>
        <v>27</v>
      </c>
      <c r="AE441" s="290">
        <f t="shared" si="51"/>
        <v>243</v>
      </c>
    </row>
    <row r="442" spans="1:31" x14ac:dyDescent="0.25">
      <c r="A442" s="280"/>
      <c r="B442" s="331">
        <f>Crop!B478</f>
        <v>42069</v>
      </c>
      <c r="C442" s="332">
        <f t="shared" si="52"/>
        <v>270</v>
      </c>
      <c r="D442" s="332" t="str">
        <f t="shared" si="53"/>
        <v/>
      </c>
      <c r="E442" s="332">
        <f t="shared" si="54"/>
        <v>27</v>
      </c>
      <c r="F442" s="332">
        <f t="shared" si="55"/>
        <v>243</v>
      </c>
      <c r="G442" s="241"/>
      <c r="H442" s="241"/>
      <c r="I442" s="241"/>
      <c r="J442" s="241"/>
      <c r="K442" s="289"/>
      <c r="L442" s="289"/>
      <c r="M442" s="241"/>
      <c r="N442" s="241"/>
      <c r="O442" s="241"/>
      <c r="P442" s="241"/>
      <c r="Q442" s="241"/>
      <c r="R442" s="241"/>
      <c r="S442" s="241"/>
      <c r="T442" s="241"/>
      <c r="U442" s="241"/>
      <c r="V442" s="241"/>
      <c r="W442" s="241"/>
      <c r="X442" s="241"/>
      <c r="Y442" s="241"/>
      <c r="Z442" s="241"/>
      <c r="AA442" s="241"/>
      <c r="AB442" s="290">
        <f t="shared" si="48"/>
        <v>270</v>
      </c>
      <c r="AC442" s="290" t="e">
        <f t="shared" si="49"/>
        <v>#N/A</v>
      </c>
      <c r="AD442" s="290">
        <f t="shared" si="50"/>
        <v>27</v>
      </c>
      <c r="AE442" s="290">
        <f t="shared" si="51"/>
        <v>243</v>
      </c>
    </row>
    <row r="443" spans="1:31" x14ac:dyDescent="0.25">
      <c r="A443" s="280"/>
      <c r="B443" s="331">
        <f>Crop!B479</f>
        <v>42070</v>
      </c>
      <c r="C443" s="332">
        <f t="shared" si="52"/>
        <v>270</v>
      </c>
      <c r="D443" s="332" t="str">
        <f t="shared" si="53"/>
        <v/>
      </c>
      <c r="E443" s="332">
        <f t="shared" si="54"/>
        <v>27</v>
      </c>
      <c r="F443" s="332">
        <f t="shared" si="55"/>
        <v>243</v>
      </c>
      <c r="G443" s="241"/>
      <c r="H443" s="241"/>
      <c r="I443" s="241"/>
      <c r="J443" s="241"/>
      <c r="K443" s="289"/>
      <c r="L443" s="289"/>
      <c r="M443" s="241"/>
      <c r="N443" s="241"/>
      <c r="O443" s="241"/>
      <c r="P443" s="241"/>
      <c r="Q443" s="241"/>
      <c r="R443" s="241"/>
      <c r="S443" s="241"/>
      <c r="T443" s="241"/>
      <c r="U443" s="241"/>
      <c r="V443" s="241"/>
      <c r="W443" s="241"/>
      <c r="X443" s="241"/>
      <c r="Y443" s="241"/>
      <c r="Z443" s="241"/>
      <c r="AA443" s="241"/>
      <c r="AB443" s="290">
        <f t="shared" si="48"/>
        <v>270</v>
      </c>
      <c r="AC443" s="290" t="e">
        <f t="shared" si="49"/>
        <v>#N/A</v>
      </c>
      <c r="AD443" s="290">
        <f t="shared" si="50"/>
        <v>27</v>
      </c>
      <c r="AE443" s="290">
        <f t="shared" si="51"/>
        <v>243</v>
      </c>
    </row>
    <row r="444" spans="1:31" x14ac:dyDescent="0.25">
      <c r="A444" s="280"/>
      <c r="B444" s="331">
        <f>Crop!B480</f>
        <v>42071</v>
      </c>
      <c r="C444" s="332">
        <f t="shared" si="52"/>
        <v>270</v>
      </c>
      <c r="D444" s="332" t="str">
        <f t="shared" si="53"/>
        <v/>
      </c>
      <c r="E444" s="332">
        <f t="shared" si="54"/>
        <v>27</v>
      </c>
      <c r="F444" s="332">
        <f t="shared" si="55"/>
        <v>243</v>
      </c>
      <c r="G444" s="241"/>
      <c r="H444" s="241"/>
      <c r="I444" s="241"/>
      <c r="J444" s="241"/>
      <c r="K444" s="289"/>
      <c r="L444" s="289"/>
      <c r="M444" s="241"/>
      <c r="N444" s="241"/>
      <c r="O444" s="241"/>
      <c r="P444" s="241"/>
      <c r="Q444" s="241"/>
      <c r="R444" s="241"/>
      <c r="S444" s="241"/>
      <c r="T444" s="241"/>
      <c r="U444" s="241"/>
      <c r="V444" s="241"/>
      <c r="W444" s="241"/>
      <c r="X444" s="241"/>
      <c r="Y444" s="241"/>
      <c r="Z444" s="241"/>
      <c r="AA444" s="241"/>
      <c r="AB444" s="290">
        <f t="shared" si="48"/>
        <v>270</v>
      </c>
      <c r="AC444" s="290" t="e">
        <f t="shared" si="49"/>
        <v>#N/A</v>
      </c>
      <c r="AD444" s="290">
        <f t="shared" si="50"/>
        <v>27</v>
      </c>
      <c r="AE444" s="290">
        <f t="shared" si="51"/>
        <v>243</v>
      </c>
    </row>
    <row r="445" spans="1:31" x14ac:dyDescent="0.25">
      <c r="A445" s="280"/>
      <c r="B445" s="331">
        <f>Crop!B481</f>
        <v>42072</v>
      </c>
      <c r="C445" s="332">
        <f t="shared" si="52"/>
        <v>270</v>
      </c>
      <c r="D445" s="332" t="str">
        <f t="shared" si="53"/>
        <v/>
      </c>
      <c r="E445" s="332">
        <f t="shared" si="54"/>
        <v>27</v>
      </c>
      <c r="F445" s="332">
        <f t="shared" si="55"/>
        <v>243</v>
      </c>
      <c r="G445" s="241"/>
      <c r="H445" s="241"/>
      <c r="I445" s="241"/>
      <c r="J445" s="241"/>
      <c r="K445" s="289"/>
      <c r="L445" s="289"/>
      <c r="M445" s="241"/>
      <c r="N445" s="241"/>
      <c r="O445" s="241"/>
      <c r="P445" s="241"/>
      <c r="Q445" s="241"/>
      <c r="R445" s="241"/>
      <c r="S445" s="241"/>
      <c r="T445" s="241"/>
      <c r="U445" s="241"/>
      <c r="V445" s="241"/>
      <c r="W445" s="241"/>
      <c r="X445" s="241"/>
      <c r="Y445" s="241"/>
      <c r="Z445" s="241"/>
      <c r="AA445" s="241"/>
      <c r="AB445" s="290">
        <f t="shared" si="48"/>
        <v>270</v>
      </c>
      <c r="AC445" s="290" t="e">
        <f t="shared" si="49"/>
        <v>#N/A</v>
      </c>
      <c r="AD445" s="290">
        <f t="shared" si="50"/>
        <v>27</v>
      </c>
      <c r="AE445" s="290">
        <f t="shared" si="51"/>
        <v>243</v>
      </c>
    </row>
    <row r="446" spans="1:31" x14ac:dyDescent="0.25">
      <c r="A446" s="280"/>
      <c r="B446" s="331">
        <f>Crop!B482</f>
        <v>42073</v>
      </c>
      <c r="C446" s="332">
        <f t="shared" si="52"/>
        <v>270</v>
      </c>
      <c r="D446" s="332" t="str">
        <f t="shared" si="53"/>
        <v/>
      </c>
      <c r="E446" s="332">
        <f t="shared" si="54"/>
        <v>27</v>
      </c>
      <c r="F446" s="332">
        <f t="shared" si="55"/>
        <v>243</v>
      </c>
      <c r="G446" s="241"/>
      <c r="H446" s="241"/>
      <c r="I446" s="241"/>
      <c r="J446" s="241"/>
      <c r="K446" s="289"/>
      <c r="L446" s="289"/>
      <c r="M446" s="241"/>
      <c r="N446" s="241"/>
      <c r="O446" s="241"/>
      <c r="P446" s="241"/>
      <c r="Q446" s="241"/>
      <c r="R446" s="241"/>
      <c r="S446" s="241"/>
      <c r="T446" s="241"/>
      <c r="U446" s="241"/>
      <c r="V446" s="241"/>
      <c r="W446" s="241"/>
      <c r="X446" s="241"/>
      <c r="Y446" s="241"/>
      <c r="Z446" s="241"/>
      <c r="AA446" s="241"/>
      <c r="AB446" s="290">
        <f t="shared" si="48"/>
        <v>270</v>
      </c>
      <c r="AC446" s="290" t="e">
        <f t="shared" si="49"/>
        <v>#N/A</v>
      </c>
      <c r="AD446" s="290">
        <f t="shared" si="50"/>
        <v>27</v>
      </c>
      <c r="AE446" s="290">
        <f t="shared" si="51"/>
        <v>243</v>
      </c>
    </row>
    <row r="447" spans="1:31" x14ac:dyDescent="0.25">
      <c r="A447" s="280"/>
      <c r="B447" s="331">
        <f>Crop!B483</f>
        <v>42074</v>
      </c>
      <c r="C447" s="332">
        <f t="shared" si="52"/>
        <v>270</v>
      </c>
      <c r="D447" s="332" t="str">
        <f t="shared" si="53"/>
        <v/>
      </c>
      <c r="E447" s="332">
        <f t="shared" si="54"/>
        <v>27</v>
      </c>
      <c r="F447" s="332">
        <f t="shared" si="55"/>
        <v>243</v>
      </c>
      <c r="G447" s="241"/>
      <c r="H447" s="241"/>
      <c r="I447" s="241"/>
      <c r="J447" s="241"/>
      <c r="K447" s="289"/>
      <c r="L447" s="289"/>
      <c r="M447" s="241"/>
      <c r="N447" s="241"/>
      <c r="O447" s="241"/>
      <c r="P447" s="241"/>
      <c r="Q447" s="241"/>
      <c r="R447" s="241"/>
      <c r="S447" s="241"/>
      <c r="T447" s="241"/>
      <c r="U447" s="241"/>
      <c r="V447" s="241"/>
      <c r="W447" s="241"/>
      <c r="X447" s="241"/>
      <c r="Y447" s="241"/>
      <c r="Z447" s="241"/>
      <c r="AA447" s="241"/>
      <c r="AB447" s="290">
        <f t="shared" si="48"/>
        <v>270</v>
      </c>
      <c r="AC447" s="290" t="e">
        <f t="shared" si="49"/>
        <v>#N/A</v>
      </c>
      <c r="AD447" s="290">
        <f t="shared" si="50"/>
        <v>27</v>
      </c>
      <c r="AE447" s="290">
        <f t="shared" si="51"/>
        <v>243</v>
      </c>
    </row>
    <row r="448" spans="1:31" x14ac:dyDescent="0.25">
      <c r="A448" s="280"/>
      <c r="B448" s="331">
        <f>Crop!B484</f>
        <v>42075</v>
      </c>
      <c r="C448" s="332">
        <f t="shared" si="52"/>
        <v>270</v>
      </c>
      <c r="D448" s="332" t="str">
        <f t="shared" si="53"/>
        <v/>
      </c>
      <c r="E448" s="332">
        <f t="shared" si="54"/>
        <v>27</v>
      </c>
      <c r="F448" s="332">
        <f t="shared" si="55"/>
        <v>243</v>
      </c>
      <c r="G448" s="241"/>
      <c r="H448" s="241"/>
      <c r="I448" s="241"/>
      <c r="J448" s="241"/>
      <c r="K448" s="289"/>
      <c r="L448" s="289"/>
      <c r="M448" s="241"/>
      <c r="N448" s="241"/>
      <c r="O448" s="241"/>
      <c r="P448" s="241"/>
      <c r="Q448" s="241"/>
      <c r="R448" s="241"/>
      <c r="S448" s="241"/>
      <c r="T448" s="241"/>
      <c r="U448" s="241"/>
      <c r="V448" s="241"/>
      <c r="W448" s="241"/>
      <c r="X448" s="241"/>
      <c r="Y448" s="241"/>
      <c r="Z448" s="241"/>
      <c r="AA448" s="241"/>
      <c r="AB448" s="290">
        <f t="shared" si="48"/>
        <v>270</v>
      </c>
      <c r="AC448" s="290" t="e">
        <f t="shared" si="49"/>
        <v>#N/A</v>
      </c>
      <c r="AD448" s="290">
        <f t="shared" si="50"/>
        <v>27</v>
      </c>
      <c r="AE448" s="290">
        <f t="shared" si="51"/>
        <v>243</v>
      </c>
    </row>
    <row r="449" spans="1:31" x14ac:dyDescent="0.25">
      <c r="A449" s="280"/>
      <c r="B449" s="331">
        <f>Crop!B485</f>
        <v>42076</v>
      </c>
      <c r="C449" s="332">
        <f t="shared" si="52"/>
        <v>270</v>
      </c>
      <c r="D449" s="332" t="str">
        <f t="shared" si="53"/>
        <v/>
      </c>
      <c r="E449" s="332">
        <f t="shared" si="54"/>
        <v>27</v>
      </c>
      <c r="F449" s="332">
        <f t="shared" si="55"/>
        <v>243</v>
      </c>
      <c r="G449" s="241"/>
      <c r="H449" s="241"/>
      <c r="I449" s="241"/>
      <c r="J449" s="241"/>
      <c r="K449" s="289"/>
      <c r="L449" s="289"/>
      <c r="M449" s="241"/>
      <c r="N449" s="241"/>
      <c r="O449" s="241"/>
      <c r="P449" s="241"/>
      <c r="Q449" s="241"/>
      <c r="R449" s="241"/>
      <c r="S449" s="241"/>
      <c r="T449" s="241"/>
      <c r="U449" s="241"/>
      <c r="V449" s="241"/>
      <c r="W449" s="241"/>
      <c r="X449" s="241"/>
      <c r="Y449" s="241"/>
      <c r="Z449" s="241"/>
      <c r="AA449" s="241"/>
      <c r="AB449" s="290">
        <f t="shared" si="48"/>
        <v>270</v>
      </c>
      <c r="AC449" s="290" t="e">
        <f t="shared" si="49"/>
        <v>#N/A</v>
      </c>
      <c r="AD449" s="290">
        <f t="shared" si="50"/>
        <v>27</v>
      </c>
      <c r="AE449" s="290">
        <f t="shared" si="51"/>
        <v>243</v>
      </c>
    </row>
    <row r="450" spans="1:31" x14ac:dyDescent="0.25">
      <c r="A450" s="280"/>
      <c r="B450" s="331">
        <f>Crop!B486</f>
        <v>42077</v>
      </c>
      <c r="C450" s="332">
        <f t="shared" si="52"/>
        <v>270</v>
      </c>
      <c r="D450" s="332" t="str">
        <f t="shared" si="53"/>
        <v/>
      </c>
      <c r="E450" s="332">
        <f t="shared" si="54"/>
        <v>27</v>
      </c>
      <c r="F450" s="332">
        <f t="shared" si="55"/>
        <v>243</v>
      </c>
      <c r="G450" s="241"/>
      <c r="H450" s="241"/>
      <c r="I450" s="241"/>
      <c r="J450" s="241"/>
      <c r="K450" s="289"/>
      <c r="L450" s="289"/>
      <c r="M450" s="241"/>
      <c r="N450" s="241"/>
      <c r="O450" s="241"/>
      <c r="P450" s="241"/>
      <c r="Q450" s="241"/>
      <c r="R450" s="241"/>
      <c r="S450" s="241"/>
      <c r="T450" s="241"/>
      <c r="U450" s="241"/>
      <c r="V450" s="241"/>
      <c r="W450" s="241"/>
      <c r="X450" s="241"/>
      <c r="Y450" s="241"/>
      <c r="Z450" s="241"/>
      <c r="AA450" s="241"/>
      <c r="AB450" s="290">
        <f t="shared" si="48"/>
        <v>270</v>
      </c>
      <c r="AC450" s="290" t="e">
        <f t="shared" si="49"/>
        <v>#N/A</v>
      </c>
      <c r="AD450" s="290">
        <f t="shared" si="50"/>
        <v>27</v>
      </c>
      <c r="AE450" s="290">
        <f t="shared" si="51"/>
        <v>243</v>
      </c>
    </row>
    <row r="451" spans="1:31" x14ac:dyDescent="0.25">
      <c r="A451" s="280"/>
      <c r="B451" s="331">
        <f>Crop!B487</f>
        <v>42078</v>
      </c>
      <c r="C451" s="332">
        <f t="shared" si="52"/>
        <v>270</v>
      </c>
      <c r="D451" s="332" t="str">
        <f t="shared" si="53"/>
        <v/>
      </c>
      <c r="E451" s="332">
        <f t="shared" si="54"/>
        <v>27</v>
      </c>
      <c r="F451" s="332">
        <f t="shared" si="55"/>
        <v>243</v>
      </c>
      <c r="G451" s="241"/>
      <c r="H451" s="241"/>
      <c r="I451" s="241"/>
      <c r="J451" s="241"/>
      <c r="K451" s="289"/>
      <c r="L451" s="289"/>
      <c r="M451" s="241"/>
      <c r="N451" s="241"/>
      <c r="O451" s="241"/>
      <c r="P451" s="241"/>
      <c r="Q451" s="241"/>
      <c r="R451" s="241"/>
      <c r="S451" s="241"/>
      <c r="T451" s="241"/>
      <c r="U451" s="241"/>
      <c r="V451" s="241"/>
      <c r="W451" s="241"/>
      <c r="X451" s="241"/>
      <c r="Y451" s="241"/>
      <c r="Z451" s="241"/>
      <c r="AA451" s="241"/>
      <c r="AB451" s="290">
        <f t="shared" si="48"/>
        <v>270</v>
      </c>
      <c r="AC451" s="290" t="e">
        <f t="shared" si="49"/>
        <v>#N/A</v>
      </c>
      <c r="AD451" s="290">
        <f t="shared" si="50"/>
        <v>27</v>
      </c>
      <c r="AE451" s="290">
        <f t="shared" si="51"/>
        <v>243</v>
      </c>
    </row>
    <row r="452" spans="1:31" x14ac:dyDescent="0.25">
      <c r="A452" s="280"/>
      <c r="B452" s="331">
        <f>Crop!B488</f>
        <v>42079</v>
      </c>
      <c r="C452" s="332">
        <f t="shared" si="52"/>
        <v>270</v>
      </c>
      <c r="D452" s="332" t="str">
        <f t="shared" si="53"/>
        <v/>
      </c>
      <c r="E452" s="332">
        <f t="shared" si="54"/>
        <v>27</v>
      </c>
      <c r="F452" s="332">
        <f t="shared" si="55"/>
        <v>243</v>
      </c>
      <c r="G452" s="241"/>
      <c r="H452" s="241"/>
      <c r="I452" s="241"/>
      <c r="J452" s="241"/>
      <c r="K452" s="289"/>
      <c r="L452" s="289"/>
      <c r="M452" s="241"/>
      <c r="N452" s="241"/>
      <c r="O452" s="241"/>
      <c r="P452" s="241"/>
      <c r="Q452" s="241"/>
      <c r="R452" s="241"/>
      <c r="S452" s="241"/>
      <c r="T452" s="241"/>
      <c r="U452" s="241"/>
      <c r="V452" s="241"/>
      <c r="W452" s="241"/>
      <c r="X452" s="241"/>
      <c r="Y452" s="241"/>
      <c r="Z452" s="241"/>
      <c r="AA452" s="241"/>
      <c r="AB452" s="290">
        <f t="shared" si="48"/>
        <v>270</v>
      </c>
      <c r="AC452" s="290" t="e">
        <f t="shared" si="49"/>
        <v>#N/A</v>
      </c>
      <c r="AD452" s="290">
        <f t="shared" si="50"/>
        <v>27</v>
      </c>
      <c r="AE452" s="290">
        <f t="shared" si="51"/>
        <v>243</v>
      </c>
    </row>
    <row r="453" spans="1:31" x14ac:dyDescent="0.25">
      <c r="A453" s="280"/>
      <c r="B453" s="331">
        <f>Crop!B489</f>
        <v>42080</v>
      </c>
      <c r="C453" s="332">
        <f t="shared" si="52"/>
        <v>270</v>
      </c>
      <c r="D453" s="332" t="str">
        <f t="shared" si="53"/>
        <v/>
      </c>
      <c r="E453" s="332">
        <f t="shared" si="54"/>
        <v>27</v>
      </c>
      <c r="F453" s="332">
        <f t="shared" si="55"/>
        <v>243</v>
      </c>
      <c r="G453" s="241"/>
      <c r="H453" s="241"/>
      <c r="I453" s="241"/>
      <c r="J453" s="241"/>
      <c r="K453" s="289"/>
      <c r="L453" s="289"/>
      <c r="M453" s="241"/>
      <c r="N453" s="241"/>
      <c r="O453" s="241"/>
      <c r="P453" s="241"/>
      <c r="Q453" s="241"/>
      <c r="R453" s="241"/>
      <c r="S453" s="241"/>
      <c r="T453" s="241"/>
      <c r="U453" s="241"/>
      <c r="V453" s="241"/>
      <c r="W453" s="241"/>
      <c r="X453" s="241"/>
      <c r="Y453" s="241"/>
      <c r="Z453" s="241"/>
      <c r="AA453" s="241"/>
      <c r="AB453" s="290">
        <f t="shared" si="48"/>
        <v>270</v>
      </c>
      <c r="AC453" s="290" t="e">
        <f t="shared" si="49"/>
        <v>#N/A</v>
      </c>
      <c r="AD453" s="290">
        <f t="shared" si="50"/>
        <v>27</v>
      </c>
      <c r="AE453" s="290">
        <f t="shared" si="51"/>
        <v>243</v>
      </c>
    </row>
    <row r="454" spans="1:31" x14ac:dyDescent="0.25">
      <c r="A454" s="280"/>
      <c r="B454" s="331">
        <f>Crop!B490</f>
        <v>42081</v>
      </c>
      <c r="C454" s="332">
        <f t="shared" si="52"/>
        <v>270</v>
      </c>
      <c r="D454" s="332" t="str">
        <f t="shared" si="53"/>
        <v/>
      </c>
      <c r="E454" s="332">
        <f t="shared" si="54"/>
        <v>27</v>
      </c>
      <c r="F454" s="332">
        <f t="shared" si="55"/>
        <v>243</v>
      </c>
      <c r="G454" s="241"/>
      <c r="H454" s="241"/>
      <c r="I454" s="241"/>
      <c r="J454" s="241"/>
      <c r="K454" s="289"/>
      <c r="L454" s="289"/>
      <c r="M454" s="241"/>
      <c r="N454" s="241"/>
      <c r="O454" s="241"/>
      <c r="P454" s="241"/>
      <c r="Q454" s="241"/>
      <c r="R454" s="241"/>
      <c r="S454" s="241"/>
      <c r="T454" s="241"/>
      <c r="U454" s="241"/>
      <c r="V454" s="241"/>
      <c r="W454" s="241"/>
      <c r="X454" s="241"/>
      <c r="Y454" s="241"/>
      <c r="Z454" s="241"/>
      <c r="AA454" s="241"/>
      <c r="AB454" s="290">
        <f t="shared" si="48"/>
        <v>270</v>
      </c>
      <c r="AC454" s="290" t="e">
        <f t="shared" si="49"/>
        <v>#N/A</v>
      </c>
      <c r="AD454" s="290">
        <f t="shared" si="50"/>
        <v>27</v>
      </c>
      <c r="AE454" s="290">
        <f t="shared" si="51"/>
        <v>243</v>
      </c>
    </row>
    <row r="455" spans="1:31" x14ac:dyDescent="0.25">
      <c r="A455" s="280"/>
      <c r="B455" s="331">
        <f>Crop!B491</f>
        <v>42082</v>
      </c>
      <c r="C455" s="332">
        <f t="shared" si="52"/>
        <v>270</v>
      </c>
      <c r="D455" s="332" t="str">
        <f t="shared" si="53"/>
        <v/>
      </c>
      <c r="E455" s="332">
        <f t="shared" si="54"/>
        <v>27</v>
      </c>
      <c r="F455" s="332">
        <f t="shared" si="55"/>
        <v>243</v>
      </c>
      <c r="G455" s="241"/>
      <c r="H455" s="241"/>
      <c r="I455" s="241"/>
      <c r="J455" s="241"/>
      <c r="K455" s="289"/>
      <c r="L455" s="289"/>
      <c r="M455" s="241"/>
      <c r="N455" s="241"/>
      <c r="O455" s="241"/>
      <c r="P455" s="241"/>
      <c r="Q455" s="241"/>
      <c r="R455" s="241"/>
      <c r="S455" s="241"/>
      <c r="T455" s="241"/>
      <c r="U455" s="241"/>
      <c r="V455" s="241"/>
      <c r="W455" s="241"/>
      <c r="X455" s="241"/>
      <c r="Y455" s="241"/>
      <c r="Z455" s="241"/>
      <c r="AA455" s="241"/>
      <c r="AB455" s="290">
        <f t="shared" si="48"/>
        <v>270</v>
      </c>
      <c r="AC455" s="290" t="e">
        <f t="shared" si="49"/>
        <v>#N/A</v>
      </c>
      <c r="AD455" s="290">
        <f t="shared" si="50"/>
        <v>27</v>
      </c>
      <c r="AE455" s="290">
        <f t="shared" si="51"/>
        <v>243</v>
      </c>
    </row>
    <row r="456" spans="1:31" x14ac:dyDescent="0.25">
      <c r="A456" s="280"/>
      <c r="B456" s="331">
        <f>Crop!B492</f>
        <v>42083</v>
      </c>
      <c r="C456" s="332">
        <f t="shared" si="52"/>
        <v>270</v>
      </c>
      <c r="D456" s="332" t="str">
        <f t="shared" si="53"/>
        <v/>
      </c>
      <c r="E456" s="332">
        <f t="shared" si="54"/>
        <v>27</v>
      </c>
      <c r="F456" s="332">
        <f t="shared" si="55"/>
        <v>243</v>
      </c>
      <c r="G456" s="241"/>
      <c r="H456" s="241"/>
      <c r="I456" s="241"/>
      <c r="J456" s="241"/>
      <c r="K456" s="289"/>
      <c r="L456" s="289"/>
      <c r="M456" s="241"/>
      <c r="N456" s="241"/>
      <c r="O456" s="241"/>
      <c r="P456" s="241"/>
      <c r="Q456" s="241"/>
      <c r="R456" s="241"/>
      <c r="S456" s="241"/>
      <c r="T456" s="241"/>
      <c r="U456" s="241"/>
      <c r="V456" s="241"/>
      <c r="W456" s="241"/>
      <c r="X456" s="241"/>
      <c r="Y456" s="241"/>
      <c r="Z456" s="241"/>
      <c r="AA456" s="241"/>
      <c r="AB456" s="290">
        <f t="shared" si="48"/>
        <v>270</v>
      </c>
      <c r="AC456" s="290" t="e">
        <f t="shared" si="49"/>
        <v>#N/A</v>
      </c>
      <c r="AD456" s="290">
        <f t="shared" si="50"/>
        <v>27</v>
      </c>
      <c r="AE456" s="290">
        <f t="shared" si="51"/>
        <v>243</v>
      </c>
    </row>
    <row r="457" spans="1:31" x14ac:dyDescent="0.25">
      <c r="A457" s="280"/>
      <c r="B457" s="331">
        <f>Crop!B493</f>
        <v>42084</v>
      </c>
      <c r="C457" s="332">
        <f t="shared" si="52"/>
        <v>270</v>
      </c>
      <c r="D457" s="332" t="str">
        <f t="shared" si="53"/>
        <v/>
      </c>
      <c r="E457" s="332">
        <f t="shared" si="54"/>
        <v>27</v>
      </c>
      <c r="F457" s="332">
        <f t="shared" si="55"/>
        <v>243</v>
      </c>
      <c r="G457" s="241"/>
      <c r="H457" s="241"/>
      <c r="I457" s="241"/>
      <c r="J457" s="241"/>
      <c r="K457" s="289"/>
      <c r="L457" s="289"/>
      <c r="M457" s="241"/>
      <c r="N457" s="241"/>
      <c r="O457" s="241"/>
      <c r="P457" s="241"/>
      <c r="Q457" s="241"/>
      <c r="R457" s="241"/>
      <c r="S457" s="241"/>
      <c r="T457" s="241"/>
      <c r="U457" s="241"/>
      <c r="V457" s="241"/>
      <c r="W457" s="241"/>
      <c r="X457" s="241"/>
      <c r="Y457" s="241"/>
      <c r="Z457" s="241"/>
      <c r="AA457" s="241"/>
      <c r="AB457" s="290">
        <f t="shared" si="48"/>
        <v>270</v>
      </c>
      <c r="AC457" s="290" t="e">
        <f t="shared" si="49"/>
        <v>#N/A</v>
      </c>
      <c r="AD457" s="290">
        <f t="shared" si="50"/>
        <v>27</v>
      </c>
      <c r="AE457" s="290">
        <f t="shared" si="51"/>
        <v>243</v>
      </c>
    </row>
    <row r="458" spans="1:31" x14ac:dyDescent="0.25">
      <c r="A458" s="280"/>
      <c r="B458" s="331">
        <f>Crop!B494</f>
        <v>42085</v>
      </c>
      <c r="C458" s="332">
        <f t="shared" si="52"/>
        <v>270</v>
      </c>
      <c r="D458" s="332" t="str">
        <f t="shared" si="53"/>
        <v/>
      </c>
      <c r="E458" s="332">
        <f t="shared" si="54"/>
        <v>27</v>
      </c>
      <c r="F458" s="332">
        <f t="shared" si="55"/>
        <v>243</v>
      </c>
      <c r="G458" s="241"/>
      <c r="H458" s="241"/>
      <c r="I458" s="241"/>
      <c r="J458" s="241"/>
      <c r="K458" s="289"/>
      <c r="L458" s="289"/>
      <c r="M458" s="241"/>
      <c r="N458" s="241"/>
      <c r="O458" s="241"/>
      <c r="P458" s="241"/>
      <c r="Q458" s="241"/>
      <c r="R458" s="241"/>
      <c r="S458" s="241"/>
      <c r="T458" s="241"/>
      <c r="U458" s="241"/>
      <c r="V458" s="241"/>
      <c r="W458" s="241"/>
      <c r="X458" s="241"/>
      <c r="Y458" s="241"/>
      <c r="Z458" s="241"/>
      <c r="AA458" s="241"/>
      <c r="AB458" s="290">
        <f t="shared" si="48"/>
        <v>270</v>
      </c>
      <c r="AC458" s="290" t="e">
        <f t="shared" si="49"/>
        <v>#N/A</v>
      </c>
      <c r="AD458" s="290">
        <f t="shared" si="50"/>
        <v>27</v>
      </c>
      <c r="AE458" s="290">
        <f t="shared" si="51"/>
        <v>243</v>
      </c>
    </row>
    <row r="459" spans="1:31" x14ac:dyDescent="0.25">
      <c r="A459" s="280"/>
      <c r="B459" s="331">
        <f>Crop!B495</f>
        <v>42086</v>
      </c>
      <c r="C459" s="332">
        <f t="shared" si="52"/>
        <v>270</v>
      </c>
      <c r="D459" s="332" t="str">
        <f t="shared" si="53"/>
        <v/>
      </c>
      <c r="E459" s="332">
        <f t="shared" si="54"/>
        <v>27</v>
      </c>
      <c r="F459" s="332">
        <f t="shared" si="55"/>
        <v>243</v>
      </c>
      <c r="G459" s="241"/>
      <c r="H459" s="241"/>
      <c r="I459" s="241"/>
      <c r="J459" s="241"/>
      <c r="K459" s="289"/>
      <c r="L459" s="289"/>
      <c r="M459" s="241"/>
      <c r="N459" s="241"/>
      <c r="O459" s="241"/>
      <c r="P459" s="241"/>
      <c r="Q459" s="241"/>
      <c r="R459" s="241"/>
      <c r="S459" s="241"/>
      <c r="T459" s="241"/>
      <c r="U459" s="241"/>
      <c r="V459" s="241"/>
      <c r="W459" s="241"/>
      <c r="X459" s="241"/>
      <c r="Y459" s="241"/>
      <c r="Z459" s="241"/>
      <c r="AA459" s="241"/>
      <c r="AB459" s="290">
        <f t="shared" si="48"/>
        <v>270</v>
      </c>
      <c r="AC459" s="290" t="e">
        <f t="shared" si="49"/>
        <v>#N/A</v>
      </c>
      <c r="AD459" s="290">
        <f t="shared" si="50"/>
        <v>27</v>
      </c>
      <c r="AE459" s="290">
        <f t="shared" si="51"/>
        <v>243</v>
      </c>
    </row>
    <row r="460" spans="1:31" x14ac:dyDescent="0.25">
      <c r="A460" s="280"/>
      <c r="B460" s="331">
        <f>Crop!B496</f>
        <v>42087</v>
      </c>
      <c r="C460" s="332">
        <f t="shared" si="52"/>
        <v>270</v>
      </c>
      <c r="D460" s="332" t="str">
        <f t="shared" si="53"/>
        <v/>
      </c>
      <c r="E460" s="332">
        <f t="shared" si="54"/>
        <v>27</v>
      </c>
      <c r="F460" s="332">
        <f t="shared" si="55"/>
        <v>243</v>
      </c>
      <c r="G460" s="241"/>
      <c r="H460" s="241"/>
      <c r="I460" s="241"/>
      <c r="J460" s="241"/>
      <c r="K460" s="289"/>
      <c r="L460" s="289"/>
      <c r="M460" s="241"/>
      <c r="N460" s="241"/>
      <c r="O460" s="241"/>
      <c r="P460" s="241"/>
      <c r="Q460" s="241"/>
      <c r="R460" s="241"/>
      <c r="S460" s="241"/>
      <c r="T460" s="241"/>
      <c r="U460" s="241"/>
      <c r="V460" s="241"/>
      <c r="W460" s="241"/>
      <c r="X460" s="241"/>
      <c r="Y460" s="241"/>
      <c r="Z460" s="241"/>
      <c r="AA460" s="241"/>
      <c r="AB460" s="290">
        <f t="shared" si="48"/>
        <v>270</v>
      </c>
      <c r="AC460" s="290" t="e">
        <f t="shared" si="49"/>
        <v>#N/A</v>
      </c>
      <c r="AD460" s="290">
        <f t="shared" si="50"/>
        <v>27</v>
      </c>
      <c r="AE460" s="290">
        <f t="shared" si="51"/>
        <v>243</v>
      </c>
    </row>
    <row r="461" spans="1:31" x14ac:dyDescent="0.25">
      <c r="A461" s="280"/>
      <c r="B461" s="331">
        <f>Crop!B497</f>
        <v>42088</v>
      </c>
      <c r="C461" s="332">
        <f t="shared" si="52"/>
        <v>270</v>
      </c>
      <c r="D461" s="332" t="str">
        <f t="shared" si="53"/>
        <v/>
      </c>
      <c r="E461" s="332">
        <f t="shared" si="54"/>
        <v>27</v>
      </c>
      <c r="F461" s="332">
        <f t="shared" si="55"/>
        <v>243</v>
      </c>
      <c r="G461" s="241"/>
      <c r="H461" s="241"/>
      <c r="I461" s="241"/>
      <c r="J461" s="241"/>
      <c r="K461" s="289"/>
      <c r="L461" s="289"/>
      <c r="M461" s="241"/>
      <c r="N461" s="241"/>
      <c r="O461" s="241"/>
      <c r="P461" s="241"/>
      <c r="Q461" s="241"/>
      <c r="R461" s="241"/>
      <c r="S461" s="241"/>
      <c r="T461" s="241"/>
      <c r="U461" s="241"/>
      <c r="V461" s="241"/>
      <c r="W461" s="241"/>
      <c r="X461" s="241"/>
      <c r="Y461" s="241"/>
      <c r="Z461" s="241"/>
      <c r="AA461" s="241"/>
      <c r="AB461" s="290">
        <f t="shared" ref="AB461:AB524" si="56">IF(C461="",#N/A,C461)</f>
        <v>270</v>
      </c>
      <c r="AC461" s="290" t="e">
        <f t="shared" ref="AC461:AC524" si="57">IF(D461="",#N/A,D461)</f>
        <v>#N/A</v>
      </c>
      <c r="AD461" s="290">
        <f t="shared" ref="AD461:AD524" si="58">IF(E461="",#N/A,E461)</f>
        <v>27</v>
      </c>
      <c r="AE461" s="290">
        <f t="shared" ref="AE461:AE524" si="59">IF(F461="",#N/A,F461)</f>
        <v>243</v>
      </c>
    </row>
    <row r="462" spans="1:31" x14ac:dyDescent="0.25">
      <c r="A462" s="280"/>
      <c r="B462" s="331">
        <f>Crop!B498</f>
        <v>42089</v>
      </c>
      <c r="C462" s="332">
        <f t="shared" ref="C462:C525" si="60">G$8</f>
        <v>270</v>
      </c>
      <c r="D462" s="332" t="str">
        <f t="shared" ref="D462:D525" si="61">IF(B462=B$6,AC$6,IF(B462&gt;B$10,"",IF(B462&gt;=B$9,D461+AD$9,IF(B462&gt;B$8,D461+AD$8,IF(B462&gt;B$7,D461+AD$7,IF(B462&gt;B$6,AC$6,""))))))</f>
        <v/>
      </c>
      <c r="E462" s="332">
        <f t="shared" ref="E462:E525" si="62">IF($B462&lt;B$6,150*F$8,IF($B462=$B$6,L$6,IF($B462&gt;$B$10,150*F$8,IF($B462&gt;=$B$9,E461+AB$9,IF($B462&gt;$B$8,E461+AB$8,IF($B462&gt;$B$7,E461+AB$7,IF($B462&gt;$B$6,L$6,"")))))))</f>
        <v>27</v>
      </c>
      <c r="F462" s="332">
        <f t="shared" si="55"/>
        <v>243</v>
      </c>
      <c r="G462" s="241"/>
      <c r="H462" s="241"/>
      <c r="I462" s="241"/>
      <c r="J462" s="241"/>
      <c r="K462" s="289"/>
      <c r="L462" s="289"/>
      <c r="M462" s="241"/>
      <c r="N462" s="241"/>
      <c r="O462" s="241"/>
      <c r="P462" s="241"/>
      <c r="Q462" s="241"/>
      <c r="R462" s="241"/>
      <c r="S462" s="241"/>
      <c r="T462" s="241"/>
      <c r="U462" s="241"/>
      <c r="V462" s="241"/>
      <c r="W462" s="241"/>
      <c r="X462" s="241"/>
      <c r="Y462" s="241"/>
      <c r="Z462" s="241"/>
      <c r="AA462" s="241"/>
      <c r="AB462" s="290">
        <f t="shared" si="56"/>
        <v>270</v>
      </c>
      <c r="AC462" s="290" t="e">
        <f t="shared" si="57"/>
        <v>#N/A</v>
      </c>
      <c r="AD462" s="290">
        <f t="shared" si="58"/>
        <v>27</v>
      </c>
      <c r="AE462" s="290">
        <f t="shared" si="59"/>
        <v>243</v>
      </c>
    </row>
    <row r="463" spans="1:31" x14ac:dyDescent="0.25">
      <c r="A463" s="280"/>
      <c r="B463" s="331">
        <f>Crop!B499</f>
        <v>42090</v>
      </c>
      <c r="C463" s="332">
        <f t="shared" si="60"/>
        <v>270</v>
      </c>
      <c r="D463" s="332" t="str">
        <f t="shared" si="61"/>
        <v/>
      </c>
      <c r="E463" s="332">
        <f t="shared" si="62"/>
        <v>27</v>
      </c>
      <c r="F463" s="332">
        <f t="shared" ref="F463:F526" si="63">IF(C463="","",C463-E463)</f>
        <v>243</v>
      </c>
      <c r="G463" s="241"/>
      <c r="H463" s="241"/>
      <c r="I463" s="241"/>
      <c r="J463" s="241"/>
      <c r="K463" s="289"/>
      <c r="L463" s="289"/>
      <c r="M463" s="241"/>
      <c r="N463" s="241"/>
      <c r="O463" s="241"/>
      <c r="P463" s="241"/>
      <c r="Q463" s="241"/>
      <c r="R463" s="241"/>
      <c r="S463" s="241"/>
      <c r="T463" s="241"/>
      <c r="U463" s="241"/>
      <c r="V463" s="241"/>
      <c r="W463" s="241"/>
      <c r="X463" s="241"/>
      <c r="Y463" s="241"/>
      <c r="Z463" s="241"/>
      <c r="AA463" s="241"/>
      <c r="AB463" s="290">
        <f t="shared" si="56"/>
        <v>270</v>
      </c>
      <c r="AC463" s="290" t="e">
        <f t="shared" si="57"/>
        <v>#N/A</v>
      </c>
      <c r="AD463" s="290">
        <f t="shared" si="58"/>
        <v>27</v>
      </c>
      <c r="AE463" s="290">
        <f t="shared" si="59"/>
        <v>243</v>
      </c>
    </row>
    <row r="464" spans="1:31" x14ac:dyDescent="0.25">
      <c r="A464" s="280"/>
      <c r="B464" s="331">
        <f>Crop!B500</f>
        <v>42091</v>
      </c>
      <c r="C464" s="332">
        <f t="shared" si="60"/>
        <v>270</v>
      </c>
      <c r="D464" s="332" t="str">
        <f t="shared" si="61"/>
        <v/>
      </c>
      <c r="E464" s="332">
        <f t="shared" si="62"/>
        <v>27</v>
      </c>
      <c r="F464" s="332">
        <f t="shared" si="63"/>
        <v>243</v>
      </c>
      <c r="G464" s="241"/>
      <c r="H464" s="241"/>
      <c r="I464" s="241"/>
      <c r="J464" s="241"/>
      <c r="K464" s="289"/>
      <c r="L464" s="289"/>
      <c r="M464" s="241"/>
      <c r="N464" s="241"/>
      <c r="O464" s="241"/>
      <c r="P464" s="241"/>
      <c r="Q464" s="241"/>
      <c r="R464" s="241"/>
      <c r="S464" s="241"/>
      <c r="T464" s="241"/>
      <c r="U464" s="241"/>
      <c r="V464" s="241"/>
      <c r="W464" s="241"/>
      <c r="X464" s="241"/>
      <c r="Y464" s="241"/>
      <c r="Z464" s="241"/>
      <c r="AA464" s="241"/>
      <c r="AB464" s="290">
        <f t="shared" si="56"/>
        <v>270</v>
      </c>
      <c r="AC464" s="290" t="e">
        <f t="shared" si="57"/>
        <v>#N/A</v>
      </c>
      <c r="AD464" s="290">
        <f t="shared" si="58"/>
        <v>27</v>
      </c>
      <c r="AE464" s="290">
        <f t="shared" si="59"/>
        <v>243</v>
      </c>
    </row>
    <row r="465" spans="1:31" x14ac:dyDescent="0.25">
      <c r="A465" s="280"/>
      <c r="B465" s="331">
        <f>Crop!B501</f>
        <v>42092</v>
      </c>
      <c r="C465" s="332">
        <f t="shared" si="60"/>
        <v>270</v>
      </c>
      <c r="D465" s="332" t="str">
        <f t="shared" si="61"/>
        <v/>
      </c>
      <c r="E465" s="332">
        <f t="shared" si="62"/>
        <v>27</v>
      </c>
      <c r="F465" s="332">
        <f t="shared" si="63"/>
        <v>243</v>
      </c>
      <c r="G465" s="241"/>
      <c r="H465" s="241"/>
      <c r="I465" s="241"/>
      <c r="J465" s="241"/>
      <c r="K465" s="289"/>
      <c r="L465" s="289"/>
      <c r="M465" s="241"/>
      <c r="N465" s="241"/>
      <c r="O465" s="241"/>
      <c r="P465" s="241"/>
      <c r="Q465" s="241"/>
      <c r="R465" s="241"/>
      <c r="S465" s="241"/>
      <c r="T465" s="241"/>
      <c r="U465" s="241"/>
      <c r="V465" s="241"/>
      <c r="W465" s="241"/>
      <c r="X465" s="241"/>
      <c r="Y465" s="241"/>
      <c r="Z465" s="241"/>
      <c r="AA465" s="241"/>
      <c r="AB465" s="290">
        <f t="shared" si="56"/>
        <v>270</v>
      </c>
      <c r="AC465" s="290" t="e">
        <f t="shared" si="57"/>
        <v>#N/A</v>
      </c>
      <c r="AD465" s="290">
        <f t="shared" si="58"/>
        <v>27</v>
      </c>
      <c r="AE465" s="290">
        <f t="shared" si="59"/>
        <v>243</v>
      </c>
    </row>
    <row r="466" spans="1:31" x14ac:dyDescent="0.25">
      <c r="A466" s="280"/>
      <c r="B466" s="331">
        <f>Crop!B502</f>
        <v>42093</v>
      </c>
      <c r="C466" s="332">
        <f t="shared" si="60"/>
        <v>270</v>
      </c>
      <c r="D466" s="332" t="str">
        <f t="shared" si="61"/>
        <v/>
      </c>
      <c r="E466" s="332">
        <f t="shared" si="62"/>
        <v>27</v>
      </c>
      <c r="F466" s="332">
        <f t="shared" si="63"/>
        <v>243</v>
      </c>
      <c r="G466" s="241"/>
      <c r="H466" s="241"/>
      <c r="I466" s="241"/>
      <c r="J466" s="241"/>
      <c r="K466" s="289"/>
      <c r="L466" s="289"/>
      <c r="M466" s="241"/>
      <c r="N466" s="241"/>
      <c r="O466" s="241"/>
      <c r="P466" s="241"/>
      <c r="Q466" s="241"/>
      <c r="R466" s="241"/>
      <c r="S466" s="241"/>
      <c r="T466" s="241"/>
      <c r="U466" s="241"/>
      <c r="V466" s="241"/>
      <c r="W466" s="241"/>
      <c r="X466" s="241"/>
      <c r="Y466" s="241"/>
      <c r="Z466" s="241"/>
      <c r="AA466" s="241"/>
      <c r="AB466" s="290">
        <f t="shared" si="56"/>
        <v>270</v>
      </c>
      <c r="AC466" s="290" t="e">
        <f t="shared" si="57"/>
        <v>#N/A</v>
      </c>
      <c r="AD466" s="290">
        <f t="shared" si="58"/>
        <v>27</v>
      </c>
      <c r="AE466" s="290">
        <f t="shared" si="59"/>
        <v>243</v>
      </c>
    </row>
    <row r="467" spans="1:31" x14ac:dyDescent="0.25">
      <c r="A467" s="280"/>
      <c r="B467" s="331">
        <f>Crop!B503</f>
        <v>42094</v>
      </c>
      <c r="C467" s="332">
        <f t="shared" si="60"/>
        <v>270</v>
      </c>
      <c r="D467" s="332" t="str">
        <f t="shared" si="61"/>
        <v/>
      </c>
      <c r="E467" s="332">
        <f t="shared" si="62"/>
        <v>27</v>
      </c>
      <c r="F467" s="332">
        <f t="shared" si="63"/>
        <v>243</v>
      </c>
      <c r="G467" s="241"/>
      <c r="H467" s="241"/>
      <c r="I467" s="241"/>
      <c r="J467" s="241"/>
      <c r="K467" s="289"/>
      <c r="L467" s="289"/>
      <c r="M467" s="241"/>
      <c r="N467" s="241"/>
      <c r="O467" s="241"/>
      <c r="P467" s="241"/>
      <c r="Q467" s="241"/>
      <c r="R467" s="241"/>
      <c r="S467" s="241"/>
      <c r="T467" s="241"/>
      <c r="U467" s="241"/>
      <c r="V467" s="241"/>
      <c r="W467" s="241"/>
      <c r="X467" s="241"/>
      <c r="Y467" s="241"/>
      <c r="Z467" s="241"/>
      <c r="AA467" s="241"/>
      <c r="AB467" s="290">
        <f t="shared" si="56"/>
        <v>270</v>
      </c>
      <c r="AC467" s="290" t="e">
        <f t="shared" si="57"/>
        <v>#N/A</v>
      </c>
      <c r="AD467" s="290">
        <f t="shared" si="58"/>
        <v>27</v>
      </c>
      <c r="AE467" s="290">
        <f t="shared" si="59"/>
        <v>243</v>
      </c>
    </row>
    <row r="468" spans="1:31" x14ac:dyDescent="0.25">
      <c r="A468" s="280"/>
      <c r="B468" s="331">
        <f>Crop!B504</f>
        <v>42095</v>
      </c>
      <c r="C468" s="332">
        <f t="shared" si="60"/>
        <v>270</v>
      </c>
      <c r="D468" s="332" t="str">
        <f t="shared" si="61"/>
        <v/>
      </c>
      <c r="E468" s="332">
        <f t="shared" si="62"/>
        <v>27</v>
      </c>
      <c r="F468" s="332">
        <f t="shared" si="63"/>
        <v>243</v>
      </c>
      <c r="G468" s="241"/>
      <c r="H468" s="241"/>
      <c r="I468" s="241"/>
      <c r="J468" s="241"/>
      <c r="K468" s="289"/>
      <c r="L468" s="289"/>
      <c r="M468" s="241"/>
      <c r="N468" s="241"/>
      <c r="O468" s="241"/>
      <c r="P468" s="241"/>
      <c r="Q468" s="241"/>
      <c r="R468" s="241"/>
      <c r="S468" s="241"/>
      <c r="T468" s="241"/>
      <c r="U468" s="241"/>
      <c r="V468" s="241"/>
      <c r="W468" s="241"/>
      <c r="X468" s="241"/>
      <c r="Y468" s="241"/>
      <c r="Z468" s="241"/>
      <c r="AA468" s="241"/>
      <c r="AB468" s="290">
        <f t="shared" si="56"/>
        <v>270</v>
      </c>
      <c r="AC468" s="290" t="e">
        <f t="shared" si="57"/>
        <v>#N/A</v>
      </c>
      <c r="AD468" s="290">
        <f t="shared" si="58"/>
        <v>27</v>
      </c>
      <c r="AE468" s="290">
        <f t="shared" si="59"/>
        <v>243</v>
      </c>
    </row>
    <row r="469" spans="1:31" x14ac:dyDescent="0.25">
      <c r="A469" s="280"/>
      <c r="B469" s="331">
        <f>Crop!B505</f>
        <v>42096</v>
      </c>
      <c r="C469" s="332">
        <f t="shared" si="60"/>
        <v>270</v>
      </c>
      <c r="D469" s="332" t="str">
        <f t="shared" si="61"/>
        <v/>
      </c>
      <c r="E469" s="332">
        <f t="shared" si="62"/>
        <v>27</v>
      </c>
      <c r="F469" s="332">
        <f t="shared" si="63"/>
        <v>243</v>
      </c>
      <c r="G469" s="241"/>
      <c r="H469" s="241"/>
      <c r="I469" s="241"/>
      <c r="J469" s="241"/>
      <c r="K469" s="289"/>
      <c r="L469" s="289"/>
      <c r="M469" s="241"/>
      <c r="N469" s="241"/>
      <c r="O469" s="241"/>
      <c r="P469" s="241"/>
      <c r="Q469" s="241"/>
      <c r="R469" s="241"/>
      <c r="S469" s="241"/>
      <c r="T469" s="241"/>
      <c r="U469" s="241"/>
      <c r="V469" s="241"/>
      <c r="W469" s="241"/>
      <c r="X469" s="241"/>
      <c r="Y469" s="241"/>
      <c r="Z469" s="241"/>
      <c r="AA469" s="241"/>
      <c r="AB469" s="290">
        <f t="shared" si="56"/>
        <v>270</v>
      </c>
      <c r="AC469" s="290" t="e">
        <f t="shared" si="57"/>
        <v>#N/A</v>
      </c>
      <c r="AD469" s="290">
        <f t="shared" si="58"/>
        <v>27</v>
      </c>
      <c r="AE469" s="290">
        <f t="shared" si="59"/>
        <v>243</v>
      </c>
    </row>
    <row r="470" spans="1:31" x14ac:dyDescent="0.25">
      <c r="A470" s="280"/>
      <c r="B470" s="331">
        <f>Crop!B506</f>
        <v>42097</v>
      </c>
      <c r="C470" s="332">
        <f t="shared" si="60"/>
        <v>270</v>
      </c>
      <c r="D470" s="332" t="str">
        <f t="shared" si="61"/>
        <v/>
      </c>
      <c r="E470" s="332">
        <f t="shared" si="62"/>
        <v>27</v>
      </c>
      <c r="F470" s="332">
        <f t="shared" si="63"/>
        <v>243</v>
      </c>
      <c r="G470" s="241"/>
      <c r="H470" s="241"/>
      <c r="I470" s="241"/>
      <c r="J470" s="241"/>
      <c r="K470" s="289"/>
      <c r="L470" s="289"/>
      <c r="M470" s="241"/>
      <c r="N470" s="241"/>
      <c r="O470" s="241"/>
      <c r="P470" s="241"/>
      <c r="Q470" s="241"/>
      <c r="R470" s="241"/>
      <c r="S470" s="241"/>
      <c r="T470" s="241"/>
      <c r="U470" s="241"/>
      <c r="V470" s="241"/>
      <c r="W470" s="241"/>
      <c r="X470" s="241"/>
      <c r="Y470" s="241"/>
      <c r="Z470" s="241"/>
      <c r="AA470" s="241"/>
      <c r="AB470" s="290">
        <f t="shared" si="56"/>
        <v>270</v>
      </c>
      <c r="AC470" s="290" t="e">
        <f t="shared" si="57"/>
        <v>#N/A</v>
      </c>
      <c r="AD470" s="290">
        <f t="shared" si="58"/>
        <v>27</v>
      </c>
      <c r="AE470" s="290">
        <f t="shared" si="59"/>
        <v>243</v>
      </c>
    </row>
    <row r="471" spans="1:31" x14ac:dyDescent="0.25">
      <c r="A471" s="280"/>
      <c r="B471" s="331">
        <f>Crop!B507</f>
        <v>42098</v>
      </c>
      <c r="C471" s="332">
        <f t="shared" si="60"/>
        <v>270</v>
      </c>
      <c r="D471" s="332" t="str">
        <f t="shared" si="61"/>
        <v/>
      </c>
      <c r="E471" s="332">
        <f t="shared" si="62"/>
        <v>27</v>
      </c>
      <c r="F471" s="332">
        <f t="shared" si="63"/>
        <v>243</v>
      </c>
      <c r="G471" s="241"/>
      <c r="H471" s="241"/>
      <c r="I471" s="241"/>
      <c r="J471" s="241"/>
      <c r="K471" s="289"/>
      <c r="L471" s="289"/>
      <c r="M471" s="241"/>
      <c r="N471" s="241"/>
      <c r="O471" s="241"/>
      <c r="P471" s="241"/>
      <c r="Q471" s="241"/>
      <c r="R471" s="241"/>
      <c r="S471" s="241"/>
      <c r="T471" s="241"/>
      <c r="U471" s="241"/>
      <c r="V471" s="241"/>
      <c r="W471" s="241"/>
      <c r="X471" s="241"/>
      <c r="Y471" s="241"/>
      <c r="Z471" s="241"/>
      <c r="AA471" s="241"/>
      <c r="AB471" s="290">
        <f t="shared" si="56"/>
        <v>270</v>
      </c>
      <c r="AC471" s="290" t="e">
        <f t="shared" si="57"/>
        <v>#N/A</v>
      </c>
      <c r="AD471" s="290">
        <f t="shared" si="58"/>
        <v>27</v>
      </c>
      <c r="AE471" s="290">
        <f t="shared" si="59"/>
        <v>243</v>
      </c>
    </row>
    <row r="472" spans="1:31" x14ac:dyDescent="0.25">
      <c r="A472" s="280"/>
      <c r="B472" s="331">
        <f>Crop!B508</f>
        <v>42099</v>
      </c>
      <c r="C472" s="332">
        <f t="shared" si="60"/>
        <v>270</v>
      </c>
      <c r="D472" s="332" t="str">
        <f t="shared" si="61"/>
        <v/>
      </c>
      <c r="E472" s="332">
        <f t="shared" si="62"/>
        <v>27</v>
      </c>
      <c r="F472" s="332">
        <f t="shared" si="63"/>
        <v>243</v>
      </c>
      <c r="G472" s="241"/>
      <c r="H472" s="241"/>
      <c r="I472" s="241"/>
      <c r="J472" s="241"/>
      <c r="K472" s="289"/>
      <c r="L472" s="289"/>
      <c r="M472" s="241"/>
      <c r="N472" s="241"/>
      <c r="O472" s="241"/>
      <c r="P472" s="241"/>
      <c r="Q472" s="241"/>
      <c r="R472" s="241"/>
      <c r="S472" s="241"/>
      <c r="T472" s="241"/>
      <c r="U472" s="241"/>
      <c r="V472" s="241"/>
      <c r="W472" s="241"/>
      <c r="X472" s="241"/>
      <c r="Y472" s="241"/>
      <c r="Z472" s="241"/>
      <c r="AA472" s="241"/>
      <c r="AB472" s="290">
        <f t="shared" si="56"/>
        <v>270</v>
      </c>
      <c r="AC472" s="290" t="e">
        <f t="shared" si="57"/>
        <v>#N/A</v>
      </c>
      <c r="AD472" s="290">
        <f t="shared" si="58"/>
        <v>27</v>
      </c>
      <c r="AE472" s="290">
        <f t="shared" si="59"/>
        <v>243</v>
      </c>
    </row>
    <row r="473" spans="1:31" x14ac:dyDescent="0.25">
      <c r="A473" s="280"/>
      <c r="B473" s="331">
        <f>Crop!B509</f>
        <v>42100</v>
      </c>
      <c r="C473" s="332">
        <f t="shared" si="60"/>
        <v>270</v>
      </c>
      <c r="D473" s="332" t="str">
        <f t="shared" si="61"/>
        <v/>
      </c>
      <c r="E473" s="332">
        <f t="shared" si="62"/>
        <v>27</v>
      </c>
      <c r="F473" s="332">
        <f t="shared" si="63"/>
        <v>243</v>
      </c>
      <c r="G473" s="241"/>
      <c r="H473" s="241"/>
      <c r="I473" s="241"/>
      <c r="J473" s="241"/>
      <c r="K473" s="289"/>
      <c r="L473" s="289"/>
      <c r="M473" s="241"/>
      <c r="N473" s="241"/>
      <c r="O473" s="241"/>
      <c r="P473" s="241"/>
      <c r="Q473" s="241"/>
      <c r="R473" s="241"/>
      <c r="S473" s="241"/>
      <c r="T473" s="241"/>
      <c r="U473" s="241"/>
      <c r="V473" s="241"/>
      <c r="W473" s="241"/>
      <c r="X473" s="241"/>
      <c r="Y473" s="241"/>
      <c r="Z473" s="241"/>
      <c r="AA473" s="241"/>
      <c r="AB473" s="290">
        <f t="shared" si="56"/>
        <v>270</v>
      </c>
      <c r="AC473" s="290" t="e">
        <f t="shared" si="57"/>
        <v>#N/A</v>
      </c>
      <c r="AD473" s="290">
        <f t="shared" si="58"/>
        <v>27</v>
      </c>
      <c r="AE473" s="290">
        <f t="shared" si="59"/>
        <v>243</v>
      </c>
    </row>
    <row r="474" spans="1:31" x14ac:dyDescent="0.25">
      <c r="A474" s="280"/>
      <c r="B474" s="331">
        <f>Crop!B510</f>
        <v>42101</v>
      </c>
      <c r="C474" s="332">
        <f t="shared" si="60"/>
        <v>270</v>
      </c>
      <c r="D474" s="332" t="str">
        <f t="shared" si="61"/>
        <v/>
      </c>
      <c r="E474" s="332">
        <f t="shared" si="62"/>
        <v>27</v>
      </c>
      <c r="F474" s="332">
        <f t="shared" si="63"/>
        <v>243</v>
      </c>
      <c r="G474" s="241"/>
      <c r="H474" s="241"/>
      <c r="I474" s="241"/>
      <c r="J474" s="241"/>
      <c r="K474" s="289"/>
      <c r="L474" s="289"/>
      <c r="M474" s="241"/>
      <c r="N474" s="241"/>
      <c r="O474" s="241"/>
      <c r="P474" s="241"/>
      <c r="Q474" s="241"/>
      <c r="R474" s="241"/>
      <c r="S474" s="241"/>
      <c r="T474" s="241"/>
      <c r="U474" s="241"/>
      <c r="V474" s="241"/>
      <c r="W474" s="241"/>
      <c r="X474" s="241"/>
      <c r="Y474" s="241"/>
      <c r="Z474" s="241"/>
      <c r="AA474" s="241"/>
      <c r="AB474" s="290">
        <f t="shared" si="56"/>
        <v>270</v>
      </c>
      <c r="AC474" s="290" t="e">
        <f t="shared" si="57"/>
        <v>#N/A</v>
      </c>
      <c r="AD474" s="290">
        <f t="shared" si="58"/>
        <v>27</v>
      </c>
      <c r="AE474" s="290">
        <f t="shared" si="59"/>
        <v>243</v>
      </c>
    </row>
    <row r="475" spans="1:31" x14ac:dyDescent="0.25">
      <c r="A475" s="280"/>
      <c r="B475" s="331">
        <f>Crop!B511</f>
        <v>42102</v>
      </c>
      <c r="C475" s="332">
        <f t="shared" si="60"/>
        <v>270</v>
      </c>
      <c r="D475" s="332" t="str">
        <f t="shared" si="61"/>
        <v/>
      </c>
      <c r="E475" s="332">
        <f t="shared" si="62"/>
        <v>27</v>
      </c>
      <c r="F475" s="332">
        <f t="shared" si="63"/>
        <v>243</v>
      </c>
      <c r="G475" s="241"/>
      <c r="H475" s="241"/>
      <c r="I475" s="241"/>
      <c r="J475" s="241"/>
      <c r="K475" s="289"/>
      <c r="L475" s="289"/>
      <c r="M475" s="241"/>
      <c r="N475" s="241"/>
      <c r="O475" s="241"/>
      <c r="P475" s="241"/>
      <c r="Q475" s="241"/>
      <c r="R475" s="241"/>
      <c r="S475" s="241"/>
      <c r="T475" s="241"/>
      <c r="U475" s="241"/>
      <c r="V475" s="241"/>
      <c r="W475" s="241"/>
      <c r="X475" s="241"/>
      <c r="Y475" s="241"/>
      <c r="Z475" s="241"/>
      <c r="AA475" s="241"/>
      <c r="AB475" s="290">
        <f t="shared" si="56"/>
        <v>270</v>
      </c>
      <c r="AC475" s="290" t="e">
        <f t="shared" si="57"/>
        <v>#N/A</v>
      </c>
      <c r="AD475" s="290">
        <f t="shared" si="58"/>
        <v>27</v>
      </c>
      <c r="AE475" s="290">
        <f t="shared" si="59"/>
        <v>243</v>
      </c>
    </row>
    <row r="476" spans="1:31" x14ac:dyDescent="0.25">
      <c r="A476" s="280"/>
      <c r="B476" s="331">
        <f>Crop!B512</f>
        <v>42103</v>
      </c>
      <c r="C476" s="332">
        <f t="shared" si="60"/>
        <v>270</v>
      </c>
      <c r="D476" s="332" t="str">
        <f t="shared" si="61"/>
        <v/>
      </c>
      <c r="E476" s="332">
        <f t="shared" si="62"/>
        <v>27</v>
      </c>
      <c r="F476" s="332">
        <f t="shared" si="63"/>
        <v>243</v>
      </c>
      <c r="G476" s="241"/>
      <c r="H476" s="241"/>
      <c r="I476" s="241"/>
      <c r="J476" s="241"/>
      <c r="K476" s="289"/>
      <c r="L476" s="289"/>
      <c r="M476" s="241"/>
      <c r="N476" s="241"/>
      <c r="O476" s="241"/>
      <c r="P476" s="241"/>
      <c r="Q476" s="241"/>
      <c r="R476" s="241"/>
      <c r="S476" s="241"/>
      <c r="T476" s="241"/>
      <c r="U476" s="241"/>
      <c r="V476" s="241"/>
      <c r="W476" s="241"/>
      <c r="X476" s="241"/>
      <c r="Y476" s="241"/>
      <c r="Z476" s="241"/>
      <c r="AA476" s="241"/>
      <c r="AB476" s="290">
        <f t="shared" si="56"/>
        <v>270</v>
      </c>
      <c r="AC476" s="290" t="e">
        <f t="shared" si="57"/>
        <v>#N/A</v>
      </c>
      <c r="AD476" s="290">
        <f t="shared" si="58"/>
        <v>27</v>
      </c>
      <c r="AE476" s="290">
        <f t="shared" si="59"/>
        <v>243</v>
      </c>
    </row>
    <row r="477" spans="1:31" x14ac:dyDescent="0.25">
      <c r="A477" s="280"/>
      <c r="B477" s="331">
        <f>Crop!B513</f>
        <v>42104</v>
      </c>
      <c r="C477" s="332">
        <f t="shared" si="60"/>
        <v>270</v>
      </c>
      <c r="D477" s="332" t="str">
        <f t="shared" si="61"/>
        <v/>
      </c>
      <c r="E477" s="332">
        <f t="shared" si="62"/>
        <v>27</v>
      </c>
      <c r="F477" s="332">
        <f t="shared" si="63"/>
        <v>243</v>
      </c>
      <c r="G477" s="241"/>
      <c r="H477" s="241"/>
      <c r="I477" s="241"/>
      <c r="J477" s="241"/>
      <c r="K477" s="289"/>
      <c r="L477" s="289"/>
      <c r="M477" s="241"/>
      <c r="N477" s="241"/>
      <c r="O477" s="241"/>
      <c r="P477" s="241"/>
      <c r="Q477" s="241"/>
      <c r="R477" s="241"/>
      <c r="S477" s="241"/>
      <c r="T477" s="241"/>
      <c r="U477" s="241"/>
      <c r="V477" s="241"/>
      <c r="W477" s="241"/>
      <c r="X477" s="241"/>
      <c r="Y477" s="241"/>
      <c r="Z477" s="241"/>
      <c r="AA477" s="241"/>
      <c r="AB477" s="290">
        <f t="shared" si="56"/>
        <v>270</v>
      </c>
      <c r="AC477" s="290" t="e">
        <f t="shared" si="57"/>
        <v>#N/A</v>
      </c>
      <c r="AD477" s="290">
        <f t="shared" si="58"/>
        <v>27</v>
      </c>
      <c r="AE477" s="290">
        <f t="shared" si="59"/>
        <v>243</v>
      </c>
    </row>
    <row r="478" spans="1:31" x14ac:dyDescent="0.25">
      <c r="A478" s="280"/>
      <c r="B478" s="331">
        <f>Crop!B514</f>
        <v>42105</v>
      </c>
      <c r="C478" s="332">
        <f t="shared" si="60"/>
        <v>270</v>
      </c>
      <c r="D478" s="332" t="str">
        <f t="shared" si="61"/>
        <v/>
      </c>
      <c r="E478" s="332">
        <f t="shared" si="62"/>
        <v>27</v>
      </c>
      <c r="F478" s="332">
        <f t="shared" si="63"/>
        <v>243</v>
      </c>
      <c r="G478" s="241"/>
      <c r="H478" s="241"/>
      <c r="I478" s="241"/>
      <c r="J478" s="241"/>
      <c r="K478" s="289"/>
      <c r="L478" s="289"/>
      <c r="M478" s="241"/>
      <c r="N478" s="241"/>
      <c r="O478" s="241"/>
      <c r="P478" s="241"/>
      <c r="Q478" s="241"/>
      <c r="R478" s="241"/>
      <c r="S478" s="241"/>
      <c r="T478" s="241"/>
      <c r="U478" s="241"/>
      <c r="V478" s="241"/>
      <c r="W478" s="241"/>
      <c r="X478" s="241"/>
      <c r="Y478" s="241"/>
      <c r="Z478" s="241"/>
      <c r="AA478" s="241"/>
      <c r="AB478" s="290">
        <f t="shared" si="56"/>
        <v>270</v>
      </c>
      <c r="AC478" s="290" t="e">
        <f t="shared" si="57"/>
        <v>#N/A</v>
      </c>
      <c r="AD478" s="290">
        <f t="shared" si="58"/>
        <v>27</v>
      </c>
      <c r="AE478" s="290">
        <f t="shared" si="59"/>
        <v>243</v>
      </c>
    </row>
    <row r="479" spans="1:31" x14ac:dyDescent="0.25">
      <c r="A479" s="280"/>
      <c r="B479" s="331">
        <f>Crop!B515</f>
        <v>42106</v>
      </c>
      <c r="C479" s="332">
        <f t="shared" si="60"/>
        <v>270</v>
      </c>
      <c r="D479" s="332" t="str">
        <f t="shared" si="61"/>
        <v/>
      </c>
      <c r="E479" s="332">
        <f t="shared" si="62"/>
        <v>27</v>
      </c>
      <c r="F479" s="332">
        <f t="shared" si="63"/>
        <v>243</v>
      </c>
      <c r="G479" s="241"/>
      <c r="H479" s="241"/>
      <c r="I479" s="241"/>
      <c r="J479" s="241"/>
      <c r="K479" s="289"/>
      <c r="L479" s="289"/>
      <c r="M479" s="241"/>
      <c r="N479" s="241"/>
      <c r="O479" s="241"/>
      <c r="P479" s="241"/>
      <c r="Q479" s="241"/>
      <c r="R479" s="241"/>
      <c r="S479" s="241"/>
      <c r="T479" s="241"/>
      <c r="U479" s="241"/>
      <c r="V479" s="241"/>
      <c r="W479" s="241"/>
      <c r="X479" s="241"/>
      <c r="Y479" s="241"/>
      <c r="Z479" s="241"/>
      <c r="AA479" s="241"/>
      <c r="AB479" s="290">
        <f t="shared" si="56"/>
        <v>270</v>
      </c>
      <c r="AC479" s="290" t="e">
        <f t="shared" si="57"/>
        <v>#N/A</v>
      </c>
      <c r="AD479" s="290">
        <f t="shared" si="58"/>
        <v>27</v>
      </c>
      <c r="AE479" s="290">
        <f t="shared" si="59"/>
        <v>243</v>
      </c>
    </row>
    <row r="480" spans="1:31" x14ac:dyDescent="0.25">
      <c r="A480" s="280"/>
      <c r="B480" s="331">
        <f>Crop!B516</f>
        <v>42107</v>
      </c>
      <c r="C480" s="332">
        <f t="shared" si="60"/>
        <v>270</v>
      </c>
      <c r="D480" s="332" t="str">
        <f t="shared" si="61"/>
        <v/>
      </c>
      <c r="E480" s="332">
        <f t="shared" si="62"/>
        <v>27</v>
      </c>
      <c r="F480" s="332">
        <f t="shared" si="63"/>
        <v>243</v>
      </c>
      <c r="G480" s="241"/>
      <c r="H480" s="241"/>
      <c r="I480" s="241"/>
      <c r="J480" s="241"/>
      <c r="K480" s="289"/>
      <c r="L480" s="289"/>
      <c r="M480" s="241"/>
      <c r="N480" s="241"/>
      <c r="O480" s="241"/>
      <c r="P480" s="241"/>
      <c r="Q480" s="241"/>
      <c r="R480" s="241"/>
      <c r="S480" s="241"/>
      <c r="T480" s="241"/>
      <c r="U480" s="241"/>
      <c r="V480" s="241"/>
      <c r="W480" s="241"/>
      <c r="X480" s="241"/>
      <c r="Y480" s="241"/>
      <c r="Z480" s="241"/>
      <c r="AA480" s="241"/>
      <c r="AB480" s="290">
        <f t="shared" si="56"/>
        <v>270</v>
      </c>
      <c r="AC480" s="290" t="e">
        <f t="shared" si="57"/>
        <v>#N/A</v>
      </c>
      <c r="AD480" s="290">
        <f t="shared" si="58"/>
        <v>27</v>
      </c>
      <c r="AE480" s="290">
        <f t="shared" si="59"/>
        <v>243</v>
      </c>
    </row>
    <row r="481" spans="1:31" x14ac:dyDescent="0.25">
      <c r="A481" s="280"/>
      <c r="B481" s="331">
        <f>Crop!B517</f>
        <v>42108</v>
      </c>
      <c r="C481" s="332">
        <f t="shared" si="60"/>
        <v>270</v>
      </c>
      <c r="D481" s="332" t="str">
        <f t="shared" si="61"/>
        <v/>
      </c>
      <c r="E481" s="332">
        <f t="shared" si="62"/>
        <v>27</v>
      </c>
      <c r="F481" s="332">
        <f t="shared" si="63"/>
        <v>243</v>
      </c>
      <c r="G481" s="241"/>
      <c r="H481" s="241"/>
      <c r="I481" s="241"/>
      <c r="J481" s="241"/>
      <c r="K481" s="289"/>
      <c r="L481" s="289"/>
      <c r="M481" s="241"/>
      <c r="N481" s="241"/>
      <c r="O481" s="241"/>
      <c r="P481" s="241"/>
      <c r="Q481" s="241"/>
      <c r="R481" s="241"/>
      <c r="S481" s="241"/>
      <c r="T481" s="241"/>
      <c r="U481" s="241"/>
      <c r="V481" s="241"/>
      <c r="W481" s="241"/>
      <c r="X481" s="241"/>
      <c r="Y481" s="241"/>
      <c r="Z481" s="241"/>
      <c r="AA481" s="241"/>
      <c r="AB481" s="290">
        <f t="shared" si="56"/>
        <v>270</v>
      </c>
      <c r="AC481" s="290" t="e">
        <f t="shared" si="57"/>
        <v>#N/A</v>
      </c>
      <c r="AD481" s="290">
        <f t="shared" si="58"/>
        <v>27</v>
      </c>
      <c r="AE481" s="290">
        <f t="shared" si="59"/>
        <v>243</v>
      </c>
    </row>
    <row r="482" spans="1:31" x14ac:dyDescent="0.25">
      <c r="A482" s="280"/>
      <c r="B482" s="331">
        <f>Crop!B518</f>
        <v>42109</v>
      </c>
      <c r="C482" s="332">
        <f t="shared" si="60"/>
        <v>270</v>
      </c>
      <c r="D482" s="332" t="str">
        <f t="shared" si="61"/>
        <v/>
      </c>
      <c r="E482" s="332">
        <f t="shared" si="62"/>
        <v>27</v>
      </c>
      <c r="F482" s="332">
        <f t="shared" si="63"/>
        <v>243</v>
      </c>
      <c r="G482" s="241"/>
      <c r="H482" s="241"/>
      <c r="I482" s="241"/>
      <c r="J482" s="241"/>
      <c r="K482" s="289"/>
      <c r="L482" s="289"/>
      <c r="M482" s="241"/>
      <c r="N482" s="241"/>
      <c r="O482" s="241"/>
      <c r="P482" s="241"/>
      <c r="Q482" s="241"/>
      <c r="R482" s="241"/>
      <c r="S482" s="241"/>
      <c r="T482" s="241"/>
      <c r="U482" s="241"/>
      <c r="V482" s="241"/>
      <c r="W482" s="241"/>
      <c r="X482" s="241"/>
      <c r="Y482" s="241"/>
      <c r="Z482" s="241"/>
      <c r="AA482" s="241"/>
      <c r="AB482" s="290">
        <f t="shared" si="56"/>
        <v>270</v>
      </c>
      <c r="AC482" s="290" t="e">
        <f t="shared" si="57"/>
        <v>#N/A</v>
      </c>
      <c r="AD482" s="290">
        <f t="shared" si="58"/>
        <v>27</v>
      </c>
      <c r="AE482" s="290">
        <f t="shared" si="59"/>
        <v>243</v>
      </c>
    </row>
    <row r="483" spans="1:31" x14ac:dyDescent="0.25">
      <c r="A483" s="280"/>
      <c r="B483" s="331">
        <f>Crop!B519</f>
        <v>42110</v>
      </c>
      <c r="C483" s="332">
        <f t="shared" si="60"/>
        <v>270</v>
      </c>
      <c r="D483" s="332" t="str">
        <f t="shared" si="61"/>
        <v/>
      </c>
      <c r="E483" s="332">
        <f t="shared" si="62"/>
        <v>27</v>
      </c>
      <c r="F483" s="332">
        <f t="shared" si="63"/>
        <v>243</v>
      </c>
      <c r="G483" s="241"/>
      <c r="H483" s="241"/>
      <c r="I483" s="241"/>
      <c r="J483" s="241"/>
      <c r="K483" s="289"/>
      <c r="L483" s="289"/>
      <c r="M483" s="241"/>
      <c r="N483" s="241"/>
      <c r="O483" s="241"/>
      <c r="P483" s="241"/>
      <c r="Q483" s="241"/>
      <c r="R483" s="241"/>
      <c r="S483" s="241"/>
      <c r="T483" s="241"/>
      <c r="U483" s="241"/>
      <c r="V483" s="241"/>
      <c r="W483" s="241"/>
      <c r="X483" s="241"/>
      <c r="Y483" s="241"/>
      <c r="Z483" s="241"/>
      <c r="AA483" s="241"/>
      <c r="AB483" s="290">
        <f t="shared" si="56"/>
        <v>270</v>
      </c>
      <c r="AC483" s="290" t="e">
        <f t="shared" si="57"/>
        <v>#N/A</v>
      </c>
      <c r="AD483" s="290">
        <f t="shared" si="58"/>
        <v>27</v>
      </c>
      <c r="AE483" s="290">
        <f t="shared" si="59"/>
        <v>243</v>
      </c>
    </row>
    <row r="484" spans="1:31" ht="20.25" x14ac:dyDescent="0.3">
      <c r="A484" s="280"/>
      <c r="B484" s="331">
        <f>Crop!B520</f>
        <v>42111</v>
      </c>
      <c r="C484" s="332">
        <f t="shared" si="60"/>
        <v>270</v>
      </c>
      <c r="D484" s="332" t="str">
        <f t="shared" si="61"/>
        <v/>
      </c>
      <c r="E484" s="332">
        <f t="shared" si="62"/>
        <v>27</v>
      </c>
      <c r="F484" s="332">
        <f t="shared" si="63"/>
        <v>243</v>
      </c>
      <c r="G484" s="241"/>
      <c r="H484" s="354"/>
      <c r="I484" s="354"/>
      <c r="J484" s="354"/>
      <c r="K484" s="354"/>
      <c r="L484" s="354"/>
      <c r="M484" s="241"/>
      <c r="N484" s="241"/>
      <c r="O484" s="241"/>
      <c r="P484" s="241"/>
      <c r="Q484" s="241"/>
      <c r="R484" s="241"/>
      <c r="S484" s="241"/>
      <c r="T484" s="241"/>
      <c r="U484" s="241"/>
      <c r="V484" s="241"/>
      <c r="W484" s="241"/>
      <c r="X484" s="241"/>
      <c r="Y484" s="241"/>
      <c r="Z484" s="241"/>
      <c r="AA484" s="241"/>
      <c r="AB484" s="290">
        <f t="shared" si="56"/>
        <v>270</v>
      </c>
      <c r="AC484" s="290" t="e">
        <f t="shared" si="57"/>
        <v>#N/A</v>
      </c>
      <c r="AD484" s="290">
        <f t="shared" si="58"/>
        <v>27</v>
      </c>
      <c r="AE484" s="290">
        <f t="shared" si="59"/>
        <v>243</v>
      </c>
    </row>
    <row r="485" spans="1:31" ht="20.25" x14ac:dyDescent="0.3">
      <c r="A485" s="280"/>
      <c r="B485" s="331">
        <f>Crop!B521</f>
        <v>42112</v>
      </c>
      <c r="C485" s="332">
        <f t="shared" si="60"/>
        <v>270</v>
      </c>
      <c r="D485" s="332" t="str">
        <f t="shared" si="61"/>
        <v/>
      </c>
      <c r="E485" s="332">
        <f t="shared" si="62"/>
        <v>27</v>
      </c>
      <c r="F485" s="332">
        <f t="shared" si="63"/>
        <v>243</v>
      </c>
      <c r="G485" s="241"/>
      <c r="H485" s="354"/>
      <c r="I485" s="354"/>
      <c r="J485" s="354"/>
      <c r="K485" s="354"/>
      <c r="L485" s="354"/>
      <c r="M485" s="241"/>
      <c r="N485" s="241"/>
      <c r="O485" s="241"/>
      <c r="P485" s="241"/>
      <c r="Q485" s="241"/>
      <c r="R485" s="241"/>
      <c r="S485" s="241"/>
      <c r="T485" s="241"/>
      <c r="U485" s="241"/>
      <c r="V485" s="241"/>
      <c r="W485" s="241"/>
      <c r="X485" s="241"/>
      <c r="Y485" s="241"/>
      <c r="Z485" s="241"/>
      <c r="AA485" s="241"/>
      <c r="AB485" s="290">
        <f t="shared" si="56"/>
        <v>270</v>
      </c>
      <c r="AC485" s="290" t="e">
        <f t="shared" si="57"/>
        <v>#N/A</v>
      </c>
      <c r="AD485" s="290">
        <f t="shared" si="58"/>
        <v>27</v>
      </c>
      <c r="AE485" s="290">
        <f t="shared" si="59"/>
        <v>243</v>
      </c>
    </row>
    <row r="486" spans="1:31" ht="20.25" x14ac:dyDescent="0.3">
      <c r="A486" s="280"/>
      <c r="B486" s="331">
        <f>Crop!B522</f>
        <v>42113</v>
      </c>
      <c r="C486" s="332">
        <f t="shared" si="60"/>
        <v>270</v>
      </c>
      <c r="D486" s="332" t="str">
        <f t="shared" si="61"/>
        <v/>
      </c>
      <c r="E486" s="332">
        <f t="shared" si="62"/>
        <v>27</v>
      </c>
      <c r="F486" s="332">
        <f t="shared" si="63"/>
        <v>243</v>
      </c>
      <c r="G486" s="241"/>
      <c r="H486" s="354"/>
      <c r="I486" s="354"/>
      <c r="J486" s="354"/>
      <c r="K486" s="354"/>
      <c r="L486" s="354"/>
      <c r="M486" s="241"/>
      <c r="N486" s="241"/>
      <c r="O486" s="241"/>
      <c r="P486" s="241"/>
      <c r="Q486" s="241"/>
      <c r="R486" s="241"/>
      <c r="S486" s="241"/>
      <c r="T486" s="241"/>
      <c r="U486" s="241"/>
      <c r="V486" s="241"/>
      <c r="W486" s="241"/>
      <c r="X486" s="241"/>
      <c r="Y486" s="241"/>
      <c r="Z486" s="241"/>
      <c r="AA486" s="241"/>
      <c r="AB486" s="290">
        <f t="shared" si="56"/>
        <v>270</v>
      </c>
      <c r="AC486" s="290" t="e">
        <f t="shared" si="57"/>
        <v>#N/A</v>
      </c>
      <c r="AD486" s="290">
        <f t="shared" si="58"/>
        <v>27</v>
      </c>
      <c r="AE486" s="290">
        <f t="shared" si="59"/>
        <v>243</v>
      </c>
    </row>
    <row r="487" spans="1:31" x14ac:dyDescent="0.25">
      <c r="A487" s="280"/>
      <c r="B487" s="331">
        <f>Crop!B523</f>
        <v>42114</v>
      </c>
      <c r="C487" s="332">
        <f t="shared" si="60"/>
        <v>270</v>
      </c>
      <c r="D487" s="332" t="str">
        <f t="shared" si="61"/>
        <v/>
      </c>
      <c r="E487" s="332">
        <f t="shared" si="62"/>
        <v>27</v>
      </c>
      <c r="F487" s="332">
        <f t="shared" si="63"/>
        <v>243</v>
      </c>
      <c r="G487" s="241"/>
      <c r="H487" s="241"/>
      <c r="I487" s="241"/>
      <c r="J487" s="241"/>
      <c r="K487" s="289"/>
      <c r="L487" s="289"/>
      <c r="M487" s="241"/>
      <c r="N487" s="241"/>
      <c r="O487" s="241"/>
      <c r="P487" s="241"/>
      <c r="Q487" s="241"/>
      <c r="R487" s="241"/>
      <c r="S487" s="241"/>
      <c r="T487" s="241"/>
      <c r="U487" s="241"/>
      <c r="V487" s="241"/>
      <c r="W487" s="241"/>
      <c r="X487" s="241"/>
      <c r="Y487" s="241"/>
      <c r="Z487" s="241"/>
      <c r="AA487" s="241"/>
      <c r="AB487" s="290">
        <f t="shared" si="56"/>
        <v>270</v>
      </c>
      <c r="AC487" s="290" t="e">
        <f t="shared" si="57"/>
        <v>#N/A</v>
      </c>
      <c r="AD487" s="290">
        <f t="shared" si="58"/>
        <v>27</v>
      </c>
      <c r="AE487" s="290">
        <f t="shared" si="59"/>
        <v>243</v>
      </c>
    </row>
    <row r="488" spans="1:31" x14ac:dyDescent="0.25">
      <c r="A488" s="280"/>
      <c r="B488" s="331">
        <f>Crop!B524</f>
        <v>42115</v>
      </c>
      <c r="C488" s="332">
        <f t="shared" si="60"/>
        <v>270</v>
      </c>
      <c r="D488" s="332" t="str">
        <f t="shared" si="61"/>
        <v/>
      </c>
      <c r="E488" s="332">
        <f t="shared" si="62"/>
        <v>27</v>
      </c>
      <c r="F488" s="332">
        <f t="shared" si="63"/>
        <v>243</v>
      </c>
      <c r="G488" s="241"/>
      <c r="H488" s="241"/>
      <c r="I488" s="241"/>
      <c r="J488" s="241"/>
      <c r="K488" s="289"/>
      <c r="L488" s="289"/>
      <c r="M488" s="241"/>
      <c r="N488" s="241"/>
      <c r="O488" s="241"/>
      <c r="P488" s="241"/>
      <c r="Q488" s="241"/>
      <c r="R488" s="241"/>
      <c r="S488" s="241"/>
      <c r="T488" s="241"/>
      <c r="U488" s="241"/>
      <c r="V488" s="241"/>
      <c r="W488" s="241"/>
      <c r="X488" s="241"/>
      <c r="Y488" s="241"/>
      <c r="Z488" s="241"/>
      <c r="AA488" s="241"/>
      <c r="AB488" s="290">
        <f t="shared" si="56"/>
        <v>270</v>
      </c>
      <c r="AC488" s="290" t="e">
        <f t="shared" si="57"/>
        <v>#N/A</v>
      </c>
      <c r="AD488" s="290">
        <f t="shared" si="58"/>
        <v>27</v>
      </c>
      <c r="AE488" s="290">
        <f t="shared" si="59"/>
        <v>243</v>
      </c>
    </row>
    <row r="489" spans="1:31" x14ac:dyDescent="0.25">
      <c r="A489" s="280"/>
      <c r="B489" s="331">
        <f>Crop!B525</f>
        <v>42116</v>
      </c>
      <c r="C489" s="332">
        <f t="shared" si="60"/>
        <v>270</v>
      </c>
      <c r="D489" s="332" t="str">
        <f t="shared" si="61"/>
        <v/>
      </c>
      <c r="E489" s="332">
        <f t="shared" si="62"/>
        <v>27</v>
      </c>
      <c r="F489" s="332">
        <f t="shared" si="63"/>
        <v>243</v>
      </c>
      <c r="G489" s="241"/>
      <c r="H489" s="241"/>
      <c r="I489" s="241"/>
      <c r="J489" s="241"/>
      <c r="K489" s="289"/>
      <c r="L489" s="289"/>
      <c r="M489" s="241"/>
      <c r="N489" s="241"/>
      <c r="O489" s="241"/>
      <c r="P489" s="241"/>
      <c r="Q489" s="241"/>
      <c r="R489" s="241"/>
      <c r="S489" s="241"/>
      <c r="T489" s="241"/>
      <c r="U489" s="241"/>
      <c r="V489" s="241"/>
      <c r="W489" s="241"/>
      <c r="X489" s="241"/>
      <c r="Y489" s="241"/>
      <c r="Z489" s="241"/>
      <c r="AA489" s="241"/>
      <c r="AB489" s="290">
        <f t="shared" si="56"/>
        <v>270</v>
      </c>
      <c r="AC489" s="290" t="e">
        <f t="shared" si="57"/>
        <v>#N/A</v>
      </c>
      <c r="AD489" s="290">
        <f t="shared" si="58"/>
        <v>27</v>
      </c>
      <c r="AE489" s="290">
        <f t="shared" si="59"/>
        <v>243</v>
      </c>
    </row>
    <row r="490" spans="1:31" x14ac:dyDescent="0.25">
      <c r="A490" s="280"/>
      <c r="B490" s="331">
        <f>Crop!B526</f>
        <v>42117</v>
      </c>
      <c r="C490" s="332">
        <f t="shared" si="60"/>
        <v>270</v>
      </c>
      <c r="D490" s="332" t="str">
        <f t="shared" si="61"/>
        <v/>
      </c>
      <c r="E490" s="332">
        <f t="shared" si="62"/>
        <v>27</v>
      </c>
      <c r="F490" s="332">
        <f t="shared" si="63"/>
        <v>243</v>
      </c>
      <c r="G490" s="241"/>
      <c r="H490" s="241"/>
      <c r="I490" s="241"/>
      <c r="J490" s="241"/>
      <c r="K490" s="289"/>
      <c r="L490" s="289"/>
      <c r="M490" s="241"/>
      <c r="N490" s="241"/>
      <c r="O490" s="241"/>
      <c r="P490" s="241"/>
      <c r="Q490" s="241"/>
      <c r="R490" s="241"/>
      <c r="S490" s="241"/>
      <c r="T490" s="241"/>
      <c r="U490" s="241"/>
      <c r="V490" s="241"/>
      <c r="W490" s="241"/>
      <c r="X490" s="241"/>
      <c r="Y490" s="241"/>
      <c r="Z490" s="241"/>
      <c r="AA490" s="241"/>
      <c r="AB490" s="290">
        <f t="shared" si="56"/>
        <v>270</v>
      </c>
      <c r="AC490" s="290" t="e">
        <f t="shared" si="57"/>
        <v>#N/A</v>
      </c>
      <c r="AD490" s="290">
        <f t="shared" si="58"/>
        <v>27</v>
      </c>
      <c r="AE490" s="290">
        <f t="shared" si="59"/>
        <v>243</v>
      </c>
    </row>
    <row r="491" spans="1:31" x14ac:dyDescent="0.25">
      <c r="A491" s="280"/>
      <c r="B491" s="331">
        <f>Crop!B527</f>
        <v>42118</v>
      </c>
      <c r="C491" s="332">
        <f t="shared" si="60"/>
        <v>270</v>
      </c>
      <c r="D491" s="332" t="str">
        <f t="shared" si="61"/>
        <v/>
      </c>
      <c r="E491" s="332">
        <f t="shared" si="62"/>
        <v>27</v>
      </c>
      <c r="F491" s="332">
        <f t="shared" si="63"/>
        <v>243</v>
      </c>
      <c r="G491" s="241"/>
      <c r="H491" s="241"/>
      <c r="I491" s="241"/>
      <c r="J491" s="241"/>
      <c r="K491" s="289"/>
      <c r="L491" s="289"/>
      <c r="M491" s="241"/>
      <c r="N491" s="241"/>
      <c r="O491" s="241"/>
      <c r="P491" s="241"/>
      <c r="Q491" s="241"/>
      <c r="R491" s="241"/>
      <c r="S491" s="241"/>
      <c r="T491" s="241"/>
      <c r="U491" s="241"/>
      <c r="V491" s="241"/>
      <c r="W491" s="241"/>
      <c r="X491" s="241"/>
      <c r="Y491" s="241"/>
      <c r="Z491" s="241"/>
      <c r="AA491" s="241"/>
      <c r="AB491" s="290">
        <f t="shared" si="56"/>
        <v>270</v>
      </c>
      <c r="AC491" s="290" t="e">
        <f t="shared" si="57"/>
        <v>#N/A</v>
      </c>
      <c r="AD491" s="290">
        <f t="shared" si="58"/>
        <v>27</v>
      </c>
      <c r="AE491" s="290">
        <f t="shared" si="59"/>
        <v>243</v>
      </c>
    </row>
    <row r="492" spans="1:31" x14ac:dyDescent="0.25">
      <c r="A492" s="280"/>
      <c r="B492" s="331">
        <f>Crop!B528</f>
        <v>42119</v>
      </c>
      <c r="C492" s="332">
        <f t="shared" si="60"/>
        <v>270</v>
      </c>
      <c r="D492" s="332" t="str">
        <f t="shared" si="61"/>
        <v/>
      </c>
      <c r="E492" s="332">
        <f t="shared" si="62"/>
        <v>27</v>
      </c>
      <c r="F492" s="332">
        <f t="shared" si="63"/>
        <v>243</v>
      </c>
      <c r="G492" s="241"/>
      <c r="H492" s="241"/>
      <c r="I492" s="241"/>
      <c r="J492" s="241"/>
      <c r="K492" s="289"/>
      <c r="L492" s="289"/>
      <c r="M492" s="241"/>
      <c r="N492" s="241"/>
      <c r="O492" s="241"/>
      <c r="P492" s="241"/>
      <c r="Q492" s="241"/>
      <c r="R492" s="241"/>
      <c r="S492" s="241"/>
      <c r="T492" s="241"/>
      <c r="U492" s="241"/>
      <c r="V492" s="241"/>
      <c r="W492" s="241"/>
      <c r="X492" s="241"/>
      <c r="Y492" s="241"/>
      <c r="Z492" s="241"/>
      <c r="AA492" s="241"/>
      <c r="AB492" s="290">
        <f t="shared" si="56"/>
        <v>270</v>
      </c>
      <c r="AC492" s="290" t="e">
        <f t="shared" si="57"/>
        <v>#N/A</v>
      </c>
      <c r="AD492" s="290">
        <f t="shared" si="58"/>
        <v>27</v>
      </c>
      <c r="AE492" s="290">
        <f t="shared" si="59"/>
        <v>243</v>
      </c>
    </row>
    <row r="493" spans="1:31" x14ac:dyDescent="0.25">
      <c r="A493" s="280"/>
      <c r="B493" s="331">
        <f>Crop!B529</f>
        <v>42120</v>
      </c>
      <c r="C493" s="332">
        <f t="shared" si="60"/>
        <v>270</v>
      </c>
      <c r="D493" s="332" t="str">
        <f t="shared" si="61"/>
        <v/>
      </c>
      <c r="E493" s="332">
        <f t="shared" si="62"/>
        <v>27</v>
      </c>
      <c r="F493" s="332">
        <f t="shared" si="63"/>
        <v>243</v>
      </c>
      <c r="G493" s="241"/>
      <c r="H493" s="241"/>
      <c r="I493" s="241"/>
      <c r="J493" s="241"/>
      <c r="K493" s="289"/>
      <c r="L493" s="289"/>
      <c r="M493" s="241"/>
      <c r="N493" s="241"/>
      <c r="O493" s="241"/>
      <c r="P493" s="241"/>
      <c r="Q493" s="241"/>
      <c r="R493" s="241"/>
      <c r="S493" s="241"/>
      <c r="T493" s="241"/>
      <c r="U493" s="241"/>
      <c r="V493" s="241"/>
      <c r="W493" s="241"/>
      <c r="X493" s="241"/>
      <c r="Y493" s="241"/>
      <c r="Z493" s="241"/>
      <c r="AA493" s="241"/>
      <c r="AB493" s="290">
        <f t="shared" si="56"/>
        <v>270</v>
      </c>
      <c r="AC493" s="290" t="e">
        <f t="shared" si="57"/>
        <v>#N/A</v>
      </c>
      <c r="AD493" s="290">
        <f t="shared" si="58"/>
        <v>27</v>
      </c>
      <c r="AE493" s="290">
        <f t="shared" si="59"/>
        <v>243</v>
      </c>
    </row>
    <row r="494" spans="1:31" x14ac:dyDescent="0.25">
      <c r="A494" s="280"/>
      <c r="B494" s="331">
        <f>Crop!B530</f>
        <v>42121</v>
      </c>
      <c r="C494" s="332">
        <f t="shared" si="60"/>
        <v>270</v>
      </c>
      <c r="D494" s="332" t="str">
        <f t="shared" si="61"/>
        <v/>
      </c>
      <c r="E494" s="332">
        <f t="shared" si="62"/>
        <v>27</v>
      </c>
      <c r="F494" s="332">
        <f t="shared" si="63"/>
        <v>243</v>
      </c>
      <c r="G494" s="241"/>
      <c r="H494" s="241"/>
      <c r="I494" s="241"/>
      <c r="J494" s="241"/>
      <c r="K494" s="289"/>
      <c r="L494" s="289"/>
      <c r="M494" s="241"/>
      <c r="N494" s="241"/>
      <c r="O494" s="241"/>
      <c r="P494" s="241"/>
      <c r="Q494" s="241"/>
      <c r="R494" s="241"/>
      <c r="S494" s="241"/>
      <c r="T494" s="241"/>
      <c r="U494" s="241"/>
      <c r="V494" s="241"/>
      <c r="W494" s="241"/>
      <c r="X494" s="241"/>
      <c r="Y494" s="241"/>
      <c r="Z494" s="241"/>
      <c r="AA494" s="241"/>
      <c r="AB494" s="290">
        <f t="shared" si="56"/>
        <v>270</v>
      </c>
      <c r="AC494" s="290" t="e">
        <f t="shared" si="57"/>
        <v>#N/A</v>
      </c>
      <c r="AD494" s="290">
        <f t="shared" si="58"/>
        <v>27</v>
      </c>
      <c r="AE494" s="290">
        <f t="shared" si="59"/>
        <v>243</v>
      </c>
    </row>
    <row r="495" spans="1:31" x14ac:dyDescent="0.25">
      <c r="A495" s="280"/>
      <c r="B495" s="331">
        <f>Crop!B531</f>
        <v>42122</v>
      </c>
      <c r="C495" s="332">
        <f t="shared" si="60"/>
        <v>270</v>
      </c>
      <c r="D495" s="332" t="str">
        <f t="shared" si="61"/>
        <v/>
      </c>
      <c r="E495" s="332">
        <f t="shared" si="62"/>
        <v>27</v>
      </c>
      <c r="F495" s="332">
        <f t="shared" si="63"/>
        <v>243</v>
      </c>
      <c r="G495" s="241"/>
      <c r="H495" s="241"/>
      <c r="I495" s="241"/>
      <c r="J495" s="241"/>
      <c r="K495" s="289"/>
      <c r="L495" s="289"/>
      <c r="M495" s="241"/>
      <c r="N495" s="241"/>
      <c r="O495" s="241"/>
      <c r="P495" s="241"/>
      <c r="Q495" s="241"/>
      <c r="R495" s="241"/>
      <c r="S495" s="241"/>
      <c r="T495" s="241"/>
      <c r="U495" s="241"/>
      <c r="V495" s="241"/>
      <c r="W495" s="241"/>
      <c r="X495" s="241"/>
      <c r="Y495" s="241"/>
      <c r="Z495" s="241"/>
      <c r="AA495" s="241"/>
      <c r="AB495" s="290">
        <f t="shared" si="56"/>
        <v>270</v>
      </c>
      <c r="AC495" s="290" t="e">
        <f t="shared" si="57"/>
        <v>#N/A</v>
      </c>
      <c r="AD495" s="290">
        <f t="shared" si="58"/>
        <v>27</v>
      </c>
      <c r="AE495" s="290">
        <f t="shared" si="59"/>
        <v>243</v>
      </c>
    </row>
    <row r="496" spans="1:31" x14ac:dyDescent="0.25">
      <c r="A496" s="280"/>
      <c r="B496" s="331">
        <f>Crop!B532</f>
        <v>42123</v>
      </c>
      <c r="C496" s="332">
        <f t="shared" si="60"/>
        <v>270</v>
      </c>
      <c r="D496" s="332" t="str">
        <f t="shared" si="61"/>
        <v/>
      </c>
      <c r="E496" s="332">
        <f t="shared" si="62"/>
        <v>27</v>
      </c>
      <c r="F496" s="332">
        <f t="shared" si="63"/>
        <v>243</v>
      </c>
      <c r="G496" s="241"/>
      <c r="H496" s="241"/>
      <c r="I496" s="241"/>
      <c r="J496" s="241"/>
      <c r="K496" s="289"/>
      <c r="L496" s="289"/>
      <c r="M496" s="241"/>
      <c r="N496" s="241"/>
      <c r="O496" s="241"/>
      <c r="P496" s="241"/>
      <c r="Q496" s="241"/>
      <c r="R496" s="241"/>
      <c r="S496" s="241"/>
      <c r="T496" s="241"/>
      <c r="U496" s="241"/>
      <c r="V496" s="241"/>
      <c r="W496" s="241"/>
      <c r="X496" s="241"/>
      <c r="Y496" s="241"/>
      <c r="Z496" s="241"/>
      <c r="AA496" s="241"/>
      <c r="AB496" s="290">
        <f t="shared" si="56"/>
        <v>270</v>
      </c>
      <c r="AC496" s="290" t="e">
        <f t="shared" si="57"/>
        <v>#N/A</v>
      </c>
      <c r="AD496" s="290">
        <f t="shared" si="58"/>
        <v>27</v>
      </c>
      <c r="AE496" s="290">
        <f t="shared" si="59"/>
        <v>243</v>
      </c>
    </row>
    <row r="497" spans="1:31" x14ac:dyDescent="0.25">
      <c r="A497" s="280"/>
      <c r="B497" s="331">
        <f>Crop!B533</f>
        <v>42124</v>
      </c>
      <c r="C497" s="332">
        <f t="shared" si="60"/>
        <v>270</v>
      </c>
      <c r="D497" s="332" t="str">
        <f t="shared" si="61"/>
        <v/>
      </c>
      <c r="E497" s="332">
        <f t="shared" si="62"/>
        <v>27</v>
      </c>
      <c r="F497" s="332">
        <f t="shared" si="63"/>
        <v>243</v>
      </c>
      <c r="G497" s="241"/>
      <c r="H497" s="241"/>
      <c r="I497" s="241"/>
      <c r="J497" s="241"/>
      <c r="K497" s="289"/>
      <c r="L497" s="289"/>
      <c r="M497" s="241"/>
      <c r="N497" s="241"/>
      <c r="O497" s="241"/>
      <c r="P497" s="241"/>
      <c r="Q497" s="241"/>
      <c r="R497" s="241"/>
      <c r="S497" s="241"/>
      <c r="T497" s="241"/>
      <c r="U497" s="241"/>
      <c r="V497" s="241"/>
      <c r="W497" s="241"/>
      <c r="X497" s="241"/>
      <c r="Y497" s="241"/>
      <c r="Z497" s="241"/>
      <c r="AA497" s="241"/>
      <c r="AB497" s="290">
        <f t="shared" si="56"/>
        <v>270</v>
      </c>
      <c r="AC497" s="290" t="e">
        <f t="shared" si="57"/>
        <v>#N/A</v>
      </c>
      <c r="AD497" s="290">
        <f t="shared" si="58"/>
        <v>27</v>
      </c>
      <c r="AE497" s="290">
        <f t="shared" si="59"/>
        <v>243</v>
      </c>
    </row>
    <row r="498" spans="1:31" x14ac:dyDescent="0.25">
      <c r="A498" s="280"/>
      <c r="B498" s="331">
        <f>Crop!B534</f>
        <v>42125</v>
      </c>
      <c r="C498" s="332">
        <f t="shared" si="60"/>
        <v>270</v>
      </c>
      <c r="D498" s="332" t="str">
        <f t="shared" si="61"/>
        <v/>
      </c>
      <c r="E498" s="332">
        <f t="shared" si="62"/>
        <v>27</v>
      </c>
      <c r="F498" s="332">
        <f t="shared" si="63"/>
        <v>243</v>
      </c>
      <c r="G498" s="241"/>
      <c r="H498" s="241"/>
      <c r="I498" s="241"/>
      <c r="J498" s="241"/>
      <c r="K498" s="289"/>
      <c r="L498" s="289"/>
      <c r="M498" s="241"/>
      <c r="N498" s="241"/>
      <c r="O498" s="241"/>
      <c r="P498" s="241"/>
      <c r="Q498" s="241"/>
      <c r="R498" s="241"/>
      <c r="S498" s="241"/>
      <c r="T498" s="241"/>
      <c r="U498" s="241"/>
      <c r="V498" s="241"/>
      <c r="W498" s="241"/>
      <c r="X498" s="241"/>
      <c r="Y498" s="241"/>
      <c r="Z498" s="241"/>
      <c r="AA498" s="241"/>
      <c r="AB498" s="290">
        <f t="shared" si="56"/>
        <v>270</v>
      </c>
      <c r="AC498" s="290" t="e">
        <f t="shared" si="57"/>
        <v>#N/A</v>
      </c>
      <c r="AD498" s="290">
        <f t="shared" si="58"/>
        <v>27</v>
      </c>
      <c r="AE498" s="290">
        <f t="shared" si="59"/>
        <v>243</v>
      </c>
    </row>
    <row r="499" spans="1:31" x14ac:dyDescent="0.25">
      <c r="A499" s="280"/>
      <c r="B499" s="331">
        <f>Crop!B535</f>
        <v>42126</v>
      </c>
      <c r="C499" s="332">
        <f t="shared" si="60"/>
        <v>270</v>
      </c>
      <c r="D499" s="332" t="str">
        <f t="shared" si="61"/>
        <v/>
      </c>
      <c r="E499" s="332">
        <f t="shared" si="62"/>
        <v>27</v>
      </c>
      <c r="F499" s="332">
        <f t="shared" si="63"/>
        <v>243</v>
      </c>
      <c r="G499" s="241"/>
      <c r="H499" s="241"/>
      <c r="I499" s="241"/>
      <c r="J499" s="241"/>
      <c r="K499" s="289"/>
      <c r="L499" s="289"/>
      <c r="M499" s="241"/>
      <c r="N499" s="241"/>
      <c r="O499" s="241"/>
      <c r="P499" s="241"/>
      <c r="Q499" s="241"/>
      <c r="R499" s="241"/>
      <c r="S499" s="241"/>
      <c r="T499" s="241"/>
      <c r="U499" s="241"/>
      <c r="V499" s="241"/>
      <c r="W499" s="241"/>
      <c r="X499" s="241"/>
      <c r="Y499" s="241"/>
      <c r="Z499" s="241"/>
      <c r="AA499" s="241"/>
      <c r="AB499" s="290">
        <f t="shared" si="56"/>
        <v>270</v>
      </c>
      <c r="AC499" s="290" t="e">
        <f t="shared" si="57"/>
        <v>#N/A</v>
      </c>
      <c r="AD499" s="290">
        <f t="shared" si="58"/>
        <v>27</v>
      </c>
      <c r="AE499" s="290">
        <f t="shared" si="59"/>
        <v>243</v>
      </c>
    </row>
    <row r="500" spans="1:31" x14ac:dyDescent="0.25">
      <c r="A500" s="280"/>
      <c r="B500" s="331">
        <f>Crop!B536</f>
        <v>42127</v>
      </c>
      <c r="C500" s="332">
        <f t="shared" si="60"/>
        <v>270</v>
      </c>
      <c r="D500" s="332" t="str">
        <f t="shared" si="61"/>
        <v/>
      </c>
      <c r="E500" s="332">
        <f t="shared" si="62"/>
        <v>27</v>
      </c>
      <c r="F500" s="332">
        <f t="shared" si="63"/>
        <v>243</v>
      </c>
      <c r="G500" s="241"/>
      <c r="H500" s="241"/>
      <c r="I500" s="241"/>
      <c r="J500" s="241"/>
      <c r="K500" s="289"/>
      <c r="L500" s="289"/>
      <c r="M500" s="241"/>
      <c r="N500" s="241"/>
      <c r="O500" s="241"/>
      <c r="P500" s="241"/>
      <c r="Q500" s="241"/>
      <c r="R500" s="241"/>
      <c r="S500" s="241"/>
      <c r="T500" s="241"/>
      <c r="U500" s="241"/>
      <c r="V500" s="241"/>
      <c r="W500" s="241"/>
      <c r="X500" s="241"/>
      <c r="Y500" s="241"/>
      <c r="Z500" s="241"/>
      <c r="AA500" s="241"/>
      <c r="AB500" s="290">
        <f t="shared" si="56"/>
        <v>270</v>
      </c>
      <c r="AC500" s="290" t="e">
        <f t="shared" si="57"/>
        <v>#N/A</v>
      </c>
      <c r="AD500" s="290">
        <f t="shared" si="58"/>
        <v>27</v>
      </c>
      <c r="AE500" s="290">
        <f t="shared" si="59"/>
        <v>243</v>
      </c>
    </row>
    <row r="501" spans="1:31" x14ac:dyDescent="0.25">
      <c r="A501" s="280"/>
      <c r="B501" s="331">
        <f>Crop!B537</f>
        <v>42128</v>
      </c>
      <c r="C501" s="332">
        <f t="shared" si="60"/>
        <v>270</v>
      </c>
      <c r="D501" s="332" t="str">
        <f t="shared" si="61"/>
        <v/>
      </c>
      <c r="E501" s="332">
        <f t="shared" si="62"/>
        <v>27</v>
      </c>
      <c r="F501" s="332">
        <f t="shared" si="63"/>
        <v>243</v>
      </c>
      <c r="G501" s="241"/>
      <c r="H501" s="241"/>
      <c r="I501" s="241"/>
      <c r="J501" s="241"/>
      <c r="K501" s="289"/>
      <c r="L501" s="289"/>
      <c r="M501" s="241"/>
      <c r="N501" s="241"/>
      <c r="O501" s="241"/>
      <c r="P501" s="241"/>
      <c r="Q501" s="241"/>
      <c r="R501" s="241"/>
      <c r="S501" s="241"/>
      <c r="T501" s="241"/>
      <c r="U501" s="241"/>
      <c r="V501" s="241"/>
      <c r="W501" s="241"/>
      <c r="X501" s="241"/>
      <c r="Y501" s="241"/>
      <c r="Z501" s="241"/>
      <c r="AA501" s="241"/>
      <c r="AB501" s="290">
        <f t="shared" si="56"/>
        <v>270</v>
      </c>
      <c r="AC501" s="290" t="e">
        <f t="shared" si="57"/>
        <v>#N/A</v>
      </c>
      <c r="AD501" s="290">
        <f t="shared" si="58"/>
        <v>27</v>
      </c>
      <c r="AE501" s="290">
        <f t="shared" si="59"/>
        <v>243</v>
      </c>
    </row>
    <row r="502" spans="1:31" x14ac:dyDescent="0.25">
      <c r="A502" s="280"/>
      <c r="B502" s="331">
        <f>Crop!B538</f>
        <v>42129</v>
      </c>
      <c r="C502" s="332">
        <f t="shared" si="60"/>
        <v>270</v>
      </c>
      <c r="D502" s="332" t="str">
        <f t="shared" si="61"/>
        <v/>
      </c>
      <c r="E502" s="332">
        <f t="shared" si="62"/>
        <v>27</v>
      </c>
      <c r="F502" s="332">
        <f t="shared" si="63"/>
        <v>243</v>
      </c>
      <c r="G502" s="241"/>
      <c r="H502" s="241"/>
      <c r="I502" s="241"/>
      <c r="J502" s="241"/>
      <c r="K502" s="289"/>
      <c r="L502" s="289"/>
      <c r="M502" s="241"/>
      <c r="N502" s="241"/>
      <c r="O502" s="241"/>
      <c r="P502" s="241"/>
      <c r="Q502" s="241"/>
      <c r="R502" s="241"/>
      <c r="S502" s="241"/>
      <c r="T502" s="241"/>
      <c r="U502" s="241"/>
      <c r="V502" s="241"/>
      <c r="W502" s="241"/>
      <c r="X502" s="241"/>
      <c r="Y502" s="241"/>
      <c r="Z502" s="241"/>
      <c r="AA502" s="241"/>
      <c r="AB502" s="290">
        <f t="shared" si="56"/>
        <v>270</v>
      </c>
      <c r="AC502" s="290" t="e">
        <f t="shared" si="57"/>
        <v>#N/A</v>
      </c>
      <c r="AD502" s="290">
        <f t="shared" si="58"/>
        <v>27</v>
      </c>
      <c r="AE502" s="290">
        <f t="shared" si="59"/>
        <v>243</v>
      </c>
    </row>
    <row r="503" spans="1:31" x14ac:dyDescent="0.25">
      <c r="A503" s="280"/>
      <c r="B503" s="331">
        <f>Crop!B539</f>
        <v>42130</v>
      </c>
      <c r="C503" s="332">
        <f t="shared" si="60"/>
        <v>270</v>
      </c>
      <c r="D503" s="332" t="str">
        <f t="shared" si="61"/>
        <v/>
      </c>
      <c r="E503" s="332">
        <f t="shared" si="62"/>
        <v>27</v>
      </c>
      <c r="F503" s="332">
        <f t="shared" si="63"/>
        <v>243</v>
      </c>
      <c r="G503" s="241"/>
      <c r="H503" s="241"/>
      <c r="I503" s="241"/>
      <c r="J503" s="241"/>
      <c r="K503" s="289"/>
      <c r="L503" s="289"/>
      <c r="M503" s="241"/>
      <c r="N503" s="241"/>
      <c r="O503" s="241"/>
      <c r="P503" s="241"/>
      <c r="Q503" s="241"/>
      <c r="R503" s="241"/>
      <c r="S503" s="241"/>
      <c r="T503" s="241"/>
      <c r="U503" s="241"/>
      <c r="V503" s="241"/>
      <c r="W503" s="241"/>
      <c r="X503" s="241"/>
      <c r="Y503" s="241"/>
      <c r="Z503" s="241"/>
      <c r="AA503" s="241"/>
      <c r="AB503" s="290">
        <f t="shared" si="56"/>
        <v>270</v>
      </c>
      <c r="AC503" s="290" t="e">
        <f t="shared" si="57"/>
        <v>#N/A</v>
      </c>
      <c r="AD503" s="290">
        <f t="shared" si="58"/>
        <v>27</v>
      </c>
      <c r="AE503" s="290">
        <f t="shared" si="59"/>
        <v>243</v>
      </c>
    </row>
    <row r="504" spans="1:31" x14ac:dyDescent="0.25">
      <c r="A504" s="280"/>
      <c r="B504" s="331">
        <f>Crop!B540</f>
        <v>42131</v>
      </c>
      <c r="C504" s="332">
        <f t="shared" si="60"/>
        <v>270</v>
      </c>
      <c r="D504" s="332" t="str">
        <f t="shared" si="61"/>
        <v/>
      </c>
      <c r="E504" s="332">
        <f t="shared" si="62"/>
        <v>27</v>
      </c>
      <c r="F504" s="332">
        <f t="shared" si="63"/>
        <v>243</v>
      </c>
      <c r="G504" s="241"/>
      <c r="H504" s="241"/>
      <c r="I504" s="241"/>
      <c r="J504" s="241"/>
      <c r="K504" s="289"/>
      <c r="L504" s="289"/>
      <c r="M504" s="241"/>
      <c r="N504" s="241"/>
      <c r="O504" s="241"/>
      <c r="P504" s="241"/>
      <c r="Q504" s="241"/>
      <c r="R504" s="241"/>
      <c r="S504" s="241"/>
      <c r="T504" s="241"/>
      <c r="U504" s="241"/>
      <c r="V504" s="241"/>
      <c r="W504" s="241"/>
      <c r="X504" s="241"/>
      <c r="Y504" s="241"/>
      <c r="Z504" s="241"/>
      <c r="AA504" s="241"/>
      <c r="AB504" s="290">
        <f t="shared" si="56"/>
        <v>270</v>
      </c>
      <c r="AC504" s="290" t="e">
        <f t="shared" si="57"/>
        <v>#N/A</v>
      </c>
      <c r="AD504" s="290">
        <f t="shared" si="58"/>
        <v>27</v>
      </c>
      <c r="AE504" s="290">
        <f t="shared" si="59"/>
        <v>243</v>
      </c>
    </row>
    <row r="505" spans="1:31" x14ac:dyDescent="0.25">
      <c r="A505" s="280"/>
      <c r="B505" s="331">
        <f>Crop!B541</f>
        <v>42132</v>
      </c>
      <c r="C505" s="332">
        <f t="shared" si="60"/>
        <v>270</v>
      </c>
      <c r="D505" s="332" t="str">
        <f t="shared" si="61"/>
        <v/>
      </c>
      <c r="E505" s="332">
        <f t="shared" si="62"/>
        <v>27</v>
      </c>
      <c r="F505" s="332">
        <f t="shared" si="63"/>
        <v>243</v>
      </c>
      <c r="G505" s="241"/>
      <c r="H505" s="241"/>
      <c r="I505" s="241"/>
      <c r="J505" s="241"/>
      <c r="K505" s="289"/>
      <c r="L505" s="289"/>
      <c r="M505" s="241"/>
      <c r="N505" s="241"/>
      <c r="O505" s="241"/>
      <c r="P505" s="241"/>
      <c r="Q505" s="241"/>
      <c r="R505" s="241"/>
      <c r="S505" s="241"/>
      <c r="T505" s="241"/>
      <c r="U505" s="241"/>
      <c r="V505" s="241"/>
      <c r="W505" s="241"/>
      <c r="X505" s="241"/>
      <c r="Y505" s="241"/>
      <c r="Z505" s="241"/>
      <c r="AA505" s="241"/>
      <c r="AB505" s="290">
        <f t="shared" si="56"/>
        <v>270</v>
      </c>
      <c r="AC505" s="290" t="e">
        <f t="shared" si="57"/>
        <v>#N/A</v>
      </c>
      <c r="AD505" s="290">
        <f t="shared" si="58"/>
        <v>27</v>
      </c>
      <c r="AE505" s="290">
        <f t="shared" si="59"/>
        <v>243</v>
      </c>
    </row>
    <row r="506" spans="1:31" x14ac:dyDescent="0.25">
      <c r="A506" s="280"/>
      <c r="B506" s="331">
        <f>Crop!B542</f>
        <v>42133</v>
      </c>
      <c r="C506" s="332">
        <f t="shared" si="60"/>
        <v>270</v>
      </c>
      <c r="D506" s="332" t="str">
        <f t="shared" si="61"/>
        <v/>
      </c>
      <c r="E506" s="332">
        <f t="shared" si="62"/>
        <v>27</v>
      </c>
      <c r="F506" s="332">
        <f t="shared" si="63"/>
        <v>243</v>
      </c>
      <c r="G506" s="241"/>
      <c r="H506" s="241"/>
      <c r="I506" s="241"/>
      <c r="J506" s="241"/>
      <c r="K506" s="289"/>
      <c r="L506" s="289"/>
      <c r="M506" s="241"/>
      <c r="N506" s="241"/>
      <c r="O506" s="241"/>
      <c r="P506" s="241"/>
      <c r="Q506" s="241"/>
      <c r="R506" s="241"/>
      <c r="S506" s="241"/>
      <c r="T506" s="241"/>
      <c r="U506" s="241"/>
      <c r="V506" s="241"/>
      <c r="W506" s="241"/>
      <c r="X506" s="241"/>
      <c r="Y506" s="241"/>
      <c r="Z506" s="241"/>
      <c r="AA506" s="241"/>
      <c r="AB506" s="290">
        <f t="shared" si="56"/>
        <v>270</v>
      </c>
      <c r="AC506" s="290" t="e">
        <f t="shared" si="57"/>
        <v>#N/A</v>
      </c>
      <c r="AD506" s="290">
        <f t="shared" si="58"/>
        <v>27</v>
      </c>
      <c r="AE506" s="290">
        <f t="shared" si="59"/>
        <v>243</v>
      </c>
    </row>
    <row r="507" spans="1:31" x14ac:dyDescent="0.25">
      <c r="A507" s="280"/>
      <c r="B507" s="331">
        <f>Crop!B543</f>
        <v>42134</v>
      </c>
      <c r="C507" s="332">
        <f t="shared" si="60"/>
        <v>270</v>
      </c>
      <c r="D507" s="332" t="str">
        <f t="shared" si="61"/>
        <v/>
      </c>
      <c r="E507" s="332">
        <f t="shared" si="62"/>
        <v>27</v>
      </c>
      <c r="F507" s="332">
        <f t="shared" si="63"/>
        <v>243</v>
      </c>
      <c r="G507" s="241"/>
      <c r="H507" s="241"/>
      <c r="I507" s="241"/>
      <c r="J507" s="241"/>
      <c r="K507" s="289"/>
      <c r="L507" s="289"/>
      <c r="M507" s="241"/>
      <c r="N507" s="241"/>
      <c r="O507" s="241"/>
      <c r="P507" s="241"/>
      <c r="Q507" s="241"/>
      <c r="R507" s="241"/>
      <c r="S507" s="241"/>
      <c r="T507" s="241"/>
      <c r="U507" s="241"/>
      <c r="V507" s="241"/>
      <c r="W507" s="241"/>
      <c r="X507" s="241"/>
      <c r="Y507" s="241"/>
      <c r="Z507" s="241"/>
      <c r="AA507" s="241"/>
      <c r="AB507" s="290">
        <f t="shared" si="56"/>
        <v>270</v>
      </c>
      <c r="AC507" s="290" t="e">
        <f t="shared" si="57"/>
        <v>#N/A</v>
      </c>
      <c r="AD507" s="290">
        <f t="shared" si="58"/>
        <v>27</v>
      </c>
      <c r="AE507" s="290">
        <f t="shared" si="59"/>
        <v>243</v>
      </c>
    </row>
    <row r="508" spans="1:31" x14ac:dyDescent="0.25">
      <c r="A508" s="280"/>
      <c r="B508" s="331">
        <f>Crop!B544</f>
        <v>42135</v>
      </c>
      <c r="C508" s="332">
        <f t="shared" si="60"/>
        <v>270</v>
      </c>
      <c r="D508" s="332" t="str">
        <f t="shared" si="61"/>
        <v/>
      </c>
      <c r="E508" s="332">
        <f t="shared" si="62"/>
        <v>27</v>
      </c>
      <c r="F508" s="332">
        <f t="shared" si="63"/>
        <v>243</v>
      </c>
      <c r="G508" s="241"/>
      <c r="H508" s="241"/>
      <c r="I508" s="241"/>
      <c r="J508" s="241"/>
      <c r="K508" s="289"/>
      <c r="L508" s="289"/>
      <c r="M508" s="241"/>
      <c r="N508" s="241"/>
      <c r="O508" s="241"/>
      <c r="P508" s="241"/>
      <c r="Q508" s="241"/>
      <c r="R508" s="241"/>
      <c r="S508" s="241"/>
      <c r="T508" s="241"/>
      <c r="U508" s="241"/>
      <c r="V508" s="241"/>
      <c r="W508" s="241"/>
      <c r="X508" s="241"/>
      <c r="Y508" s="241"/>
      <c r="Z508" s="241"/>
      <c r="AA508" s="241"/>
      <c r="AB508" s="290">
        <f t="shared" si="56"/>
        <v>270</v>
      </c>
      <c r="AC508" s="290" t="e">
        <f t="shared" si="57"/>
        <v>#N/A</v>
      </c>
      <c r="AD508" s="290">
        <f t="shared" si="58"/>
        <v>27</v>
      </c>
      <c r="AE508" s="290">
        <f t="shared" si="59"/>
        <v>243</v>
      </c>
    </row>
    <row r="509" spans="1:31" x14ac:dyDescent="0.25">
      <c r="A509" s="280"/>
      <c r="B509" s="331">
        <f>Crop!B545</f>
        <v>42136</v>
      </c>
      <c r="C509" s="332">
        <f t="shared" si="60"/>
        <v>270</v>
      </c>
      <c r="D509" s="332" t="str">
        <f t="shared" si="61"/>
        <v/>
      </c>
      <c r="E509" s="332">
        <f t="shared" si="62"/>
        <v>27</v>
      </c>
      <c r="F509" s="332">
        <f t="shared" si="63"/>
        <v>243</v>
      </c>
      <c r="G509" s="241"/>
      <c r="H509" s="241"/>
      <c r="I509" s="241"/>
      <c r="J509" s="241"/>
      <c r="K509" s="289"/>
      <c r="L509" s="289"/>
      <c r="M509" s="241"/>
      <c r="N509" s="241"/>
      <c r="O509" s="241"/>
      <c r="P509" s="241"/>
      <c r="Q509" s="241"/>
      <c r="R509" s="241"/>
      <c r="S509" s="241"/>
      <c r="T509" s="241"/>
      <c r="U509" s="241"/>
      <c r="V509" s="241"/>
      <c r="W509" s="241"/>
      <c r="X509" s="241"/>
      <c r="Y509" s="241"/>
      <c r="Z509" s="241"/>
      <c r="AA509" s="241"/>
      <c r="AB509" s="290">
        <f t="shared" si="56"/>
        <v>270</v>
      </c>
      <c r="AC509" s="290" t="e">
        <f t="shared" si="57"/>
        <v>#N/A</v>
      </c>
      <c r="AD509" s="290">
        <f t="shared" si="58"/>
        <v>27</v>
      </c>
      <c r="AE509" s="290">
        <f t="shared" si="59"/>
        <v>243</v>
      </c>
    </row>
    <row r="510" spans="1:31" x14ac:dyDescent="0.25">
      <c r="A510" s="280"/>
      <c r="B510" s="331">
        <f>Crop!B546</f>
        <v>42137</v>
      </c>
      <c r="C510" s="332">
        <f t="shared" si="60"/>
        <v>270</v>
      </c>
      <c r="D510" s="332" t="str">
        <f t="shared" si="61"/>
        <v/>
      </c>
      <c r="E510" s="332">
        <f t="shared" si="62"/>
        <v>27</v>
      </c>
      <c r="F510" s="332">
        <f t="shared" si="63"/>
        <v>243</v>
      </c>
      <c r="G510" s="241"/>
      <c r="H510" s="241"/>
      <c r="I510" s="241"/>
      <c r="J510" s="241"/>
      <c r="K510" s="289"/>
      <c r="L510" s="289"/>
      <c r="M510" s="241"/>
      <c r="N510" s="241"/>
      <c r="O510" s="241"/>
      <c r="P510" s="241"/>
      <c r="Q510" s="241"/>
      <c r="R510" s="241"/>
      <c r="S510" s="241"/>
      <c r="T510" s="241"/>
      <c r="U510" s="241"/>
      <c r="V510" s="241"/>
      <c r="W510" s="241"/>
      <c r="X510" s="241"/>
      <c r="Y510" s="241"/>
      <c r="Z510" s="241"/>
      <c r="AA510" s="241"/>
      <c r="AB510" s="290">
        <f t="shared" si="56"/>
        <v>270</v>
      </c>
      <c r="AC510" s="290" t="e">
        <f t="shared" si="57"/>
        <v>#N/A</v>
      </c>
      <c r="AD510" s="290">
        <f t="shared" si="58"/>
        <v>27</v>
      </c>
      <c r="AE510" s="290">
        <f t="shared" si="59"/>
        <v>243</v>
      </c>
    </row>
    <row r="511" spans="1:31" x14ac:dyDescent="0.25">
      <c r="A511" s="280"/>
      <c r="B511" s="331">
        <f>Crop!B547</f>
        <v>42138</v>
      </c>
      <c r="C511" s="332">
        <f t="shared" si="60"/>
        <v>270</v>
      </c>
      <c r="D511" s="332" t="str">
        <f t="shared" si="61"/>
        <v/>
      </c>
      <c r="E511" s="332">
        <f t="shared" si="62"/>
        <v>27</v>
      </c>
      <c r="F511" s="332">
        <f t="shared" si="63"/>
        <v>243</v>
      </c>
      <c r="G511" s="241"/>
      <c r="H511" s="241"/>
      <c r="I511" s="241"/>
      <c r="J511" s="241"/>
      <c r="K511" s="289"/>
      <c r="L511" s="289"/>
      <c r="M511" s="241"/>
      <c r="N511" s="241"/>
      <c r="O511" s="241"/>
      <c r="P511" s="241"/>
      <c r="Q511" s="241"/>
      <c r="R511" s="241"/>
      <c r="S511" s="241"/>
      <c r="T511" s="241"/>
      <c r="U511" s="241"/>
      <c r="V511" s="241"/>
      <c r="W511" s="241"/>
      <c r="X511" s="241"/>
      <c r="Y511" s="241"/>
      <c r="Z511" s="241"/>
      <c r="AA511" s="241"/>
      <c r="AB511" s="290">
        <f t="shared" si="56"/>
        <v>270</v>
      </c>
      <c r="AC511" s="290" t="e">
        <f t="shared" si="57"/>
        <v>#N/A</v>
      </c>
      <c r="AD511" s="290">
        <f t="shared" si="58"/>
        <v>27</v>
      </c>
      <c r="AE511" s="290">
        <f t="shared" si="59"/>
        <v>243</v>
      </c>
    </row>
    <row r="512" spans="1:31" x14ac:dyDescent="0.25">
      <c r="A512" s="280"/>
      <c r="B512" s="331">
        <f>Crop!B548</f>
        <v>42139</v>
      </c>
      <c r="C512" s="332">
        <f t="shared" si="60"/>
        <v>270</v>
      </c>
      <c r="D512" s="332" t="str">
        <f t="shared" si="61"/>
        <v/>
      </c>
      <c r="E512" s="332">
        <f t="shared" si="62"/>
        <v>27</v>
      </c>
      <c r="F512" s="332">
        <f t="shared" si="63"/>
        <v>243</v>
      </c>
      <c r="G512" s="241"/>
      <c r="H512" s="241"/>
      <c r="I512" s="241"/>
      <c r="J512" s="241"/>
      <c r="K512" s="289"/>
      <c r="L512" s="289"/>
      <c r="M512" s="241"/>
      <c r="N512" s="241"/>
      <c r="O512" s="241"/>
      <c r="P512" s="241"/>
      <c r="Q512" s="241"/>
      <c r="R512" s="241"/>
      <c r="S512" s="241"/>
      <c r="T512" s="241"/>
      <c r="U512" s="241"/>
      <c r="V512" s="241"/>
      <c r="W512" s="241"/>
      <c r="X512" s="241"/>
      <c r="Y512" s="241"/>
      <c r="Z512" s="241"/>
      <c r="AA512" s="241"/>
      <c r="AB512" s="290">
        <f t="shared" si="56"/>
        <v>270</v>
      </c>
      <c r="AC512" s="290" t="e">
        <f t="shared" si="57"/>
        <v>#N/A</v>
      </c>
      <c r="AD512" s="290">
        <f t="shared" si="58"/>
        <v>27</v>
      </c>
      <c r="AE512" s="290">
        <f t="shared" si="59"/>
        <v>243</v>
      </c>
    </row>
    <row r="513" spans="1:31" x14ac:dyDescent="0.25">
      <c r="A513" s="280"/>
      <c r="B513" s="331">
        <f>Crop!B549</f>
        <v>42140</v>
      </c>
      <c r="C513" s="332">
        <f t="shared" si="60"/>
        <v>270</v>
      </c>
      <c r="D513" s="332" t="str">
        <f t="shared" si="61"/>
        <v/>
      </c>
      <c r="E513" s="332">
        <f t="shared" si="62"/>
        <v>27</v>
      </c>
      <c r="F513" s="332">
        <f t="shared" si="63"/>
        <v>243</v>
      </c>
      <c r="G513" s="241"/>
      <c r="H513" s="241"/>
      <c r="I513" s="241"/>
      <c r="J513" s="241"/>
      <c r="K513" s="289"/>
      <c r="L513" s="289"/>
      <c r="M513" s="241"/>
      <c r="N513" s="241"/>
      <c r="O513" s="241"/>
      <c r="P513" s="241"/>
      <c r="Q513" s="241"/>
      <c r="R513" s="241"/>
      <c r="S513" s="241"/>
      <c r="T513" s="241"/>
      <c r="U513" s="241"/>
      <c r="V513" s="241"/>
      <c r="W513" s="241"/>
      <c r="X513" s="241"/>
      <c r="Y513" s="241"/>
      <c r="Z513" s="241"/>
      <c r="AA513" s="241"/>
      <c r="AB513" s="290">
        <f t="shared" si="56"/>
        <v>270</v>
      </c>
      <c r="AC513" s="290" t="e">
        <f t="shared" si="57"/>
        <v>#N/A</v>
      </c>
      <c r="AD513" s="290">
        <f t="shared" si="58"/>
        <v>27</v>
      </c>
      <c r="AE513" s="290">
        <f t="shared" si="59"/>
        <v>243</v>
      </c>
    </row>
    <row r="514" spans="1:31" x14ac:dyDescent="0.25">
      <c r="A514" s="280"/>
      <c r="B514" s="331">
        <f>Crop!B550</f>
        <v>42141</v>
      </c>
      <c r="C514" s="332">
        <f t="shared" si="60"/>
        <v>270</v>
      </c>
      <c r="D514" s="332" t="str">
        <f t="shared" si="61"/>
        <v/>
      </c>
      <c r="E514" s="332">
        <f t="shared" si="62"/>
        <v>27</v>
      </c>
      <c r="F514" s="332">
        <f t="shared" si="63"/>
        <v>243</v>
      </c>
      <c r="G514" s="241"/>
      <c r="H514" s="241"/>
      <c r="I514" s="241"/>
      <c r="J514" s="241"/>
      <c r="K514" s="289"/>
      <c r="L514" s="289"/>
      <c r="M514" s="241"/>
      <c r="N514" s="241"/>
      <c r="O514" s="241"/>
      <c r="P514" s="241"/>
      <c r="Q514" s="241"/>
      <c r="R514" s="241"/>
      <c r="S514" s="241"/>
      <c r="T514" s="241"/>
      <c r="U514" s="241"/>
      <c r="V514" s="241"/>
      <c r="W514" s="241"/>
      <c r="X514" s="241"/>
      <c r="Y514" s="241"/>
      <c r="Z514" s="241"/>
      <c r="AA514" s="241"/>
      <c r="AB514" s="290">
        <f t="shared" si="56"/>
        <v>270</v>
      </c>
      <c r="AC514" s="290" t="e">
        <f t="shared" si="57"/>
        <v>#N/A</v>
      </c>
      <c r="AD514" s="290">
        <f t="shared" si="58"/>
        <v>27</v>
      </c>
      <c r="AE514" s="290">
        <f t="shared" si="59"/>
        <v>243</v>
      </c>
    </row>
    <row r="515" spans="1:31" x14ac:dyDescent="0.25">
      <c r="A515" s="280"/>
      <c r="B515" s="331">
        <f>Crop!B551</f>
        <v>42142</v>
      </c>
      <c r="C515" s="332">
        <f t="shared" si="60"/>
        <v>270</v>
      </c>
      <c r="D515" s="332" t="str">
        <f t="shared" si="61"/>
        <v/>
      </c>
      <c r="E515" s="332">
        <f t="shared" si="62"/>
        <v>27</v>
      </c>
      <c r="F515" s="332">
        <f t="shared" si="63"/>
        <v>243</v>
      </c>
      <c r="G515" s="241"/>
      <c r="H515" s="241"/>
      <c r="I515" s="241"/>
      <c r="J515" s="241"/>
      <c r="K515" s="289"/>
      <c r="L515" s="289"/>
      <c r="M515" s="241"/>
      <c r="N515" s="241"/>
      <c r="O515" s="241"/>
      <c r="P515" s="241"/>
      <c r="Q515" s="241"/>
      <c r="R515" s="241"/>
      <c r="S515" s="241"/>
      <c r="T515" s="241"/>
      <c r="U515" s="241"/>
      <c r="V515" s="241"/>
      <c r="W515" s="241"/>
      <c r="X515" s="241"/>
      <c r="Y515" s="241"/>
      <c r="Z515" s="241"/>
      <c r="AA515" s="241"/>
      <c r="AB515" s="290">
        <f t="shared" si="56"/>
        <v>270</v>
      </c>
      <c r="AC515" s="290" t="e">
        <f t="shared" si="57"/>
        <v>#N/A</v>
      </c>
      <c r="AD515" s="290">
        <f t="shared" si="58"/>
        <v>27</v>
      </c>
      <c r="AE515" s="290">
        <f t="shared" si="59"/>
        <v>243</v>
      </c>
    </row>
    <row r="516" spans="1:31" x14ac:dyDescent="0.25">
      <c r="A516" s="280"/>
      <c r="B516" s="331">
        <f>Crop!B552</f>
        <v>42143</v>
      </c>
      <c r="C516" s="332">
        <f t="shared" si="60"/>
        <v>270</v>
      </c>
      <c r="D516" s="332" t="str">
        <f t="shared" si="61"/>
        <v/>
      </c>
      <c r="E516" s="332">
        <f t="shared" si="62"/>
        <v>27</v>
      </c>
      <c r="F516" s="332">
        <f t="shared" si="63"/>
        <v>243</v>
      </c>
      <c r="G516" s="241"/>
      <c r="H516" s="241"/>
      <c r="I516" s="241"/>
      <c r="J516" s="241"/>
      <c r="K516" s="289"/>
      <c r="L516" s="289"/>
      <c r="M516" s="241"/>
      <c r="N516" s="241"/>
      <c r="O516" s="241"/>
      <c r="P516" s="241"/>
      <c r="Q516" s="241"/>
      <c r="R516" s="241"/>
      <c r="S516" s="241"/>
      <c r="T516" s="241"/>
      <c r="U516" s="241"/>
      <c r="V516" s="241"/>
      <c r="W516" s="241"/>
      <c r="X516" s="241"/>
      <c r="Y516" s="241"/>
      <c r="Z516" s="241"/>
      <c r="AA516" s="241"/>
      <c r="AB516" s="290">
        <f t="shared" si="56"/>
        <v>270</v>
      </c>
      <c r="AC516" s="290" t="e">
        <f t="shared" si="57"/>
        <v>#N/A</v>
      </c>
      <c r="AD516" s="290">
        <f t="shared" si="58"/>
        <v>27</v>
      </c>
      <c r="AE516" s="290">
        <f t="shared" si="59"/>
        <v>243</v>
      </c>
    </row>
    <row r="517" spans="1:31" x14ac:dyDescent="0.25">
      <c r="A517" s="280"/>
      <c r="B517" s="331">
        <f>Crop!B553</f>
        <v>42144</v>
      </c>
      <c r="C517" s="332">
        <f t="shared" si="60"/>
        <v>270</v>
      </c>
      <c r="D517" s="332" t="str">
        <f t="shared" si="61"/>
        <v/>
      </c>
      <c r="E517" s="332">
        <f t="shared" si="62"/>
        <v>27</v>
      </c>
      <c r="F517" s="332">
        <f t="shared" si="63"/>
        <v>243</v>
      </c>
      <c r="G517" s="241"/>
      <c r="H517" s="241"/>
      <c r="I517" s="241"/>
      <c r="J517" s="241"/>
      <c r="K517" s="289"/>
      <c r="L517" s="289"/>
      <c r="M517" s="241"/>
      <c r="N517" s="241"/>
      <c r="O517" s="241"/>
      <c r="P517" s="241"/>
      <c r="Q517" s="241"/>
      <c r="R517" s="241"/>
      <c r="S517" s="241"/>
      <c r="T517" s="241"/>
      <c r="U517" s="241"/>
      <c r="V517" s="241"/>
      <c r="W517" s="241"/>
      <c r="X517" s="241"/>
      <c r="Y517" s="241"/>
      <c r="Z517" s="241"/>
      <c r="AA517" s="241"/>
      <c r="AB517" s="290">
        <f t="shared" si="56"/>
        <v>270</v>
      </c>
      <c r="AC517" s="290" t="e">
        <f t="shared" si="57"/>
        <v>#N/A</v>
      </c>
      <c r="AD517" s="290">
        <f t="shared" si="58"/>
        <v>27</v>
      </c>
      <c r="AE517" s="290">
        <f t="shared" si="59"/>
        <v>243</v>
      </c>
    </row>
    <row r="518" spans="1:31" x14ac:dyDescent="0.25">
      <c r="A518" s="280"/>
      <c r="B518" s="331">
        <f>Crop!B554</f>
        <v>42145</v>
      </c>
      <c r="C518" s="332">
        <f t="shared" si="60"/>
        <v>270</v>
      </c>
      <c r="D518" s="332" t="str">
        <f t="shared" si="61"/>
        <v/>
      </c>
      <c r="E518" s="332">
        <f t="shared" si="62"/>
        <v>27</v>
      </c>
      <c r="F518" s="332">
        <f t="shared" si="63"/>
        <v>243</v>
      </c>
      <c r="G518" s="241"/>
      <c r="H518" s="241"/>
      <c r="I518" s="241"/>
      <c r="J518" s="241"/>
      <c r="K518" s="289"/>
      <c r="L518" s="289"/>
      <c r="M518" s="241"/>
      <c r="N518" s="241"/>
      <c r="O518" s="241"/>
      <c r="P518" s="241"/>
      <c r="Q518" s="241"/>
      <c r="R518" s="241"/>
      <c r="S518" s="241"/>
      <c r="T518" s="241"/>
      <c r="U518" s="241"/>
      <c r="V518" s="241"/>
      <c r="W518" s="241"/>
      <c r="X518" s="241"/>
      <c r="Y518" s="241"/>
      <c r="Z518" s="241"/>
      <c r="AA518" s="241"/>
      <c r="AB518" s="290">
        <f t="shared" si="56"/>
        <v>270</v>
      </c>
      <c r="AC518" s="290" t="e">
        <f t="shared" si="57"/>
        <v>#N/A</v>
      </c>
      <c r="AD518" s="290">
        <f t="shared" si="58"/>
        <v>27</v>
      </c>
      <c r="AE518" s="290">
        <f t="shared" si="59"/>
        <v>243</v>
      </c>
    </row>
    <row r="519" spans="1:31" x14ac:dyDescent="0.25">
      <c r="A519" s="280"/>
      <c r="B519" s="331">
        <f>Crop!B555</f>
        <v>42146</v>
      </c>
      <c r="C519" s="332">
        <f t="shared" si="60"/>
        <v>270</v>
      </c>
      <c r="D519" s="332" t="str">
        <f t="shared" si="61"/>
        <v/>
      </c>
      <c r="E519" s="332">
        <f t="shared" si="62"/>
        <v>27</v>
      </c>
      <c r="F519" s="332">
        <f t="shared" si="63"/>
        <v>243</v>
      </c>
      <c r="G519" s="241"/>
      <c r="H519" s="241"/>
      <c r="I519" s="241"/>
      <c r="J519" s="241"/>
      <c r="K519" s="289"/>
      <c r="L519" s="289"/>
      <c r="M519" s="241"/>
      <c r="N519" s="241"/>
      <c r="O519" s="241"/>
      <c r="P519" s="241"/>
      <c r="Q519" s="241"/>
      <c r="R519" s="241"/>
      <c r="S519" s="241"/>
      <c r="T519" s="241"/>
      <c r="U519" s="241"/>
      <c r="V519" s="241"/>
      <c r="W519" s="241"/>
      <c r="X519" s="241"/>
      <c r="Y519" s="241"/>
      <c r="Z519" s="241"/>
      <c r="AA519" s="241"/>
      <c r="AB519" s="290">
        <f t="shared" si="56"/>
        <v>270</v>
      </c>
      <c r="AC519" s="290" t="e">
        <f t="shared" si="57"/>
        <v>#N/A</v>
      </c>
      <c r="AD519" s="290">
        <f t="shared" si="58"/>
        <v>27</v>
      </c>
      <c r="AE519" s="290">
        <f t="shared" si="59"/>
        <v>243</v>
      </c>
    </row>
    <row r="520" spans="1:31" x14ac:dyDescent="0.25">
      <c r="A520" s="280"/>
      <c r="B520" s="331">
        <f>Crop!B556</f>
        <v>42147</v>
      </c>
      <c r="C520" s="332">
        <f t="shared" si="60"/>
        <v>270</v>
      </c>
      <c r="D520" s="332" t="str">
        <f t="shared" si="61"/>
        <v/>
      </c>
      <c r="E520" s="332">
        <f t="shared" si="62"/>
        <v>27</v>
      </c>
      <c r="F520" s="332">
        <f t="shared" si="63"/>
        <v>243</v>
      </c>
      <c r="G520" s="241"/>
      <c r="H520" s="241"/>
      <c r="I520" s="241"/>
      <c r="J520" s="241"/>
      <c r="K520" s="289"/>
      <c r="L520" s="289"/>
      <c r="M520" s="241"/>
      <c r="N520" s="241"/>
      <c r="O520" s="241"/>
      <c r="P520" s="241"/>
      <c r="Q520" s="241"/>
      <c r="R520" s="241"/>
      <c r="S520" s="241"/>
      <c r="T520" s="241"/>
      <c r="U520" s="241"/>
      <c r="V520" s="241"/>
      <c r="W520" s="241"/>
      <c r="X520" s="241"/>
      <c r="Y520" s="241"/>
      <c r="Z520" s="241"/>
      <c r="AA520" s="241"/>
      <c r="AB520" s="290">
        <f t="shared" si="56"/>
        <v>270</v>
      </c>
      <c r="AC520" s="290" t="e">
        <f t="shared" si="57"/>
        <v>#N/A</v>
      </c>
      <c r="AD520" s="290">
        <f t="shared" si="58"/>
        <v>27</v>
      </c>
      <c r="AE520" s="290">
        <f t="shared" si="59"/>
        <v>243</v>
      </c>
    </row>
    <row r="521" spans="1:31" x14ac:dyDescent="0.25">
      <c r="A521" s="280"/>
      <c r="B521" s="331">
        <f>Crop!B557</f>
        <v>42148</v>
      </c>
      <c r="C521" s="332">
        <f t="shared" si="60"/>
        <v>270</v>
      </c>
      <c r="D521" s="332" t="str">
        <f t="shared" si="61"/>
        <v/>
      </c>
      <c r="E521" s="332">
        <f t="shared" si="62"/>
        <v>27</v>
      </c>
      <c r="F521" s="332">
        <f t="shared" si="63"/>
        <v>243</v>
      </c>
      <c r="G521" s="241"/>
      <c r="H521" s="241"/>
      <c r="I521" s="241"/>
      <c r="J521" s="241"/>
      <c r="K521" s="289"/>
      <c r="L521" s="289"/>
      <c r="M521" s="241"/>
      <c r="N521" s="241"/>
      <c r="O521" s="241"/>
      <c r="P521" s="241"/>
      <c r="Q521" s="241"/>
      <c r="R521" s="241"/>
      <c r="S521" s="241"/>
      <c r="T521" s="241"/>
      <c r="U521" s="241"/>
      <c r="V521" s="241"/>
      <c r="W521" s="241"/>
      <c r="X521" s="241"/>
      <c r="Y521" s="241"/>
      <c r="Z521" s="241"/>
      <c r="AA521" s="241"/>
      <c r="AB521" s="290">
        <f t="shared" si="56"/>
        <v>270</v>
      </c>
      <c r="AC521" s="290" t="e">
        <f t="shared" si="57"/>
        <v>#N/A</v>
      </c>
      <c r="AD521" s="290">
        <f t="shared" si="58"/>
        <v>27</v>
      </c>
      <c r="AE521" s="290">
        <f t="shared" si="59"/>
        <v>243</v>
      </c>
    </row>
    <row r="522" spans="1:31" x14ac:dyDescent="0.25">
      <c r="A522" s="280"/>
      <c r="B522" s="331">
        <f>Crop!B558</f>
        <v>42149</v>
      </c>
      <c r="C522" s="332">
        <f t="shared" si="60"/>
        <v>270</v>
      </c>
      <c r="D522" s="332" t="str">
        <f t="shared" si="61"/>
        <v/>
      </c>
      <c r="E522" s="332">
        <f t="shared" si="62"/>
        <v>27</v>
      </c>
      <c r="F522" s="332">
        <f t="shared" si="63"/>
        <v>243</v>
      </c>
      <c r="G522" s="241"/>
      <c r="H522" s="241"/>
      <c r="I522" s="241"/>
      <c r="J522" s="241"/>
      <c r="K522" s="289"/>
      <c r="L522" s="289"/>
      <c r="M522" s="241"/>
      <c r="N522" s="241"/>
      <c r="O522" s="241"/>
      <c r="P522" s="241"/>
      <c r="Q522" s="241"/>
      <c r="R522" s="241"/>
      <c r="S522" s="241"/>
      <c r="T522" s="241"/>
      <c r="U522" s="241"/>
      <c r="V522" s="241"/>
      <c r="W522" s="241"/>
      <c r="X522" s="241"/>
      <c r="Y522" s="241"/>
      <c r="Z522" s="241"/>
      <c r="AA522" s="241"/>
      <c r="AB522" s="290">
        <f t="shared" si="56"/>
        <v>270</v>
      </c>
      <c r="AC522" s="290" t="e">
        <f t="shared" si="57"/>
        <v>#N/A</v>
      </c>
      <c r="AD522" s="290">
        <f t="shared" si="58"/>
        <v>27</v>
      </c>
      <c r="AE522" s="290">
        <f t="shared" si="59"/>
        <v>243</v>
      </c>
    </row>
    <row r="523" spans="1:31" x14ac:dyDescent="0.25">
      <c r="A523" s="280"/>
      <c r="B523" s="331">
        <f>Crop!B559</f>
        <v>42150</v>
      </c>
      <c r="C523" s="332">
        <f t="shared" si="60"/>
        <v>270</v>
      </c>
      <c r="D523" s="332" t="str">
        <f t="shared" si="61"/>
        <v/>
      </c>
      <c r="E523" s="332">
        <f t="shared" si="62"/>
        <v>27</v>
      </c>
      <c r="F523" s="332">
        <f t="shared" si="63"/>
        <v>243</v>
      </c>
      <c r="G523" s="241"/>
      <c r="H523" s="241"/>
      <c r="I523" s="241"/>
      <c r="J523" s="241"/>
      <c r="K523" s="289"/>
      <c r="L523" s="289"/>
      <c r="M523" s="241"/>
      <c r="N523" s="241"/>
      <c r="O523" s="241"/>
      <c r="P523" s="241"/>
      <c r="Q523" s="241"/>
      <c r="R523" s="241"/>
      <c r="S523" s="241"/>
      <c r="T523" s="241"/>
      <c r="U523" s="241"/>
      <c r="V523" s="241"/>
      <c r="W523" s="241"/>
      <c r="X523" s="241"/>
      <c r="Y523" s="241"/>
      <c r="Z523" s="241"/>
      <c r="AA523" s="241"/>
      <c r="AB523" s="290">
        <f t="shared" si="56"/>
        <v>270</v>
      </c>
      <c r="AC523" s="290" t="e">
        <f t="shared" si="57"/>
        <v>#N/A</v>
      </c>
      <c r="AD523" s="290">
        <f t="shared" si="58"/>
        <v>27</v>
      </c>
      <c r="AE523" s="290">
        <f t="shared" si="59"/>
        <v>243</v>
      </c>
    </row>
    <row r="524" spans="1:31" x14ac:dyDescent="0.25">
      <c r="A524" s="280"/>
      <c r="B524" s="331">
        <f>Crop!B560</f>
        <v>42151</v>
      </c>
      <c r="C524" s="332">
        <f t="shared" si="60"/>
        <v>270</v>
      </c>
      <c r="D524" s="332" t="str">
        <f t="shared" si="61"/>
        <v/>
      </c>
      <c r="E524" s="332">
        <f t="shared" si="62"/>
        <v>27</v>
      </c>
      <c r="F524" s="332">
        <f t="shared" si="63"/>
        <v>243</v>
      </c>
      <c r="G524" s="241"/>
      <c r="H524" s="241"/>
      <c r="I524" s="241"/>
      <c r="J524" s="241"/>
      <c r="K524" s="289"/>
      <c r="L524" s="289"/>
      <c r="M524" s="241"/>
      <c r="N524" s="241"/>
      <c r="O524" s="241"/>
      <c r="P524" s="241"/>
      <c r="Q524" s="241"/>
      <c r="R524" s="241"/>
      <c r="S524" s="241"/>
      <c r="T524" s="241"/>
      <c r="U524" s="241"/>
      <c r="V524" s="241"/>
      <c r="W524" s="241"/>
      <c r="X524" s="241"/>
      <c r="Y524" s="241"/>
      <c r="Z524" s="241"/>
      <c r="AA524" s="241"/>
      <c r="AB524" s="290">
        <f t="shared" si="56"/>
        <v>270</v>
      </c>
      <c r="AC524" s="290" t="e">
        <f t="shared" si="57"/>
        <v>#N/A</v>
      </c>
      <c r="AD524" s="290">
        <f t="shared" si="58"/>
        <v>27</v>
      </c>
      <c r="AE524" s="290">
        <f t="shared" si="59"/>
        <v>243</v>
      </c>
    </row>
    <row r="525" spans="1:31" x14ac:dyDescent="0.25">
      <c r="A525" s="280"/>
      <c r="B525" s="331">
        <f>Crop!B561</f>
        <v>42152</v>
      </c>
      <c r="C525" s="332">
        <f t="shared" si="60"/>
        <v>270</v>
      </c>
      <c r="D525" s="332" t="str">
        <f t="shared" si="61"/>
        <v/>
      </c>
      <c r="E525" s="332">
        <f t="shared" si="62"/>
        <v>27</v>
      </c>
      <c r="F525" s="332">
        <f t="shared" si="63"/>
        <v>243</v>
      </c>
      <c r="G525" s="241"/>
      <c r="H525" s="241"/>
      <c r="I525" s="241"/>
      <c r="J525" s="241"/>
      <c r="K525" s="289"/>
      <c r="L525" s="289"/>
      <c r="M525" s="241"/>
      <c r="N525" s="241"/>
      <c r="O525" s="241"/>
      <c r="P525" s="241"/>
      <c r="Q525" s="241"/>
      <c r="R525" s="241"/>
      <c r="S525" s="241"/>
      <c r="T525" s="241"/>
      <c r="U525" s="241"/>
      <c r="V525" s="241"/>
      <c r="W525" s="241"/>
      <c r="X525" s="241"/>
      <c r="Y525" s="241"/>
      <c r="Z525" s="241"/>
      <c r="AA525" s="241"/>
      <c r="AB525" s="290">
        <f t="shared" ref="AB525:AB589" si="64">IF(C525="",#N/A,C525)</f>
        <v>270</v>
      </c>
      <c r="AC525" s="290" t="e">
        <f t="shared" ref="AC525:AC589" si="65">IF(D525="",#N/A,D525)</f>
        <v>#N/A</v>
      </c>
      <c r="AD525" s="290">
        <f t="shared" ref="AD525:AD589" si="66">IF(E525="",#N/A,E525)</f>
        <v>27</v>
      </c>
      <c r="AE525" s="290">
        <f t="shared" ref="AE525:AE589" si="67">IF(F525="",#N/A,F525)</f>
        <v>243</v>
      </c>
    </row>
    <row r="526" spans="1:31" x14ac:dyDescent="0.25">
      <c r="A526" s="280"/>
      <c r="B526" s="331">
        <f>Crop!B562</f>
        <v>42153</v>
      </c>
      <c r="C526" s="332">
        <f t="shared" ref="C526:C589" si="68">G$8</f>
        <v>270</v>
      </c>
      <c r="D526" s="332" t="str">
        <f t="shared" ref="D526:D589" si="69">IF(B526=B$6,AC$6,IF(B526&gt;B$10,"",IF(B526&gt;=B$9,D525+AD$9,IF(B526&gt;B$8,D525+AD$8,IF(B526&gt;B$7,D525+AD$7,IF(B526&gt;B$6,AC$6,""))))))</f>
        <v/>
      </c>
      <c r="E526" s="332">
        <f t="shared" ref="E526:E589" si="70">IF($B526&lt;B$6,150*F$8,IF($B526=$B$6,L$6,IF($B526&gt;$B$10,150*F$8,IF($B526&gt;=$B$9,E525+AB$9,IF($B526&gt;$B$8,E525+AB$8,IF($B526&gt;$B$7,E525+AB$7,IF($B526&gt;$B$6,L$6,"")))))))</f>
        <v>27</v>
      </c>
      <c r="F526" s="332">
        <f t="shared" si="63"/>
        <v>243</v>
      </c>
      <c r="G526" s="241"/>
      <c r="H526" s="241"/>
      <c r="I526" s="241"/>
      <c r="J526" s="241"/>
      <c r="K526" s="289"/>
      <c r="L526" s="289"/>
      <c r="M526" s="241"/>
      <c r="N526" s="241"/>
      <c r="O526" s="241"/>
      <c r="P526" s="241"/>
      <c r="Q526" s="241"/>
      <c r="R526" s="241"/>
      <c r="S526" s="241"/>
      <c r="T526" s="241"/>
      <c r="U526" s="241"/>
      <c r="V526" s="241"/>
      <c r="W526" s="241"/>
      <c r="X526" s="241"/>
      <c r="Y526" s="241"/>
      <c r="Z526" s="241"/>
      <c r="AA526" s="241"/>
      <c r="AB526" s="290">
        <f t="shared" si="64"/>
        <v>270</v>
      </c>
      <c r="AC526" s="290" t="e">
        <f t="shared" si="65"/>
        <v>#N/A</v>
      </c>
      <c r="AD526" s="290">
        <f t="shared" si="66"/>
        <v>27</v>
      </c>
      <c r="AE526" s="290">
        <f t="shared" si="67"/>
        <v>243</v>
      </c>
    </row>
    <row r="527" spans="1:31" x14ac:dyDescent="0.25">
      <c r="A527" s="280"/>
      <c r="B527" s="331">
        <f>Crop!B563</f>
        <v>42154</v>
      </c>
      <c r="C527" s="332">
        <f t="shared" si="68"/>
        <v>270</v>
      </c>
      <c r="D527" s="332" t="str">
        <f t="shared" si="69"/>
        <v/>
      </c>
      <c r="E527" s="332">
        <f t="shared" si="70"/>
        <v>27</v>
      </c>
      <c r="F527" s="332">
        <f t="shared" ref="F527:F589" si="71">IF(C527="","",C527-E527)</f>
        <v>243</v>
      </c>
      <c r="G527" s="241"/>
      <c r="H527" s="241"/>
      <c r="I527" s="241"/>
      <c r="J527" s="241"/>
      <c r="K527" s="289"/>
      <c r="L527" s="289"/>
      <c r="M527" s="241"/>
      <c r="N527" s="241"/>
      <c r="O527" s="241"/>
      <c r="P527" s="241"/>
      <c r="Q527" s="241"/>
      <c r="R527" s="241"/>
      <c r="S527" s="241"/>
      <c r="T527" s="241"/>
      <c r="U527" s="241"/>
      <c r="V527" s="241"/>
      <c r="W527" s="241"/>
      <c r="X527" s="241"/>
      <c r="Y527" s="241"/>
      <c r="Z527" s="241"/>
      <c r="AA527" s="241"/>
      <c r="AB527" s="290">
        <f t="shared" si="64"/>
        <v>270</v>
      </c>
      <c r="AC527" s="290" t="e">
        <f t="shared" si="65"/>
        <v>#N/A</v>
      </c>
      <c r="AD527" s="290">
        <f t="shared" si="66"/>
        <v>27</v>
      </c>
      <c r="AE527" s="290">
        <f t="shared" si="67"/>
        <v>243</v>
      </c>
    </row>
    <row r="528" spans="1:31" x14ac:dyDescent="0.25">
      <c r="A528" s="280"/>
      <c r="B528" s="331">
        <f>Crop!B564</f>
        <v>42155</v>
      </c>
      <c r="C528" s="332">
        <f t="shared" si="68"/>
        <v>270</v>
      </c>
      <c r="D528" s="332" t="str">
        <f t="shared" si="69"/>
        <v/>
      </c>
      <c r="E528" s="332">
        <f t="shared" si="70"/>
        <v>27</v>
      </c>
      <c r="F528" s="332">
        <f t="shared" si="71"/>
        <v>243</v>
      </c>
      <c r="G528" s="241"/>
      <c r="H528" s="241"/>
      <c r="I528" s="241"/>
      <c r="J528" s="241"/>
      <c r="K528" s="289"/>
      <c r="L528" s="289"/>
      <c r="M528" s="241"/>
      <c r="N528" s="241"/>
      <c r="O528" s="241"/>
      <c r="P528" s="241"/>
      <c r="Q528" s="241"/>
      <c r="R528" s="241"/>
      <c r="S528" s="241"/>
      <c r="T528" s="241"/>
      <c r="U528" s="241"/>
      <c r="V528" s="241"/>
      <c r="W528" s="241"/>
      <c r="X528" s="241"/>
      <c r="Y528" s="241"/>
      <c r="Z528" s="241"/>
      <c r="AA528" s="241"/>
      <c r="AB528" s="290">
        <f t="shared" si="64"/>
        <v>270</v>
      </c>
      <c r="AC528" s="290" t="e">
        <f t="shared" si="65"/>
        <v>#N/A</v>
      </c>
      <c r="AD528" s="290">
        <f t="shared" si="66"/>
        <v>27</v>
      </c>
      <c r="AE528" s="290">
        <f t="shared" si="67"/>
        <v>243</v>
      </c>
    </row>
    <row r="529" spans="1:31" x14ac:dyDescent="0.25">
      <c r="A529" s="280"/>
      <c r="B529" s="331">
        <f>Crop!B565</f>
        <v>42156</v>
      </c>
      <c r="C529" s="332">
        <f t="shared" si="68"/>
        <v>270</v>
      </c>
      <c r="D529" s="332" t="str">
        <f t="shared" si="69"/>
        <v/>
      </c>
      <c r="E529" s="332">
        <f t="shared" si="70"/>
        <v>27</v>
      </c>
      <c r="F529" s="332">
        <f t="shared" si="71"/>
        <v>243</v>
      </c>
      <c r="G529" s="241"/>
      <c r="H529" s="241"/>
      <c r="I529" s="241"/>
      <c r="J529" s="241"/>
      <c r="K529" s="289"/>
      <c r="L529" s="289"/>
      <c r="M529" s="241"/>
      <c r="N529" s="241"/>
      <c r="O529" s="241"/>
      <c r="P529" s="241"/>
      <c r="Q529" s="241"/>
      <c r="R529" s="241"/>
      <c r="S529" s="241"/>
      <c r="T529" s="241"/>
      <c r="U529" s="241"/>
      <c r="V529" s="241"/>
      <c r="W529" s="241"/>
      <c r="X529" s="241"/>
      <c r="Y529" s="241"/>
      <c r="Z529" s="241"/>
      <c r="AA529" s="241"/>
      <c r="AB529" s="290">
        <f t="shared" si="64"/>
        <v>270</v>
      </c>
      <c r="AC529" s="290" t="e">
        <f t="shared" si="65"/>
        <v>#N/A</v>
      </c>
      <c r="AD529" s="290">
        <f t="shared" si="66"/>
        <v>27</v>
      </c>
      <c r="AE529" s="290">
        <f t="shared" si="67"/>
        <v>243</v>
      </c>
    </row>
    <row r="530" spans="1:31" x14ac:dyDescent="0.25">
      <c r="A530" s="280"/>
      <c r="B530" s="331">
        <f>Crop!B566</f>
        <v>42157</v>
      </c>
      <c r="C530" s="332">
        <f t="shared" si="68"/>
        <v>270</v>
      </c>
      <c r="D530" s="332" t="str">
        <f t="shared" si="69"/>
        <v/>
      </c>
      <c r="E530" s="332">
        <f t="shared" si="70"/>
        <v>27</v>
      </c>
      <c r="F530" s="332">
        <f t="shared" si="71"/>
        <v>243</v>
      </c>
      <c r="G530" s="241"/>
      <c r="H530" s="241"/>
      <c r="I530" s="241"/>
      <c r="J530" s="241"/>
      <c r="K530" s="289"/>
      <c r="L530" s="289"/>
      <c r="M530" s="241"/>
      <c r="N530" s="241"/>
      <c r="O530" s="241"/>
      <c r="P530" s="241"/>
      <c r="Q530" s="241"/>
      <c r="R530" s="241"/>
      <c r="S530" s="241"/>
      <c r="T530" s="241"/>
      <c r="U530" s="241"/>
      <c r="V530" s="241"/>
      <c r="W530" s="241"/>
      <c r="X530" s="241"/>
      <c r="Y530" s="241"/>
      <c r="Z530" s="241"/>
      <c r="AA530" s="241"/>
      <c r="AB530" s="290">
        <f t="shared" si="64"/>
        <v>270</v>
      </c>
      <c r="AC530" s="290" t="e">
        <f t="shared" si="65"/>
        <v>#N/A</v>
      </c>
      <c r="AD530" s="290">
        <f t="shared" si="66"/>
        <v>27</v>
      </c>
      <c r="AE530" s="290">
        <f t="shared" si="67"/>
        <v>243</v>
      </c>
    </row>
    <row r="531" spans="1:31" x14ac:dyDescent="0.25">
      <c r="A531" s="280"/>
      <c r="B531" s="331">
        <f>Crop!B567</f>
        <v>42158</v>
      </c>
      <c r="C531" s="332">
        <f t="shared" si="68"/>
        <v>270</v>
      </c>
      <c r="D531" s="332" t="str">
        <f t="shared" si="69"/>
        <v/>
      </c>
      <c r="E531" s="332">
        <f t="shared" si="70"/>
        <v>27</v>
      </c>
      <c r="F531" s="332">
        <f t="shared" si="71"/>
        <v>243</v>
      </c>
      <c r="G531" s="241"/>
      <c r="H531" s="241"/>
      <c r="I531" s="241"/>
      <c r="J531" s="241"/>
      <c r="K531" s="289"/>
      <c r="L531" s="289"/>
      <c r="M531" s="241"/>
      <c r="N531" s="241"/>
      <c r="O531" s="241"/>
      <c r="P531" s="241"/>
      <c r="Q531" s="241"/>
      <c r="R531" s="241"/>
      <c r="S531" s="241"/>
      <c r="T531" s="241"/>
      <c r="U531" s="241"/>
      <c r="V531" s="241"/>
      <c r="W531" s="241"/>
      <c r="X531" s="241"/>
      <c r="Y531" s="241"/>
      <c r="Z531" s="241"/>
      <c r="AA531" s="241"/>
      <c r="AB531" s="290">
        <f t="shared" si="64"/>
        <v>270</v>
      </c>
      <c r="AC531" s="290" t="e">
        <f t="shared" si="65"/>
        <v>#N/A</v>
      </c>
      <c r="AD531" s="290">
        <f t="shared" si="66"/>
        <v>27</v>
      </c>
      <c r="AE531" s="290">
        <f t="shared" si="67"/>
        <v>243</v>
      </c>
    </row>
    <row r="532" spans="1:31" x14ac:dyDescent="0.25">
      <c r="A532" s="280"/>
      <c r="B532" s="331">
        <f>Crop!B568</f>
        <v>42159</v>
      </c>
      <c r="C532" s="332">
        <f t="shared" si="68"/>
        <v>270</v>
      </c>
      <c r="D532" s="332" t="str">
        <f t="shared" si="69"/>
        <v/>
      </c>
      <c r="E532" s="332">
        <f t="shared" si="70"/>
        <v>27</v>
      </c>
      <c r="F532" s="332">
        <f t="shared" si="71"/>
        <v>243</v>
      </c>
      <c r="G532" s="241"/>
      <c r="H532" s="241"/>
      <c r="I532" s="241"/>
      <c r="J532" s="241"/>
      <c r="K532" s="289"/>
      <c r="L532" s="289"/>
      <c r="M532" s="241"/>
      <c r="N532" s="241"/>
      <c r="O532" s="241"/>
      <c r="P532" s="241"/>
      <c r="Q532" s="241"/>
      <c r="R532" s="241"/>
      <c r="S532" s="241"/>
      <c r="T532" s="241"/>
      <c r="U532" s="241"/>
      <c r="V532" s="241"/>
      <c r="W532" s="241"/>
      <c r="X532" s="241"/>
      <c r="Y532" s="241"/>
      <c r="Z532" s="241"/>
      <c r="AA532" s="241"/>
      <c r="AB532" s="290">
        <f t="shared" si="64"/>
        <v>270</v>
      </c>
      <c r="AC532" s="290" t="e">
        <f t="shared" si="65"/>
        <v>#N/A</v>
      </c>
      <c r="AD532" s="290">
        <f t="shared" si="66"/>
        <v>27</v>
      </c>
      <c r="AE532" s="290">
        <f t="shared" si="67"/>
        <v>243</v>
      </c>
    </row>
    <row r="533" spans="1:31" x14ac:dyDescent="0.25">
      <c r="A533" s="280"/>
      <c r="B533" s="331">
        <f>Crop!B569</f>
        <v>42160</v>
      </c>
      <c r="C533" s="332">
        <f t="shared" si="68"/>
        <v>270</v>
      </c>
      <c r="D533" s="332" t="str">
        <f t="shared" si="69"/>
        <v/>
      </c>
      <c r="E533" s="332">
        <f t="shared" si="70"/>
        <v>27</v>
      </c>
      <c r="F533" s="332">
        <f t="shared" si="71"/>
        <v>243</v>
      </c>
      <c r="G533" s="241"/>
      <c r="H533" s="241"/>
      <c r="I533" s="241"/>
      <c r="J533" s="241"/>
      <c r="K533" s="289"/>
      <c r="L533" s="289"/>
      <c r="M533" s="241"/>
      <c r="N533" s="241"/>
      <c r="O533" s="241"/>
      <c r="P533" s="241"/>
      <c r="Q533" s="241"/>
      <c r="R533" s="241"/>
      <c r="S533" s="241"/>
      <c r="T533" s="241"/>
      <c r="U533" s="241"/>
      <c r="V533" s="241"/>
      <c r="W533" s="241"/>
      <c r="X533" s="241"/>
      <c r="Y533" s="241"/>
      <c r="Z533" s="241"/>
      <c r="AA533" s="241"/>
      <c r="AB533" s="290">
        <f t="shared" si="64"/>
        <v>270</v>
      </c>
      <c r="AC533" s="290" t="e">
        <f t="shared" si="65"/>
        <v>#N/A</v>
      </c>
      <c r="AD533" s="290">
        <f t="shared" si="66"/>
        <v>27</v>
      </c>
      <c r="AE533" s="290">
        <f t="shared" si="67"/>
        <v>243</v>
      </c>
    </row>
    <row r="534" spans="1:31" x14ac:dyDescent="0.25">
      <c r="A534" s="280"/>
      <c r="B534" s="331">
        <f>Crop!B570</f>
        <v>42161</v>
      </c>
      <c r="C534" s="332">
        <f t="shared" si="68"/>
        <v>270</v>
      </c>
      <c r="D534" s="332" t="str">
        <f t="shared" si="69"/>
        <v/>
      </c>
      <c r="E534" s="332">
        <f t="shared" si="70"/>
        <v>27</v>
      </c>
      <c r="F534" s="332">
        <f t="shared" si="71"/>
        <v>243</v>
      </c>
      <c r="G534" s="241"/>
      <c r="H534" s="241"/>
      <c r="I534" s="241"/>
      <c r="J534" s="241"/>
      <c r="K534" s="289"/>
      <c r="L534" s="289"/>
      <c r="M534" s="241"/>
      <c r="N534" s="241"/>
      <c r="O534" s="241"/>
      <c r="P534" s="241"/>
      <c r="Q534" s="241"/>
      <c r="R534" s="241"/>
      <c r="S534" s="241"/>
      <c r="T534" s="241"/>
      <c r="U534" s="241"/>
      <c r="V534" s="241"/>
      <c r="W534" s="241"/>
      <c r="X534" s="241"/>
      <c r="Y534" s="241"/>
      <c r="Z534" s="241"/>
      <c r="AA534" s="241"/>
      <c r="AB534" s="290">
        <f t="shared" si="64"/>
        <v>270</v>
      </c>
      <c r="AC534" s="290" t="e">
        <f t="shared" si="65"/>
        <v>#N/A</v>
      </c>
      <c r="AD534" s="290">
        <f t="shared" si="66"/>
        <v>27</v>
      </c>
      <c r="AE534" s="290">
        <f t="shared" si="67"/>
        <v>243</v>
      </c>
    </row>
    <row r="535" spans="1:31" x14ac:dyDescent="0.25">
      <c r="A535" s="280"/>
      <c r="B535" s="331">
        <f>Crop!B571</f>
        <v>42162</v>
      </c>
      <c r="C535" s="332">
        <f t="shared" si="68"/>
        <v>270</v>
      </c>
      <c r="D535" s="332" t="str">
        <f t="shared" si="69"/>
        <v/>
      </c>
      <c r="E535" s="332">
        <f t="shared" si="70"/>
        <v>27</v>
      </c>
      <c r="F535" s="332">
        <f t="shared" si="71"/>
        <v>243</v>
      </c>
      <c r="G535" s="241"/>
      <c r="H535" s="241"/>
      <c r="I535" s="241"/>
      <c r="J535" s="241"/>
      <c r="K535" s="289"/>
      <c r="L535" s="289"/>
      <c r="M535" s="241"/>
      <c r="N535" s="241"/>
      <c r="O535" s="241"/>
      <c r="P535" s="241"/>
      <c r="Q535" s="241"/>
      <c r="R535" s="241"/>
      <c r="S535" s="241"/>
      <c r="T535" s="241"/>
      <c r="U535" s="241"/>
      <c r="V535" s="241"/>
      <c r="W535" s="241"/>
      <c r="X535" s="241"/>
      <c r="Y535" s="241"/>
      <c r="Z535" s="241"/>
      <c r="AA535" s="241"/>
      <c r="AB535" s="290">
        <f t="shared" si="64"/>
        <v>270</v>
      </c>
      <c r="AC535" s="290" t="e">
        <f t="shared" si="65"/>
        <v>#N/A</v>
      </c>
      <c r="AD535" s="290">
        <f t="shared" si="66"/>
        <v>27</v>
      </c>
      <c r="AE535" s="290">
        <f t="shared" si="67"/>
        <v>243</v>
      </c>
    </row>
    <row r="536" spans="1:31" x14ac:dyDescent="0.25">
      <c r="A536" s="280"/>
      <c r="B536" s="331">
        <f>Crop!B572</f>
        <v>42163</v>
      </c>
      <c r="C536" s="332">
        <f t="shared" si="68"/>
        <v>270</v>
      </c>
      <c r="D536" s="332" t="str">
        <f t="shared" si="69"/>
        <v/>
      </c>
      <c r="E536" s="332">
        <f t="shared" si="70"/>
        <v>27</v>
      </c>
      <c r="F536" s="332">
        <f t="shared" si="71"/>
        <v>243</v>
      </c>
      <c r="G536" s="241"/>
      <c r="H536" s="241"/>
      <c r="I536" s="241"/>
      <c r="J536" s="241"/>
      <c r="K536" s="289"/>
      <c r="L536" s="289"/>
      <c r="M536" s="241"/>
      <c r="N536" s="241"/>
      <c r="O536" s="241"/>
      <c r="P536" s="241"/>
      <c r="Q536" s="241"/>
      <c r="R536" s="241"/>
      <c r="S536" s="241"/>
      <c r="T536" s="241"/>
      <c r="U536" s="241"/>
      <c r="V536" s="241"/>
      <c r="W536" s="241"/>
      <c r="X536" s="241"/>
      <c r="Y536" s="241"/>
      <c r="Z536" s="241"/>
      <c r="AA536" s="241"/>
      <c r="AB536" s="290">
        <f t="shared" si="64"/>
        <v>270</v>
      </c>
      <c r="AC536" s="290" t="e">
        <f t="shared" si="65"/>
        <v>#N/A</v>
      </c>
      <c r="AD536" s="290">
        <f t="shared" si="66"/>
        <v>27</v>
      </c>
      <c r="AE536" s="290">
        <f t="shared" si="67"/>
        <v>243</v>
      </c>
    </row>
    <row r="537" spans="1:31" x14ac:dyDescent="0.25">
      <c r="A537" s="280"/>
      <c r="B537" s="331">
        <f>Crop!B573</f>
        <v>42164</v>
      </c>
      <c r="C537" s="332">
        <f t="shared" si="68"/>
        <v>270</v>
      </c>
      <c r="D537" s="332" t="str">
        <f t="shared" si="69"/>
        <v/>
      </c>
      <c r="E537" s="332">
        <f t="shared" si="70"/>
        <v>27</v>
      </c>
      <c r="F537" s="332">
        <f t="shared" si="71"/>
        <v>243</v>
      </c>
      <c r="G537" s="241"/>
      <c r="H537" s="241"/>
      <c r="I537" s="241"/>
      <c r="J537" s="241"/>
      <c r="K537" s="289"/>
      <c r="L537" s="289"/>
      <c r="M537" s="241"/>
      <c r="N537" s="241"/>
      <c r="O537" s="241"/>
      <c r="P537" s="241"/>
      <c r="Q537" s="241"/>
      <c r="R537" s="241"/>
      <c r="S537" s="241"/>
      <c r="T537" s="241"/>
      <c r="U537" s="241"/>
      <c r="V537" s="241"/>
      <c r="W537" s="241"/>
      <c r="X537" s="241"/>
      <c r="Y537" s="241"/>
      <c r="Z537" s="241"/>
      <c r="AA537" s="241"/>
      <c r="AB537" s="290">
        <f t="shared" si="64"/>
        <v>270</v>
      </c>
      <c r="AC537" s="290" t="e">
        <f t="shared" si="65"/>
        <v>#N/A</v>
      </c>
      <c r="AD537" s="290">
        <f t="shared" si="66"/>
        <v>27</v>
      </c>
      <c r="AE537" s="290">
        <f t="shared" si="67"/>
        <v>243</v>
      </c>
    </row>
    <row r="538" spans="1:31" x14ac:dyDescent="0.25">
      <c r="A538" s="280"/>
      <c r="B538" s="331">
        <f>Crop!B574</f>
        <v>42165</v>
      </c>
      <c r="C538" s="332">
        <f t="shared" si="68"/>
        <v>270</v>
      </c>
      <c r="D538" s="332" t="str">
        <f t="shared" si="69"/>
        <v/>
      </c>
      <c r="E538" s="332">
        <f t="shared" si="70"/>
        <v>27</v>
      </c>
      <c r="F538" s="332">
        <f t="shared" si="71"/>
        <v>243</v>
      </c>
      <c r="G538" s="241"/>
      <c r="H538" s="241"/>
      <c r="I538" s="241"/>
      <c r="J538" s="241"/>
      <c r="K538" s="289"/>
      <c r="L538" s="289"/>
      <c r="M538" s="241"/>
      <c r="N538" s="241"/>
      <c r="O538" s="241"/>
      <c r="P538" s="241"/>
      <c r="Q538" s="241"/>
      <c r="R538" s="241"/>
      <c r="S538" s="241"/>
      <c r="T538" s="241"/>
      <c r="U538" s="241"/>
      <c r="V538" s="241"/>
      <c r="W538" s="241"/>
      <c r="X538" s="241"/>
      <c r="Y538" s="241"/>
      <c r="Z538" s="241"/>
      <c r="AA538" s="241"/>
      <c r="AB538" s="290">
        <f t="shared" si="64"/>
        <v>270</v>
      </c>
      <c r="AC538" s="290" t="e">
        <f t="shared" si="65"/>
        <v>#N/A</v>
      </c>
      <c r="AD538" s="290">
        <f t="shared" si="66"/>
        <v>27</v>
      </c>
      <c r="AE538" s="290">
        <f t="shared" si="67"/>
        <v>243</v>
      </c>
    </row>
    <row r="539" spans="1:31" x14ac:dyDescent="0.25">
      <c r="A539" s="280"/>
      <c r="B539" s="331">
        <f>Crop!B575</f>
        <v>42166</v>
      </c>
      <c r="C539" s="332">
        <f t="shared" si="68"/>
        <v>270</v>
      </c>
      <c r="D539" s="332" t="str">
        <f t="shared" si="69"/>
        <v/>
      </c>
      <c r="E539" s="332">
        <f t="shared" si="70"/>
        <v>27</v>
      </c>
      <c r="F539" s="332">
        <f t="shared" si="71"/>
        <v>243</v>
      </c>
      <c r="G539" s="241"/>
      <c r="H539" s="241"/>
      <c r="I539" s="241"/>
      <c r="J539" s="241"/>
      <c r="K539" s="289"/>
      <c r="L539" s="289"/>
      <c r="M539" s="241"/>
      <c r="N539" s="241"/>
      <c r="O539" s="241"/>
      <c r="P539" s="241"/>
      <c r="Q539" s="241"/>
      <c r="R539" s="241"/>
      <c r="S539" s="241"/>
      <c r="T539" s="241"/>
      <c r="U539" s="241"/>
      <c r="V539" s="241"/>
      <c r="W539" s="241"/>
      <c r="X539" s="241"/>
      <c r="Y539" s="241"/>
      <c r="Z539" s="241"/>
      <c r="AA539" s="241"/>
      <c r="AB539" s="290">
        <f t="shared" si="64"/>
        <v>270</v>
      </c>
      <c r="AC539" s="290" t="e">
        <f t="shared" si="65"/>
        <v>#N/A</v>
      </c>
      <c r="AD539" s="290">
        <f t="shared" si="66"/>
        <v>27</v>
      </c>
      <c r="AE539" s="290">
        <f t="shared" si="67"/>
        <v>243</v>
      </c>
    </row>
    <row r="540" spans="1:31" x14ac:dyDescent="0.25">
      <c r="A540" s="280"/>
      <c r="B540" s="331">
        <f>Crop!B576</f>
        <v>42167</v>
      </c>
      <c r="C540" s="332">
        <f t="shared" si="68"/>
        <v>270</v>
      </c>
      <c r="D540" s="332" t="str">
        <f t="shared" si="69"/>
        <v/>
      </c>
      <c r="E540" s="332">
        <f t="shared" si="70"/>
        <v>27</v>
      </c>
      <c r="F540" s="332">
        <f t="shared" si="71"/>
        <v>243</v>
      </c>
      <c r="G540" s="241"/>
      <c r="H540" s="241"/>
      <c r="I540" s="241"/>
      <c r="J540" s="241"/>
      <c r="K540" s="289"/>
      <c r="L540" s="289"/>
      <c r="M540" s="241"/>
      <c r="N540" s="241"/>
      <c r="O540" s="241"/>
      <c r="P540" s="241"/>
      <c r="Q540" s="241"/>
      <c r="R540" s="241"/>
      <c r="S540" s="241"/>
      <c r="T540" s="241"/>
      <c r="U540" s="241"/>
      <c r="V540" s="241"/>
      <c r="W540" s="241"/>
      <c r="X540" s="241"/>
      <c r="Y540" s="241"/>
      <c r="Z540" s="241"/>
      <c r="AA540" s="241"/>
      <c r="AB540" s="290">
        <f t="shared" si="64"/>
        <v>270</v>
      </c>
      <c r="AC540" s="290" t="e">
        <f t="shared" si="65"/>
        <v>#N/A</v>
      </c>
      <c r="AD540" s="290">
        <f t="shared" si="66"/>
        <v>27</v>
      </c>
      <c r="AE540" s="290">
        <f t="shared" si="67"/>
        <v>243</v>
      </c>
    </row>
    <row r="541" spans="1:31" x14ac:dyDescent="0.25">
      <c r="A541" s="280"/>
      <c r="B541" s="331">
        <f>Crop!B577</f>
        <v>42168</v>
      </c>
      <c r="C541" s="332">
        <f t="shared" si="68"/>
        <v>270</v>
      </c>
      <c r="D541" s="332" t="str">
        <f t="shared" si="69"/>
        <v/>
      </c>
      <c r="E541" s="332">
        <f t="shared" si="70"/>
        <v>27</v>
      </c>
      <c r="F541" s="332">
        <f t="shared" si="71"/>
        <v>243</v>
      </c>
      <c r="G541" s="241"/>
      <c r="H541" s="241"/>
      <c r="I541" s="241"/>
      <c r="J541" s="241"/>
      <c r="K541" s="289"/>
      <c r="L541" s="289"/>
      <c r="M541" s="241"/>
      <c r="N541" s="241"/>
      <c r="O541" s="241"/>
      <c r="P541" s="241"/>
      <c r="Q541" s="241"/>
      <c r="R541" s="241"/>
      <c r="S541" s="241"/>
      <c r="T541" s="241"/>
      <c r="U541" s="241"/>
      <c r="V541" s="241"/>
      <c r="W541" s="241"/>
      <c r="X541" s="241"/>
      <c r="Y541" s="241"/>
      <c r="Z541" s="241"/>
      <c r="AA541" s="241"/>
      <c r="AB541" s="290">
        <f t="shared" si="64"/>
        <v>270</v>
      </c>
      <c r="AC541" s="290" t="e">
        <f t="shared" si="65"/>
        <v>#N/A</v>
      </c>
      <c r="AD541" s="290">
        <f t="shared" si="66"/>
        <v>27</v>
      </c>
      <c r="AE541" s="290">
        <f t="shared" si="67"/>
        <v>243</v>
      </c>
    </row>
    <row r="542" spans="1:31" x14ac:dyDescent="0.25">
      <c r="A542" s="280"/>
      <c r="B542" s="331">
        <f>Crop!B578</f>
        <v>42169</v>
      </c>
      <c r="C542" s="332">
        <f t="shared" si="68"/>
        <v>270</v>
      </c>
      <c r="D542" s="332" t="str">
        <f t="shared" si="69"/>
        <v/>
      </c>
      <c r="E542" s="332">
        <f t="shared" si="70"/>
        <v>27</v>
      </c>
      <c r="F542" s="332">
        <f t="shared" si="71"/>
        <v>243</v>
      </c>
      <c r="G542" s="241"/>
      <c r="H542" s="241"/>
      <c r="I542" s="241"/>
      <c r="J542" s="241"/>
      <c r="K542" s="289"/>
      <c r="L542" s="289"/>
      <c r="M542" s="241"/>
      <c r="N542" s="241"/>
      <c r="O542" s="241"/>
      <c r="P542" s="241"/>
      <c r="Q542" s="241"/>
      <c r="R542" s="241"/>
      <c r="S542" s="241"/>
      <c r="T542" s="241"/>
      <c r="U542" s="241"/>
      <c r="V542" s="241"/>
      <c r="W542" s="241"/>
      <c r="X542" s="241"/>
      <c r="Y542" s="241"/>
      <c r="Z542" s="241"/>
      <c r="AA542" s="241"/>
      <c r="AB542" s="290">
        <f t="shared" si="64"/>
        <v>270</v>
      </c>
      <c r="AC542" s="290" t="e">
        <f t="shared" si="65"/>
        <v>#N/A</v>
      </c>
      <c r="AD542" s="290">
        <f t="shared" si="66"/>
        <v>27</v>
      </c>
      <c r="AE542" s="290">
        <f t="shared" si="67"/>
        <v>243</v>
      </c>
    </row>
    <row r="543" spans="1:31" x14ac:dyDescent="0.25">
      <c r="A543" s="280"/>
      <c r="B543" s="331">
        <f>Crop!B579</f>
        <v>42170</v>
      </c>
      <c r="C543" s="332">
        <f t="shared" si="68"/>
        <v>270</v>
      </c>
      <c r="D543" s="332" t="str">
        <f t="shared" si="69"/>
        <v/>
      </c>
      <c r="E543" s="332">
        <f t="shared" si="70"/>
        <v>27</v>
      </c>
      <c r="F543" s="332">
        <f t="shared" si="71"/>
        <v>243</v>
      </c>
      <c r="G543" s="241"/>
      <c r="H543" s="241"/>
      <c r="I543" s="241"/>
      <c r="J543" s="241"/>
      <c r="K543" s="289"/>
      <c r="L543" s="289"/>
      <c r="M543" s="241"/>
      <c r="N543" s="241"/>
      <c r="O543" s="241"/>
      <c r="P543" s="241"/>
      <c r="Q543" s="241"/>
      <c r="R543" s="241"/>
      <c r="S543" s="241"/>
      <c r="T543" s="241"/>
      <c r="U543" s="241"/>
      <c r="V543" s="241"/>
      <c r="W543" s="241"/>
      <c r="X543" s="241"/>
      <c r="Y543" s="241"/>
      <c r="Z543" s="241"/>
      <c r="AA543" s="241"/>
      <c r="AB543" s="290">
        <f t="shared" si="64"/>
        <v>270</v>
      </c>
      <c r="AC543" s="290" t="e">
        <f t="shared" si="65"/>
        <v>#N/A</v>
      </c>
      <c r="AD543" s="290">
        <f t="shared" si="66"/>
        <v>27</v>
      </c>
      <c r="AE543" s="290">
        <f t="shared" si="67"/>
        <v>243</v>
      </c>
    </row>
    <row r="544" spans="1:31" x14ac:dyDescent="0.25">
      <c r="A544" s="280"/>
      <c r="B544" s="331">
        <f>Crop!B580</f>
        <v>42171</v>
      </c>
      <c r="C544" s="332">
        <f t="shared" si="68"/>
        <v>270</v>
      </c>
      <c r="D544" s="332" t="str">
        <f t="shared" si="69"/>
        <v/>
      </c>
      <c r="E544" s="332">
        <f t="shared" si="70"/>
        <v>27</v>
      </c>
      <c r="F544" s="332">
        <f t="shared" si="71"/>
        <v>243</v>
      </c>
      <c r="G544" s="241"/>
      <c r="H544" s="241"/>
      <c r="I544" s="241"/>
      <c r="J544" s="241"/>
      <c r="K544" s="289"/>
      <c r="L544" s="289"/>
      <c r="M544" s="241"/>
      <c r="N544" s="241"/>
      <c r="O544" s="241"/>
      <c r="P544" s="241"/>
      <c r="Q544" s="241"/>
      <c r="R544" s="241"/>
      <c r="S544" s="241"/>
      <c r="T544" s="241"/>
      <c r="U544" s="241"/>
      <c r="V544" s="241"/>
      <c r="W544" s="241"/>
      <c r="X544" s="241"/>
      <c r="Y544" s="241"/>
      <c r="Z544" s="241"/>
      <c r="AA544" s="241"/>
      <c r="AB544" s="290">
        <f t="shared" si="64"/>
        <v>270</v>
      </c>
      <c r="AC544" s="290" t="e">
        <f t="shared" si="65"/>
        <v>#N/A</v>
      </c>
      <c r="AD544" s="290">
        <f t="shared" si="66"/>
        <v>27</v>
      </c>
      <c r="AE544" s="290">
        <f t="shared" si="67"/>
        <v>243</v>
      </c>
    </row>
    <row r="545" spans="1:31" x14ac:dyDescent="0.25">
      <c r="A545" s="280"/>
      <c r="B545" s="331">
        <f>Crop!B581</f>
        <v>42172</v>
      </c>
      <c r="C545" s="332">
        <f t="shared" si="68"/>
        <v>270</v>
      </c>
      <c r="D545" s="332" t="str">
        <f t="shared" si="69"/>
        <v/>
      </c>
      <c r="E545" s="332">
        <f t="shared" si="70"/>
        <v>27</v>
      </c>
      <c r="F545" s="332">
        <f t="shared" si="71"/>
        <v>243</v>
      </c>
      <c r="G545" s="241"/>
      <c r="H545" s="241"/>
      <c r="I545" s="241"/>
      <c r="J545" s="241"/>
      <c r="K545" s="289"/>
      <c r="L545" s="289"/>
      <c r="M545" s="241"/>
      <c r="N545" s="241"/>
      <c r="O545" s="241"/>
      <c r="P545" s="241"/>
      <c r="Q545" s="241"/>
      <c r="R545" s="241"/>
      <c r="S545" s="241"/>
      <c r="T545" s="241"/>
      <c r="U545" s="241"/>
      <c r="V545" s="241"/>
      <c r="W545" s="241"/>
      <c r="X545" s="241"/>
      <c r="Y545" s="241"/>
      <c r="Z545" s="241"/>
      <c r="AA545" s="241"/>
      <c r="AB545" s="290">
        <f t="shared" si="64"/>
        <v>270</v>
      </c>
      <c r="AC545" s="290" t="e">
        <f t="shared" si="65"/>
        <v>#N/A</v>
      </c>
      <c r="AD545" s="290">
        <f t="shared" si="66"/>
        <v>27</v>
      </c>
      <c r="AE545" s="290">
        <f t="shared" si="67"/>
        <v>243</v>
      </c>
    </row>
    <row r="546" spans="1:31" x14ac:dyDescent="0.25">
      <c r="A546" s="280"/>
      <c r="B546" s="331">
        <f>Crop!B582</f>
        <v>42173</v>
      </c>
      <c r="C546" s="332">
        <f t="shared" si="68"/>
        <v>270</v>
      </c>
      <c r="D546" s="332" t="str">
        <f t="shared" si="69"/>
        <v/>
      </c>
      <c r="E546" s="332">
        <f t="shared" si="70"/>
        <v>27</v>
      </c>
      <c r="F546" s="332">
        <f t="shared" si="71"/>
        <v>243</v>
      </c>
      <c r="G546" s="241"/>
      <c r="H546" s="241"/>
      <c r="I546" s="241"/>
      <c r="J546" s="241"/>
      <c r="K546" s="289"/>
      <c r="L546" s="289"/>
      <c r="M546" s="241"/>
      <c r="N546" s="241"/>
      <c r="O546" s="241"/>
      <c r="P546" s="241"/>
      <c r="Q546" s="241"/>
      <c r="R546" s="241"/>
      <c r="S546" s="241"/>
      <c r="T546" s="241"/>
      <c r="U546" s="241"/>
      <c r="V546" s="241"/>
      <c r="W546" s="241"/>
      <c r="X546" s="241"/>
      <c r="Y546" s="241"/>
      <c r="Z546" s="241"/>
      <c r="AA546" s="241"/>
      <c r="AB546" s="290">
        <f t="shared" si="64"/>
        <v>270</v>
      </c>
      <c r="AC546" s="290" t="e">
        <f t="shared" si="65"/>
        <v>#N/A</v>
      </c>
      <c r="AD546" s="290">
        <f t="shared" si="66"/>
        <v>27</v>
      </c>
      <c r="AE546" s="290">
        <f t="shared" si="67"/>
        <v>243</v>
      </c>
    </row>
    <row r="547" spans="1:31" x14ac:dyDescent="0.25">
      <c r="A547" s="280"/>
      <c r="B547" s="331">
        <f>Crop!B583</f>
        <v>42174</v>
      </c>
      <c r="C547" s="332">
        <f t="shared" si="68"/>
        <v>270</v>
      </c>
      <c r="D547" s="332" t="str">
        <f t="shared" si="69"/>
        <v/>
      </c>
      <c r="E547" s="332">
        <f t="shared" si="70"/>
        <v>27</v>
      </c>
      <c r="F547" s="332">
        <f t="shared" si="71"/>
        <v>243</v>
      </c>
      <c r="G547" s="241"/>
      <c r="H547" s="241"/>
      <c r="I547" s="241"/>
      <c r="J547" s="241"/>
      <c r="K547" s="289"/>
      <c r="L547" s="289"/>
      <c r="M547" s="241"/>
      <c r="N547" s="241"/>
      <c r="O547" s="241"/>
      <c r="P547" s="241"/>
      <c r="Q547" s="241"/>
      <c r="R547" s="241"/>
      <c r="S547" s="241"/>
      <c r="T547" s="241"/>
      <c r="U547" s="241"/>
      <c r="V547" s="241"/>
      <c r="W547" s="241"/>
      <c r="X547" s="241"/>
      <c r="Y547" s="241"/>
      <c r="Z547" s="241"/>
      <c r="AA547" s="241"/>
      <c r="AB547" s="290">
        <f t="shared" si="64"/>
        <v>270</v>
      </c>
      <c r="AC547" s="290" t="e">
        <f t="shared" si="65"/>
        <v>#N/A</v>
      </c>
      <c r="AD547" s="290">
        <f t="shared" si="66"/>
        <v>27</v>
      </c>
      <c r="AE547" s="290">
        <f t="shared" si="67"/>
        <v>243</v>
      </c>
    </row>
    <row r="548" spans="1:31" x14ac:dyDescent="0.25">
      <c r="A548" s="280"/>
      <c r="B548" s="331">
        <f>Crop!B584</f>
        <v>42175</v>
      </c>
      <c r="C548" s="332">
        <f t="shared" si="68"/>
        <v>270</v>
      </c>
      <c r="D548" s="332" t="str">
        <f t="shared" si="69"/>
        <v/>
      </c>
      <c r="E548" s="332">
        <f t="shared" si="70"/>
        <v>27</v>
      </c>
      <c r="F548" s="332">
        <f t="shared" si="71"/>
        <v>243</v>
      </c>
      <c r="G548" s="241"/>
      <c r="H548" s="241"/>
      <c r="I548" s="241"/>
      <c r="J548" s="241"/>
      <c r="K548" s="289"/>
      <c r="L548" s="289"/>
      <c r="M548" s="241"/>
      <c r="N548" s="241"/>
      <c r="O548" s="241"/>
      <c r="P548" s="241"/>
      <c r="Q548" s="241"/>
      <c r="R548" s="241"/>
      <c r="S548" s="241"/>
      <c r="T548" s="241"/>
      <c r="U548" s="241"/>
      <c r="V548" s="241"/>
      <c r="W548" s="241"/>
      <c r="X548" s="241"/>
      <c r="Y548" s="241"/>
      <c r="Z548" s="241"/>
      <c r="AA548" s="241"/>
      <c r="AB548" s="290">
        <f t="shared" si="64"/>
        <v>270</v>
      </c>
      <c r="AC548" s="290" t="e">
        <f t="shared" si="65"/>
        <v>#N/A</v>
      </c>
      <c r="AD548" s="290">
        <f t="shared" si="66"/>
        <v>27</v>
      </c>
      <c r="AE548" s="290">
        <f t="shared" si="67"/>
        <v>243</v>
      </c>
    </row>
    <row r="549" spans="1:31" x14ac:dyDescent="0.25">
      <c r="A549" s="280"/>
      <c r="B549" s="331">
        <f>Crop!B585</f>
        <v>42176</v>
      </c>
      <c r="C549" s="332">
        <f t="shared" si="68"/>
        <v>270</v>
      </c>
      <c r="D549" s="332" t="str">
        <f t="shared" si="69"/>
        <v/>
      </c>
      <c r="E549" s="332">
        <f t="shared" si="70"/>
        <v>27</v>
      </c>
      <c r="F549" s="332">
        <f t="shared" si="71"/>
        <v>243</v>
      </c>
      <c r="G549" s="241"/>
      <c r="H549" s="241"/>
      <c r="I549" s="241"/>
      <c r="J549" s="241"/>
      <c r="K549" s="289"/>
      <c r="L549" s="289"/>
      <c r="M549" s="241"/>
      <c r="N549" s="241"/>
      <c r="O549" s="241"/>
      <c r="P549" s="241"/>
      <c r="Q549" s="241"/>
      <c r="R549" s="241"/>
      <c r="S549" s="241"/>
      <c r="T549" s="241"/>
      <c r="U549" s="241"/>
      <c r="V549" s="241"/>
      <c r="W549" s="241"/>
      <c r="X549" s="241"/>
      <c r="Y549" s="241"/>
      <c r="Z549" s="241"/>
      <c r="AA549" s="241"/>
      <c r="AB549" s="290">
        <f t="shared" si="64"/>
        <v>270</v>
      </c>
      <c r="AC549" s="290" t="e">
        <f t="shared" si="65"/>
        <v>#N/A</v>
      </c>
      <c r="AD549" s="290">
        <f t="shared" si="66"/>
        <v>27</v>
      </c>
      <c r="AE549" s="290">
        <f t="shared" si="67"/>
        <v>243</v>
      </c>
    </row>
    <row r="550" spans="1:31" x14ac:dyDescent="0.25">
      <c r="A550" s="280"/>
      <c r="B550" s="331">
        <f>Crop!B586</f>
        <v>42177</v>
      </c>
      <c r="C550" s="332">
        <f t="shared" si="68"/>
        <v>270</v>
      </c>
      <c r="D550" s="332" t="str">
        <f t="shared" si="69"/>
        <v/>
      </c>
      <c r="E550" s="332">
        <f t="shared" si="70"/>
        <v>27</v>
      </c>
      <c r="F550" s="332">
        <f t="shared" si="71"/>
        <v>243</v>
      </c>
      <c r="G550" s="241"/>
      <c r="H550" s="241"/>
      <c r="I550" s="241"/>
      <c r="J550" s="241"/>
      <c r="K550" s="289"/>
      <c r="L550" s="289"/>
      <c r="M550" s="241"/>
      <c r="N550" s="241"/>
      <c r="O550" s="241"/>
      <c r="P550" s="241"/>
      <c r="Q550" s="241"/>
      <c r="R550" s="241"/>
      <c r="S550" s="241"/>
      <c r="T550" s="241"/>
      <c r="U550" s="241"/>
      <c r="V550" s="241"/>
      <c r="W550" s="241"/>
      <c r="X550" s="241"/>
      <c r="Y550" s="241"/>
      <c r="Z550" s="241"/>
      <c r="AA550" s="241"/>
      <c r="AB550" s="290">
        <f t="shared" si="64"/>
        <v>270</v>
      </c>
      <c r="AC550" s="290" t="e">
        <f t="shared" si="65"/>
        <v>#N/A</v>
      </c>
      <c r="AD550" s="290">
        <f t="shared" si="66"/>
        <v>27</v>
      </c>
      <c r="AE550" s="290">
        <f t="shared" si="67"/>
        <v>243</v>
      </c>
    </row>
    <row r="551" spans="1:31" x14ac:dyDescent="0.25">
      <c r="A551" s="280"/>
      <c r="B551" s="331">
        <f>Crop!B587</f>
        <v>42178</v>
      </c>
      <c r="C551" s="332">
        <f t="shared" si="68"/>
        <v>270</v>
      </c>
      <c r="D551" s="332" t="str">
        <f t="shared" si="69"/>
        <v/>
      </c>
      <c r="E551" s="332">
        <f t="shared" si="70"/>
        <v>27</v>
      </c>
      <c r="F551" s="332">
        <f t="shared" si="71"/>
        <v>243</v>
      </c>
      <c r="G551" s="241"/>
      <c r="H551" s="241"/>
      <c r="I551" s="241"/>
      <c r="J551" s="241"/>
      <c r="K551" s="289"/>
      <c r="L551" s="289"/>
      <c r="M551" s="241"/>
      <c r="N551" s="241"/>
      <c r="O551" s="241"/>
      <c r="P551" s="241"/>
      <c r="Q551" s="241"/>
      <c r="R551" s="241"/>
      <c r="S551" s="241"/>
      <c r="T551" s="241"/>
      <c r="U551" s="241"/>
      <c r="V551" s="241"/>
      <c r="W551" s="241"/>
      <c r="X551" s="241"/>
      <c r="Y551" s="241"/>
      <c r="Z551" s="241"/>
      <c r="AA551" s="241"/>
      <c r="AB551" s="290">
        <f t="shared" si="64"/>
        <v>270</v>
      </c>
      <c r="AC551" s="290" t="e">
        <f t="shared" si="65"/>
        <v>#N/A</v>
      </c>
      <c r="AD551" s="290">
        <f t="shared" si="66"/>
        <v>27</v>
      </c>
      <c r="AE551" s="290">
        <f t="shared" si="67"/>
        <v>243</v>
      </c>
    </row>
    <row r="552" spans="1:31" x14ac:dyDescent="0.25">
      <c r="A552" s="280"/>
      <c r="B552" s="331">
        <f>Crop!B588</f>
        <v>42179</v>
      </c>
      <c r="C552" s="332">
        <f t="shared" si="68"/>
        <v>270</v>
      </c>
      <c r="D552" s="332" t="str">
        <f t="shared" si="69"/>
        <v/>
      </c>
      <c r="E552" s="332">
        <f t="shared" si="70"/>
        <v>27</v>
      </c>
      <c r="F552" s="332">
        <f t="shared" si="71"/>
        <v>243</v>
      </c>
      <c r="G552" s="241"/>
      <c r="H552" s="241"/>
      <c r="I552" s="241"/>
      <c r="J552" s="241"/>
      <c r="K552" s="289"/>
      <c r="L552" s="289"/>
      <c r="M552" s="241"/>
      <c r="N552" s="241"/>
      <c r="O552" s="241"/>
      <c r="P552" s="241"/>
      <c r="Q552" s="241"/>
      <c r="R552" s="241"/>
      <c r="S552" s="241"/>
      <c r="T552" s="241"/>
      <c r="U552" s="241"/>
      <c r="V552" s="241"/>
      <c r="W552" s="241"/>
      <c r="X552" s="241"/>
      <c r="Y552" s="241"/>
      <c r="Z552" s="241"/>
      <c r="AA552" s="241"/>
      <c r="AB552" s="290">
        <f t="shared" si="64"/>
        <v>270</v>
      </c>
      <c r="AC552" s="290" t="e">
        <f t="shared" si="65"/>
        <v>#N/A</v>
      </c>
      <c r="AD552" s="290">
        <f t="shared" si="66"/>
        <v>27</v>
      </c>
      <c r="AE552" s="290">
        <f t="shared" si="67"/>
        <v>243</v>
      </c>
    </row>
    <row r="553" spans="1:31" x14ac:dyDescent="0.25">
      <c r="A553" s="280"/>
      <c r="B553" s="331">
        <f>Crop!B589</f>
        <v>42180</v>
      </c>
      <c r="C553" s="332">
        <f t="shared" si="68"/>
        <v>270</v>
      </c>
      <c r="D553" s="332" t="str">
        <f t="shared" si="69"/>
        <v/>
      </c>
      <c r="E553" s="332">
        <f t="shared" si="70"/>
        <v>27</v>
      </c>
      <c r="F553" s="332">
        <f t="shared" si="71"/>
        <v>243</v>
      </c>
      <c r="G553" s="241"/>
      <c r="H553" s="241"/>
      <c r="I553" s="241"/>
      <c r="J553" s="241"/>
      <c r="K553" s="289"/>
      <c r="L553" s="289"/>
      <c r="M553" s="241"/>
      <c r="N553" s="241"/>
      <c r="O553" s="241"/>
      <c r="P553" s="241"/>
      <c r="Q553" s="241"/>
      <c r="R553" s="241"/>
      <c r="S553" s="241"/>
      <c r="T553" s="241"/>
      <c r="U553" s="241"/>
      <c r="V553" s="241"/>
      <c r="W553" s="241"/>
      <c r="X553" s="241"/>
      <c r="Y553" s="241"/>
      <c r="Z553" s="241"/>
      <c r="AA553" s="241"/>
      <c r="AB553" s="290">
        <f t="shared" si="64"/>
        <v>270</v>
      </c>
      <c r="AC553" s="290" t="e">
        <f t="shared" si="65"/>
        <v>#N/A</v>
      </c>
      <c r="AD553" s="290">
        <f t="shared" si="66"/>
        <v>27</v>
      </c>
      <c r="AE553" s="290">
        <f t="shared" si="67"/>
        <v>243</v>
      </c>
    </row>
    <row r="554" spans="1:31" x14ac:dyDescent="0.25">
      <c r="A554" s="280"/>
      <c r="B554" s="331">
        <f>Crop!B590</f>
        <v>42181</v>
      </c>
      <c r="C554" s="332">
        <f t="shared" si="68"/>
        <v>270</v>
      </c>
      <c r="D554" s="332" t="str">
        <f t="shared" si="69"/>
        <v/>
      </c>
      <c r="E554" s="332">
        <f t="shared" si="70"/>
        <v>27</v>
      </c>
      <c r="F554" s="332">
        <f t="shared" si="71"/>
        <v>243</v>
      </c>
      <c r="G554" s="241"/>
      <c r="H554" s="241"/>
      <c r="I554" s="241"/>
      <c r="J554" s="241"/>
      <c r="K554" s="289"/>
      <c r="L554" s="289"/>
      <c r="M554" s="241"/>
      <c r="N554" s="241"/>
      <c r="O554" s="241"/>
      <c r="P554" s="241"/>
      <c r="Q554" s="241"/>
      <c r="R554" s="241"/>
      <c r="S554" s="241"/>
      <c r="T554" s="241"/>
      <c r="U554" s="241"/>
      <c r="V554" s="241"/>
      <c r="W554" s="241"/>
      <c r="X554" s="241"/>
      <c r="Y554" s="241"/>
      <c r="Z554" s="241"/>
      <c r="AA554" s="241"/>
      <c r="AB554" s="290">
        <f t="shared" si="64"/>
        <v>270</v>
      </c>
      <c r="AC554" s="290" t="e">
        <f t="shared" si="65"/>
        <v>#N/A</v>
      </c>
      <c r="AD554" s="290">
        <f t="shared" si="66"/>
        <v>27</v>
      </c>
      <c r="AE554" s="290">
        <f t="shared" si="67"/>
        <v>243</v>
      </c>
    </row>
    <row r="555" spans="1:31" x14ac:dyDescent="0.25">
      <c r="A555" s="280"/>
      <c r="B555" s="331">
        <f>Crop!B591</f>
        <v>42182</v>
      </c>
      <c r="C555" s="332">
        <f t="shared" si="68"/>
        <v>270</v>
      </c>
      <c r="D555" s="332" t="str">
        <f t="shared" si="69"/>
        <v/>
      </c>
      <c r="E555" s="332">
        <f t="shared" si="70"/>
        <v>27</v>
      </c>
      <c r="F555" s="332">
        <f t="shared" si="71"/>
        <v>243</v>
      </c>
      <c r="G555" s="241"/>
      <c r="H555" s="241"/>
      <c r="I555" s="241"/>
      <c r="J555" s="241"/>
      <c r="K555" s="289"/>
      <c r="L555" s="289"/>
      <c r="M555" s="241"/>
      <c r="N555" s="241"/>
      <c r="O555" s="241"/>
      <c r="P555" s="241"/>
      <c r="Q555" s="241"/>
      <c r="R555" s="241"/>
      <c r="S555" s="241"/>
      <c r="T555" s="241"/>
      <c r="U555" s="241"/>
      <c r="V555" s="241"/>
      <c r="W555" s="241"/>
      <c r="X555" s="241"/>
      <c r="Y555" s="241"/>
      <c r="Z555" s="241"/>
      <c r="AA555" s="241"/>
      <c r="AB555" s="290">
        <f t="shared" si="64"/>
        <v>270</v>
      </c>
      <c r="AC555" s="290" t="e">
        <f t="shared" si="65"/>
        <v>#N/A</v>
      </c>
      <c r="AD555" s="290">
        <f t="shared" si="66"/>
        <v>27</v>
      </c>
      <c r="AE555" s="290">
        <f t="shared" si="67"/>
        <v>243</v>
      </c>
    </row>
    <row r="556" spans="1:31" x14ac:dyDescent="0.25">
      <c r="A556" s="280"/>
      <c r="B556" s="331">
        <f>Crop!B592</f>
        <v>42183</v>
      </c>
      <c r="C556" s="332">
        <f t="shared" si="68"/>
        <v>270</v>
      </c>
      <c r="D556" s="332" t="str">
        <f t="shared" si="69"/>
        <v/>
      </c>
      <c r="E556" s="332">
        <f t="shared" si="70"/>
        <v>27</v>
      </c>
      <c r="F556" s="332">
        <f t="shared" si="71"/>
        <v>243</v>
      </c>
      <c r="G556" s="241"/>
      <c r="H556" s="241"/>
      <c r="I556" s="241"/>
      <c r="J556" s="241"/>
      <c r="K556" s="289"/>
      <c r="L556" s="289"/>
      <c r="M556" s="241"/>
      <c r="N556" s="241"/>
      <c r="O556" s="241"/>
      <c r="P556" s="241"/>
      <c r="Q556" s="241"/>
      <c r="R556" s="241"/>
      <c r="S556" s="241"/>
      <c r="T556" s="241"/>
      <c r="U556" s="241"/>
      <c r="V556" s="241"/>
      <c r="W556" s="241"/>
      <c r="X556" s="241"/>
      <c r="Y556" s="241"/>
      <c r="Z556" s="241"/>
      <c r="AA556" s="241"/>
      <c r="AB556" s="290">
        <f t="shared" si="64"/>
        <v>270</v>
      </c>
      <c r="AC556" s="290" t="e">
        <f t="shared" si="65"/>
        <v>#N/A</v>
      </c>
      <c r="AD556" s="290">
        <f t="shared" si="66"/>
        <v>27</v>
      </c>
      <c r="AE556" s="290">
        <f t="shared" si="67"/>
        <v>243</v>
      </c>
    </row>
    <row r="557" spans="1:31" x14ac:dyDescent="0.25">
      <c r="A557" s="280"/>
      <c r="B557" s="331">
        <f>Crop!B593</f>
        <v>42184</v>
      </c>
      <c r="C557" s="332">
        <f t="shared" si="68"/>
        <v>270</v>
      </c>
      <c r="D557" s="332" t="str">
        <f t="shared" si="69"/>
        <v/>
      </c>
      <c r="E557" s="332">
        <f t="shared" si="70"/>
        <v>27</v>
      </c>
      <c r="F557" s="332">
        <f t="shared" si="71"/>
        <v>243</v>
      </c>
      <c r="G557" s="241"/>
      <c r="H557" s="241"/>
      <c r="I557" s="241"/>
      <c r="J557" s="241"/>
      <c r="K557" s="289"/>
      <c r="L557" s="289"/>
      <c r="M557" s="241"/>
      <c r="N557" s="241"/>
      <c r="O557" s="241"/>
      <c r="P557" s="241"/>
      <c r="Q557" s="241"/>
      <c r="R557" s="241"/>
      <c r="S557" s="241"/>
      <c r="T557" s="241"/>
      <c r="U557" s="241"/>
      <c r="V557" s="241"/>
      <c r="W557" s="241"/>
      <c r="X557" s="241"/>
      <c r="Y557" s="241"/>
      <c r="Z557" s="241"/>
      <c r="AA557" s="241"/>
      <c r="AB557" s="290">
        <f t="shared" si="64"/>
        <v>270</v>
      </c>
      <c r="AC557" s="290" t="e">
        <f t="shared" si="65"/>
        <v>#N/A</v>
      </c>
      <c r="AD557" s="290">
        <f t="shared" si="66"/>
        <v>27</v>
      </c>
      <c r="AE557" s="290">
        <f t="shared" si="67"/>
        <v>243</v>
      </c>
    </row>
    <row r="558" spans="1:31" x14ac:dyDescent="0.25">
      <c r="A558" s="280"/>
      <c r="B558" s="331">
        <f>Crop!B594</f>
        <v>42185</v>
      </c>
      <c r="C558" s="332">
        <f t="shared" si="68"/>
        <v>270</v>
      </c>
      <c r="D558" s="332" t="str">
        <f t="shared" si="69"/>
        <v/>
      </c>
      <c r="E558" s="332">
        <f t="shared" si="70"/>
        <v>27</v>
      </c>
      <c r="F558" s="332">
        <f t="shared" si="71"/>
        <v>243</v>
      </c>
      <c r="G558" s="241"/>
      <c r="H558" s="241"/>
      <c r="I558" s="241"/>
      <c r="J558" s="241"/>
      <c r="K558" s="289"/>
      <c r="L558" s="289"/>
      <c r="M558" s="241"/>
      <c r="N558" s="241"/>
      <c r="O558" s="241"/>
      <c r="P558" s="241"/>
      <c r="Q558" s="241"/>
      <c r="R558" s="241"/>
      <c r="S558" s="241"/>
      <c r="T558" s="241"/>
      <c r="U558" s="241"/>
      <c r="V558" s="241"/>
      <c r="W558" s="241"/>
      <c r="X558" s="241"/>
      <c r="Y558" s="241"/>
      <c r="Z558" s="241"/>
      <c r="AA558" s="241"/>
      <c r="AB558" s="290">
        <f t="shared" si="64"/>
        <v>270</v>
      </c>
      <c r="AC558" s="290" t="e">
        <f t="shared" si="65"/>
        <v>#N/A</v>
      </c>
      <c r="AD558" s="290">
        <f t="shared" si="66"/>
        <v>27</v>
      </c>
      <c r="AE558" s="290">
        <f t="shared" si="67"/>
        <v>243</v>
      </c>
    </row>
    <row r="559" spans="1:31" x14ac:dyDescent="0.25">
      <c r="A559" s="280"/>
      <c r="B559" s="331">
        <f>Crop!B595</f>
        <v>42186</v>
      </c>
      <c r="C559" s="332">
        <f t="shared" si="68"/>
        <v>270</v>
      </c>
      <c r="D559" s="332" t="str">
        <f t="shared" si="69"/>
        <v/>
      </c>
      <c r="E559" s="332">
        <f t="shared" si="70"/>
        <v>27</v>
      </c>
      <c r="F559" s="332">
        <f t="shared" si="71"/>
        <v>243</v>
      </c>
      <c r="G559" s="241"/>
      <c r="H559" s="241"/>
      <c r="I559" s="241"/>
      <c r="J559" s="241"/>
      <c r="K559" s="289"/>
      <c r="L559" s="289"/>
      <c r="M559" s="241"/>
      <c r="N559" s="241"/>
      <c r="O559" s="241"/>
      <c r="P559" s="241"/>
      <c r="Q559" s="241"/>
      <c r="R559" s="241"/>
      <c r="S559" s="241"/>
      <c r="T559" s="241"/>
      <c r="U559" s="241"/>
      <c r="V559" s="241"/>
      <c r="W559" s="241"/>
      <c r="X559" s="241"/>
      <c r="Y559" s="241"/>
      <c r="Z559" s="241"/>
      <c r="AA559" s="241"/>
      <c r="AB559" s="290">
        <f t="shared" si="64"/>
        <v>270</v>
      </c>
      <c r="AC559" s="290" t="e">
        <f t="shared" si="65"/>
        <v>#N/A</v>
      </c>
      <c r="AD559" s="290">
        <f t="shared" si="66"/>
        <v>27</v>
      </c>
      <c r="AE559" s="290">
        <f t="shared" si="67"/>
        <v>243</v>
      </c>
    </row>
    <row r="560" spans="1:31" x14ac:dyDescent="0.25">
      <c r="A560" s="280"/>
      <c r="B560" s="331">
        <f>Crop!B596</f>
        <v>42187</v>
      </c>
      <c r="C560" s="332">
        <f t="shared" si="68"/>
        <v>270</v>
      </c>
      <c r="D560" s="332" t="str">
        <f t="shared" si="69"/>
        <v/>
      </c>
      <c r="E560" s="332">
        <f t="shared" si="70"/>
        <v>27</v>
      </c>
      <c r="F560" s="332">
        <f t="shared" si="71"/>
        <v>243</v>
      </c>
      <c r="G560" s="241"/>
      <c r="H560" s="241"/>
      <c r="I560" s="241"/>
      <c r="J560" s="241"/>
      <c r="K560" s="289"/>
      <c r="L560" s="289"/>
      <c r="M560" s="241"/>
      <c r="N560" s="241"/>
      <c r="O560" s="241"/>
      <c r="P560" s="241"/>
      <c r="Q560" s="241"/>
      <c r="R560" s="241"/>
      <c r="S560" s="241"/>
      <c r="T560" s="241"/>
      <c r="U560" s="241"/>
      <c r="V560" s="241"/>
      <c r="W560" s="241"/>
      <c r="X560" s="241"/>
      <c r="Y560" s="241"/>
      <c r="Z560" s="241"/>
      <c r="AA560" s="241"/>
      <c r="AB560" s="290">
        <f t="shared" si="64"/>
        <v>270</v>
      </c>
      <c r="AC560" s="290" t="e">
        <f t="shared" si="65"/>
        <v>#N/A</v>
      </c>
      <c r="AD560" s="290">
        <f t="shared" si="66"/>
        <v>27</v>
      </c>
      <c r="AE560" s="290">
        <f t="shared" si="67"/>
        <v>243</v>
      </c>
    </row>
    <row r="561" spans="1:31" x14ac:dyDescent="0.25">
      <c r="A561" s="280"/>
      <c r="B561" s="331">
        <f>Crop!B597</f>
        <v>42188</v>
      </c>
      <c r="C561" s="332">
        <f t="shared" si="68"/>
        <v>270</v>
      </c>
      <c r="D561" s="332" t="str">
        <f t="shared" si="69"/>
        <v/>
      </c>
      <c r="E561" s="332">
        <f t="shared" si="70"/>
        <v>27</v>
      </c>
      <c r="F561" s="332">
        <f t="shared" si="71"/>
        <v>243</v>
      </c>
      <c r="G561" s="241"/>
      <c r="H561" s="241"/>
      <c r="I561" s="241"/>
      <c r="J561" s="241"/>
      <c r="K561" s="289"/>
      <c r="L561" s="289"/>
      <c r="M561" s="241"/>
      <c r="N561" s="241"/>
      <c r="O561" s="241"/>
      <c r="P561" s="241"/>
      <c r="Q561" s="241"/>
      <c r="R561" s="241"/>
      <c r="S561" s="241"/>
      <c r="T561" s="241"/>
      <c r="U561" s="241"/>
      <c r="V561" s="241"/>
      <c r="W561" s="241"/>
      <c r="X561" s="241"/>
      <c r="Y561" s="241"/>
      <c r="Z561" s="241"/>
      <c r="AA561" s="241"/>
      <c r="AB561" s="290">
        <f t="shared" si="64"/>
        <v>270</v>
      </c>
      <c r="AC561" s="290" t="e">
        <f t="shared" si="65"/>
        <v>#N/A</v>
      </c>
      <c r="AD561" s="290">
        <f t="shared" si="66"/>
        <v>27</v>
      </c>
      <c r="AE561" s="290">
        <f t="shared" si="67"/>
        <v>243</v>
      </c>
    </row>
    <row r="562" spans="1:31" x14ac:dyDescent="0.25">
      <c r="A562" s="280"/>
      <c r="B562" s="331">
        <f>Crop!B598</f>
        <v>42189</v>
      </c>
      <c r="C562" s="332">
        <f t="shared" si="68"/>
        <v>270</v>
      </c>
      <c r="D562" s="332" t="str">
        <f t="shared" si="69"/>
        <v/>
      </c>
      <c r="E562" s="332">
        <f t="shared" si="70"/>
        <v>27</v>
      </c>
      <c r="F562" s="332">
        <f t="shared" si="71"/>
        <v>243</v>
      </c>
      <c r="G562" s="241"/>
      <c r="H562" s="241"/>
      <c r="I562" s="241"/>
      <c r="J562" s="241"/>
      <c r="K562" s="289"/>
      <c r="L562" s="289"/>
      <c r="M562" s="241"/>
      <c r="N562" s="241"/>
      <c r="O562" s="241"/>
      <c r="P562" s="241"/>
      <c r="Q562" s="241"/>
      <c r="R562" s="241"/>
      <c r="S562" s="241"/>
      <c r="T562" s="241"/>
      <c r="U562" s="241"/>
      <c r="V562" s="241"/>
      <c r="W562" s="241"/>
      <c r="X562" s="241"/>
      <c r="Y562" s="241"/>
      <c r="Z562" s="241"/>
      <c r="AA562" s="241"/>
      <c r="AB562" s="290">
        <f t="shared" si="64"/>
        <v>270</v>
      </c>
      <c r="AC562" s="290" t="e">
        <f t="shared" si="65"/>
        <v>#N/A</v>
      </c>
      <c r="AD562" s="290">
        <f t="shared" si="66"/>
        <v>27</v>
      </c>
      <c r="AE562" s="290">
        <f t="shared" si="67"/>
        <v>243</v>
      </c>
    </row>
    <row r="563" spans="1:31" x14ac:dyDescent="0.25">
      <c r="A563" s="280"/>
      <c r="B563" s="331">
        <f>Crop!B599</f>
        <v>42190</v>
      </c>
      <c r="C563" s="332">
        <f t="shared" si="68"/>
        <v>270</v>
      </c>
      <c r="D563" s="332" t="str">
        <f t="shared" si="69"/>
        <v/>
      </c>
      <c r="E563" s="332">
        <f t="shared" si="70"/>
        <v>27</v>
      </c>
      <c r="F563" s="332">
        <f t="shared" si="71"/>
        <v>243</v>
      </c>
      <c r="G563" s="241"/>
      <c r="H563" s="241"/>
      <c r="I563" s="241"/>
      <c r="J563" s="241"/>
      <c r="K563" s="289"/>
      <c r="L563" s="289"/>
      <c r="M563" s="241"/>
      <c r="N563" s="241"/>
      <c r="O563" s="241"/>
      <c r="P563" s="241"/>
      <c r="Q563" s="241"/>
      <c r="R563" s="241"/>
      <c r="S563" s="241"/>
      <c r="T563" s="241"/>
      <c r="U563" s="241"/>
      <c r="V563" s="241"/>
      <c r="W563" s="241"/>
      <c r="X563" s="241"/>
      <c r="Y563" s="241"/>
      <c r="Z563" s="241"/>
      <c r="AA563" s="241"/>
      <c r="AB563" s="290">
        <f t="shared" si="64"/>
        <v>270</v>
      </c>
      <c r="AC563" s="290" t="e">
        <f t="shared" si="65"/>
        <v>#N/A</v>
      </c>
      <c r="AD563" s="290">
        <f t="shared" si="66"/>
        <v>27</v>
      </c>
      <c r="AE563" s="290">
        <f t="shared" si="67"/>
        <v>243</v>
      </c>
    </row>
    <row r="564" spans="1:31" x14ac:dyDescent="0.25">
      <c r="A564" s="280"/>
      <c r="B564" s="331">
        <f>Crop!B600</f>
        <v>42191</v>
      </c>
      <c r="C564" s="332">
        <f t="shared" si="68"/>
        <v>270</v>
      </c>
      <c r="D564" s="332" t="str">
        <f t="shared" si="69"/>
        <v/>
      </c>
      <c r="E564" s="332">
        <f t="shared" si="70"/>
        <v>27</v>
      </c>
      <c r="F564" s="332">
        <f t="shared" si="71"/>
        <v>243</v>
      </c>
      <c r="G564" s="241"/>
      <c r="H564" s="241"/>
      <c r="I564" s="241"/>
      <c r="J564" s="241"/>
      <c r="K564" s="289"/>
      <c r="L564" s="289"/>
      <c r="M564" s="241"/>
      <c r="N564" s="241"/>
      <c r="O564" s="241"/>
      <c r="P564" s="241"/>
      <c r="Q564" s="241"/>
      <c r="R564" s="241"/>
      <c r="S564" s="241"/>
      <c r="T564" s="241"/>
      <c r="U564" s="241"/>
      <c r="V564" s="241"/>
      <c r="W564" s="241"/>
      <c r="X564" s="241"/>
      <c r="Y564" s="241"/>
      <c r="Z564" s="241"/>
      <c r="AA564" s="241"/>
      <c r="AB564" s="290">
        <f t="shared" si="64"/>
        <v>270</v>
      </c>
      <c r="AC564" s="290" t="e">
        <f t="shared" si="65"/>
        <v>#N/A</v>
      </c>
      <c r="AD564" s="290">
        <f t="shared" si="66"/>
        <v>27</v>
      </c>
      <c r="AE564" s="290">
        <f t="shared" si="67"/>
        <v>243</v>
      </c>
    </row>
    <row r="565" spans="1:31" x14ac:dyDescent="0.25">
      <c r="A565" s="280"/>
      <c r="B565" s="331">
        <f>Crop!B601</f>
        <v>42192</v>
      </c>
      <c r="C565" s="332">
        <f t="shared" si="68"/>
        <v>270</v>
      </c>
      <c r="D565" s="332" t="str">
        <f t="shared" si="69"/>
        <v/>
      </c>
      <c r="E565" s="332">
        <f t="shared" si="70"/>
        <v>27</v>
      </c>
      <c r="F565" s="332">
        <f t="shared" si="71"/>
        <v>243</v>
      </c>
      <c r="G565" s="241"/>
      <c r="H565" s="241"/>
      <c r="I565" s="241"/>
      <c r="J565" s="241"/>
      <c r="K565" s="289"/>
      <c r="L565" s="289"/>
      <c r="M565" s="241"/>
      <c r="N565" s="241"/>
      <c r="O565" s="241"/>
      <c r="P565" s="241"/>
      <c r="Q565" s="241"/>
      <c r="R565" s="241"/>
      <c r="S565" s="241"/>
      <c r="T565" s="241"/>
      <c r="U565" s="241"/>
      <c r="V565" s="241"/>
      <c r="W565" s="241"/>
      <c r="X565" s="241"/>
      <c r="Y565" s="241"/>
      <c r="Z565" s="241"/>
      <c r="AA565" s="241"/>
      <c r="AB565" s="290">
        <f t="shared" si="64"/>
        <v>270</v>
      </c>
      <c r="AC565" s="290" t="e">
        <f t="shared" si="65"/>
        <v>#N/A</v>
      </c>
      <c r="AD565" s="290">
        <f t="shared" si="66"/>
        <v>27</v>
      </c>
      <c r="AE565" s="290">
        <f t="shared" si="67"/>
        <v>243</v>
      </c>
    </row>
    <row r="566" spans="1:31" x14ac:dyDescent="0.25">
      <c r="A566" s="280"/>
      <c r="B566" s="331">
        <f>Crop!B602</f>
        <v>42193</v>
      </c>
      <c r="C566" s="332">
        <f t="shared" si="68"/>
        <v>270</v>
      </c>
      <c r="D566" s="332" t="str">
        <f t="shared" si="69"/>
        <v/>
      </c>
      <c r="E566" s="332">
        <f t="shared" si="70"/>
        <v>27</v>
      </c>
      <c r="F566" s="332">
        <f t="shared" si="71"/>
        <v>243</v>
      </c>
      <c r="G566" s="241"/>
      <c r="H566" s="241"/>
      <c r="I566" s="241"/>
      <c r="J566" s="241"/>
      <c r="K566" s="289"/>
      <c r="L566" s="289"/>
      <c r="M566" s="241"/>
      <c r="N566" s="241"/>
      <c r="O566" s="241"/>
      <c r="P566" s="241"/>
      <c r="Q566" s="241"/>
      <c r="R566" s="241"/>
      <c r="S566" s="241"/>
      <c r="T566" s="241"/>
      <c r="U566" s="241"/>
      <c r="V566" s="241"/>
      <c r="W566" s="241"/>
      <c r="X566" s="241"/>
      <c r="Y566" s="241"/>
      <c r="Z566" s="241"/>
      <c r="AA566" s="241"/>
      <c r="AB566" s="290">
        <f t="shared" si="64"/>
        <v>270</v>
      </c>
      <c r="AC566" s="290" t="e">
        <f t="shared" si="65"/>
        <v>#N/A</v>
      </c>
      <c r="AD566" s="290">
        <f t="shared" si="66"/>
        <v>27</v>
      </c>
      <c r="AE566" s="290">
        <f t="shared" si="67"/>
        <v>243</v>
      </c>
    </row>
    <row r="567" spans="1:31" x14ac:dyDescent="0.25">
      <c r="A567" s="280"/>
      <c r="B567" s="331">
        <f>Crop!B603</f>
        <v>42194</v>
      </c>
      <c r="C567" s="332">
        <f t="shared" si="68"/>
        <v>270</v>
      </c>
      <c r="D567" s="332" t="str">
        <f t="shared" si="69"/>
        <v/>
      </c>
      <c r="E567" s="332">
        <f t="shared" si="70"/>
        <v>27</v>
      </c>
      <c r="F567" s="332">
        <f t="shared" si="71"/>
        <v>243</v>
      </c>
      <c r="G567" s="241"/>
      <c r="H567" s="241"/>
      <c r="I567" s="241"/>
      <c r="J567" s="241"/>
      <c r="K567" s="289"/>
      <c r="L567" s="289"/>
      <c r="M567" s="241"/>
      <c r="N567" s="241"/>
      <c r="O567" s="241"/>
      <c r="P567" s="241"/>
      <c r="Q567" s="241"/>
      <c r="R567" s="241"/>
      <c r="S567" s="241"/>
      <c r="T567" s="241"/>
      <c r="U567" s="241"/>
      <c r="V567" s="241"/>
      <c r="W567" s="241"/>
      <c r="X567" s="241"/>
      <c r="Y567" s="241"/>
      <c r="Z567" s="241"/>
      <c r="AA567" s="241"/>
      <c r="AB567" s="290">
        <f t="shared" si="64"/>
        <v>270</v>
      </c>
      <c r="AC567" s="290" t="e">
        <f t="shared" si="65"/>
        <v>#N/A</v>
      </c>
      <c r="AD567" s="290">
        <f t="shared" si="66"/>
        <v>27</v>
      </c>
      <c r="AE567" s="290">
        <f t="shared" si="67"/>
        <v>243</v>
      </c>
    </row>
    <row r="568" spans="1:31" x14ac:dyDescent="0.25">
      <c r="A568" s="280"/>
      <c r="B568" s="331">
        <f>Crop!B604</f>
        <v>42195</v>
      </c>
      <c r="C568" s="332">
        <f t="shared" si="68"/>
        <v>270</v>
      </c>
      <c r="D568" s="332" t="str">
        <f t="shared" si="69"/>
        <v/>
      </c>
      <c r="E568" s="332">
        <f t="shared" si="70"/>
        <v>27</v>
      </c>
      <c r="F568" s="332">
        <f t="shared" si="71"/>
        <v>243</v>
      </c>
      <c r="G568" s="241"/>
      <c r="H568" s="241"/>
      <c r="I568" s="241"/>
      <c r="J568" s="241"/>
      <c r="K568" s="289"/>
      <c r="L568" s="289"/>
      <c r="M568" s="241"/>
      <c r="N568" s="241"/>
      <c r="O568" s="241"/>
      <c r="P568" s="241"/>
      <c r="Q568" s="241"/>
      <c r="R568" s="241"/>
      <c r="S568" s="241"/>
      <c r="T568" s="241"/>
      <c r="U568" s="241"/>
      <c r="V568" s="241"/>
      <c r="W568" s="241"/>
      <c r="X568" s="241"/>
      <c r="Y568" s="241"/>
      <c r="Z568" s="241"/>
      <c r="AA568" s="241"/>
      <c r="AB568" s="290">
        <f t="shared" si="64"/>
        <v>270</v>
      </c>
      <c r="AC568" s="290" t="e">
        <f t="shared" si="65"/>
        <v>#N/A</v>
      </c>
      <c r="AD568" s="290">
        <f t="shared" si="66"/>
        <v>27</v>
      </c>
      <c r="AE568" s="290">
        <f t="shared" si="67"/>
        <v>243</v>
      </c>
    </row>
    <row r="569" spans="1:31" x14ac:dyDescent="0.25">
      <c r="A569" s="280"/>
      <c r="B569" s="331">
        <f>Crop!B605</f>
        <v>42196</v>
      </c>
      <c r="C569" s="332">
        <f t="shared" si="68"/>
        <v>270</v>
      </c>
      <c r="D569" s="332" t="str">
        <f t="shared" si="69"/>
        <v/>
      </c>
      <c r="E569" s="332">
        <f t="shared" si="70"/>
        <v>27</v>
      </c>
      <c r="F569" s="332">
        <f t="shared" si="71"/>
        <v>243</v>
      </c>
      <c r="G569" s="241"/>
      <c r="H569" s="241"/>
      <c r="I569" s="241"/>
      <c r="J569" s="241"/>
      <c r="K569" s="289"/>
      <c r="L569" s="289"/>
      <c r="M569" s="241"/>
      <c r="N569" s="241"/>
      <c r="O569" s="241"/>
      <c r="P569" s="241"/>
      <c r="Q569" s="241"/>
      <c r="R569" s="241"/>
      <c r="S569" s="241"/>
      <c r="T569" s="241"/>
      <c r="U569" s="241"/>
      <c r="V569" s="241"/>
      <c r="W569" s="241"/>
      <c r="X569" s="241"/>
      <c r="Y569" s="241"/>
      <c r="Z569" s="241"/>
      <c r="AA569" s="241"/>
      <c r="AB569" s="290">
        <f t="shared" si="64"/>
        <v>270</v>
      </c>
      <c r="AC569" s="290" t="e">
        <f t="shared" si="65"/>
        <v>#N/A</v>
      </c>
      <c r="AD569" s="290">
        <f t="shared" si="66"/>
        <v>27</v>
      </c>
      <c r="AE569" s="290">
        <f t="shared" si="67"/>
        <v>243</v>
      </c>
    </row>
    <row r="570" spans="1:31" x14ac:dyDescent="0.25">
      <c r="A570" s="280"/>
      <c r="B570" s="331">
        <f>Crop!B606</f>
        <v>42197</v>
      </c>
      <c r="C570" s="332">
        <f t="shared" si="68"/>
        <v>270</v>
      </c>
      <c r="D570" s="332" t="str">
        <f t="shared" si="69"/>
        <v/>
      </c>
      <c r="E570" s="332">
        <f t="shared" si="70"/>
        <v>27</v>
      </c>
      <c r="F570" s="332">
        <f t="shared" si="71"/>
        <v>243</v>
      </c>
      <c r="G570" s="241"/>
      <c r="H570" s="241"/>
      <c r="I570" s="241"/>
      <c r="J570" s="241"/>
      <c r="K570" s="289"/>
      <c r="L570" s="289"/>
      <c r="M570" s="241"/>
      <c r="N570" s="241"/>
      <c r="O570" s="241"/>
      <c r="P570" s="241"/>
      <c r="Q570" s="241"/>
      <c r="R570" s="241"/>
      <c r="S570" s="241"/>
      <c r="T570" s="241"/>
      <c r="U570" s="241"/>
      <c r="V570" s="241"/>
      <c r="W570" s="241"/>
      <c r="X570" s="241"/>
      <c r="Y570" s="241"/>
      <c r="Z570" s="241"/>
      <c r="AA570" s="241"/>
      <c r="AB570" s="290">
        <f t="shared" si="64"/>
        <v>270</v>
      </c>
      <c r="AC570" s="290" t="e">
        <f t="shared" si="65"/>
        <v>#N/A</v>
      </c>
      <c r="AD570" s="290">
        <f t="shared" si="66"/>
        <v>27</v>
      </c>
      <c r="AE570" s="290">
        <f t="shared" si="67"/>
        <v>243</v>
      </c>
    </row>
    <row r="571" spans="1:31" x14ac:dyDescent="0.25">
      <c r="A571" s="280"/>
      <c r="B571" s="331">
        <f>Crop!B607</f>
        <v>42198</v>
      </c>
      <c r="C571" s="332">
        <f t="shared" si="68"/>
        <v>270</v>
      </c>
      <c r="D571" s="332" t="str">
        <f t="shared" si="69"/>
        <v/>
      </c>
      <c r="E571" s="332">
        <f t="shared" si="70"/>
        <v>27</v>
      </c>
      <c r="F571" s="332">
        <f t="shared" si="71"/>
        <v>243</v>
      </c>
      <c r="G571" s="241"/>
      <c r="H571" s="241"/>
      <c r="I571" s="241"/>
      <c r="J571" s="241"/>
      <c r="K571" s="289"/>
      <c r="L571" s="289"/>
      <c r="M571" s="241"/>
      <c r="N571" s="241"/>
      <c r="O571" s="241"/>
      <c r="P571" s="241"/>
      <c r="Q571" s="241"/>
      <c r="R571" s="241"/>
      <c r="S571" s="241"/>
      <c r="T571" s="241"/>
      <c r="U571" s="241"/>
      <c r="V571" s="241"/>
      <c r="W571" s="241"/>
      <c r="X571" s="241"/>
      <c r="Y571" s="241"/>
      <c r="Z571" s="241"/>
      <c r="AA571" s="241"/>
      <c r="AB571" s="290">
        <f t="shared" si="64"/>
        <v>270</v>
      </c>
      <c r="AC571" s="290" t="e">
        <f t="shared" si="65"/>
        <v>#N/A</v>
      </c>
      <c r="AD571" s="290">
        <f t="shared" si="66"/>
        <v>27</v>
      </c>
      <c r="AE571" s="290">
        <f t="shared" si="67"/>
        <v>243</v>
      </c>
    </row>
    <row r="572" spans="1:31" x14ac:dyDescent="0.25">
      <c r="A572" s="280"/>
      <c r="B572" s="331">
        <f>Crop!B608</f>
        <v>42199</v>
      </c>
      <c r="C572" s="332">
        <f t="shared" si="68"/>
        <v>270</v>
      </c>
      <c r="D572" s="332" t="str">
        <f t="shared" si="69"/>
        <v/>
      </c>
      <c r="E572" s="332">
        <f t="shared" si="70"/>
        <v>27</v>
      </c>
      <c r="F572" s="332">
        <f t="shared" si="71"/>
        <v>243</v>
      </c>
      <c r="G572" s="241"/>
      <c r="H572" s="241"/>
      <c r="I572" s="241"/>
      <c r="J572" s="241"/>
      <c r="K572" s="289"/>
      <c r="L572" s="289"/>
      <c r="M572" s="241"/>
      <c r="N572" s="241"/>
      <c r="O572" s="241"/>
      <c r="P572" s="241"/>
      <c r="Q572" s="241"/>
      <c r="R572" s="241"/>
      <c r="S572" s="241"/>
      <c r="T572" s="241"/>
      <c r="U572" s="241"/>
      <c r="V572" s="241"/>
      <c r="W572" s="241"/>
      <c r="X572" s="241"/>
      <c r="Y572" s="241"/>
      <c r="Z572" s="241"/>
      <c r="AA572" s="241"/>
      <c r="AB572" s="290">
        <f t="shared" si="64"/>
        <v>270</v>
      </c>
      <c r="AC572" s="290" t="e">
        <f t="shared" si="65"/>
        <v>#N/A</v>
      </c>
      <c r="AD572" s="290">
        <f t="shared" si="66"/>
        <v>27</v>
      </c>
      <c r="AE572" s="290">
        <f t="shared" si="67"/>
        <v>243</v>
      </c>
    </row>
    <row r="573" spans="1:31" x14ac:dyDescent="0.25">
      <c r="A573" s="280"/>
      <c r="B573" s="331">
        <f>Crop!B609</f>
        <v>42200</v>
      </c>
      <c r="C573" s="332">
        <f t="shared" si="68"/>
        <v>270</v>
      </c>
      <c r="D573" s="332" t="str">
        <f t="shared" si="69"/>
        <v/>
      </c>
      <c r="E573" s="332">
        <f t="shared" si="70"/>
        <v>27</v>
      </c>
      <c r="F573" s="332">
        <f t="shared" si="71"/>
        <v>243</v>
      </c>
      <c r="G573" s="241"/>
      <c r="H573" s="241"/>
      <c r="I573" s="241"/>
      <c r="J573" s="241"/>
      <c r="K573" s="289"/>
      <c r="L573" s="289"/>
      <c r="M573" s="241"/>
      <c r="N573" s="241"/>
      <c r="O573" s="241"/>
      <c r="P573" s="241"/>
      <c r="Q573" s="241"/>
      <c r="R573" s="241"/>
      <c r="S573" s="241"/>
      <c r="T573" s="241"/>
      <c r="U573" s="241"/>
      <c r="V573" s="241"/>
      <c r="W573" s="241"/>
      <c r="X573" s="241"/>
      <c r="Y573" s="241"/>
      <c r="Z573" s="241"/>
      <c r="AA573" s="241"/>
      <c r="AB573" s="290">
        <f t="shared" si="64"/>
        <v>270</v>
      </c>
      <c r="AC573" s="290" t="e">
        <f t="shared" si="65"/>
        <v>#N/A</v>
      </c>
      <c r="AD573" s="290">
        <f t="shared" si="66"/>
        <v>27</v>
      </c>
      <c r="AE573" s="290">
        <f t="shared" si="67"/>
        <v>243</v>
      </c>
    </row>
    <row r="574" spans="1:31" x14ac:dyDescent="0.25">
      <c r="A574" s="280"/>
      <c r="B574" s="331">
        <f>Crop!B610</f>
        <v>42201</v>
      </c>
      <c r="C574" s="332">
        <f t="shared" si="68"/>
        <v>270</v>
      </c>
      <c r="D574" s="332" t="str">
        <f t="shared" si="69"/>
        <v/>
      </c>
      <c r="E574" s="332">
        <f t="shared" si="70"/>
        <v>27</v>
      </c>
      <c r="F574" s="332">
        <f t="shared" si="71"/>
        <v>243</v>
      </c>
      <c r="G574" s="241"/>
      <c r="H574" s="241"/>
      <c r="I574" s="241"/>
      <c r="J574" s="241"/>
      <c r="K574" s="289"/>
      <c r="L574" s="289"/>
      <c r="M574" s="241"/>
      <c r="N574" s="241"/>
      <c r="O574" s="241"/>
      <c r="P574" s="241"/>
      <c r="Q574" s="241"/>
      <c r="R574" s="241"/>
      <c r="S574" s="241"/>
      <c r="T574" s="241"/>
      <c r="U574" s="241"/>
      <c r="V574" s="241"/>
      <c r="W574" s="241"/>
      <c r="X574" s="241"/>
      <c r="Y574" s="241"/>
      <c r="Z574" s="241"/>
      <c r="AA574" s="241"/>
      <c r="AB574" s="290">
        <f t="shared" si="64"/>
        <v>270</v>
      </c>
      <c r="AC574" s="290" t="e">
        <f t="shared" si="65"/>
        <v>#N/A</v>
      </c>
      <c r="AD574" s="290">
        <f t="shared" si="66"/>
        <v>27</v>
      </c>
      <c r="AE574" s="290">
        <f t="shared" si="67"/>
        <v>243</v>
      </c>
    </row>
    <row r="575" spans="1:31" x14ac:dyDescent="0.25">
      <c r="A575" s="280"/>
      <c r="B575" s="331">
        <f>Crop!B611</f>
        <v>42202</v>
      </c>
      <c r="C575" s="332">
        <f t="shared" si="68"/>
        <v>270</v>
      </c>
      <c r="D575" s="332" t="str">
        <f t="shared" si="69"/>
        <v/>
      </c>
      <c r="E575" s="332">
        <f t="shared" si="70"/>
        <v>27</v>
      </c>
      <c r="F575" s="332">
        <f t="shared" si="71"/>
        <v>243</v>
      </c>
      <c r="G575" s="241"/>
      <c r="H575" s="241"/>
      <c r="I575" s="241"/>
      <c r="J575" s="241"/>
      <c r="K575" s="289"/>
      <c r="L575" s="289"/>
      <c r="M575" s="241"/>
      <c r="N575" s="241"/>
      <c r="O575" s="241"/>
      <c r="P575" s="241"/>
      <c r="Q575" s="241"/>
      <c r="R575" s="241"/>
      <c r="S575" s="241"/>
      <c r="T575" s="241"/>
      <c r="U575" s="241"/>
      <c r="V575" s="241"/>
      <c r="W575" s="241"/>
      <c r="X575" s="241"/>
      <c r="Y575" s="241"/>
      <c r="Z575" s="241"/>
      <c r="AA575" s="241"/>
      <c r="AB575" s="290">
        <f t="shared" si="64"/>
        <v>270</v>
      </c>
      <c r="AC575" s="290" t="e">
        <f t="shared" si="65"/>
        <v>#N/A</v>
      </c>
      <c r="AD575" s="290">
        <f t="shared" si="66"/>
        <v>27</v>
      </c>
      <c r="AE575" s="290">
        <f t="shared" si="67"/>
        <v>243</v>
      </c>
    </row>
    <row r="576" spans="1:31" x14ac:dyDescent="0.25">
      <c r="A576" s="280"/>
      <c r="B576" s="331">
        <f>Crop!B612</f>
        <v>42203</v>
      </c>
      <c r="C576" s="332">
        <f t="shared" si="68"/>
        <v>270</v>
      </c>
      <c r="D576" s="332" t="str">
        <f t="shared" si="69"/>
        <v/>
      </c>
      <c r="E576" s="332">
        <f t="shared" si="70"/>
        <v>27</v>
      </c>
      <c r="F576" s="332">
        <f t="shared" si="71"/>
        <v>243</v>
      </c>
      <c r="G576" s="241"/>
      <c r="H576" s="241"/>
      <c r="I576" s="241"/>
      <c r="J576" s="241"/>
      <c r="K576" s="289"/>
      <c r="L576" s="289"/>
      <c r="M576" s="241"/>
      <c r="N576" s="241"/>
      <c r="O576" s="241"/>
      <c r="P576" s="241"/>
      <c r="Q576" s="241"/>
      <c r="R576" s="241"/>
      <c r="S576" s="241"/>
      <c r="T576" s="241"/>
      <c r="U576" s="241"/>
      <c r="V576" s="241"/>
      <c r="W576" s="241"/>
      <c r="X576" s="241"/>
      <c r="Y576" s="241"/>
      <c r="Z576" s="241"/>
      <c r="AA576" s="241"/>
      <c r="AB576" s="290">
        <f t="shared" si="64"/>
        <v>270</v>
      </c>
      <c r="AC576" s="290" t="e">
        <f t="shared" si="65"/>
        <v>#N/A</v>
      </c>
      <c r="AD576" s="290">
        <f t="shared" si="66"/>
        <v>27</v>
      </c>
      <c r="AE576" s="290">
        <f t="shared" si="67"/>
        <v>243</v>
      </c>
    </row>
    <row r="577" spans="1:31" x14ac:dyDescent="0.25">
      <c r="A577" s="280"/>
      <c r="B577" s="331">
        <f>Crop!B613</f>
        <v>42204</v>
      </c>
      <c r="C577" s="332">
        <f t="shared" si="68"/>
        <v>270</v>
      </c>
      <c r="D577" s="332" t="str">
        <f t="shared" si="69"/>
        <v/>
      </c>
      <c r="E577" s="332">
        <f t="shared" si="70"/>
        <v>27</v>
      </c>
      <c r="F577" s="332">
        <f t="shared" si="71"/>
        <v>243</v>
      </c>
      <c r="G577" s="241"/>
      <c r="H577" s="241"/>
      <c r="I577" s="241"/>
      <c r="J577" s="241"/>
      <c r="K577" s="289"/>
      <c r="L577" s="289"/>
      <c r="M577" s="241"/>
      <c r="N577" s="241"/>
      <c r="O577" s="241"/>
      <c r="P577" s="241"/>
      <c r="Q577" s="241"/>
      <c r="R577" s="241"/>
      <c r="S577" s="241"/>
      <c r="T577" s="241"/>
      <c r="U577" s="241"/>
      <c r="V577" s="241"/>
      <c r="W577" s="241"/>
      <c r="X577" s="241"/>
      <c r="Y577" s="241"/>
      <c r="Z577" s="241"/>
      <c r="AA577" s="241"/>
      <c r="AB577" s="290">
        <f t="shared" si="64"/>
        <v>270</v>
      </c>
      <c r="AC577" s="290" t="e">
        <f t="shared" si="65"/>
        <v>#N/A</v>
      </c>
      <c r="AD577" s="290">
        <f t="shared" si="66"/>
        <v>27</v>
      </c>
      <c r="AE577" s="290">
        <f t="shared" si="67"/>
        <v>243</v>
      </c>
    </row>
    <row r="578" spans="1:31" x14ac:dyDescent="0.25">
      <c r="A578" s="280"/>
      <c r="B578" s="331">
        <f>Crop!B614</f>
        <v>42205</v>
      </c>
      <c r="C578" s="332">
        <f t="shared" si="68"/>
        <v>270</v>
      </c>
      <c r="D578" s="332" t="str">
        <f t="shared" si="69"/>
        <v/>
      </c>
      <c r="E578" s="332">
        <f t="shared" si="70"/>
        <v>27</v>
      </c>
      <c r="F578" s="332">
        <f t="shared" si="71"/>
        <v>243</v>
      </c>
      <c r="G578" s="241"/>
      <c r="H578" s="241"/>
      <c r="I578" s="241"/>
      <c r="J578" s="241"/>
      <c r="K578" s="289"/>
      <c r="L578" s="289"/>
      <c r="M578" s="241"/>
      <c r="N578" s="241"/>
      <c r="O578" s="241"/>
      <c r="P578" s="241"/>
      <c r="Q578" s="241"/>
      <c r="R578" s="241"/>
      <c r="S578" s="241"/>
      <c r="T578" s="241"/>
      <c r="U578" s="241"/>
      <c r="V578" s="241"/>
      <c r="W578" s="241"/>
      <c r="X578" s="241"/>
      <c r="Y578" s="241"/>
      <c r="Z578" s="241"/>
      <c r="AA578" s="241"/>
      <c r="AB578" s="290">
        <f t="shared" si="64"/>
        <v>270</v>
      </c>
      <c r="AC578" s="290" t="e">
        <f t="shared" si="65"/>
        <v>#N/A</v>
      </c>
      <c r="AD578" s="290">
        <f t="shared" si="66"/>
        <v>27</v>
      </c>
      <c r="AE578" s="290">
        <f t="shared" si="67"/>
        <v>243</v>
      </c>
    </row>
    <row r="579" spans="1:31" x14ac:dyDescent="0.25">
      <c r="A579" s="280"/>
      <c r="B579" s="331">
        <f>Crop!B615</f>
        <v>42206</v>
      </c>
      <c r="C579" s="332">
        <f t="shared" si="68"/>
        <v>270</v>
      </c>
      <c r="D579" s="332" t="str">
        <f t="shared" si="69"/>
        <v/>
      </c>
      <c r="E579" s="332">
        <f t="shared" si="70"/>
        <v>27</v>
      </c>
      <c r="F579" s="332">
        <f t="shared" si="71"/>
        <v>243</v>
      </c>
      <c r="G579" s="241"/>
      <c r="H579" s="241"/>
      <c r="I579" s="241"/>
      <c r="J579" s="241"/>
      <c r="K579" s="289"/>
      <c r="L579" s="289"/>
      <c r="M579" s="241"/>
      <c r="N579" s="241"/>
      <c r="O579" s="241"/>
      <c r="P579" s="241"/>
      <c r="Q579" s="241"/>
      <c r="R579" s="241"/>
      <c r="S579" s="241"/>
      <c r="T579" s="241"/>
      <c r="U579" s="241"/>
      <c r="V579" s="241"/>
      <c r="W579" s="241"/>
      <c r="X579" s="241"/>
      <c r="Y579" s="241"/>
      <c r="Z579" s="241"/>
      <c r="AA579" s="241"/>
      <c r="AB579" s="290">
        <f t="shared" si="64"/>
        <v>270</v>
      </c>
      <c r="AC579" s="290" t="e">
        <f t="shared" si="65"/>
        <v>#N/A</v>
      </c>
      <c r="AD579" s="290">
        <f t="shared" si="66"/>
        <v>27</v>
      </c>
      <c r="AE579" s="290">
        <f t="shared" si="67"/>
        <v>243</v>
      </c>
    </row>
    <row r="580" spans="1:31" x14ac:dyDescent="0.25">
      <c r="A580" s="280"/>
      <c r="B580" s="331">
        <f>Crop!B616</f>
        <v>42207</v>
      </c>
      <c r="C580" s="332">
        <f t="shared" si="68"/>
        <v>270</v>
      </c>
      <c r="D580" s="332" t="str">
        <f t="shared" si="69"/>
        <v/>
      </c>
      <c r="E580" s="332">
        <f t="shared" si="70"/>
        <v>27</v>
      </c>
      <c r="F580" s="332">
        <f t="shared" si="71"/>
        <v>243</v>
      </c>
      <c r="G580" s="241"/>
      <c r="H580" s="241"/>
      <c r="I580" s="241"/>
      <c r="J580" s="241"/>
      <c r="K580" s="289"/>
      <c r="L580" s="289"/>
      <c r="M580" s="241"/>
      <c r="N580" s="241"/>
      <c r="O580" s="241"/>
      <c r="P580" s="241"/>
      <c r="Q580" s="241"/>
      <c r="R580" s="241"/>
      <c r="S580" s="241"/>
      <c r="T580" s="241"/>
      <c r="U580" s="241"/>
      <c r="V580" s="241"/>
      <c r="W580" s="241"/>
      <c r="X580" s="241"/>
      <c r="Y580" s="241"/>
      <c r="Z580" s="241"/>
      <c r="AA580" s="241"/>
      <c r="AB580" s="290">
        <f t="shared" si="64"/>
        <v>270</v>
      </c>
      <c r="AC580" s="290" t="e">
        <f t="shared" si="65"/>
        <v>#N/A</v>
      </c>
      <c r="AD580" s="290">
        <f t="shared" si="66"/>
        <v>27</v>
      </c>
      <c r="AE580" s="290">
        <f t="shared" si="67"/>
        <v>243</v>
      </c>
    </row>
    <row r="581" spans="1:31" x14ac:dyDescent="0.25">
      <c r="A581" s="280"/>
      <c r="B581" s="331">
        <f>Crop!B617</f>
        <v>42208</v>
      </c>
      <c r="C581" s="332">
        <f t="shared" si="68"/>
        <v>270</v>
      </c>
      <c r="D581" s="332" t="str">
        <f t="shared" si="69"/>
        <v/>
      </c>
      <c r="E581" s="332">
        <f t="shared" si="70"/>
        <v>27</v>
      </c>
      <c r="F581" s="332">
        <f t="shared" si="71"/>
        <v>243</v>
      </c>
      <c r="G581" s="241"/>
      <c r="H581" s="241"/>
      <c r="I581" s="241"/>
      <c r="J581" s="241"/>
      <c r="K581" s="289"/>
      <c r="L581" s="289"/>
      <c r="M581" s="241"/>
      <c r="N581" s="241"/>
      <c r="O581" s="241"/>
      <c r="P581" s="241"/>
      <c r="Q581" s="241"/>
      <c r="R581" s="241"/>
      <c r="S581" s="241"/>
      <c r="T581" s="241"/>
      <c r="U581" s="241"/>
      <c r="V581" s="241"/>
      <c r="W581" s="241"/>
      <c r="X581" s="241"/>
      <c r="Y581" s="241"/>
      <c r="Z581" s="241"/>
      <c r="AA581" s="241"/>
      <c r="AB581" s="290">
        <f t="shared" si="64"/>
        <v>270</v>
      </c>
      <c r="AC581" s="290" t="e">
        <f t="shared" si="65"/>
        <v>#N/A</v>
      </c>
      <c r="AD581" s="290">
        <f t="shared" si="66"/>
        <v>27</v>
      </c>
      <c r="AE581" s="290">
        <f t="shared" si="67"/>
        <v>243</v>
      </c>
    </row>
    <row r="582" spans="1:31" x14ac:dyDescent="0.25">
      <c r="A582" s="280"/>
      <c r="B582" s="331">
        <f>Crop!B618</f>
        <v>42209</v>
      </c>
      <c r="C582" s="332">
        <f t="shared" si="68"/>
        <v>270</v>
      </c>
      <c r="D582" s="332" t="str">
        <f t="shared" si="69"/>
        <v/>
      </c>
      <c r="E582" s="332">
        <f t="shared" si="70"/>
        <v>27</v>
      </c>
      <c r="F582" s="332">
        <f t="shared" si="71"/>
        <v>243</v>
      </c>
      <c r="G582" s="241"/>
      <c r="H582" s="241"/>
      <c r="I582" s="241"/>
      <c r="J582" s="241"/>
      <c r="K582" s="289"/>
      <c r="L582" s="289"/>
      <c r="M582" s="241"/>
      <c r="N582" s="241"/>
      <c r="O582" s="241"/>
      <c r="P582" s="241"/>
      <c r="Q582" s="241"/>
      <c r="R582" s="241"/>
      <c r="S582" s="241"/>
      <c r="T582" s="241"/>
      <c r="U582" s="241"/>
      <c r="V582" s="241"/>
      <c r="W582" s="241"/>
      <c r="X582" s="241"/>
      <c r="Y582" s="241"/>
      <c r="Z582" s="241"/>
      <c r="AA582" s="241"/>
      <c r="AB582" s="290">
        <f t="shared" si="64"/>
        <v>270</v>
      </c>
      <c r="AC582" s="290" t="e">
        <f t="shared" si="65"/>
        <v>#N/A</v>
      </c>
      <c r="AD582" s="290">
        <f t="shared" si="66"/>
        <v>27</v>
      </c>
      <c r="AE582" s="290">
        <f t="shared" si="67"/>
        <v>243</v>
      </c>
    </row>
    <row r="583" spans="1:31" x14ac:dyDescent="0.25">
      <c r="A583" s="280"/>
      <c r="B583" s="331">
        <f>Crop!B619</f>
        <v>42210</v>
      </c>
      <c r="C583" s="332">
        <f t="shared" si="68"/>
        <v>270</v>
      </c>
      <c r="D583" s="332" t="str">
        <f t="shared" si="69"/>
        <v/>
      </c>
      <c r="E583" s="332">
        <f t="shared" si="70"/>
        <v>27</v>
      </c>
      <c r="F583" s="332">
        <f t="shared" si="71"/>
        <v>243</v>
      </c>
      <c r="G583" s="241"/>
      <c r="H583" s="241"/>
      <c r="I583" s="241"/>
      <c r="J583" s="241"/>
      <c r="K583" s="289"/>
      <c r="L583" s="289"/>
      <c r="M583" s="241"/>
      <c r="N583" s="241"/>
      <c r="O583" s="241"/>
      <c r="P583" s="241"/>
      <c r="Q583" s="241"/>
      <c r="R583" s="241"/>
      <c r="S583" s="241"/>
      <c r="T583" s="241"/>
      <c r="U583" s="241"/>
      <c r="V583" s="241"/>
      <c r="W583" s="241"/>
      <c r="X583" s="241"/>
      <c r="Y583" s="241"/>
      <c r="Z583" s="241"/>
      <c r="AA583" s="241"/>
      <c r="AB583" s="290">
        <f t="shared" si="64"/>
        <v>270</v>
      </c>
      <c r="AC583" s="290" t="e">
        <f t="shared" si="65"/>
        <v>#N/A</v>
      </c>
      <c r="AD583" s="290">
        <f t="shared" si="66"/>
        <v>27</v>
      </c>
      <c r="AE583" s="290">
        <f t="shared" si="67"/>
        <v>243</v>
      </c>
    </row>
    <row r="584" spans="1:31" x14ac:dyDescent="0.25">
      <c r="A584" s="280"/>
      <c r="B584" s="331">
        <f>Crop!B620</f>
        <v>42211</v>
      </c>
      <c r="C584" s="332">
        <f t="shared" si="68"/>
        <v>270</v>
      </c>
      <c r="D584" s="332" t="str">
        <f t="shared" si="69"/>
        <v/>
      </c>
      <c r="E584" s="332">
        <f t="shared" si="70"/>
        <v>27</v>
      </c>
      <c r="F584" s="332">
        <f t="shared" si="71"/>
        <v>243</v>
      </c>
      <c r="G584" s="241"/>
      <c r="H584" s="241"/>
      <c r="I584" s="241"/>
      <c r="J584" s="241"/>
      <c r="K584" s="289"/>
      <c r="L584" s="289"/>
      <c r="M584" s="241"/>
      <c r="N584" s="241"/>
      <c r="O584" s="241"/>
      <c r="P584" s="241"/>
      <c r="Q584" s="241"/>
      <c r="R584" s="241"/>
      <c r="S584" s="241"/>
      <c r="T584" s="241"/>
      <c r="U584" s="241"/>
      <c r="V584" s="241"/>
      <c r="W584" s="241"/>
      <c r="X584" s="241"/>
      <c r="Y584" s="241"/>
      <c r="Z584" s="241"/>
      <c r="AA584" s="241"/>
      <c r="AB584" s="290">
        <f t="shared" si="64"/>
        <v>270</v>
      </c>
      <c r="AC584" s="290" t="e">
        <f t="shared" si="65"/>
        <v>#N/A</v>
      </c>
      <c r="AD584" s="290">
        <f t="shared" si="66"/>
        <v>27</v>
      </c>
      <c r="AE584" s="290">
        <f t="shared" si="67"/>
        <v>243</v>
      </c>
    </row>
    <row r="585" spans="1:31" x14ac:dyDescent="0.25">
      <c r="A585" s="280"/>
      <c r="B585" s="331">
        <f>Crop!B621</f>
        <v>42212</v>
      </c>
      <c r="C585" s="332">
        <f t="shared" si="68"/>
        <v>270</v>
      </c>
      <c r="D585" s="332" t="str">
        <f t="shared" si="69"/>
        <v/>
      </c>
      <c r="E585" s="332">
        <f t="shared" si="70"/>
        <v>27</v>
      </c>
      <c r="F585" s="332">
        <f t="shared" si="71"/>
        <v>243</v>
      </c>
      <c r="G585" s="241"/>
      <c r="H585" s="241"/>
      <c r="I585" s="241"/>
      <c r="J585" s="241"/>
      <c r="K585" s="289"/>
      <c r="L585" s="289"/>
      <c r="M585" s="241"/>
      <c r="N585" s="241"/>
      <c r="O585" s="241"/>
      <c r="P585" s="241"/>
      <c r="Q585" s="241"/>
      <c r="R585" s="241"/>
      <c r="S585" s="241"/>
      <c r="T585" s="241"/>
      <c r="U585" s="241"/>
      <c r="V585" s="241"/>
      <c r="W585" s="241"/>
      <c r="X585" s="241"/>
      <c r="Y585" s="241"/>
      <c r="Z585" s="241"/>
      <c r="AA585" s="241"/>
      <c r="AB585" s="290">
        <f t="shared" si="64"/>
        <v>270</v>
      </c>
      <c r="AC585" s="290" t="e">
        <f t="shared" si="65"/>
        <v>#N/A</v>
      </c>
      <c r="AD585" s="290">
        <f t="shared" si="66"/>
        <v>27</v>
      </c>
      <c r="AE585" s="290">
        <f t="shared" si="67"/>
        <v>243</v>
      </c>
    </row>
    <row r="586" spans="1:31" x14ac:dyDescent="0.25">
      <c r="A586" s="280"/>
      <c r="B586" s="331">
        <f>Crop!B622</f>
        <v>42213</v>
      </c>
      <c r="C586" s="332">
        <f t="shared" si="68"/>
        <v>270</v>
      </c>
      <c r="D586" s="332" t="str">
        <f t="shared" si="69"/>
        <v/>
      </c>
      <c r="E586" s="332">
        <f t="shared" si="70"/>
        <v>27</v>
      </c>
      <c r="F586" s="332">
        <f t="shared" si="71"/>
        <v>243</v>
      </c>
      <c r="G586" s="241"/>
      <c r="H586" s="241"/>
      <c r="I586" s="241"/>
      <c r="J586" s="241"/>
      <c r="K586" s="289"/>
      <c r="L586" s="289"/>
      <c r="M586" s="241"/>
      <c r="N586" s="241"/>
      <c r="O586" s="241"/>
      <c r="P586" s="241"/>
      <c r="Q586" s="241"/>
      <c r="R586" s="241"/>
      <c r="S586" s="241"/>
      <c r="T586" s="241"/>
      <c r="U586" s="241"/>
      <c r="V586" s="241"/>
      <c r="W586" s="241"/>
      <c r="X586" s="241"/>
      <c r="Y586" s="241"/>
      <c r="Z586" s="241"/>
      <c r="AA586" s="241"/>
      <c r="AB586" s="290">
        <f t="shared" si="64"/>
        <v>270</v>
      </c>
      <c r="AC586" s="290" t="e">
        <f t="shared" si="65"/>
        <v>#N/A</v>
      </c>
      <c r="AD586" s="290">
        <f t="shared" si="66"/>
        <v>27</v>
      </c>
      <c r="AE586" s="290">
        <f t="shared" si="67"/>
        <v>243</v>
      </c>
    </row>
    <row r="587" spans="1:31" x14ac:dyDescent="0.25">
      <c r="A587" s="280"/>
      <c r="B587" s="331">
        <f>Crop!B623</f>
        <v>42214</v>
      </c>
      <c r="C587" s="332">
        <f t="shared" si="68"/>
        <v>270</v>
      </c>
      <c r="D587" s="332" t="str">
        <f t="shared" si="69"/>
        <v/>
      </c>
      <c r="E587" s="332">
        <f t="shared" si="70"/>
        <v>27</v>
      </c>
      <c r="F587" s="332">
        <f t="shared" si="71"/>
        <v>243</v>
      </c>
      <c r="G587" s="241"/>
      <c r="H587" s="241"/>
      <c r="I587" s="241"/>
      <c r="J587" s="241"/>
      <c r="K587" s="289"/>
      <c r="L587" s="289"/>
      <c r="M587" s="241"/>
      <c r="N587" s="241"/>
      <c r="O587" s="241"/>
      <c r="P587" s="241"/>
      <c r="Q587" s="241"/>
      <c r="R587" s="241"/>
      <c r="S587" s="241"/>
      <c r="T587" s="241"/>
      <c r="U587" s="241"/>
      <c r="V587" s="241"/>
      <c r="W587" s="241"/>
      <c r="X587" s="241"/>
      <c r="Y587" s="241"/>
      <c r="Z587" s="241"/>
      <c r="AA587" s="241"/>
      <c r="AB587" s="290">
        <f t="shared" si="64"/>
        <v>270</v>
      </c>
      <c r="AC587" s="290" t="e">
        <f t="shared" si="65"/>
        <v>#N/A</v>
      </c>
      <c r="AD587" s="290">
        <f t="shared" si="66"/>
        <v>27</v>
      </c>
      <c r="AE587" s="290">
        <f t="shared" si="67"/>
        <v>243</v>
      </c>
    </row>
    <row r="588" spans="1:31" x14ac:dyDescent="0.25">
      <c r="A588" s="280"/>
      <c r="B588" s="331">
        <f>Crop!B624</f>
        <v>42215</v>
      </c>
      <c r="C588" s="332">
        <f t="shared" si="68"/>
        <v>270</v>
      </c>
      <c r="D588" s="332" t="str">
        <f t="shared" si="69"/>
        <v/>
      </c>
      <c r="E588" s="332">
        <f t="shared" si="70"/>
        <v>27</v>
      </c>
      <c r="F588" s="332">
        <f t="shared" si="71"/>
        <v>243</v>
      </c>
      <c r="G588" s="241"/>
      <c r="H588" s="241"/>
      <c r="I588" s="241"/>
      <c r="J588" s="241"/>
      <c r="K588" s="289"/>
      <c r="L588" s="289"/>
      <c r="M588" s="241"/>
      <c r="N588" s="241"/>
      <c r="O588" s="241"/>
      <c r="P588" s="241"/>
      <c r="Q588" s="241"/>
      <c r="R588" s="241"/>
      <c r="S588" s="241"/>
      <c r="T588" s="241"/>
      <c r="U588" s="241"/>
      <c r="V588" s="241"/>
      <c r="W588" s="241"/>
      <c r="X588" s="241"/>
      <c r="Y588" s="241"/>
      <c r="Z588" s="241"/>
      <c r="AA588" s="241"/>
      <c r="AB588" s="290">
        <f t="shared" si="64"/>
        <v>270</v>
      </c>
      <c r="AC588" s="290" t="e">
        <f t="shared" si="65"/>
        <v>#N/A</v>
      </c>
      <c r="AD588" s="290">
        <f t="shared" si="66"/>
        <v>27</v>
      </c>
      <c r="AE588" s="290">
        <f t="shared" si="67"/>
        <v>243</v>
      </c>
    </row>
    <row r="589" spans="1:31" x14ac:dyDescent="0.25">
      <c r="A589" s="280"/>
      <c r="B589" s="331">
        <f>Crop!B625</f>
        <v>42216</v>
      </c>
      <c r="C589" s="332">
        <f t="shared" si="68"/>
        <v>270</v>
      </c>
      <c r="D589" s="332" t="str">
        <f t="shared" si="69"/>
        <v/>
      </c>
      <c r="E589" s="332">
        <f t="shared" si="70"/>
        <v>27</v>
      </c>
      <c r="F589" s="332">
        <f t="shared" si="71"/>
        <v>243</v>
      </c>
      <c r="G589" s="241"/>
      <c r="H589" s="241"/>
      <c r="I589" s="241"/>
      <c r="J589" s="241"/>
      <c r="K589" s="289"/>
      <c r="L589" s="289"/>
      <c r="M589" s="241"/>
      <c r="N589" s="241"/>
      <c r="O589" s="241"/>
      <c r="P589" s="241"/>
      <c r="Q589" s="241"/>
      <c r="R589" s="241"/>
      <c r="S589" s="241"/>
      <c r="T589" s="241"/>
      <c r="U589" s="241"/>
      <c r="V589" s="241"/>
      <c r="W589" s="241"/>
      <c r="X589" s="241"/>
      <c r="Y589" s="241"/>
      <c r="Z589" s="241"/>
      <c r="AA589" s="241"/>
      <c r="AB589" s="290">
        <f t="shared" si="64"/>
        <v>270</v>
      </c>
      <c r="AC589" s="290" t="e">
        <f t="shared" si="65"/>
        <v>#N/A</v>
      </c>
      <c r="AD589" s="290">
        <f t="shared" si="66"/>
        <v>27</v>
      </c>
      <c r="AE589" s="290">
        <f t="shared" si="67"/>
        <v>243</v>
      </c>
    </row>
    <row r="590" spans="1:31" x14ac:dyDescent="0.25">
      <c r="A590" s="291" t="s">
        <v>75</v>
      </c>
      <c r="B590" s="333" t="s">
        <v>75</v>
      </c>
      <c r="C590" s="333" t="s">
        <v>75</v>
      </c>
      <c r="D590" s="333" t="s">
        <v>75</v>
      </c>
      <c r="E590" s="333" t="s">
        <v>75</v>
      </c>
      <c r="F590" s="333" t="s">
        <v>75</v>
      </c>
      <c r="G590" s="333" t="s">
        <v>75</v>
      </c>
      <c r="H590" s="333" t="s">
        <v>75</v>
      </c>
      <c r="I590" s="333" t="s">
        <v>75</v>
      </c>
      <c r="J590" s="333" t="s">
        <v>75</v>
      </c>
      <c r="K590" s="333" t="s">
        <v>75</v>
      </c>
      <c r="L590" s="333" t="s">
        <v>75</v>
      </c>
      <c r="M590" s="333" t="s">
        <v>75</v>
      </c>
      <c r="N590" s="241"/>
      <c r="O590" s="241"/>
      <c r="P590" s="241"/>
      <c r="Q590" s="241"/>
      <c r="R590" s="241"/>
      <c r="S590" s="241"/>
      <c r="T590" s="241"/>
      <c r="U590" s="241"/>
      <c r="V590" s="241"/>
      <c r="W590" s="241"/>
      <c r="X590" s="241"/>
      <c r="Y590" s="241"/>
      <c r="Z590" s="241"/>
      <c r="AA590" s="241"/>
      <c r="AB590" s="292" t="s">
        <v>75</v>
      </c>
      <c r="AC590" s="292" t="s">
        <v>75</v>
      </c>
      <c r="AD590" s="292" t="s">
        <v>75</v>
      </c>
      <c r="AE590" s="292" t="s">
        <v>75</v>
      </c>
    </row>
  </sheetData>
  <sheetProtection password="CC31" sheet="1" objects="1" scenarios="1"/>
  <phoneticPr fontId="0" type="noConversion"/>
  <pageMargins left="0.75" right="0.75" top="1" bottom="1" header="0.5" footer="0.5"/>
  <pageSetup orientation="portrait" horizontalDpi="360" verticalDpi="36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Charts</vt:lpstr>
      </vt:variant>
      <vt:variant>
        <vt:i4>6</vt:i4>
      </vt:variant>
    </vt:vector>
  </HeadingPairs>
  <TitlesOfParts>
    <vt:vector size="21" baseType="lpstr">
      <vt:lpstr>PMSPLINE</vt:lpstr>
      <vt:lpstr>PMSplint</vt:lpstr>
      <vt:lpstr>RnSPLINE</vt:lpstr>
      <vt:lpstr>RnSplint</vt:lpstr>
      <vt:lpstr>TITLE</vt:lpstr>
      <vt:lpstr>Weather</vt:lpstr>
      <vt:lpstr>Crop</vt:lpstr>
      <vt:lpstr>CropRef</vt:lpstr>
      <vt:lpstr>YTD</vt:lpstr>
      <vt:lpstr>MakeSchedule</vt:lpstr>
      <vt:lpstr>Schedule</vt:lpstr>
      <vt:lpstr>notes</vt:lpstr>
      <vt:lpstr>CropRefOrig</vt:lpstr>
      <vt:lpstr>System</vt:lpstr>
      <vt:lpstr>AppRate</vt:lpstr>
      <vt:lpstr>KcPlot</vt:lpstr>
      <vt:lpstr>ETcPlot</vt:lpstr>
      <vt:lpstr>CETcPlot</vt:lpstr>
      <vt:lpstr>DBRPlot</vt:lpstr>
      <vt:lpstr>YT1</vt:lpstr>
      <vt:lpstr>YT2</vt:lpstr>
    </vt:vector>
  </TitlesOfParts>
  <Company>Dept. of L.A.W.R.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Rick</dc:creator>
  <cp:lastModifiedBy>SAM </cp:lastModifiedBy>
  <cp:lastPrinted>2002-01-06T23:31:59Z</cp:lastPrinted>
  <dcterms:created xsi:type="dcterms:W3CDTF">1998-08-31T18:52:48Z</dcterms:created>
  <dcterms:modified xsi:type="dcterms:W3CDTF">2015-04-25T21:31:12Z</dcterms:modified>
</cp:coreProperties>
</file>